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drawings/drawing15.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6.xml" ContentType="application/vnd.openxmlformats-officedocument.drawing+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7.xml" ContentType="application/vnd.openxmlformats-officedocument.drawing+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drawings/drawing19.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0.xml" ContentType="application/vnd.openxmlformats-officedocument.drawing+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1.xml" ContentType="application/vnd.openxmlformats-officedocument.drawing+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22.xml" ContentType="application/vnd.openxmlformats-officedocument.drawing+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charts/chart40.xml" ContentType="application/vnd.openxmlformats-officedocument.drawingml.chart+xml"/>
  <Override PartName="/xl/charts/style35.xml" ContentType="application/vnd.ms-office.chartstyle+xml"/>
  <Override PartName="/xl/charts/colors35.xml" ContentType="application/vnd.ms-office.chartcolorstyle+xml"/>
  <Override PartName="/xl/charts/chart41.xml" ContentType="application/vnd.openxmlformats-officedocument.drawingml.chart+xml"/>
  <Override PartName="/xl/charts/style36.xml" ContentType="application/vnd.ms-office.chartstyle+xml"/>
  <Override PartName="/xl/charts/colors36.xml" ContentType="application/vnd.ms-office.chartcolorstyle+xml"/>
  <Override PartName="/xl/charts/chart42.xml" ContentType="application/vnd.openxmlformats-officedocument.drawingml.chart+xml"/>
  <Override PartName="/xl/charts/style37.xml" ContentType="application/vnd.ms-office.chartstyle+xml"/>
  <Override PartName="/xl/charts/colors37.xml" ContentType="application/vnd.ms-office.chartcolorstyle+xml"/>
  <Override PartName="/xl/charts/chart43.xml" ContentType="application/vnd.openxmlformats-officedocument.drawingml.chart+xml"/>
  <Override PartName="/xl/charts/style38.xml" ContentType="application/vnd.ms-office.chartstyle+xml"/>
  <Override PartName="/xl/charts/colors38.xml" ContentType="application/vnd.ms-office.chartcolorstyle+xml"/>
  <Override PartName="/xl/charts/chart44.xml" ContentType="application/vnd.openxmlformats-officedocument.drawingml.chart+xml"/>
  <Override PartName="/xl/charts/style39.xml" ContentType="application/vnd.ms-office.chartstyle+xml"/>
  <Override PartName="/xl/charts/colors39.xml" ContentType="application/vnd.ms-office.chartcolorstyle+xml"/>
  <Override PartName="/xl/charts/chart45.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3.xml" ContentType="application/vnd.openxmlformats-officedocument.drawing+xml"/>
  <Override PartName="/xl/charts/chart46.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2.xml" ContentType="application/vnd.openxmlformats-officedocument.themeOverride+xml"/>
  <Override PartName="/xl/charts/chart47.xml" ContentType="application/vnd.openxmlformats-officedocument.drawingml.chart+xml"/>
  <Override PartName="/xl/charts/style42.xml" ContentType="application/vnd.ms-office.chartstyle+xml"/>
  <Override PartName="/xl/charts/colors42.xml" ContentType="application/vnd.ms-office.chartcolorstyle+xml"/>
  <Override PartName="/xl/charts/chart48.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3.xml" ContentType="application/vnd.openxmlformats-officedocument.themeOverride+xml"/>
  <Override PartName="/xl/charts/chart49.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4.xml" ContentType="application/vnd.openxmlformats-officedocument.themeOverride+xml"/>
  <Override PartName="/xl/charts/chart50.xml" ContentType="application/vnd.openxmlformats-officedocument.drawingml.chart+xml"/>
  <Override PartName="/xl/charts/style45.xml" ContentType="application/vnd.ms-office.chartstyle+xml"/>
  <Override PartName="/xl/charts/colors45.xml" ContentType="application/vnd.ms-office.chartcolorstyle+xml"/>
  <Override PartName="/xl/charts/chart51.xml" ContentType="application/vnd.openxmlformats-officedocument.drawingml.chart+xml"/>
  <Override PartName="/xl/charts/style46.xml" ContentType="application/vnd.ms-office.chartstyle+xml"/>
  <Override PartName="/xl/charts/colors46.xml" ContentType="application/vnd.ms-office.chartcolorstyle+xml"/>
  <Override PartName="/xl/charts/chart52.xml" ContentType="application/vnd.openxmlformats-officedocument.drawingml.chart+xml"/>
  <Override PartName="/xl/charts/style47.xml" ContentType="application/vnd.ms-office.chartstyle+xml"/>
  <Override PartName="/xl/charts/colors47.xml" ContentType="application/vnd.ms-office.chartcolorstyle+xml"/>
  <Override PartName="/xl/charts/chart53.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4.xml" ContentType="application/vnd.openxmlformats-officedocument.drawing+xml"/>
  <Override PartName="/xl/charts/chart54.xml" ContentType="application/vnd.openxmlformats-officedocument.drawingml.chart+xml"/>
  <Override PartName="/xl/charts/style49.xml" ContentType="application/vnd.ms-office.chartstyle+xml"/>
  <Override PartName="/xl/charts/colors49.xml" ContentType="application/vnd.ms-office.chartcolorstyle+xml"/>
  <Override PartName="/xl/charts/chart55.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25.xml" ContentType="application/vnd.openxmlformats-officedocument.drawing+xml"/>
  <Override PartName="/xl/charts/chart56.xml" ContentType="application/vnd.openxmlformats-officedocument.drawingml.chart+xml"/>
  <Override PartName="/xl/charts/style51.xml" ContentType="application/vnd.ms-office.chartstyle+xml"/>
  <Override PartName="/xl/charts/colors51.xml" ContentType="application/vnd.ms-office.chartcolorstyle+xml"/>
  <Override PartName="/xl/theme/themeOverride5.xml" ContentType="application/vnd.openxmlformats-officedocument.themeOverride+xml"/>
  <Override PartName="/xl/charts/chart57.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26.xml" ContentType="application/vnd.openxmlformats-officedocument.drawing+xml"/>
  <Override PartName="/xl/charts/chart58.xml" ContentType="application/vnd.openxmlformats-officedocument.drawingml.chart+xml"/>
  <Override PartName="/xl/charts/style53.xml" ContentType="application/vnd.ms-office.chartstyle+xml"/>
  <Override PartName="/xl/charts/colors53.xml" ContentType="application/vnd.ms-office.chartcolorstyle+xml"/>
  <Override PartName="/xl/charts/chart59.xml" ContentType="application/vnd.openxmlformats-officedocument.drawingml.chart+xml"/>
  <Override PartName="/xl/charts/style54.xml" ContentType="application/vnd.ms-office.chartstyle+xml"/>
  <Override PartName="/xl/charts/colors54.xml" ContentType="application/vnd.ms-office.chartcolorstyle+xml"/>
  <Override PartName="/xl/charts/chart60.xml" ContentType="application/vnd.openxmlformats-officedocument.drawingml.chart+xml"/>
  <Override PartName="/xl/charts/style55.xml" ContentType="application/vnd.ms-office.chartstyle+xml"/>
  <Override PartName="/xl/charts/colors55.xml" ContentType="application/vnd.ms-office.chartcolorstyle+xml"/>
  <Override PartName="/xl/charts/chart61.xml" ContentType="application/vnd.openxmlformats-officedocument.drawingml.chart+xml"/>
  <Override PartName="/xl/charts/style56.xml" ContentType="application/vnd.ms-office.chartstyle+xml"/>
  <Override PartName="/xl/charts/colors56.xml" ContentType="application/vnd.ms-office.chartcolorstyle+xml"/>
  <Override PartName="/xl/charts/chart62.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27.xml" ContentType="application/vnd.openxmlformats-officedocument.drawing+xml"/>
  <Override PartName="/xl/charts/chart63.xml" ContentType="application/vnd.openxmlformats-officedocument.drawingml.chart+xml"/>
  <Override PartName="/xl/charts/style58.xml" ContentType="application/vnd.ms-office.chartstyle+xml"/>
  <Override PartName="/xl/charts/colors58.xml" ContentType="application/vnd.ms-office.chartcolorstyle+xml"/>
  <Override PartName="/xl/charts/chart64.xml" ContentType="application/vnd.openxmlformats-officedocument.drawingml.chart+xml"/>
  <Override PartName="/xl/charts/style59.xml" ContentType="application/vnd.ms-office.chartstyle+xml"/>
  <Override PartName="/xl/charts/colors59.xml" ContentType="application/vnd.ms-office.chartcolorstyle+xml"/>
  <Override PartName="/xl/charts/chart65.xml" ContentType="application/vnd.openxmlformats-officedocument.drawingml.chart+xml"/>
  <Override PartName="/xl/charts/style60.xml" ContentType="application/vnd.ms-office.chartstyle+xml"/>
  <Override PartName="/xl/charts/colors60.xml" ContentType="application/vnd.ms-office.chartcolorstyle+xml"/>
  <Override PartName="/xl/charts/chart66.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28.xml" ContentType="application/vnd.openxmlformats-officedocument.drawing+xml"/>
  <Override PartName="/xl/charts/chart67.xml" ContentType="application/vnd.openxmlformats-officedocument.drawingml.chart+xml"/>
  <Override PartName="/xl/charts/style62.xml" ContentType="application/vnd.ms-office.chartstyle+xml"/>
  <Override PartName="/xl/charts/colors62.xml" ContentType="application/vnd.ms-office.chartcolorstyle+xml"/>
  <Override PartName="/xl/charts/chart68.xml" ContentType="application/vnd.openxmlformats-officedocument.drawingml.chart+xml"/>
  <Override PartName="/xl/charts/style63.xml" ContentType="application/vnd.ms-office.chartstyle+xml"/>
  <Override PartName="/xl/charts/colors63.xml" ContentType="application/vnd.ms-office.chartcolorstyle+xml"/>
  <Override PartName="/xl/charts/chart69.xml" ContentType="application/vnd.openxmlformats-officedocument.drawingml.chart+xml"/>
  <Override PartName="/xl/charts/style64.xml" ContentType="application/vnd.ms-office.chartstyle+xml"/>
  <Override PartName="/xl/charts/colors64.xml" ContentType="application/vnd.ms-office.chartcolorstyle+xml"/>
  <Override PartName="/xl/charts/chart70.xml" ContentType="application/vnd.openxmlformats-officedocument.drawingml.chart+xml"/>
  <Override PartName="/xl/charts/style65.xml" ContentType="application/vnd.ms-office.chartstyle+xml"/>
  <Override PartName="/xl/charts/colors65.xml" ContentType="application/vnd.ms-office.chartcolorstyle+xml"/>
  <Override PartName="/xl/charts/chart71.xml" ContentType="application/vnd.openxmlformats-officedocument.drawingml.chart+xml"/>
  <Override PartName="/xl/charts/style66.xml" ContentType="application/vnd.ms-office.chartstyle+xml"/>
  <Override PartName="/xl/charts/colors66.xml" ContentType="application/vnd.ms-office.chartcolorstyle+xml"/>
  <Override PartName="/xl/charts/chart72.xml" ContentType="application/vnd.openxmlformats-officedocument.drawingml.chart+xml"/>
  <Override PartName="/xl/charts/style67.xml" ContentType="application/vnd.ms-office.chartstyle+xml"/>
  <Override PartName="/xl/charts/colors67.xml" ContentType="application/vnd.ms-office.chartcolorstyle+xml"/>
  <Override PartName="/xl/charts/chart73.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29.xml" ContentType="application/vnd.openxmlformats-officedocument.drawing+xml"/>
  <Override PartName="/xl/charts/chart74.xml" ContentType="application/vnd.openxmlformats-officedocument.drawingml.chart+xml"/>
  <Override PartName="/xl/charts/style69.xml" ContentType="application/vnd.ms-office.chartstyle+xml"/>
  <Override PartName="/xl/charts/colors69.xml" ContentType="application/vnd.ms-office.chartcolorstyle+xml"/>
  <Override PartName="/xl/charts/chart75.xml" ContentType="application/vnd.openxmlformats-officedocument.drawingml.chart+xml"/>
  <Override PartName="/xl/charts/style70.xml" ContentType="application/vnd.ms-office.chartstyle+xml"/>
  <Override PartName="/xl/charts/colors70.xml" ContentType="application/vnd.ms-office.chartcolorstyle+xml"/>
  <Override PartName="/xl/charts/chart76.xml" ContentType="application/vnd.openxmlformats-officedocument.drawingml.chart+xml"/>
  <Override PartName="/xl/charts/style71.xml" ContentType="application/vnd.ms-office.chartstyle+xml"/>
  <Override PartName="/xl/charts/colors71.xml" ContentType="application/vnd.ms-office.chartcolorstyle+xml"/>
  <Override PartName="/xl/charts/chart77.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30.xml" ContentType="application/vnd.openxmlformats-officedocument.drawing+xml"/>
  <Override PartName="/xl/charts/chart78.xml" ContentType="application/vnd.openxmlformats-officedocument.drawingml.chart+xml"/>
  <Override PartName="/xl/charts/style73.xml" ContentType="application/vnd.ms-office.chartstyle+xml"/>
  <Override PartName="/xl/charts/colors73.xml" ContentType="application/vnd.ms-office.chartcolorstyle+xml"/>
  <Override PartName="/xl/charts/chart79.xml" ContentType="application/vnd.openxmlformats-officedocument.drawingml.chart+xml"/>
  <Override PartName="/xl/charts/style74.xml" ContentType="application/vnd.ms-office.chartstyle+xml"/>
  <Override PartName="/xl/charts/colors74.xml" ContentType="application/vnd.ms-office.chartcolorstyle+xml"/>
  <Override PartName="/xl/charts/chart80.xml" ContentType="application/vnd.openxmlformats-officedocument.drawingml.chart+xml"/>
  <Override PartName="/xl/charts/style75.xml" ContentType="application/vnd.ms-office.chartstyle+xml"/>
  <Override PartName="/xl/charts/colors75.xml" ContentType="application/vnd.ms-office.chartcolorstyle+xml"/>
  <Override PartName="/xl/charts/chart81.xml" ContentType="application/vnd.openxmlformats-officedocument.drawingml.chart+xml"/>
  <Override PartName="/xl/charts/style76.xml" ContentType="application/vnd.ms-office.chartstyle+xml"/>
  <Override PartName="/xl/charts/colors76.xml" ContentType="application/vnd.ms-office.chartcolorstyle+xml"/>
  <Override PartName="/xl/charts/chart82.xml" ContentType="application/vnd.openxmlformats-officedocument.drawingml.chart+xml"/>
  <Override PartName="/xl/charts/style77.xml" ContentType="application/vnd.ms-office.chartstyle+xml"/>
  <Override PartName="/xl/charts/colors77.xml" ContentType="application/vnd.ms-office.chartcolorstyle+xml"/>
  <Override PartName="/xl/charts/chart83.xml" ContentType="application/vnd.openxmlformats-officedocument.drawingml.chart+xml"/>
  <Override PartName="/xl/charts/style78.xml" ContentType="application/vnd.ms-office.chartstyle+xml"/>
  <Override PartName="/xl/charts/colors78.xml" ContentType="application/vnd.ms-office.chartcolorstyle+xml"/>
  <Override PartName="/xl/charts/chart84.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31.xml" ContentType="application/vnd.openxmlformats-officedocument.drawing+xml"/>
  <Override PartName="/xl/charts/chart85.xml" ContentType="application/vnd.openxmlformats-officedocument.drawingml.chart+xml"/>
  <Override PartName="/xl/charts/style80.xml" ContentType="application/vnd.ms-office.chartstyle+xml"/>
  <Override PartName="/xl/charts/colors80.xml" ContentType="application/vnd.ms-office.chartcolorstyle+xml"/>
  <Override PartName="/xl/charts/chart86.xml" ContentType="application/vnd.openxmlformats-officedocument.drawingml.chart+xml"/>
  <Override PartName="/xl/charts/style81.xml" ContentType="application/vnd.ms-office.chartstyle+xml"/>
  <Override PartName="/xl/charts/colors81.xml" ContentType="application/vnd.ms-office.chartcolorstyle+xml"/>
  <Override PartName="/xl/charts/chart87.xml" ContentType="application/vnd.openxmlformats-officedocument.drawingml.chart+xml"/>
  <Override PartName="/xl/charts/style82.xml" ContentType="application/vnd.ms-office.chartstyle+xml"/>
  <Override PartName="/xl/charts/colors82.xml" ContentType="application/vnd.ms-office.chartcolorstyle+xml"/>
  <Override PartName="/xl/charts/chart88.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32.xml" ContentType="application/vnd.openxmlformats-officedocument.drawing+xml"/>
  <Override PartName="/xl/charts/chart89.xml" ContentType="application/vnd.openxmlformats-officedocument.drawingml.chart+xml"/>
  <Override PartName="/xl/charts/style84.xml" ContentType="application/vnd.ms-office.chartstyle+xml"/>
  <Override PartName="/xl/charts/colors84.xml" ContentType="application/vnd.ms-office.chartcolorstyle+xml"/>
  <Override PartName="/xl/charts/chart90.xml" ContentType="application/vnd.openxmlformats-officedocument.drawingml.chart+xml"/>
  <Override PartName="/xl/charts/style85.xml" ContentType="application/vnd.ms-office.chartstyle+xml"/>
  <Override PartName="/xl/charts/colors85.xml" ContentType="application/vnd.ms-office.chartcolorstyle+xml"/>
  <Override PartName="/xl/charts/chart91.xml" ContentType="application/vnd.openxmlformats-officedocument.drawingml.chart+xml"/>
  <Override PartName="/xl/charts/style86.xml" ContentType="application/vnd.ms-office.chartstyle+xml"/>
  <Override PartName="/xl/charts/colors86.xml" ContentType="application/vnd.ms-office.chartcolorstyle+xml"/>
  <Override PartName="/xl/charts/chart92.xml" ContentType="application/vnd.openxmlformats-officedocument.drawingml.chart+xml"/>
  <Override PartName="/xl/charts/style87.xml" ContentType="application/vnd.ms-office.chartstyle+xml"/>
  <Override PartName="/xl/charts/colors87.xml" ContentType="application/vnd.ms-office.chartcolorstyle+xml"/>
  <Override PartName="/xl/charts/chart93.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33.xml" ContentType="application/vnd.openxmlformats-officedocument.drawing+xml"/>
  <Override PartName="/xl/charts/chart94.xml" ContentType="application/vnd.openxmlformats-officedocument.drawingml.chart+xml"/>
  <Override PartName="/xl/charts/style89.xml" ContentType="application/vnd.ms-office.chartstyle+xml"/>
  <Override PartName="/xl/charts/colors89.xml" ContentType="application/vnd.ms-office.chartcolorstyle+xml"/>
  <Override PartName="/xl/charts/chart95.xml" ContentType="application/vnd.openxmlformats-officedocument.drawingml.chart+xml"/>
  <Override PartName="/xl/charts/style90.xml" ContentType="application/vnd.ms-office.chartstyle+xml"/>
  <Override PartName="/xl/charts/colors90.xml" ContentType="application/vnd.ms-office.chartcolorstyle+xml"/>
  <Override PartName="/xl/charts/chart96.xml" ContentType="application/vnd.openxmlformats-officedocument.drawingml.chart+xml"/>
  <Override PartName="/xl/charts/style91.xml" ContentType="application/vnd.ms-office.chartstyle+xml"/>
  <Override PartName="/xl/charts/colors91.xml" ContentType="application/vnd.ms-office.chartcolorstyle+xml"/>
  <Override PartName="/xl/charts/chart97.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34.xml" ContentType="application/vnd.openxmlformats-officedocument.drawing+xml"/>
  <Override PartName="/xl/charts/chart98.xml" ContentType="application/vnd.openxmlformats-officedocument.drawingml.chart+xml"/>
  <Override PartName="/xl/charts/style93.xml" ContentType="application/vnd.ms-office.chartstyle+xml"/>
  <Override PartName="/xl/charts/colors93.xml" ContentType="application/vnd.ms-office.chartcolorstyle+xml"/>
  <Override PartName="/xl/charts/chart99.xml" ContentType="application/vnd.openxmlformats-officedocument.drawingml.chart+xml"/>
  <Override PartName="/xl/charts/style94.xml" ContentType="application/vnd.ms-office.chartstyle+xml"/>
  <Override PartName="/xl/charts/colors94.xml" ContentType="application/vnd.ms-office.chartcolorstyle+xml"/>
  <Override PartName="/xl/charts/chart100.xml" ContentType="application/vnd.openxmlformats-officedocument.drawingml.chart+xml"/>
  <Override PartName="/xl/charts/style95.xml" ContentType="application/vnd.ms-office.chartstyle+xml"/>
  <Override PartName="/xl/charts/colors95.xml" ContentType="application/vnd.ms-office.chartcolorstyle+xml"/>
  <Override PartName="/xl/charts/chart101.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35.xml" ContentType="application/vnd.openxmlformats-officedocument.drawing+xml"/>
  <Override PartName="/xl/charts/chart102.xml" ContentType="application/vnd.openxmlformats-officedocument.drawingml.chart+xml"/>
  <Override PartName="/xl/charts/style97.xml" ContentType="application/vnd.ms-office.chartstyle+xml"/>
  <Override PartName="/xl/charts/colors97.xml" ContentType="application/vnd.ms-office.chartcolorstyle+xml"/>
  <Override PartName="/xl/charts/chart103.xml" ContentType="application/vnd.openxmlformats-officedocument.drawingml.chart+xml"/>
  <Override PartName="/xl/charts/style98.xml" ContentType="application/vnd.ms-office.chartstyle+xml"/>
  <Override PartName="/xl/charts/colors98.xml" ContentType="application/vnd.ms-office.chartcolorstyle+xml"/>
  <Override PartName="/xl/charts/chart104.xml" ContentType="application/vnd.openxmlformats-officedocument.drawingml.chart+xml"/>
  <Override PartName="/xl/charts/style99.xml" ContentType="application/vnd.ms-office.chartstyle+xml"/>
  <Override PartName="/xl/charts/colors99.xml" ContentType="application/vnd.ms-office.chartcolorstyle+xml"/>
  <Override PartName="/xl/charts/chart105.xml" ContentType="application/vnd.openxmlformats-officedocument.drawingml.chart+xml"/>
  <Override PartName="/xl/charts/style100.xml" ContentType="application/vnd.ms-office.chartstyle+xml"/>
  <Override PartName="/xl/charts/colors10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Documents\FILE AYAH\QMS-RPS\"/>
    </mc:Choice>
  </mc:AlternateContent>
  <xr:revisionPtr revIDLastSave="0" documentId="13_ncr:1_{EBFFBB53-C63E-4D04-BC8C-BAEF182AB0B2}" xr6:coauthVersionLast="47" xr6:coauthVersionMax="47" xr10:uidLastSave="{00000000-0000-0000-0000-000000000000}"/>
  <bookViews>
    <workbookView xWindow="3540" yWindow="1605" windowWidth="12600" windowHeight="9840" tabRatio="759" firstSheet="1" activeTab="2" xr2:uid="{3585082A-AA68-9343-8D58-C4376E02907B}"/>
  </bookViews>
  <sheets>
    <sheet name="TTD" sheetId="54" r:id="rId1"/>
    <sheet name="Template LHU" sheetId="18" r:id="rId2"/>
    <sheet name="DATA INDUK" sheetId="3" r:id="rId3"/>
    <sheet name="WS-PP" sheetId="29" r:id="rId4"/>
    <sheet name="LHU_PP" sheetId="57" r:id="rId5"/>
    <sheet name="WS-ATB" sheetId="20" r:id="rId6"/>
    <sheet name="LHU_ATB" sheetId="56" r:id="rId7"/>
    <sheet name="Sheet1" sheetId="79" r:id="rId8"/>
    <sheet name="WS-Sieve dan hidrometer" sheetId="21" r:id="rId9"/>
    <sheet name="LHU_Sieve &amp; Hidro" sheetId="50" r:id="rId10"/>
    <sheet name="WS-standard Proctor" sheetId="9" r:id="rId11"/>
    <sheet name="LHU_standard proctor" sheetId="62" r:id="rId12"/>
    <sheet name="WS-modified proctor" sheetId="45" r:id="rId13"/>
    <sheet name="LHU_modified proctor" sheetId="63" r:id="rId14"/>
    <sheet name="WS-PFH" sheetId="53" r:id="rId15"/>
    <sheet name="LHU PFH" sheetId="72" r:id="rId16"/>
    <sheet name="WS-Konsolidasi" sheetId="19" r:id="rId17"/>
    <sheet name="LHU_Konsolidasi" sheetId="64" r:id="rId18"/>
    <sheet name="WS-UCT" sheetId="15" r:id="rId19"/>
    <sheet name=" LHU_UCT" sheetId="55" r:id="rId20"/>
    <sheet name="WS_DS-CD" sheetId="22" r:id="rId21"/>
    <sheet name="LHU_DS-CD" sheetId="68" r:id="rId22"/>
    <sheet name="WS_DS-UU" sheetId="25" r:id="rId23"/>
    <sheet name="LHU_DS-UU" sheetId="69" r:id="rId24"/>
    <sheet name="WS_CD Residual " sheetId="38" r:id="rId25"/>
    <sheet name="LHU_DS-CD RES." sheetId="67" r:id="rId26"/>
    <sheet name="WS-TRX-UU" sheetId="14" r:id="rId27"/>
    <sheet name="LHU_TRX-UU" sheetId="40" r:id="rId28"/>
    <sheet name="WS-TRX-CU Multi" sheetId="8" r:id="rId29"/>
    <sheet name="LHU_TRX-CU-Multi" sheetId="66" r:id="rId30"/>
    <sheet name="WS-TRX-CU Normal" sheetId="11" r:id="rId31"/>
    <sheet name="LHU_TRX-CU-Normal" sheetId="65" r:id="rId32"/>
    <sheet name="WS-TRX-CD" sheetId="74" r:id="rId33"/>
    <sheet name="LHU_TRX-CD" sheetId="75" r:id="rId34"/>
    <sheet name="WS-CBR unsoaked" sheetId="10" r:id="rId35"/>
    <sheet name="LHU_CBR Unsoaked" sheetId="58" r:id="rId36"/>
    <sheet name="WS-CBRSoaked" sheetId="60" r:id="rId37"/>
    <sheet name="Template LHU_CBRsoaked" sheetId="59" r:id="rId38"/>
    <sheet name="QC_SL" sheetId="73" r:id="rId39"/>
    <sheet name="QC_SWP" sheetId="76" r:id="rId40"/>
    <sheet name="QC_DS-CU" sheetId="77" r:id="rId41"/>
    <sheet name="QC_TRX-CD" sheetId="78" r:id="rId42"/>
  </sheets>
  <definedNames>
    <definedName name="_xlnm.Print_Area" localSheetId="19">' LHU_UCT'!$A$1:$X$149</definedName>
    <definedName name="_xlnm.Print_Area" localSheetId="15">'LHU PFH'!$A$1:$X$149</definedName>
    <definedName name="_xlnm.Print_Area" localSheetId="6">LHU_ATB!$A$1:$Y$78</definedName>
    <definedName name="_xlnm.Print_Area" localSheetId="35">'LHU_CBR Unsoaked'!$A$1:$X$219</definedName>
    <definedName name="_xlnm.Print_Area" localSheetId="21">'LHU_DS-CD'!$A$1:$X$148</definedName>
    <definedName name="_xlnm.Print_Area" localSheetId="25">'LHU_DS-CD RES.'!$A$1:$X$217</definedName>
    <definedName name="_xlnm.Print_Area" localSheetId="23">'LHU_DS-UU'!$A$1:$X$148</definedName>
    <definedName name="_xlnm.Print_Area" localSheetId="17">LHU_Konsolidasi!$A$1:$X$149</definedName>
    <definedName name="_xlnm.Print_Area" localSheetId="13">'LHU_modified proctor'!$A$1:$X$149</definedName>
    <definedName name="_xlnm.Print_Area" localSheetId="4">LHU_PP!$A$1:$Y$76</definedName>
    <definedName name="_xlnm.Print_Area" localSheetId="9">'LHU_Sieve &amp; Hidro'!$A$1:$X$78</definedName>
    <definedName name="_xlnm.Print_Area" localSheetId="11">'LHU_standard proctor'!$A$1:$X$149</definedName>
    <definedName name="_xlnm.Print_Area" localSheetId="33">'LHU_TRX-CD'!$A$1:$X$219</definedName>
    <definedName name="_xlnm.Print_Area" localSheetId="29">'LHU_TRX-CU-Multi'!$A$1:$X$218</definedName>
    <definedName name="_xlnm.Print_Area" localSheetId="31">'LHU_TRX-CU-Normal'!$A$1:$X$219</definedName>
    <definedName name="_xlnm.Print_Area" localSheetId="27">'LHU_TRX-UU'!$A$1:$X$148</definedName>
    <definedName name="_xlnm.Print_Area" localSheetId="1">'Template LHU'!$A$1:$X$149</definedName>
    <definedName name="_xlnm.Print_Area" localSheetId="37">'Template LHU_CBRsoaked'!$A$1:$X$220</definedName>
    <definedName name="_xlnm.Print_Area" localSheetId="24">'WS_CD Residual '!$A$1:$V$296</definedName>
    <definedName name="_xlnm.Print_Area" localSheetId="22">'WS_DS-UU'!$A$1:$U$284</definedName>
    <definedName name="_xlnm.Print_Area" localSheetId="16">'WS-Konsolidasi'!#REF!,'WS-Konsolidasi'!#REF!</definedName>
    <definedName name="TTD_">TTD!$B$3:$C$8</definedName>
    <definedName name="TTD_1ATB">INDIRECT('WS-ATB'!$T$9)</definedName>
    <definedName name="TTD_1CBRS">INDIRECT('WS-CBRSoaked'!$T$9)</definedName>
    <definedName name="TTD_1CBRU">INDIRECT('WS-CBR unsoaked'!$T$9)</definedName>
    <definedName name="TTD_1CDR">INDIRECT('WS_CD Residual '!$T$9)</definedName>
    <definedName name="TTD_1CMPM">INDIRECT('WS-modified proctor'!$T$9)</definedName>
    <definedName name="TTD_1CMPS">INDIRECT('WS-standard Proctor'!$T$9)</definedName>
    <definedName name="TTD_1CON">INDIRECT('WS-Konsolidasi'!$T$9)</definedName>
    <definedName name="TTD_1DSCD">INDIRECT('WS_DS-CD'!$T$9)</definedName>
    <definedName name="TTD_1DSUU">INDIRECT('WS_DS-UU'!$T$9)</definedName>
    <definedName name="TTD_1PP">INDIRECT('WS-PP'!$Y$9)</definedName>
    <definedName name="TTD_1SH">INDIRECT('WS-Sieve dan hidrometer'!$T$9)</definedName>
    <definedName name="TTD_1TCUM">INDIRECT('WS-TRX-CU Multi'!$T$9)</definedName>
    <definedName name="TTD_1TCUN" localSheetId="32">INDIRECT('WS-TRX-CD'!$T$9)</definedName>
    <definedName name="TTD_1TCUN">INDIRECT('WS-TRX-CU Normal'!$T$9)</definedName>
    <definedName name="TTD_1TUU">INDIRECT('WS-TRX-UU'!$T$9)</definedName>
    <definedName name="TTD_1UCT">INDIRECT('WS-UCT'!$T$9)</definedName>
    <definedName name="TTD_2ATB">INDIRECT('WS-ATB'!$T$10)</definedName>
    <definedName name="TTD_2CBRS">INDIRECT('WS-CBRSoaked'!$T$10)</definedName>
    <definedName name="TTD_2CBRU">INDIRECT('WS-CBR unsoaked'!$T$10)</definedName>
    <definedName name="TTD_2CDR">INDIRECT('WS_CD Residual '!$T$10)</definedName>
    <definedName name="TTD_2CMPM">INDIRECT('WS-modified proctor'!$T$10)</definedName>
    <definedName name="TTD_2CMPS">INDIRECT('WS-standard Proctor'!$T$10)</definedName>
    <definedName name="TTD_2CON">INDIRECT('WS-Konsolidasi'!$T$10)</definedName>
    <definedName name="TTD_2DSCD">INDIRECT('WS_DS-CD'!$T$10)</definedName>
    <definedName name="TTD_2DSUU">INDIRECT('WS_DS-UU'!$T$10)</definedName>
    <definedName name="TTD_2PP">INDIRECT('WS-PP'!$Y$10)</definedName>
    <definedName name="TTD_2SH">INDIRECT('WS-Sieve dan hidrometer'!$T$10)</definedName>
    <definedName name="TTD_2TCUM">INDIRECT('WS-TRX-CU Multi'!$T$10)</definedName>
    <definedName name="TTD_2TCUN" localSheetId="32">INDIRECT('WS-TRX-CD'!$T$10)</definedName>
    <definedName name="TTD_2TCUN">INDIRECT('WS-TRX-CU Normal'!$T$10)</definedName>
    <definedName name="TTD_2TUU">INDIRECT('WS-TRX-UU'!$T$10)</definedName>
    <definedName name="TTD_2UCT">INDIRECT('WS-UCT'!$T$10)</definedName>
    <definedName name="TTD_3ATB">INDIRECT('WS-ATB'!$T$11)</definedName>
    <definedName name="TTD_3CBRS">INDIRECT('WS-CBRSoaked'!$T$11)</definedName>
    <definedName name="TTD_3CBRU">INDIRECT('WS-CBR unsoaked'!$T$11)</definedName>
    <definedName name="TTD_3CDR">INDIRECT('WS_CD Residual '!$T$11)</definedName>
    <definedName name="TTD_3CMPM">INDIRECT('WS-modified proctor'!$T$11)</definedName>
    <definedName name="TTD_3CON">INDIRECT('WS-Konsolidasi'!$T$11)</definedName>
    <definedName name="TTD_3DSCD">INDIRECT('WS_DS-CD'!$T$11)</definedName>
    <definedName name="TTD_3DSUU">INDIRECT('WS_DS-UU'!$T$11)</definedName>
    <definedName name="TTD_3PP">INDIRECT('WS-PP'!$Y$11)</definedName>
    <definedName name="TTD_3SH">INDIRECT('WS-Sieve dan hidrometer'!$T$11)</definedName>
    <definedName name="TTD_3TCUM">INDIRECT('WS-TRX-CU Multi'!$T$11)</definedName>
    <definedName name="TTD_3TCUN" localSheetId="32">INDIRECT('WS-TRX-CD'!$T$11)</definedName>
    <definedName name="TTD_3TCUN">INDIRECT('WS-TRX-CU Normal'!$T$11)</definedName>
    <definedName name="TTD_3TUU">INDIRECT('WS-TRX-UU'!$T$11)</definedName>
    <definedName name="TTD_3UCT">INDIRECT('WS-UCT'!$T$11)</definedName>
    <definedName name="TTD_A.SUMARTADJI">TTD!$B$12:$E$18</definedName>
    <definedName name="TTD_CMPS">INDIRECT('WS-standard Proctor'!$T$11)</definedName>
    <definedName name="TTD_NOUFAL">TTD!$B$19:$D$25</definedName>
    <definedName name="TTD_RAFLY">TTD!$B$28:$D$33</definedName>
    <definedName name="TTD_RIZKI">TTD!$B$36:$D$42</definedName>
    <definedName name="X_UCS_Remoulded">OFFSET(#REF!,0,0,COUNT(#REF!),1)</definedName>
    <definedName name="X_UCS_Undisturbed">OFFSET(#REF!,0,0,COUNT(#REF!),1)</definedName>
    <definedName name="X_UU">OFFSET(#REF!,0,0,COUNT(#REF!),1)</definedName>
    <definedName name="X_UU_1kg">OFFSET(#REF!,0,0,COUNT(#REF!),1)</definedName>
    <definedName name="X_UU_2kg">OFFSET(#REF!,0,0,COUNT(#REF!),1)</definedName>
    <definedName name="Y_UCS_Remoulded">OFFSET(#REF!,0,0,COUNT(#REF!),1)</definedName>
    <definedName name="Y_UCS_Undisturbed">OFFSET(#REF!,0,0,COUNT(#REF!),1)</definedName>
    <definedName name="Y_UU">OFFSET(#REF!,0,0,COUNT(#REF!),1)</definedName>
    <definedName name="Y_UU_1kg">OFFSET(#REF!,0,0,COUNT(#REF!),1)</definedName>
    <definedName name="Y_UU_2kg">OFFSET(#REF!,0,0,COUNT(#REF!),1)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33" i="72" l="1"/>
  <c r="Q43" i="72"/>
  <c r="Q44" i="72"/>
  <c r="Q45" i="72"/>
  <c r="Q46" i="72"/>
  <c r="Q47" i="72"/>
  <c r="M43" i="72"/>
  <c r="M44" i="72"/>
  <c r="M45" i="72"/>
  <c r="M46" i="72"/>
  <c r="M47" i="72"/>
  <c r="J43" i="72"/>
  <c r="J44" i="72"/>
  <c r="J45" i="72"/>
  <c r="J46" i="72"/>
  <c r="J47" i="72"/>
  <c r="H43" i="72"/>
  <c r="H44" i="72"/>
  <c r="H45" i="72"/>
  <c r="H46" i="72"/>
  <c r="H47" i="72"/>
  <c r="H32" i="72"/>
  <c r="H31" i="72"/>
  <c r="U35" i="72"/>
  <c r="U34" i="72"/>
  <c r="U33" i="72"/>
  <c r="U32" i="72"/>
  <c r="U31" i="72"/>
  <c r="U36" i="72"/>
  <c r="U37" i="72"/>
  <c r="I39" i="53" l="1"/>
  <c r="I38" i="53"/>
  <c r="I37" i="53"/>
  <c r="I36" i="53"/>
  <c r="K20" i="53"/>
  <c r="D165" i="21"/>
  <c r="G165" i="21" a="1"/>
  <c r="G165" i="21" s="1"/>
  <c r="G164" i="21" a="1"/>
  <c r="G164" i="21" s="1"/>
  <c r="F165" i="21" a="1"/>
  <c r="F165" i="21" s="1"/>
  <c r="F164" i="21" a="1"/>
  <c r="F164" i="21" s="1"/>
  <c r="L126" i="25"/>
  <c r="E180" i="20"/>
  <c r="N167" i="20" a="1"/>
  <c r="N167" i="20" s="1"/>
  <c r="L167" i="20" a="1"/>
  <c r="L167" i="20" s="1"/>
  <c r="N165" i="20" a="1"/>
  <c r="N165" i="20" s="1"/>
  <c r="L165" i="20" a="1"/>
  <c r="L165" i="20" s="1"/>
  <c r="J167" i="20" a="1"/>
  <c r="J167" i="20" s="1"/>
  <c r="I167" i="20" a="1"/>
  <c r="I167" i="20" s="1"/>
  <c r="H167" i="20" a="1"/>
  <c r="H167" i="20" s="1"/>
  <c r="J165" i="20" a="1"/>
  <c r="J165" i="20" s="1"/>
  <c r="I165" i="20" a="1"/>
  <c r="I165" i="20" s="1"/>
  <c r="H165" i="20" a="1"/>
  <c r="H165" i="20" s="1"/>
  <c r="N163" i="20" a="1"/>
  <c r="N163" i="20" s="1"/>
  <c r="L163" i="20" a="1"/>
  <c r="L163" i="20" s="1"/>
  <c r="J163" i="20" a="1"/>
  <c r="J163" i="20" s="1"/>
  <c r="I163" i="20" a="1"/>
  <c r="I163" i="20" s="1"/>
  <c r="H163" i="20" a="1"/>
  <c r="H163" i="20" s="1"/>
  <c r="H86" i="29" a="1"/>
  <c r="H86" i="29" s="1"/>
  <c r="L190" i="15"/>
  <c r="I50" i="8"/>
  <c r="X84" i="8"/>
  <c r="I46" i="29"/>
  <c r="AI45" i="8" l="1"/>
  <c r="AH45" i="8"/>
  <c r="U45" i="8"/>
  <c r="T45" i="8"/>
  <c r="Z155" i="8"/>
  <c r="Y155" i="8"/>
  <c r="Q155" i="8"/>
  <c r="T155" i="8"/>
  <c r="V155" i="8"/>
  <c r="W155" i="8" s="1"/>
  <c r="P150" i="8"/>
  <c r="Q150" i="8" s="1"/>
  <c r="V150" i="8" s="1"/>
  <c r="W150" i="8" s="1"/>
  <c r="X150" i="8" s="1"/>
  <c r="Z150" i="8" s="1"/>
  <c r="P149" i="8"/>
  <c r="Q149" i="8" s="1"/>
  <c r="V149" i="8" s="1"/>
  <c r="W149" i="8" s="1"/>
  <c r="X149" i="8" s="1"/>
  <c r="Z149" i="8" s="1"/>
  <c r="S150" i="8"/>
  <c r="S149" i="8"/>
  <c r="Y150" i="8"/>
  <c r="U150" i="8"/>
  <c r="Y149" i="8"/>
  <c r="U149" i="8"/>
  <c r="O149" i="8"/>
  <c r="O150" i="8" s="1"/>
  <c r="O120" i="8"/>
  <c r="K155" i="8"/>
  <c r="L145" i="8"/>
  <c r="J145" i="8"/>
  <c r="K145" i="8" s="1"/>
  <c r="M145" i="8" s="1"/>
  <c r="I145" i="8"/>
  <c r="H145" i="8"/>
  <c r="F145" i="8"/>
  <c r="C145" i="8"/>
  <c r="D145" i="8" s="1"/>
  <c r="B145" i="8"/>
  <c r="G86" i="29" a="1"/>
  <c r="G86" i="29"/>
  <c r="E50" i="78" l="1"/>
  <c r="E51" i="78"/>
  <c r="N51" i="78" a="1"/>
  <c r="N51" i="78" s="1"/>
  <c r="M51" i="78" a="1"/>
  <c r="M51" i="78" s="1"/>
  <c r="K51" i="78" a="1"/>
  <c r="K51" i="78" s="1"/>
  <c r="J51" i="78" a="1"/>
  <c r="J51" i="78" s="1"/>
  <c r="I51" i="78" a="1"/>
  <c r="I51" i="78" s="1"/>
  <c r="H51" i="78" a="1"/>
  <c r="H51" i="78" s="1"/>
  <c r="G51" i="78" a="1"/>
  <c r="G51" i="78" s="1"/>
  <c r="F51" i="78"/>
  <c r="N50" i="78" a="1"/>
  <c r="N50" i="78" s="1"/>
  <c r="M50" i="78" a="1"/>
  <c r="M50" i="78" s="1"/>
  <c r="K50" i="78" a="1"/>
  <c r="K50" i="78" s="1"/>
  <c r="J50" i="78" a="1"/>
  <c r="J50" i="78" s="1"/>
  <c r="I50" i="78" a="1"/>
  <c r="I50" i="78" s="1"/>
  <c r="H50" i="78" a="1"/>
  <c r="H50" i="78" s="1"/>
  <c r="G50" i="78" a="1"/>
  <c r="G50" i="78" s="1"/>
  <c r="F50" i="78"/>
  <c r="N51" i="77" a="1"/>
  <c r="N51" i="77"/>
  <c r="M51" i="77" a="1"/>
  <c r="M51" i="77" s="1"/>
  <c r="K51" i="77" a="1"/>
  <c r="K51" i="77" s="1"/>
  <c r="J51" i="77" a="1"/>
  <c r="J51" i="77" s="1"/>
  <c r="I51" i="77" a="1"/>
  <c r="I51" i="77" s="1"/>
  <c r="N50" i="77" a="1"/>
  <c r="N50" i="77"/>
  <c r="M50" i="77" a="1"/>
  <c r="M50" i="77" s="1"/>
  <c r="K50" i="77" a="1"/>
  <c r="K50" i="77" s="1"/>
  <c r="J50" i="77" a="1"/>
  <c r="J50" i="77" s="1"/>
  <c r="I50" i="77" a="1"/>
  <c r="I50" i="77"/>
  <c r="G51" i="77" a="1"/>
  <c r="G51" i="77" s="1"/>
  <c r="H51" i="77" a="1"/>
  <c r="H51" i="77" s="1"/>
  <c r="H50" i="77" a="1"/>
  <c r="H50" i="77" s="1"/>
  <c r="G50" i="77" a="1"/>
  <c r="G50" i="77" s="1"/>
  <c r="F51" i="77"/>
  <c r="E51" i="77"/>
  <c r="D62" i="77" s="1"/>
  <c r="E50" i="77"/>
  <c r="F50" i="77"/>
  <c r="I50" i="76" a="1"/>
  <c r="I50" i="76" s="1"/>
  <c r="G50" i="76" a="1"/>
  <c r="G50" i="76" s="1"/>
  <c r="N50" i="76" a="1"/>
  <c r="N50" i="76" s="1"/>
  <c r="M50" i="76" a="1"/>
  <c r="M50" i="76" s="1"/>
  <c r="K50" i="76" a="1"/>
  <c r="K50" i="76" s="1"/>
  <c r="J50" i="76" a="1"/>
  <c r="J50" i="76" s="1"/>
  <c r="H50" i="76" a="1"/>
  <c r="H50" i="76" s="1"/>
  <c r="F50" i="76"/>
  <c r="E50" i="76"/>
  <c r="D62" i="76" s="1"/>
  <c r="J50" i="73" a="1"/>
  <c r="J50" i="73" s="1"/>
  <c r="I50" i="73" a="1"/>
  <c r="I50" i="73" s="1"/>
  <c r="N50" i="73" a="1"/>
  <c r="N50" i="73" s="1"/>
  <c r="M50" i="73" a="1"/>
  <c r="M50" i="73" s="1"/>
  <c r="K50" i="73" a="1"/>
  <c r="K50" i="73" s="1"/>
  <c r="H50" i="73" a="1"/>
  <c r="H50" i="73" s="1"/>
  <c r="G50" i="73" a="1"/>
  <c r="G50" i="73" s="1"/>
  <c r="F50" i="73"/>
  <c r="E50" i="73"/>
  <c r="G210" i="60" a="1"/>
  <c r="G210" i="60" s="1"/>
  <c r="F210" i="60"/>
  <c r="E210" i="60"/>
  <c r="F209" i="60"/>
  <c r="F12" i="60"/>
  <c r="C204" i="60" s="1"/>
  <c r="J210" i="60" s="1" a="1"/>
  <c r="J210" i="60" s="1"/>
  <c r="F209" i="10"/>
  <c r="F12" i="10"/>
  <c r="C204" i="10" s="1"/>
  <c r="N210" i="10"/>
  <c r="N210" i="10" a="1"/>
  <c r="M210" i="10" a="1"/>
  <c r="M210" i="10" s="1"/>
  <c r="K210" i="10" a="1"/>
  <c r="K210" i="10" s="1"/>
  <c r="J210" i="10" a="1"/>
  <c r="J210" i="10" s="1"/>
  <c r="L210" i="10" s="1"/>
  <c r="I210" i="10" a="1"/>
  <c r="I210" i="10" s="1"/>
  <c r="H210" i="10" a="1"/>
  <c r="H210" i="10" s="1"/>
  <c r="G210" i="10" a="1"/>
  <c r="G210" i="10" s="1"/>
  <c r="F210" i="10"/>
  <c r="E210" i="10"/>
  <c r="D210" i="10"/>
  <c r="N160" i="45" a="1"/>
  <c r="N160" i="45" s="1"/>
  <c r="K160" i="45" a="1"/>
  <c r="K160" i="45" s="1"/>
  <c r="I160" i="45" a="1"/>
  <c r="I160" i="45" s="1"/>
  <c r="F160" i="45"/>
  <c r="N159" i="45" a="1"/>
  <c r="N159" i="45" s="1"/>
  <c r="M159" i="45" a="1"/>
  <c r="M159" i="45" s="1"/>
  <c r="J159" i="45" a="1"/>
  <c r="J159" i="45" s="1"/>
  <c r="F159" i="45"/>
  <c r="C154" i="45"/>
  <c r="M160" i="45" s="1" a="1"/>
  <c r="M160" i="45" s="1"/>
  <c r="F12" i="45"/>
  <c r="F160" i="9"/>
  <c r="F159" i="9"/>
  <c r="F12" i="9"/>
  <c r="C154" i="9" s="1"/>
  <c r="M38" i="53"/>
  <c r="M37" i="53"/>
  <c r="P27" i="53"/>
  <c r="C35" i="53"/>
  <c r="D21" i="53"/>
  <c r="D22" i="53" s="1"/>
  <c r="K35" i="53"/>
  <c r="K21" i="53"/>
  <c r="F35" i="53"/>
  <c r="K68" i="53"/>
  <c r="K67" i="53"/>
  <c r="F12" i="53"/>
  <c r="H61" i="53" s="1"/>
  <c r="S68" i="53" s="1" a="1"/>
  <c r="S68" i="53" s="1"/>
  <c r="D216" i="15"/>
  <c r="D178" i="15"/>
  <c r="D196" i="15"/>
  <c r="D214" i="15" s="1"/>
  <c r="D213" i="15"/>
  <c r="D200" i="15"/>
  <c r="B205" i="15" s="1" a="1"/>
  <c r="B205" i="15" s="1"/>
  <c r="D212" i="15"/>
  <c r="D211" i="15"/>
  <c r="D201" i="15"/>
  <c r="N192" i="15" a="1"/>
  <c r="N192" i="15" s="1"/>
  <c r="M192" i="15" a="1"/>
  <c r="M192" i="15" s="1"/>
  <c r="J194" i="15" a="1"/>
  <c r="J194" i="15" s="1"/>
  <c r="I194" i="15" a="1"/>
  <c r="I194" i="15" s="1"/>
  <c r="K191" i="15" a="1"/>
  <c r="K191" i="15" s="1"/>
  <c r="J191" i="15" a="1"/>
  <c r="J191" i="15" s="1"/>
  <c r="L191" i="15" s="1"/>
  <c r="H196" i="15" a="1"/>
  <c r="H196" i="15" s="1"/>
  <c r="G196" i="15" a="1"/>
  <c r="G196" i="15" s="1"/>
  <c r="H195" i="15" a="1"/>
  <c r="H195" i="15" s="1"/>
  <c r="G195" i="15" a="1"/>
  <c r="G195" i="15" s="1"/>
  <c r="H194" i="15" a="1"/>
  <c r="H194" i="15" s="1"/>
  <c r="G194" i="15" a="1"/>
  <c r="G194" i="15" s="1"/>
  <c r="H193" i="15" a="1"/>
  <c r="H193" i="15" s="1"/>
  <c r="G193" i="15" a="1"/>
  <c r="G193" i="15" s="1"/>
  <c r="H192" i="15" a="1"/>
  <c r="H192" i="15" s="1"/>
  <c r="G192" i="15" a="1"/>
  <c r="G192" i="15" s="1"/>
  <c r="H191" i="15" a="1"/>
  <c r="H191" i="15" s="1"/>
  <c r="G191" i="15" a="1"/>
  <c r="G191" i="15" s="1"/>
  <c r="H190" i="15" a="1"/>
  <c r="H190" i="15" s="1"/>
  <c r="G190" i="15" a="1"/>
  <c r="G190" i="15" s="1"/>
  <c r="G165" i="22" a="1"/>
  <c r="G165" i="22" s="1"/>
  <c r="F196" i="15"/>
  <c r="F195" i="15"/>
  <c r="F194" i="15"/>
  <c r="F193" i="15"/>
  <c r="F192" i="15"/>
  <c r="F191" i="15"/>
  <c r="F190" i="15"/>
  <c r="F12" i="15"/>
  <c r="C184" i="15" s="1"/>
  <c r="N195" i="15" s="1" a="1"/>
  <c r="N195" i="15" s="1"/>
  <c r="F170" i="14"/>
  <c r="F169" i="14"/>
  <c r="F12" i="14"/>
  <c r="C164" i="14" s="1"/>
  <c r="G367" i="11"/>
  <c r="G366" i="11"/>
  <c r="G365" i="11"/>
  <c r="G364" i="11"/>
  <c r="F12" i="11"/>
  <c r="D359" i="11" s="1"/>
  <c r="N366" i="11" s="1" a="1"/>
  <c r="N366" i="11" s="1"/>
  <c r="G347" i="8"/>
  <c r="G346" i="8"/>
  <c r="G345" i="8"/>
  <c r="G344" i="8"/>
  <c r="D339" i="8"/>
  <c r="N346" i="8" s="1" a="1"/>
  <c r="N346" i="8" s="1"/>
  <c r="F12" i="8"/>
  <c r="J127" i="25" a="1"/>
  <c r="J127" i="25" s="1"/>
  <c r="J126" i="25" a="1"/>
  <c r="J126" i="25" s="1"/>
  <c r="N127" i="25" a="1"/>
  <c r="N127" i="25" s="1"/>
  <c r="M127" i="25" a="1"/>
  <c r="M127" i="25" s="1"/>
  <c r="K127" i="25" a="1"/>
  <c r="K127" i="25" s="1"/>
  <c r="I127" i="25" a="1"/>
  <c r="I127" i="25" s="1"/>
  <c r="M126" i="25" a="1"/>
  <c r="M126" i="25" s="1"/>
  <c r="N126" i="25" a="1"/>
  <c r="N126" i="25" s="1"/>
  <c r="K126" i="25" a="1"/>
  <c r="K126" i="25" s="1"/>
  <c r="I126" i="25" a="1"/>
  <c r="I126" i="25" s="1"/>
  <c r="H127" i="25" a="1"/>
  <c r="H127" i="25" s="1"/>
  <c r="H126" i="25" a="1"/>
  <c r="H126" i="25" s="1"/>
  <c r="G127" i="25" a="1"/>
  <c r="G127" i="25" s="1"/>
  <c r="G126" i="25" a="1"/>
  <c r="G126" i="25" s="1"/>
  <c r="F127" i="25"/>
  <c r="F126" i="25"/>
  <c r="E127" i="25"/>
  <c r="E126" i="25"/>
  <c r="D127" i="25"/>
  <c r="D126" i="25"/>
  <c r="N317" i="38" a="1"/>
  <c r="N317" i="38" s="1"/>
  <c r="M317" i="38" a="1"/>
  <c r="M317" i="38" s="1"/>
  <c r="N316" i="38" a="1"/>
  <c r="N316" i="38" s="1"/>
  <c r="M316" i="38" a="1"/>
  <c r="M316" i="38" s="1"/>
  <c r="N315" i="38" a="1"/>
  <c r="N315" i="38" s="1"/>
  <c r="M315" i="38" a="1"/>
  <c r="M315" i="38" s="1"/>
  <c r="N314" i="38" a="1"/>
  <c r="N314" i="38" s="1"/>
  <c r="M314" i="38" a="1"/>
  <c r="M314" i="38"/>
  <c r="K317" i="38" a="1"/>
  <c r="K317" i="38" s="1"/>
  <c r="J317" i="38" a="1"/>
  <c r="J317" i="38" s="1"/>
  <c r="K316" i="38" a="1"/>
  <c r="K316" i="38" s="1"/>
  <c r="J316" i="38" a="1"/>
  <c r="J316" i="38" s="1"/>
  <c r="K315" i="38" a="1"/>
  <c r="K315" i="38" s="1"/>
  <c r="J315" i="38" a="1"/>
  <c r="J315" i="38" s="1"/>
  <c r="K314" i="38" a="1"/>
  <c r="K314" i="38" s="1"/>
  <c r="J314" i="38" a="1"/>
  <c r="J314" i="38" s="1"/>
  <c r="I315" i="38" a="1"/>
  <c r="I315" i="38" s="1"/>
  <c r="I317" i="38" a="1"/>
  <c r="I317" i="38" s="1"/>
  <c r="I316" i="38" a="1"/>
  <c r="I316" i="38" s="1"/>
  <c r="I314" i="38" a="1"/>
  <c r="I314" i="38" s="1"/>
  <c r="F317" i="38"/>
  <c r="F316" i="38"/>
  <c r="F315" i="38"/>
  <c r="F314" i="38"/>
  <c r="F12" i="38"/>
  <c r="C309" i="38" s="1"/>
  <c r="E51" i="22"/>
  <c r="E166" i="22"/>
  <c r="F166" i="22"/>
  <c r="F165" i="22"/>
  <c r="F12" i="22"/>
  <c r="C160" i="22" s="1"/>
  <c r="N166" i="22" s="1" a="1"/>
  <c r="N166" i="22" s="1"/>
  <c r="H12" i="25"/>
  <c r="C121" i="25" s="1"/>
  <c r="K163" i="20"/>
  <c r="L169" i="20" a="1"/>
  <c r="L169" i="20" s="1"/>
  <c r="N169" i="20" a="1"/>
  <c r="N169" i="20" s="1"/>
  <c r="R67" i="53" l="1" a="1"/>
  <c r="R67" i="53" s="1"/>
  <c r="M35" i="53"/>
  <c r="M39" i="53"/>
  <c r="M36" i="53"/>
  <c r="K165" i="20"/>
  <c r="K167" i="20"/>
  <c r="J347" i="8" a="1"/>
  <c r="J347" i="8" s="1"/>
  <c r="L345" i="8" a="1"/>
  <c r="L345" i="8" s="1"/>
  <c r="L347" i="8" a="1"/>
  <c r="L347" i="8" s="1"/>
  <c r="O344" i="8" a="1"/>
  <c r="O344" i="8" s="1"/>
  <c r="O346" i="8" a="1"/>
  <c r="O346" i="8" s="1"/>
  <c r="J344" i="8" a="1"/>
  <c r="J344" i="8" s="1"/>
  <c r="K344" i="8" a="1"/>
  <c r="K344" i="8" s="1"/>
  <c r="K346" i="8" a="1"/>
  <c r="K346" i="8" s="1"/>
  <c r="N345" i="8" a="1"/>
  <c r="N345" i="8" s="1"/>
  <c r="N347" i="8" a="1"/>
  <c r="N347" i="8" s="1"/>
  <c r="J345" i="8" a="1"/>
  <c r="J345" i="8" s="1"/>
  <c r="L344" i="8" a="1"/>
  <c r="L344" i="8" s="1"/>
  <c r="L346" i="8" a="1"/>
  <c r="L346" i="8" s="1"/>
  <c r="N344" i="8" a="1"/>
  <c r="N344" i="8" s="1"/>
  <c r="O345" i="8" a="1"/>
  <c r="O345" i="8" s="1"/>
  <c r="O347" i="8" a="1"/>
  <c r="O347" i="8" s="1"/>
  <c r="J346" i="8" a="1"/>
  <c r="J346" i="8" s="1"/>
  <c r="K345" i="8" a="1"/>
  <c r="K345" i="8" s="1"/>
  <c r="K347" i="8" a="1"/>
  <c r="K347" i="8" s="1"/>
  <c r="L51" i="78"/>
  <c r="D62" i="78"/>
  <c r="L50" i="78"/>
  <c r="D63" i="78" s="1"/>
  <c r="B67" i="78" s="1" a="1"/>
  <c r="B67" i="78" s="1"/>
  <c r="L51" i="77"/>
  <c r="L50" i="77"/>
  <c r="D63" i="77" s="1"/>
  <c r="B67" i="77" s="1" a="1"/>
  <c r="B67" i="77" s="1"/>
  <c r="L50" i="76"/>
  <c r="D63" i="76" s="1"/>
  <c r="B67" i="76" s="1" a="1"/>
  <c r="B67" i="76" s="1"/>
  <c r="L50" i="73"/>
  <c r="D62" i="73"/>
  <c r="D63" i="73"/>
  <c r="B67" i="73" s="1" a="1"/>
  <c r="B67" i="73" s="1"/>
  <c r="K210" i="60" a="1"/>
  <c r="K210" i="60" s="1"/>
  <c r="L210" i="60" s="1"/>
  <c r="I209" i="60" a="1"/>
  <c r="I209" i="60" s="1"/>
  <c r="M210" i="60" a="1"/>
  <c r="M210" i="60" s="1"/>
  <c r="I210" i="60" a="1"/>
  <c r="I210" i="60" s="1"/>
  <c r="N210" i="60" a="1"/>
  <c r="N210" i="60" s="1"/>
  <c r="N209" i="60" a="1"/>
  <c r="N209" i="60" s="1"/>
  <c r="M209" i="60" a="1"/>
  <c r="M209" i="60" s="1"/>
  <c r="K209" i="60" a="1"/>
  <c r="K209" i="60" s="1"/>
  <c r="J209" i="60" a="1"/>
  <c r="J209" i="60" s="1"/>
  <c r="N209" i="10" a="1"/>
  <c r="N209" i="10" s="1"/>
  <c r="I209" i="10" a="1"/>
  <c r="I209" i="10" s="1"/>
  <c r="M209" i="10" a="1"/>
  <c r="M209" i="10" s="1"/>
  <c r="K209" i="10" a="1"/>
  <c r="K209" i="10" s="1"/>
  <c r="J209" i="10" a="1"/>
  <c r="J209" i="10" s="1"/>
  <c r="I159" i="45" a="1"/>
  <c r="I159" i="45" s="1"/>
  <c r="K159" i="45" a="1"/>
  <c r="K159" i="45" s="1"/>
  <c r="J160" i="45" a="1"/>
  <c r="J160" i="45" s="1"/>
  <c r="M160" i="9" a="1"/>
  <c r="M160" i="9" s="1"/>
  <c r="K159" i="9" a="1"/>
  <c r="K159" i="9" s="1"/>
  <c r="I160" i="9" a="1"/>
  <c r="I160" i="9" s="1"/>
  <c r="K160" i="9" a="1"/>
  <c r="K160" i="9" s="1"/>
  <c r="N159" i="9" a="1"/>
  <c r="N159" i="9" s="1"/>
  <c r="J159" i="9" a="1"/>
  <c r="J159" i="9" s="1"/>
  <c r="J160" i="9" a="1"/>
  <c r="J160" i="9" s="1"/>
  <c r="I159" i="9" a="1"/>
  <c r="I159" i="9" s="1"/>
  <c r="N160" i="9" a="1"/>
  <c r="N160" i="9" s="1"/>
  <c r="M159" i="9" a="1"/>
  <c r="M159" i="9" s="1"/>
  <c r="O68" i="53" a="1"/>
  <c r="O68" i="53" s="1"/>
  <c r="P67" i="53" a="1"/>
  <c r="P67" i="53" s="1"/>
  <c r="P68" i="53" a="1"/>
  <c r="P68" i="53" s="1"/>
  <c r="N67" i="53" a="1"/>
  <c r="N67" i="53" s="1"/>
  <c r="S67" i="53" a="1"/>
  <c r="S67" i="53" s="1"/>
  <c r="R68" i="53" a="1"/>
  <c r="R68" i="53" s="1"/>
  <c r="G35" i="53"/>
  <c r="F36" i="53" s="1"/>
  <c r="G36" i="53" s="1"/>
  <c r="F37" i="53" s="1"/>
  <c r="G37" i="53" s="1"/>
  <c r="F38" i="53" s="1"/>
  <c r="G38" i="53" s="1"/>
  <c r="F39" i="53" s="1"/>
  <c r="G39" i="53" s="1"/>
  <c r="O67" i="53" a="1"/>
  <c r="O67" i="53" s="1"/>
  <c r="N68" i="53" a="1"/>
  <c r="N68" i="53" s="1"/>
  <c r="K190" i="15" a="1"/>
  <c r="K190" i="15" s="1"/>
  <c r="K192" i="15" a="1"/>
  <c r="K192" i="15" s="1"/>
  <c r="J195" i="15" a="1"/>
  <c r="J195" i="15" s="1"/>
  <c r="L195" i="15" s="1"/>
  <c r="M194" i="15" a="1"/>
  <c r="M194" i="15" s="1"/>
  <c r="M190" i="15" a="1"/>
  <c r="M190" i="15" s="1"/>
  <c r="I193" i="15" a="1"/>
  <c r="I193" i="15" s="1"/>
  <c r="K195" i="15" a="1"/>
  <c r="K195" i="15" s="1"/>
  <c r="N194" i="15" a="1"/>
  <c r="N194" i="15" s="1"/>
  <c r="I190" i="15" a="1"/>
  <c r="I190" i="15" s="1"/>
  <c r="N190" i="15" a="1"/>
  <c r="N190" i="15" s="1"/>
  <c r="I192" i="15" a="1"/>
  <c r="I192" i="15" s="1"/>
  <c r="J193" i="15" a="1"/>
  <c r="J193" i="15" s="1"/>
  <c r="K194" i="15" a="1"/>
  <c r="K194" i="15" s="1"/>
  <c r="M191" i="15" a="1"/>
  <c r="M191" i="15" s="1"/>
  <c r="M193" i="15" a="1"/>
  <c r="M193" i="15" s="1"/>
  <c r="M195" i="15" a="1"/>
  <c r="M195" i="15" s="1"/>
  <c r="J190" i="15" a="1"/>
  <c r="J190" i="15" s="1"/>
  <c r="I191" i="15" a="1"/>
  <c r="I191" i="15" s="1"/>
  <c r="J192" i="15" a="1"/>
  <c r="J192" i="15" s="1"/>
  <c r="K193" i="15" a="1"/>
  <c r="K193" i="15" s="1"/>
  <c r="I195" i="15" a="1"/>
  <c r="I195" i="15" s="1"/>
  <c r="N191" i="15" a="1"/>
  <c r="N191" i="15" s="1"/>
  <c r="N193" i="15" a="1"/>
  <c r="N193" i="15" s="1"/>
  <c r="L192" i="15"/>
  <c r="L194" i="15"/>
  <c r="N170" i="14" a="1"/>
  <c r="N170" i="14" s="1"/>
  <c r="I170" i="14" a="1"/>
  <c r="I170" i="14" s="1"/>
  <c r="J169" i="14" a="1"/>
  <c r="J169" i="14" s="1"/>
  <c r="M170" i="14" a="1"/>
  <c r="M170" i="14" s="1"/>
  <c r="N169" i="14" a="1"/>
  <c r="N169" i="14" s="1"/>
  <c r="I169" i="14" a="1"/>
  <c r="I169" i="14" s="1"/>
  <c r="K169" i="14" a="1"/>
  <c r="K169" i="14" s="1"/>
  <c r="K170" i="14" a="1"/>
  <c r="K170" i="14" s="1"/>
  <c r="M169" i="14" a="1"/>
  <c r="M169" i="14" s="1"/>
  <c r="J170" i="14" a="1"/>
  <c r="J170" i="14" s="1"/>
  <c r="K364" i="11" a="1"/>
  <c r="K364" i="11" s="1"/>
  <c r="K366" i="11" a="1"/>
  <c r="K366" i="11" s="1"/>
  <c r="O366" i="11" a="1"/>
  <c r="O366" i="11" s="1"/>
  <c r="L364" i="11" a="1"/>
  <c r="L364" i="11" s="1"/>
  <c r="K365" i="11" a="1"/>
  <c r="K365" i="11" s="1"/>
  <c r="L366" i="11" a="1"/>
  <c r="L366" i="11" s="1"/>
  <c r="N365" i="11" a="1"/>
  <c r="N365" i="11" s="1"/>
  <c r="N367" i="11" a="1"/>
  <c r="N367" i="11" s="1"/>
  <c r="J364" i="11" a="1"/>
  <c r="J364" i="11" s="1"/>
  <c r="N364" i="11" a="1"/>
  <c r="N364" i="11" s="1"/>
  <c r="L365" i="11" a="1"/>
  <c r="L365" i="11" s="1"/>
  <c r="J367" i="11" a="1"/>
  <c r="J367" i="11" s="1"/>
  <c r="O365" i="11" a="1"/>
  <c r="O365" i="11" s="1"/>
  <c r="O367" i="11" a="1"/>
  <c r="O367" i="11" s="1"/>
  <c r="J365" i="11" a="1"/>
  <c r="J365" i="11" s="1"/>
  <c r="L367" i="11" a="1"/>
  <c r="L367" i="11" s="1"/>
  <c r="O364" i="11" a="1"/>
  <c r="O364" i="11" s="1"/>
  <c r="J366" i="11" a="1"/>
  <c r="J366" i="11" s="1"/>
  <c r="K367" i="11" a="1"/>
  <c r="K367" i="11" s="1"/>
  <c r="L127" i="25"/>
  <c r="D133" i="25"/>
  <c r="J165" i="22" a="1"/>
  <c r="J165" i="22" s="1"/>
  <c r="N165" i="22" a="1"/>
  <c r="N165" i="22" s="1"/>
  <c r="K166" i="22" a="1"/>
  <c r="K166" i="22" s="1"/>
  <c r="I165" i="22" a="1"/>
  <c r="I165" i="22" s="1"/>
  <c r="K165" i="22" a="1"/>
  <c r="K165" i="22" s="1"/>
  <c r="I166" i="22" a="1"/>
  <c r="I166" i="22" s="1"/>
  <c r="J166" i="22" a="1"/>
  <c r="J166" i="22" s="1"/>
  <c r="L166" i="22" s="1"/>
  <c r="M166" i="22" a="1"/>
  <c r="M166" i="22" s="1"/>
  <c r="M165" i="22" a="1"/>
  <c r="M165" i="22" s="1"/>
  <c r="F12" i="21"/>
  <c r="C156" i="21" s="1"/>
  <c r="D180" i="20"/>
  <c r="B180" i="20"/>
  <c r="F12" i="20"/>
  <c r="C157" i="20" s="1"/>
  <c r="T22" i="57"/>
  <c r="T20" i="57"/>
  <c r="F90" i="29" a="1"/>
  <c r="F90" i="29" s="1"/>
  <c r="G90" i="29" a="1"/>
  <c r="G90" i="29" s="1"/>
  <c r="G11" i="29"/>
  <c r="C80" i="29" s="1"/>
  <c r="H88" i="29" s="1" a="1"/>
  <c r="H88" i="29" s="1"/>
  <c r="E394" i="19"/>
  <c r="C394" i="19" a="1"/>
  <c r="C394" i="19"/>
  <c r="B394" i="19"/>
  <c r="C390" i="19" a="1"/>
  <c r="C390" i="19" s="1"/>
  <c r="E390" i="19" s="1"/>
  <c r="E388" i="19"/>
  <c r="C388" i="19" a="1"/>
  <c r="C388" i="19" s="1"/>
  <c r="F12" i="19"/>
  <c r="B382" i="19" s="1"/>
  <c r="M400" i="19" s="1" a="1"/>
  <c r="M400" i="19" s="1"/>
  <c r="T300" i="19"/>
  <c r="T299" i="19"/>
  <c r="G398" i="19" l="1" a="1"/>
  <c r="G398" i="19" s="1"/>
  <c r="M402" i="19" a="1"/>
  <c r="M402" i="19" s="1"/>
  <c r="G400" i="19" a="1"/>
  <c r="G400" i="19" s="1"/>
  <c r="G402" i="19" a="1"/>
  <c r="G402" i="19" s="1"/>
  <c r="G392" i="19" a="1"/>
  <c r="G392" i="19" s="1"/>
  <c r="I390" i="19" a="1"/>
  <c r="I390" i="19" s="1"/>
  <c r="G390" i="19" a="1"/>
  <c r="G390" i="19" s="1"/>
  <c r="J388" i="19" a="1"/>
  <c r="J388" i="19" s="1"/>
  <c r="F388" i="19" a="1"/>
  <c r="F388" i="19" s="1"/>
  <c r="F390" i="19" a="1"/>
  <c r="F390" i="19" s="1"/>
  <c r="H390" i="19" s="1"/>
  <c r="I388" i="19" a="1"/>
  <c r="I388" i="19" s="1"/>
  <c r="D388" i="19" a="1"/>
  <c r="D388" i="19" s="1"/>
  <c r="I392" i="19" a="1"/>
  <c r="I392" i="19" s="1"/>
  <c r="D392" i="19" a="1"/>
  <c r="D392" i="19" s="1"/>
  <c r="F392" i="19" a="1"/>
  <c r="F392" i="19" s="1"/>
  <c r="D390" i="19" a="1"/>
  <c r="D390" i="19" s="1"/>
  <c r="G388" i="19" a="1"/>
  <c r="G388" i="19" s="1"/>
  <c r="I394" i="19" a="1"/>
  <c r="I394" i="19" s="1"/>
  <c r="M398" i="19" a="1"/>
  <c r="M398" i="19" s="1"/>
  <c r="N165" i="21" a="1"/>
  <c r="N165" i="21" s="1"/>
  <c r="H165" i="21" a="1"/>
  <c r="H165" i="21" s="1"/>
  <c r="N166" i="21" a="1"/>
  <c r="N166" i="21" s="1"/>
  <c r="N167" i="21" a="1"/>
  <c r="N167" i="21" s="1"/>
  <c r="N168" i="21" a="1"/>
  <c r="N168" i="21" s="1"/>
  <c r="N169" i="21" a="1"/>
  <c r="N169" i="21" s="1"/>
  <c r="N170" i="21" a="1"/>
  <c r="N170" i="21" s="1"/>
  <c r="L164" i="21" a="1"/>
  <c r="L164" i="21" s="1"/>
  <c r="I164" i="21" a="1"/>
  <c r="I164" i="21" s="1"/>
  <c r="H163" i="21" a="1"/>
  <c r="H163" i="21" s="1"/>
  <c r="L162" i="21" a="1"/>
  <c r="L162" i="21" s="1"/>
  <c r="N164" i="21" a="1"/>
  <c r="N164" i="21" s="1"/>
  <c r="L165" i="21" a="1"/>
  <c r="L165" i="21" s="1"/>
  <c r="H171" i="21" a="1"/>
  <c r="H171" i="21" s="1"/>
  <c r="J171" i="21" a="1"/>
  <c r="J171" i="21" s="1"/>
  <c r="N163" i="21" a="1"/>
  <c r="N163" i="21" s="1"/>
  <c r="H164" i="21" a="1"/>
  <c r="H164" i="21" s="1"/>
  <c r="J162" i="21" a="1"/>
  <c r="J162" i="21" s="1"/>
  <c r="J164" i="21" a="1"/>
  <c r="J164" i="21" s="1"/>
  <c r="H162" i="21" a="1"/>
  <c r="H162" i="21" s="1"/>
  <c r="J165" i="21" a="1"/>
  <c r="J165" i="21" s="1"/>
  <c r="L166" i="21" a="1"/>
  <c r="L166" i="21" s="1"/>
  <c r="L167" i="21" a="1"/>
  <c r="L167" i="21" s="1"/>
  <c r="L168" i="21" a="1"/>
  <c r="L168" i="21" s="1"/>
  <c r="L169" i="21" a="1"/>
  <c r="L169" i="21" s="1"/>
  <c r="L170" i="21" a="1"/>
  <c r="L170" i="21" s="1"/>
  <c r="L163" i="21" a="1"/>
  <c r="L163" i="21" s="1"/>
  <c r="J163" i="21" a="1"/>
  <c r="J163" i="21" s="1"/>
  <c r="N162" i="21" a="1"/>
  <c r="N162" i="21" s="1"/>
  <c r="I162" i="21" a="1"/>
  <c r="I162" i="21" s="1"/>
  <c r="I165" i="21" a="1"/>
  <c r="I165" i="21" s="1"/>
  <c r="I171" i="21" a="1"/>
  <c r="I171" i="21" s="1"/>
  <c r="I163" i="21" a="1"/>
  <c r="I163" i="21" s="1"/>
  <c r="H90" i="29" a="1"/>
  <c r="H90" i="29" s="1"/>
  <c r="I90" i="29" a="1"/>
  <c r="I90" i="29" s="1"/>
  <c r="N86" i="29" a="1"/>
  <c r="N86" i="29" s="1"/>
  <c r="L90" i="29" a="1"/>
  <c r="L90" i="29" s="1"/>
  <c r="N88" i="29" a="1"/>
  <c r="N88" i="29" s="1"/>
  <c r="I92" i="29" a="1"/>
  <c r="I92" i="29" s="1"/>
  <c r="L92" i="29" a="1"/>
  <c r="L92" i="29" s="1"/>
  <c r="I88" i="29" a="1"/>
  <c r="I88" i="29" s="1"/>
  <c r="I86" i="29" a="1"/>
  <c r="I86" i="29" s="1"/>
  <c r="L88" i="29" a="1"/>
  <c r="L88" i="29" s="1"/>
  <c r="J92" i="29" a="1"/>
  <c r="J92" i="29" s="1"/>
  <c r="D64" i="78"/>
  <c r="D64" i="77"/>
  <c r="D64" i="76"/>
  <c r="D64" i="73"/>
  <c r="K26" i="53"/>
  <c r="L193" i="15"/>
  <c r="D134" i="25"/>
  <c r="B138" i="25" s="1" a="1"/>
  <c r="B138" i="25" s="1"/>
  <c r="D135" i="25"/>
  <c r="L165" i="22"/>
  <c r="D173" i="22" s="1"/>
  <c r="D174" i="22" s="1"/>
  <c r="C180" i="20"/>
  <c r="N92" i="29" a="1"/>
  <c r="N92" i="29" s="1"/>
  <c r="J88" i="29" a="1"/>
  <c r="J88" i="29" s="1"/>
  <c r="N90" i="29" a="1"/>
  <c r="N90" i="29" s="1"/>
  <c r="J90" i="29" a="1"/>
  <c r="J90" i="29" s="1"/>
  <c r="H92" i="29" a="1"/>
  <c r="H92" i="29" s="1"/>
  <c r="J86" i="29" a="1"/>
  <c r="J86" i="29" s="1"/>
  <c r="L86" i="29" a="1"/>
  <c r="L86" i="29" s="1"/>
  <c r="A87" i="75"/>
  <c r="A86" i="75"/>
  <c r="T219" i="75"/>
  <c r="P216" i="75"/>
  <c r="L216" i="75"/>
  <c r="W157" i="75"/>
  <c r="M157" i="75"/>
  <c r="E157" i="75"/>
  <c r="E156" i="75"/>
  <c r="T146" i="75"/>
  <c r="V86" i="75"/>
  <c r="W84" i="75"/>
  <c r="M84" i="75"/>
  <c r="E84" i="75"/>
  <c r="E83" i="75"/>
  <c r="T73" i="75"/>
  <c r="P66" i="75"/>
  <c r="R217" i="75" s="1"/>
  <c r="J66" i="75"/>
  <c r="N217" i="75" s="1"/>
  <c r="E66" i="75"/>
  <c r="J217" i="75" s="1"/>
  <c r="AA50" i="75"/>
  <c r="AA49" i="75"/>
  <c r="AA47" i="75"/>
  <c r="V35" i="75"/>
  <c r="V34" i="75"/>
  <c r="V33" i="75"/>
  <c r="V32" i="75"/>
  <c r="A27" i="75"/>
  <c r="V26" i="75"/>
  <c r="A26" i="75"/>
  <c r="S22" i="75"/>
  <c r="E21" i="75"/>
  <c r="S20" i="75"/>
  <c r="E19" i="75"/>
  <c r="S18" i="75"/>
  <c r="S17" i="75"/>
  <c r="E14" i="75"/>
  <c r="E13" i="75"/>
  <c r="A12" i="75"/>
  <c r="W7" i="75"/>
  <c r="M7" i="75"/>
  <c r="E7" i="75"/>
  <c r="E6" i="75"/>
  <c r="AO318" i="74"/>
  <c r="AO317" i="74"/>
  <c r="AJ317" i="74"/>
  <c r="AT316" i="74"/>
  <c r="AO316" i="74"/>
  <c r="AJ316" i="74"/>
  <c r="AT315" i="74"/>
  <c r="AO315" i="74"/>
  <c r="AJ315" i="74"/>
  <c r="AT314" i="74"/>
  <c r="AO314" i="74"/>
  <c r="AJ314" i="74"/>
  <c r="AT313" i="74"/>
  <c r="AO313" i="74"/>
  <c r="AJ313" i="74"/>
  <c r="AT312" i="74"/>
  <c r="AO312" i="74"/>
  <c r="AJ312" i="74"/>
  <c r="AT311" i="74"/>
  <c r="AO311" i="74"/>
  <c r="AJ311" i="74"/>
  <c r="AT310" i="74"/>
  <c r="AO310" i="74"/>
  <c r="AJ310" i="74"/>
  <c r="AT309" i="74"/>
  <c r="AO309" i="74"/>
  <c r="AJ309" i="74"/>
  <c r="AT308" i="74"/>
  <c r="AO308" i="74"/>
  <c r="AJ308" i="74"/>
  <c r="AT307" i="74"/>
  <c r="AO307" i="74"/>
  <c r="AJ307" i="74"/>
  <c r="AT306" i="74"/>
  <c r="AO306" i="74"/>
  <c r="AJ306" i="74"/>
  <c r="AT305" i="74"/>
  <c r="AO305" i="74"/>
  <c r="AJ305" i="74"/>
  <c r="AT304" i="74"/>
  <c r="AO304" i="74"/>
  <c r="AJ304" i="74"/>
  <c r="AT303" i="74"/>
  <c r="AO303" i="74"/>
  <c r="AJ303" i="74"/>
  <c r="AT302" i="74"/>
  <c r="AO302" i="74"/>
  <c r="AJ302" i="74"/>
  <c r="AT301" i="74"/>
  <c r="AO301" i="74"/>
  <c r="AJ301" i="74"/>
  <c r="AT300" i="74"/>
  <c r="AO300" i="74"/>
  <c r="AJ300" i="74"/>
  <c r="AT299" i="74"/>
  <c r="AO299" i="74"/>
  <c r="AJ299" i="74"/>
  <c r="AT298" i="74"/>
  <c r="AO298" i="74"/>
  <c r="AJ298" i="74"/>
  <c r="AT297" i="74"/>
  <c r="AO297" i="74"/>
  <c r="AJ297" i="74"/>
  <c r="AT296" i="74"/>
  <c r="AO296" i="74"/>
  <c r="AJ296" i="74"/>
  <c r="AT295" i="74"/>
  <c r="AO295" i="74"/>
  <c r="AJ295" i="74"/>
  <c r="AT294" i="74"/>
  <c r="AO294" i="74"/>
  <c r="AJ294" i="74"/>
  <c r="AT293" i="74"/>
  <c r="AO293" i="74"/>
  <c r="AJ293" i="74"/>
  <c r="AT292" i="74"/>
  <c r="AO292" i="74"/>
  <c r="AJ292" i="74"/>
  <c r="AT291" i="74"/>
  <c r="AO291" i="74"/>
  <c r="AJ291" i="74"/>
  <c r="AT290" i="74"/>
  <c r="AO290" i="74"/>
  <c r="AJ290" i="74"/>
  <c r="AT289" i="74"/>
  <c r="AO289" i="74"/>
  <c r="AJ289" i="74"/>
  <c r="AV288" i="74"/>
  <c r="AQ288" i="74"/>
  <c r="AL288" i="74"/>
  <c r="R221" i="74"/>
  <c r="R222" i="74" s="1"/>
  <c r="R223" i="74" s="1"/>
  <c r="R224" i="74" s="1"/>
  <c r="R225" i="74" s="1"/>
  <c r="R226" i="74" s="1"/>
  <c r="R227" i="74" s="1"/>
  <c r="R228" i="74" s="1"/>
  <c r="R229" i="74" s="1"/>
  <c r="R230" i="74" s="1"/>
  <c r="R231" i="74" s="1"/>
  <c r="R232" i="74" s="1"/>
  <c r="R233" i="74" s="1"/>
  <c r="R234" i="74" s="1"/>
  <c r="R235" i="74" s="1"/>
  <c r="R236" i="74" s="1"/>
  <c r="R237" i="74" s="1"/>
  <c r="R238" i="74" s="1"/>
  <c r="R239" i="74" s="1"/>
  <c r="R240" i="74" s="1"/>
  <c r="R241" i="74" s="1"/>
  <c r="R242" i="74" s="1"/>
  <c r="R243" i="74" s="1"/>
  <c r="R244" i="74" s="1"/>
  <c r="R245" i="74" s="1"/>
  <c r="R246" i="74" s="1"/>
  <c r="R247" i="74" s="1"/>
  <c r="R248" i="74" s="1"/>
  <c r="R249" i="74" s="1"/>
  <c r="R250" i="74" s="1"/>
  <c r="R251" i="74" s="1"/>
  <c r="R252" i="74" s="1"/>
  <c r="R253" i="74" s="1"/>
  <c r="AI220" i="74"/>
  <c r="AI221" i="74" s="1"/>
  <c r="AI222" i="74" s="1"/>
  <c r="AI223" i="74" s="1"/>
  <c r="AI224" i="74" s="1"/>
  <c r="AI225" i="74" s="1"/>
  <c r="AI226" i="74" s="1"/>
  <c r="AI227" i="74" s="1"/>
  <c r="AI228" i="74" s="1"/>
  <c r="AI229" i="74" s="1"/>
  <c r="AI230" i="74" s="1"/>
  <c r="AI231" i="74" s="1"/>
  <c r="AI232" i="74" s="1"/>
  <c r="AI233" i="74" s="1"/>
  <c r="AI234" i="74" s="1"/>
  <c r="AI235" i="74" s="1"/>
  <c r="AI236" i="74" s="1"/>
  <c r="AI237" i="74" s="1"/>
  <c r="AI238" i="74" s="1"/>
  <c r="AI239" i="74" s="1"/>
  <c r="AI240" i="74" s="1"/>
  <c r="AI241" i="74" s="1"/>
  <c r="AI242" i="74" s="1"/>
  <c r="AI243" i="74" s="1"/>
  <c r="AI244" i="74" s="1"/>
  <c r="AI245" i="74" s="1"/>
  <c r="AI246" i="74" s="1"/>
  <c r="AI247" i="74" s="1"/>
  <c r="AI248" i="74" s="1"/>
  <c r="AI249" i="74" s="1"/>
  <c r="AI250" i="74" s="1"/>
  <c r="AI251" i="74" s="1"/>
  <c r="AI252" i="74" s="1"/>
  <c r="AI253" i="74" s="1"/>
  <c r="AI219" i="74"/>
  <c r="B219" i="74"/>
  <c r="B220" i="74" s="1"/>
  <c r="B221" i="74" s="1"/>
  <c r="B222" i="74" s="1"/>
  <c r="B223" i="74" s="1"/>
  <c r="B224" i="74" s="1"/>
  <c r="B225" i="74" s="1"/>
  <c r="B226" i="74" s="1"/>
  <c r="B227" i="74" s="1"/>
  <c r="B228" i="74" s="1"/>
  <c r="B229" i="74" s="1"/>
  <c r="B230" i="74" s="1"/>
  <c r="B231" i="74" s="1"/>
  <c r="B232" i="74" s="1"/>
  <c r="B233" i="74" s="1"/>
  <c r="B234" i="74" s="1"/>
  <c r="B235" i="74" s="1"/>
  <c r="B236" i="74" s="1"/>
  <c r="B237" i="74" s="1"/>
  <c r="B238" i="74" s="1"/>
  <c r="B239" i="74" s="1"/>
  <c r="B240" i="74" s="1"/>
  <c r="B241" i="74" s="1"/>
  <c r="B242" i="74" s="1"/>
  <c r="B243" i="74" s="1"/>
  <c r="B244" i="74" s="1"/>
  <c r="B245" i="74" s="1"/>
  <c r="B246" i="74" s="1"/>
  <c r="B247" i="74" s="1"/>
  <c r="B248" i="74" s="1"/>
  <c r="B249" i="74" s="1"/>
  <c r="B250" i="74" s="1"/>
  <c r="B251" i="74" s="1"/>
  <c r="B252" i="74" s="1"/>
  <c r="B253" i="74" s="1"/>
  <c r="AI218" i="74"/>
  <c r="R218" i="74"/>
  <c r="R219" i="74" s="1"/>
  <c r="R220" i="74" s="1"/>
  <c r="B218" i="74"/>
  <c r="S202" i="74"/>
  <c r="M264" i="74" s="1"/>
  <c r="S271" i="74" s="1"/>
  <c r="V160" i="74"/>
  <c r="S160" i="74"/>
  <c r="V159" i="74"/>
  <c r="S159" i="74"/>
  <c r="L159" i="74"/>
  <c r="F159" i="74"/>
  <c r="C159" i="74"/>
  <c r="AJ158" i="74"/>
  <c r="V158" i="74"/>
  <c r="S158" i="74"/>
  <c r="F158" i="74"/>
  <c r="C158" i="74"/>
  <c r="AS157" i="74"/>
  <c r="AM157" i="74"/>
  <c r="AJ157" i="74"/>
  <c r="V157" i="74"/>
  <c r="S157" i="74"/>
  <c r="L157" i="74"/>
  <c r="F157" i="74"/>
  <c r="C157" i="74"/>
  <c r="AJ156" i="74"/>
  <c r="X156" i="74"/>
  <c r="V156" i="74"/>
  <c r="S156" i="74"/>
  <c r="L156" i="74"/>
  <c r="F156" i="74"/>
  <c r="C156" i="74"/>
  <c r="AS155" i="74"/>
  <c r="AJ155" i="74"/>
  <c r="V155" i="74"/>
  <c r="S155" i="74"/>
  <c r="L155" i="74"/>
  <c r="F155" i="74"/>
  <c r="C155" i="74"/>
  <c r="AS154" i="74"/>
  <c r="AM154" i="74"/>
  <c r="AJ154" i="74"/>
  <c r="V154" i="74"/>
  <c r="S154" i="74"/>
  <c r="F154" i="74"/>
  <c r="C154" i="74"/>
  <c r="AJ153" i="74"/>
  <c r="X153" i="74"/>
  <c r="V153" i="74"/>
  <c r="S153" i="74"/>
  <c r="L153" i="74"/>
  <c r="F153" i="74"/>
  <c r="C153" i="74"/>
  <c r="AJ152" i="74"/>
  <c r="V152" i="74"/>
  <c r="S152" i="74"/>
  <c r="L152" i="74"/>
  <c r="F152" i="74"/>
  <c r="C152" i="74"/>
  <c r="AJ151" i="74"/>
  <c r="V151" i="74"/>
  <c r="S151" i="74"/>
  <c r="L151" i="74"/>
  <c r="F151" i="74"/>
  <c r="C151" i="74"/>
  <c r="AJ150" i="74"/>
  <c r="V150" i="74"/>
  <c r="S150" i="74"/>
  <c r="F150" i="74"/>
  <c r="C150" i="74"/>
  <c r="AS149" i="74"/>
  <c r="AM149" i="74"/>
  <c r="AJ149" i="74"/>
  <c r="V149" i="74"/>
  <c r="S149" i="74"/>
  <c r="L149" i="74"/>
  <c r="F149" i="74"/>
  <c r="C149" i="74"/>
  <c r="AJ148" i="74"/>
  <c r="V148" i="74"/>
  <c r="S148" i="74"/>
  <c r="L148" i="74"/>
  <c r="F148" i="74"/>
  <c r="C148" i="74"/>
  <c r="AS147" i="74"/>
  <c r="AJ147" i="74"/>
  <c r="V147" i="74"/>
  <c r="S147" i="74"/>
  <c r="L147" i="74"/>
  <c r="F147" i="74"/>
  <c r="C147" i="74"/>
  <c r="AS146" i="74"/>
  <c r="AM146" i="74"/>
  <c r="AJ146" i="74"/>
  <c r="V146" i="74"/>
  <c r="S146" i="74"/>
  <c r="F146" i="74"/>
  <c r="AJ145" i="74"/>
  <c r="V145" i="74"/>
  <c r="S145" i="74"/>
  <c r="F145" i="74"/>
  <c r="AS144" i="74"/>
  <c r="AJ144" i="74"/>
  <c r="AB144" i="74"/>
  <c r="V144" i="74"/>
  <c r="S144" i="74"/>
  <c r="F144" i="74"/>
  <c r="AJ143" i="74"/>
  <c r="V143" i="74"/>
  <c r="S143" i="74"/>
  <c r="F143" i="74"/>
  <c r="AS142" i="74"/>
  <c r="AM142" i="74"/>
  <c r="AJ142" i="74"/>
  <c r="V142" i="74"/>
  <c r="S142" i="74"/>
  <c r="F142" i="74"/>
  <c r="AJ141" i="74"/>
  <c r="V141" i="74"/>
  <c r="S141" i="74"/>
  <c r="F141" i="74"/>
  <c r="C141" i="74"/>
  <c r="B141" i="74"/>
  <c r="B142" i="74" s="1"/>
  <c r="AJ140" i="74"/>
  <c r="V140" i="74"/>
  <c r="S140" i="74"/>
  <c r="F140" i="74"/>
  <c r="C140" i="74"/>
  <c r="AJ139" i="74"/>
  <c r="V139" i="74"/>
  <c r="S139" i="74"/>
  <c r="F139" i="74"/>
  <c r="C139" i="74"/>
  <c r="AJ138" i="74"/>
  <c r="AB138" i="74"/>
  <c r="V138" i="74"/>
  <c r="S138" i="74"/>
  <c r="L138" i="74"/>
  <c r="F138" i="74"/>
  <c r="C138" i="74"/>
  <c r="AJ137" i="74"/>
  <c r="V137" i="74"/>
  <c r="S137" i="74"/>
  <c r="L137" i="74"/>
  <c r="F137" i="74"/>
  <c r="C137" i="74"/>
  <c r="AS136" i="74"/>
  <c r="AM136" i="74"/>
  <c r="AJ136" i="74"/>
  <c r="V136" i="74"/>
  <c r="S136" i="74"/>
  <c r="F136" i="74"/>
  <c r="C136" i="74"/>
  <c r="AS135" i="74"/>
  <c r="AM135" i="74"/>
  <c r="AJ135" i="74"/>
  <c r="X135" i="74"/>
  <c r="V135" i="74"/>
  <c r="S135" i="74"/>
  <c r="L135" i="74"/>
  <c r="F135" i="74"/>
  <c r="C135" i="74"/>
  <c r="AJ134" i="74"/>
  <c r="V134" i="74"/>
  <c r="S134" i="74"/>
  <c r="F134" i="74"/>
  <c r="C134" i="74"/>
  <c r="AS133" i="74"/>
  <c r="AJ133" i="74"/>
  <c r="V133" i="74"/>
  <c r="S133" i="74"/>
  <c r="F133" i="74"/>
  <c r="C133" i="74"/>
  <c r="AJ132" i="74"/>
  <c r="V132" i="74"/>
  <c r="S132" i="74"/>
  <c r="F132" i="74"/>
  <c r="C132" i="74"/>
  <c r="AJ131" i="74"/>
  <c r="V131" i="74"/>
  <c r="S131" i="74"/>
  <c r="F131" i="74"/>
  <c r="C131" i="74"/>
  <c r="AJ130" i="74"/>
  <c r="V130" i="74"/>
  <c r="S130" i="74"/>
  <c r="J130" i="74"/>
  <c r="F130" i="74"/>
  <c r="AS125" i="74"/>
  <c r="AB125" i="74"/>
  <c r="B125" i="74"/>
  <c r="D124" i="74"/>
  <c r="B124" i="74"/>
  <c r="B123" i="74"/>
  <c r="T122" i="74"/>
  <c r="AB148" i="74" s="1"/>
  <c r="B122" i="74"/>
  <c r="AK121" i="74"/>
  <c r="AJ202" i="74" s="1"/>
  <c r="M265" i="74" s="1"/>
  <c r="S272" i="74" s="1"/>
  <c r="T121" i="74"/>
  <c r="D121" i="74"/>
  <c r="C202" i="74" s="1"/>
  <c r="M263" i="74" s="1"/>
  <c r="S270" i="74" s="1"/>
  <c r="B121" i="74"/>
  <c r="AN113" i="74"/>
  <c r="AL113" i="74"/>
  <c r="AJ113" i="74"/>
  <c r="U113" i="74"/>
  <c r="S113" i="74"/>
  <c r="AN112" i="74"/>
  <c r="AL112" i="74"/>
  <c r="AJ112" i="74"/>
  <c r="U112" i="74"/>
  <c r="S112" i="74"/>
  <c r="I112" i="74"/>
  <c r="J112" i="74" s="1"/>
  <c r="E112" i="74"/>
  <c r="C112" i="74"/>
  <c r="AN111" i="74"/>
  <c r="AL111" i="74"/>
  <c r="AJ111" i="74"/>
  <c r="U111" i="74"/>
  <c r="S111" i="74"/>
  <c r="I111" i="74"/>
  <c r="J111" i="74" s="1"/>
  <c r="E111" i="74"/>
  <c r="C111" i="74"/>
  <c r="AN110" i="74"/>
  <c r="AL110" i="74"/>
  <c r="AJ110" i="74"/>
  <c r="U110" i="74"/>
  <c r="S110" i="74"/>
  <c r="E110" i="74"/>
  <c r="C110" i="74"/>
  <c r="AN109" i="74"/>
  <c r="AL109" i="74"/>
  <c r="AJ109" i="74"/>
  <c r="Y109" i="74"/>
  <c r="U109" i="74"/>
  <c r="S109" i="74"/>
  <c r="E109" i="74"/>
  <c r="C109" i="74"/>
  <c r="AN108" i="74"/>
  <c r="AL108" i="74"/>
  <c r="AJ108" i="74"/>
  <c r="U108" i="74"/>
  <c r="S108" i="74"/>
  <c r="I108" i="74"/>
  <c r="J108" i="74" s="1"/>
  <c r="E108" i="74"/>
  <c r="C108" i="74"/>
  <c r="AN107" i="74"/>
  <c r="AL107" i="74"/>
  <c r="AJ107" i="74"/>
  <c r="U107" i="74"/>
  <c r="S107" i="74"/>
  <c r="I107" i="74"/>
  <c r="J107" i="74" s="1"/>
  <c r="E107" i="74"/>
  <c r="C107" i="74"/>
  <c r="AN106" i="74"/>
  <c r="AL106" i="74"/>
  <c r="AJ106" i="74"/>
  <c r="U106" i="74"/>
  <c r="S106" i="74"/>
  <c r="E106" i="74"/>
  <c r="C106" i="74"/>
  <c r="AN105" i="74"/>
  <c r="AL105" i="74"/>
  <c r="AJ105" i="74"/>
  <c r="Y105" i="74"/>
  <c r="U105" i="74"/>
  <c r="S105" i="74"/>
  <c r="E105" i="74"/>
  <c r="C105" i="74"/>
  <c r="AN104" i="74"/>
  <c r="AL104" i="74"/>
  <c r="AJ104" i="74"/>
  <c r="U104" i="74"/>
  <c r="S104" i="74"/>
  <c r="I104" i="74"/>
  <c r="J104" i="74" s="1"/>
  <c r="E104" i="74"/>
  <c r="C104" i="74"/>
  <c r="AN103" i="74"/>
  <c r="AL103" i="74"/>
  <c r="AJ103" i="74"/>
  <c r="U103" i="74"/>
  <c r="E103" i="74"/>
  <c r="AN102" i="74"/>
  <c r="AL102" i="74"/>
  <c r="AJ102" i="74"/>
  <c r="Y102" i="74"/>
  <c r="U102" i="74"/>
  <c r="I102" i="74"/>
  <c r="E102" i="74"/>
  <c r="AN101" i="74"/>
  <c r="AN115" i="74" s="1"/>
  <c r="AL101" i="74"/>
  <c r="AJ101" i="74"/>
  <c r="Y101" i="74"/>
  <c r="U101" i="74"/>
  <c r="I101" i="74"/>
  <c r="J101" i="74" s="1"/>
  <c r="E101" i="74"/>
  <c r="AL100" i="74"/>
  <c r="AI100" i="74"/>
  <c r="Z100" i="74"/>
  <c r="X100" i="74"/>
  <c r="U100" i="74"/>
  <c r="E100" i="74"/>
  <c r="C100" i="74"/>
  <c r="H99" i="74"/>
  <c r="I109" i="74" s="1"/>
  <c r="J109" i="74" s="1"/>
  <c r="F99" i="74"/>
  <c r="E99" i="74"/>
  <c r="B99" i="74"/>
  <c r="AK94" i="74"/>
  <c r="T94" i="74"/>
  <c r="T124" i="74" s="1"/>
  <c r="AK93" i="74"/>
  <c r="AK123" i="74" s="1"/>
  <c r="T93" i="74"/>
  <c r="T123" i="74" s="1"/>
  <c r="W130" i="74" s="1"/>
  <c r="X158" i="74" s="1"/>
  <c r="F93" i="74"/>
  <c r="AK92" i="74"/>
  <c r="AK122" i="74" s="1"/>
  <c r="T92" i="74"/>
  <c r="F92" i="74"/>
  <c r="F94" i="74" s="1"/>
  <c r="J99" i="74" s="1"/>
  <c r="F91" i="74"/>
  <c r="D122" i="74" s="1"/>
  <c r="C78" i="74"/>
  <c r="S76" i="74"/>
  <c r="AJ73" i="74"/>
  <c r="AM65" i="74"/>
  <c r="AN65" i="74" s="1"/>
  <c r="AJ78" i="74" s="1"/>
  <c r="AN64" i="74"/>
  <c r="AJ77" i="74" s="1"/>
  <c r="AM64" i="74"/>
  <c r="AC64" i="74"/>
  <c r="AD64" i="74" s="1"/>
  <c r="W64" i="74"/>
  <c r="S77" i="74" s="1"/>
  <c r="V64" i="74"/>
  <c r="L64" i="74"/>
  <c r="E64" i="74"/>
  <c r="F64" i="74" s="1"/>
  <c r="C77" i="74" s="1"/>
  <c r="AQ63" i="74"/>
  <c r="Z63" i="74"/>
  <c r="AE63" i="74" s="1"/>
  <c r="I63" i="74"/>
  <c r="AM62" i="74"/>
  <c r="AN62" i="74" s="1"/>
  <c r="AJ76" i="74" s="1"/>
  <c r="AD62" i="74"/>
  <c r="AC62" i="74"/>
  <c r="V62" i="74"/>
  <c r="W62" i="74" s="1"/>
  <c r="L62" i="74"/>
  <c r="F62" i="74"/>
  <c r="C76" i="74" s="1"/>
  <c r="E62" i="74"/>
  <c r="AP61" i="74"/>
  <c r="AQ61" i="74" s="1"/>
  <c r="Y61" i="74"/>
  <c r="Z61" i="74" s="1"/>
  <c r="AE61" i="74" s="1"/>
  <c r="H61" i="74"/>
  <c r="I61" i="74" s="1"/>
  <c r="AM60" i="74"/>
  <c r="AN60" i="74" s="1"/>
  <c r="AJ75" i="74" s="1"/>
  <c r="AD60" i="74"/>
  <c r="AC60" i="74"/>
  <c r="V60" i="74"/>
  <c r="W60" i="74" s="1"/>
  <c r="S75" i="74" s="1"/>
  <c r="L60" i="74"/>
  <c r="F60" i="74"/>
  <c r="C75" i="74" s="1"/>
  <c r="E60" i="74"/>
  <c r="AP59" i="74"/>
  <c r="AQ59" i="74" s="1"/>
  <c r="Y59" i="74"/>
  <c r="Z59" i="74" s="1"/>
  <c r="H59" i="74"/>
  <c r="I59" i="74" s="1"/>
  <c r="AM58" i="74"/>
  <c r="AN58" i="74" s="1"/>
  <c r="AJ74" i="74" s="1"/>
  <c r="AD58" i="74"/>
  <c r="AC58" i="74"/>
  <c r="V58" i="74"/>
  <c r="W58" i="74" s="1"/>
  <c r="S74" i="74" s="1"/>
  <c r="L58" i="74"/>
  <c r="F58" i="74"/>
  <c r="C74" i="74" s="1"/>
  <c r="E58" i="74"/>
  <c r="AP57" i="74"/>
  <c r="AQ57" i="74" s="1"/>
  <c r="Y57" i="74"/>
  <c r="V100" i="74" s="1"/>
  <c r="H57" i="74"/>
  <c r="I57" i="74" s="1"/>
  <c r="AM56" i="74"/>
  <c r="AN56" i="74" s="1"/>
  <c r="AN68" i="74" s="1"/>
  <c r="AD56" i="74"/>
  <c r="AC56" i="74"/>
  <c r="V56" i="74"/>
  <c r="W56" i="74" s="1"/>
  <c r="S73" i="74" s="1"/>
  <c r="L56" i="74"/>
  <c r="F56" i="74"/>
  <c r="E56" i="74"/>
  <c r="L44" i="74"/>
  <c r="AB43" i="74"/>
  <c r="AB44" i="74" s="1"/>
  <c r="L43" i="74"/>
  <c r="L45" i="74" s="1"/>
  <c r="AK42" i="74"/>
  <c r="V42" i="74"/>
  <c r="D42" i="74"/>
  <c r="AS41" i="74"/>
  <c r="AS43" i="74" s="1"/>
  <c r="AM41" i="74"/>
  <c r="AM42" i="74" s="1"/>
  <c r="AK41" i="74"/>
  <c r="T41" i="74"/>
  <c r="T42" i="74" s="1"/>
  <c r="D41" i="74"/>
  <c r="AM40" i="74"/>
  <c r="V40" i="74"/>
  <c r="V41" i="74" s="1"/>
  <c r="F40" i="74"/>
  <c r="F41" i="74" s="1"/>
  <c r="F42" i="74" s="1"/>
  <c r="D43" i="74" s="1"/>
  <c r="AM39" i="74"/>
  <c r="V39" i="74"/>
  <c r="F39" i="74"/>
  <c r="D21" i="74"/>
  <c r="D20" i="74"/>
  <c r="D19" i="74"/>
  <c r="D14" i="74"/>
  <c r="H388" i="19" l="1"/>
  <c r="H392" i="19"/>
  <c r="K86" i="29"/>
  <c r="K92" i="29"/>
  <c r="K90" i="29"/>
  <c r="K88" i="29"/>
  <c r="K28" i="53"/>
  <c r="I88" i="53" s="1"/>
  <c r="K27" i="53"/>
  <c r="I180" i="20" a="1"/>
  <c r="I180" i="20" s="1"/>
  <c r="F180" i="20" a="1"/>
  <c r="F180" i="20" s="1"/>
  <c r="G112" i="74"/>
  <c r="G108" i="74"/>
  <c r="G104" i="74"/>
  <c r="G101" i="74"/>
  <c r="G109" i="74"/>
  <c r="G105" i="74"/>
  <c r="G100" i="74"/>
  <c r="G111" i="74"/>
  <c r="G107" i="74"/>
  <c r="G103" i="74"/>
  <c r="AO121" i="74"/>
  <c r="AS122" i="74" s="1"/>
  <c r="AK134" i="74"/>
  <c r="AS292" i="74" s="1"/>
  <c r="AK124" i="74"/>
  <c r="AK95" i="74"/>
  <c r="AO100" i="74"/>
  <c r="W109" i="74"/>
  <c r="W105" i="74"/>
  <c r="W101" i="74"/>
  <c r="W113" i="74"/>
  <c r="W110" i="74"/>
  <c r="W106" i="74"/>
  <c r="W111" i="74"/>
  <c r="W107" i="74"/>
  <c r="W103" i="74"/>
  <c r="W102" i="74"/>
  <c r="W112" i="74"/>
  <c r="W108" i="74"/>
  <c r="W104" i="74"/>
  <c r="G110" i="74"/>
  <c r="AK147" i="74"/>
  <c r="AS305" i="74" s="1"/>
  <c r="R100" i="74"/>
  <c r="AE59" i="74"/>
  <c r="B143" i="74"/>
  <c r="C142" i="74"/>
  <c r="G106" i="74"/>
  <c r="F68" i="74"/>
  <c r="C73" i="74"/>
  <c r="G102" i="74"/>
  <c r="AB159" i="74"/>
  <c r="AB155" i="74"/>
  <c r="AB151" i="74"/>
  <c r="AB147" i="74"/>
  <c r="AB137" i="74"/>
  <c r="AB133" i="74"/>
  <c r="AB130" i="74"/>
  <c r="AB158" i="74"/>
  <c r="AB153" i="74"/>
  <c r="AB150" i="74"/>
  <c r="AB145" i="74"/>
  <c r="AB143" i="74"/>
  <c r="AB141" i="74"/>
  <c r="AB134" i="74"/>
  <c r="AB152" i="74"/>
  <c r="AB139" i="74"/>
  <c r="AB136" i="74"/>
  <c r="AB131" i="74"/>
  <c r="AB154" i="74"/>
  <c r="AB156" i="74"/>
  <c r="Z130" i="74"/>
  <c r="AA130" i="74" s="1"/>
  <c r="AB160" i="74"/>
  <c r="AB157" i="74"/>
  <c r="AB146" i="74"/>
  <c r="AB142" i="74"/>
  <c r="AB140" i="74"/>
  <c r="AB149" i="74"/>
  <c r="AB135" i="74"/>
  <c r="AB132" i="74"/>
  <c r="AK143" i="74"/>
  <c r="AS301" i="74" s="1"/>
  <c r="T43" i="74"/>
  <c r="J102" i="74"/>
  <c r="AK137" i="74"/>
  <c r="AS295" i="74" s="1"/>
  <c r="AK138" i="74"/>
  <c r="AS296" i="74" s="1"/>
  <c r="X143" i="74"/>
  <c r="AK148" i="74"/>
  <c r="AS306" i="74" s="1"/>
  <c r="X160" i="74"/>
  <c r="AS42" i="74"/>
  <c r="W68" i="74"/>
  <c r="D123" i="74"/>
  <c r="G130" i="74" s="1"/>
  <c r="AM155" i="74"/>
  <c r="AM151" i="74"/>
  <c r="AM147" i="74"/>
  <c r="AM137" i="74"/>
  <c r="AM133" i="74"/>
  <c r="AM130" i="74"/>
  <c r="AM156" i="74"/>
  <c r="AM153" i="74"/>
  <c r="AM148" i="74"/>
  <c r="AM140" i="74"/>
  <c r="AP140" i="74" s="1"/>
  <c r="AV298" i="74" s="1"/>
  <c r="AM132" i="74"/>
  <c r="AM158" i="74"/>
  <c r="AM150" i="74"/>
  <c r="AM145" i="74"/>
  <c r="AP145" i="74" s="1"/>
  <c r="AV303" i="74" s="1"/>
  <c r="AM143" i="74"/>
  <c r="AM141" i="74"/>
  <c r="AM139" i="74"/>
  <c r="AM134" i="74"/>
  <c r="AP134" i="74" s="1"/>
  <c r="AM131" i="74"/>
  <c r="AM138" i="74"/>
  <c r="AK141" i="74"/>
  <c r="AS299" i="74" s="1"/>
  <c r="AM144" i="74"/>
  <c r="AK145" i="74"/>
  <c r="AS303" i="74" s="1"/>
  <c r="AK151" i="74"/>
  <c r="AS309" i="74" s="1"/>
  <c r="AM152" i="74"/>
  <c r="AK156" i="74"/>
  <c r="AS314" i="74" s="1"/>
  <c r="AO288" i="74"/>
  <c r="X159" i="74"/>
  <c r="X155" i="74"/>
  <c r="X151" i="74"/>
  <c r="X147" i="74"/>
  <c r="X137" i="74"/>
  <c r="X133" i="74"/>
  <c r="X152" i="74"/>
  <c r="X139" i="74"/>
  <c r="X136" i="74"/>
  <c r="X131" i="74"/>
  <c r="X157" i="74"/>
  <c r="X154" i="74"/>
  <c r="X149" i="74"/>
  <c r="X146" i="74"/>
  <c r="X144" i="74"/>
  <c r="X142" i="74"/>
  <c r="X138" i="74"/>
  <c r="T95" i="74"/>
  <c r="T125" i="74" s="1"/>
  <c r="K130" i="74"/>
  <c r="X140" i="74"/>
  <c r="X150" i="74"/>
  <c r="AK158" i="74"/>
  <c r="AS316" i="74" s="1"/>
  <c r="L46" i="74"/>
  <c r="L47" i="74" s="1"/>
  <c r="D44" i="74" s="1"/>
  <c r="D45" i="74" s="1"/>
  <c r="AB45" i="74"/>
  <c r="AB46" i="74" s="1"/>
  <c r="AB47" i="74" s="1"/>
  <c r="T44" i="74" s="1"/>
  <c r="Y113" i="74"/>
  <c r="Y110" i="74"/>
  <c r="Y106" i="74"/>
  <c r="Y111" i="74"/>
  <c r="Z111" i="74" s="1"/>
  <c r="Y107" i="74"/>
  <c r="Y103" i="74"/>
  <c r="Y104" i="74"/>
  <c r="Y108" i="74"/>
  <c r="Z108" i="74" s="1"/>
  <c r="Y112" i="74"/>
  <c r="D125" i="74"/>
  <c r="X132" i="74"/>
  <c r="X134" i="74"/>
  <c r="X141" i="74"/>
  <c r="X145" i="74"/>
  <c r="X148" i="74"/>
  <c r="AS123" i="74"/>
  <c r="AS121" i="74" s="1"/>
  <c r="AS156" i="74"/>
  <c r="AS152" i="74"/>
  <c r="AS148" i="74"/>
  <c r="AQ140" i="74"/>
  <c r="AR140" i="74" s="1"/>
  <c r="AT140" i="74" s="1"/>
  <c r="AS138" i="74"/>
  <c r="AS134" i="74"/>
  <c r="I103" i="74"/>
  <c r="J103" i="74" s="1"/>
  <c r="I106" i="74"/>
  <c r="J106" i="74" s="1"/>
  <c r="I110" i="74"/>
  <c r="J110" i="74" s="1"/>
  <c r="AQ130" i="74"/>
  <c r="AS131" i="74"/>
  <c r="AK132" i="74"/>
  <c r="AS290" i="74" s="1"/>
  <c r="AS137" i="74"/>
  <c r="AS139" i="74"/>
  <c r="AK140" i="74"/>
  <c r="AS298" i="74" s="1"/>
  <c r="AS141" i="74"/>
  <c r="AS143" i="74"/>
  <c r="AS145" i="74"/>
  <c r="AS150" i="74"/>
  <c r="AS158" i="74"/>
  <c r="Z57" i="74"/>
  <c r="AE57" i="74" s="1"/>
  <c r="L158" i="74"/>
  <c r="L154" i="74"/>
  <c r="L150" i="74"/>
  <c r="L146" i="74"/>
  <c r="L145" i="74"/>
  <c r="L144" i="74"/>
  <c r="L143" i="74"/>
  <c r="L142" i="74"/>
  <c r="L141" i="74"/>
  <c r="L140" i="74"/>
  <c r="L136" i="74"/>
  <c r="L132" i="74"/>
  <c r="L130" i="74"/>
  <c r="I100" i="74"/>
  <c r="J100" i="74" s="1"/>
  <c r="I105" i="74"/>
  <c r="J105" i="74" s="1"/>
  <c r="L131" i="74"/>
  <c r="AS132" i="74"/>
  <c r="L133" i="74"/>
  <c r="L134" i="74"/>
  <c r="L139" i="74"/>
  <c r="AS140" i="74"/>
  <c r="AK142" i="74"/>
  <c r="AS300" i="74" s="1"/>
  <c r="AK144" i="74"/>
  <c r="AS302" i="74" s="1"/>
  <c r="AK146" i="74"/>
  <c r="AS304" i="74" s="1"/>
  <c r="AS151" i="74"/>
  <c r="AS153" i="74"/>
  <c r="AK154" i="74"/>
  <c r="AS312" i="74" s="1"/>
  <c r="AP154" i="74" l="1"/>
  <c r="AK125" i="74"/>
  <c r="AQ100" i="74"/>
  <c r="AQ145" i="74"/>
  <c r="AR145" i="74" s="1"/>
  <c r="AT145" i="74" s="1"/>
  <c r="Z104" i="74"/>
  <c r="Z106" i="74"/>
  <c r="AP139" i="74"/>
  <c r="AP148" i="74"/>
  <c r="T45" i="74"/>
  <c r="Z105" i="74"/>
  <c r="B144" i="74"/>
  <c r="C143" i="74"/>
  <c r="AP142" i="74"/>
  <c r="Z109" i="74"/>
  <c r="AK135" i="74"/>
  <c r="AS293" i="74" s="1"/>
  <c r="AK153" i="74"/>
  <c r="AS311" i="74" s="1"/>
  <c r="AK149" i="74"/>
  <c r="AS307" i="74" s="1"/>
  <c r="AK139" i="74"/>
  <c r="AS297" i="74" s="1"/>
  <c r="AK152" i="74"/>
  <c r="AS310" i="74" s="1"/>
  <c r="AK131" i="74"/>
  <c r="AS289" i="74" s="1"/>
  <c r="AK133" i="74"/>
  <c r="AS291" i="74" s="1"/>
  <c r="AK157" i="74"/>
  <c r="AS315" i="74" s="1"/>
  <c r="AK130" i="74"/>
  <c r="AS288" i="74" s="1"/>
  <c r="G114" i="74"/>
  <c r="H121" i="74" s="1"/>
  <c r="AP144" i="74"/>
  <c r="AP151" i="74"/>
  <c r="AS44" i="74"/>
  <c r="AS45" i="74" s="1"/>
  <c r="AK44" i="74" s="1"/>
  <c r="AK43" i="74"/>
  <c r="AK45" i="74" s="1"/>
  <c r="Z103" i="74"/>
  <c r="Z110" i="74"/>
  <c r="AP152" i="74"/>
  <c r="AP141" i="74"/>
  <c r="AP158" i="74"/>
  <c r="AP153" i="74"/>
  <c r="AP137" i="74"/>
  <c r="H158" i="74"/>
  <c r="H154" i="74"/>
  <c r="H150" i="74"/>
  <c r="H146" i="74"/>
  <c r="H145" i="74"/>
  <c r="H144" i="74"/>
  <c r="H143" i="74"/>
  <c r="H142" i="74"/>
  <c r="H141" i="74"/>
  <c r="H140" i="74"/>
  <c r="H136" i="74"/>
  <c r="H132" i="74"/>
  <c r="H159" i="74"/>
  <c r="H157" i="74"/>
  <c r="H152" i="74"/>
  <c r="H151" i="74"/>
  <c r="H149" i="74"/>
  <c r="H138" i="74"/>
  <c r="H137" i="74"/>
  <c r="H135" i="74"/>
  <c r="AJ288" i="74"/>
  <c r="H156" i="74"/>
  <c r="H155" i="74"/>
  <c r="H153" i="74"/>
  <c r="H139" i="74"/>
  <c r="H131" i="74"/>
  <c r="H148" i="74"/>
  <c r="H147" i="74"/>
  <c r="H134" i="74"/>
  <c r="H133" i="74"/>
  <c r="AP146" i="74"/>
  <c r="AC130" i="74"/>
  <c r="Z102" i="74"/>
  <c r="W115" i="74"/>
  <c r="X121" i="74" s="1"/>
  <c r="AK155" i="74"/>
  <c r="AS313" i="74" s="1"/>
  <c r="AV292" i="74"/>
  <c r="AQ134" i="74"/>
  <c r="AR134" i="74" s="1"/>
  <c r="AT134" i="74" s="1"/>
  <c r="Z112" i="74"/>
  <c r="Z107" i="74"/>
  <c r="Z113" i="74"/>
  <c r="AP157" i="74"/>
  <c r="M130" i="74"/>
  <c r="AP138" i="74"/>
  <c r="AP143" i="74"/>
  <c r="AP132" i="74"/>
  <c r="AP156" i="74"/>
  <c r="AP147" i="74"/>
  <c r="AK150" i="74"/>
  <c r="AS308" i="74" s="1"/>
  <c r="AP135" i="74"/>
  <c r="Z101" i="74"/>
  <c r="AP111" i="74"/>
  <c r="AQ111" i="74" s="1"/>
  <c r="AP107" i="74"/>
  <c r="AQ107" i="74" s="1"/>
  <c r="AP103" i="74"/>
  <c r="AQ103" i="74" s="1"/>
  <c r="AP112" i="74"/>
  <c r="AQ112" i="74" s="1"/>
  <c r="AP108" i="74"/>
  <c r="AQ108" i="74" s="1"/>
  <c r="AP104" i="74"/>
  <c r="AQ104" i="74" s="1"/>
  <c r="AP102" i="74"/>
  <c r="AQ102" i="74" s="1"/>
  <c r="AP110" i="74"/>
  <c r="AQ110" i="74" s="1"/>
  <c r="AP106" i="74"/>
  <c r="AQ106" i="74" s="1"/>
  <c r="AP101" i="74"/>
  <c r="AQ101" i="74" s="1"/>
  <c r="AN130" i="74"/>
  <c r="AR130" i="74" s="1"/>
  <c r="AP113" i="74"/>
  <c r="AQ113" i="74" s="1"/>
  <c r="AP109" i="74"/>
  <c r="AQ109" i="74" s="1"/>
  <c r="AP105" i="74"/>
  <c r="AQ105" i="74" s="1"/>
  <c r="AK136" i="74"/>
  <c r="AS294" i="74" s="1"/>
  <c r="AV304" i="74" l="1"/>
  <c r="AQ146" i="74"/>
  <c r="AR146" i="74" s="1"/>
  <c r="AT146" i="74" s="1"/>
  <c r="AV311" i="74"/>
  <c r="AQ153" i="74"/>
  <c r="AR153" i="74" s="1"/>
  <c r="AT153" i="74" s="1"/>
  <c r="AP136" i="74"/>
  <c r="AV301" i="74"/>
  <c r="AQ143" i="74"/>
  <c r="AR143" i="74" s="1"/>
  <c r="AT143" i="74" s="1"/>
  <c r="AV315" i="74"/>
  <c r="AQ157" i="74"/>
  <c r="AR157" i="74" s="1"/>
  <c r="AT157" i="74" s="1"/>
  <c r="AB122" i="74"/>
  <c r="AB123" i="74"/>
  <c r="AV316" i="74"/>
  <c r="AQ158" i="74"/>
  <c r="AR158" i="74" s="1"/>
  <c r="AT158" i="74" s="1"/>
  <c r="B145" i="74"/>
  <c r="C144" i="74"/>
  <c r="AP133" i="74"/>
  <c r="AV290" i="74"/>
  <c r="AQ132" i="74"/>
  <c r="AR132" i="74" s="1"/>
  <c r="AT132" i="74" s="1"/>
  <c r="L122" i="74"/>
  <c r="D143" i="74" s="1"/>
  <c r="AI301" i="74" s="1"/>
  <c r="L123" i="74"/>
  <c r="AV297" i="74"/>
  <c r="AQ139" i="74"/>
  <c r="AR139" i="74" s="1"/>
  <c r="AT139" i="74" s="1"/>
  <c r="AV305" i="74"/>
  <c r="AQ147" i="74"/>
  <c r="AR147" i="74" s="1"/>
  <c r="AT147" i="74" s="1"/>
  <c r="AP131" i="74"/>
  <c r="AV299" i="74"/>
  <c r="AQ141" i="74"/>
  <c r="AR141" i="74" s="1"/>
  <c r="AT141" i="74" s="1"/>
  <c r="AV309" i="74"/>
  <c r="AQ151" i="74"/>
  <c r="AR151" i="74" s="1"/>
  <c r="AT151" i="74" s="1"/>
  <c r="AV306" i="74"/>
  <c r="AQ148" i="74"/>
  <c r="AR148" i="74" s="1"/>
  <c r="AT148" i="74" s="1"/>
  <c r="AV312" i="74"/>
  <c r="AQ154" i="74"/>
  <c r="AR154" i="74" s="1"/>
  <c r="AT154" i="74" s="1"/>
  <c r="AT288" i="74"/>
  <c r="AO156" i="74"/>
  <c r="AO152" i="74"/>
  <c r="AO148" i="74"/>
  <c r="AO138" i="74"/>
  <c r="AO134" i="74"/>
  <c r="AO158" i="74"/>
  <c r="AO150" i="74"/>
  <c r="AO145" i="74"/>
  <c r="AO143" i="74"/>
  <c r="AO141" i="74"/>
  <c r="AO139" i="74"/>
  <c r="AO137" i="74"/>
  <c r="AO131" i="74"/>
  <c r="AO157" i="74"/>
  <c r="AO155" i="74"/>
  <c r="AO149" i="74"/>
  <c r="AO147" i="74"/>
  <c r="AO136" i="74"/>
  <c r="AO151" i="74"/>
  <c r="AO144" i="74"/>
  <c r="AO132" i="74"/>
  <c r="AO146" i="74"/>
  <c r="AO135" i="74"/>
  <c r="AO154" i="74"/>
  <c r="AO142" i="74"/>
  <c r="AO140" i="74"/>
  <c r="AO133" i="74"/>
  <c r="AO153" i="74"/>
  <c r="AS130" i="74"/>
  <c r="AT130" i="74" s="1"/>
  <c r="AV293" i="74"/>
  <c r="AQ135" i="74"/>
  <c r="AR135" i="74" s="1"/>
  <c r="AT135" i="74" s="1"/>
  <c r="AP155" i="74"/>
  <c r="AV314" i="74"/>
  <c r="AQ156" i="74"/>
  <c r="AR156" i="74" s="1"/>
  <c r="AT156" i="74" s="1"/>
  <c r="AV296" i="74"/>
  <c r="AQ138" i="74"/>
  <c r="AR138" i="74" s="1"/>
  <c r="AT138" i="74" s="1"/>
  <c r="AV295" i="74"/>
  <c r="AQ137" i="74"/>
  <c r="AR137" i="74" s="1"/>
  <c r="AT137" i="74" s="1"/>
  <c r="AV310" i="74"/>
  <c r="AQ152" i="74"/>
  <c r="AR152" i="74" s="1"/>
  <c r="AT152" i="74" s="1"/>
  <c r="AV302" i="74"/>
  <c r="AQ144" i="74"/>
  <c r="AR144" i="74" s="1"/>
  <c r="AT144" i="74" s="1"/>
  <c r="AV300" i="74"/>
  <c r="AQ142" i="74"/>
  <c r="AR142" i="74" s="1"/>
  <c r="AT142" i="74" s="1"/>
  <c r="AP150" i="74"/>
  <c r="AP149" i="74"/>
  <c r="AV313" i="74" l="1"/>
  <c r="AQ155" i="74"/>
  <c r="AR155" i="74" s="1"/>
  <c r="AT155" i="74" s="1"/>
  <c r="B146" i="74"/>
  <c r="C146" i="74" s="1"/>
  <c r="D146" i="74" s="1"/>
  <c r="AI304" i="74" s="1"/>
  <c r="C145" i="74"/>
  <c r="D145" i="74" s="1"/>
  <c r="AI303" i="74" s="1"/>
  <c r="AV289" i="74"/>
  <c r="AJ196" i="74"/>
  <c r="AJ192" i="74"/>
  <c r="AJ190" i="74"/>
  <c r="AJ195" i="74"/>
  <c r="AJ193" i="74"/>
  <c r="AJ204" i="74" s="1"/>
  <c r="M294" i="74" s="1"/>
  <c r="S276" i="74" s="1"/>
  <c r="AP169" i="74"/>
  <c r="AQ131" i="74"/>
  <c r="AR131" i="74" s="1"/>
  <c r="AT131" i="74" s="1"/>
  <c r="AJ191" i="74"/>
  <c r="AJ201" i="74" s="1"/>
  <c r="AJ194" i="74"/>
  <c r="AJ203" i="74" s="1"/>
  <c r="T156" i="74"/>
  <c r="AN314" i="74" s="1"/>
  <c r="T148" i="74"/>
  <c r="AN306" i="74" s="1"/>
  <c r="T134" i="74"/>
  <c r="AN292" i="74" s="1"/>
  <c r="T159" i="74"/>
  <c r="AN317" i="74" s="1"/>
  <c r="T146" i="74"/>
  <c r="AN304" i="74" s="1"/>
  <c r="T142" i="74"/>
  <c r="AN300" i="74" s="1"/>
  <c r="T151" i="74"/>
  <c r="AN309" i="74" s="1"/>
  <c r="T144" i="74"/>
  <c r="AN302" i="74" s="1"/>
  <c r="T138" i="74"/>
  <c r="AN296" i="74" s="1"/>
  <c r="T136" i="74"/>
  <c r="AN294" i="74" s="1"/>
  <c r="T152" i="74"/>
  <c r="AN310" i="74" s="1"/>
  <c r="T154" i="74"/>
  <c r="AN312" i="74" s="1"/>
  <c r="T145" i="74"/>
  <c r="AN303" i="74" s="1"/>
  <c r="T150" i="74"/>
  <c r="AN308" i="74" s="1"/>
  <c r="T160" i="74"/>
  <c r="AN318" i="74" s="1"/>
  <c r="T153" i="74"/>
  <c r="AN311" i="74" s="1"/>
  <c r="T147" i="74"/>
  <c r="AN305" i="74" s="1"/>
  <c r="T132" i="74"/>
  <c r="AN290" i="74" s="1"/>
  <c r="T155" i="74"/>
  <c r="AN313" i="74" s="1"/>
  <c r="T139" i="74"/>
  <c r="AN297" i="74" s="1"/>
  <c r="T135" i="74"/>
  <c r="AN293" i="74" s="1"/>
  <c r="T158" i="74"/>
  <c r="AN316" i="74" s="1"/>
  <c r="T149" i="74"/>
  <c r="AN307" i="74" s="1"/>
  <c r="T137" i="74"/>
  <c r="AN295" i="74" s="1"/>
  <c r="T141" i="74"/>
  <c r="AN299" i="74" s="1"/>
  <c r="T143" i="74"/>
  <c r="AN301" i="74" s="1"/>
  <c r="T130" i="74"/>
  <c r="AN288" i="74" s="1"/>
  <c r="T133" i="74"/>
  <c r="AN291" i="74" s="1"/>
  <c r="T131" i="74"/>
  <c r="AN289" i="74" s="1"/>
  <c r="T140" i="74"/>
  <c r="AN298" i="74" s="1"/>
  <c r="T157" i="74"/>
  <c r="AN315" i="74" s="1"/>
  <c r="AV307" i="74"/>
  <c r="AQ149" i="74"/>
  <c r="AR149" i="74" s="1"/>
  <c r="AT149" i="74" s="1"/>
  <c r="L121" i="74"/>
  <c r="AV291" i="74"/>
  <c r="AQ133" i="74"/>
  <c r="AR133" i="74" s="1"/>
  <c r="AT133" i="74" s="1"/>
  <c r="AV294" i="74"/>
  <c r="AQ136" i="74"/>
  <c r="AR136" i="74" s="1"/>
  <c r="AT136" i="74" s="1"/>
  <c r="AV308" i="74"/>
  <c r="AQ150" i="74"/>
  <c r="AR150" i="74" s="1"/>
  <c r="AT150" i="74" s="1"/>
  <c r="D155" i="74"/>
  <c r="AI313" i="74" s="1"/>
  <c r="D147" i="74"/>
  <c r="AI305" i="74" s="1"/>
  <c r="D133" i="74"/>
  <c r="AI291" i="74" s="1"/>
  <c r="D130" i="74"/>
  <c r="AI288" i="74" s="1"/>
  <c r="D140" i="74"/>
  <c r="AI298" i="74" s="1"/>
  <c r="D132" i="74"/>
  <c r="AI290" i="74" s="1"/>
  <c r="D135" i="74"/>
  <c r="AI293" i="74" s="1"/>
  <c r="D159" i="74"/>
  <c r="AI317" i="74" s="1"/>
  <c r="D137" i="74"/>
  <c r="AI295" i="74" s="1"/>
  <c r="D151" i="74"/>
  <c r="AI309" i="74" s="1"/>
  <c r="D149" i="74"/>
  <c r="AI307" i="74" s="1"/>
  <c r="D154" i="74"/>
  <c r="AI312" i="74" s="1"/>
  <c r="D141" i="74"/>
  <c r="AI299" i="74" s="1"/>
  <c r="D153" i="74"/>
  <c r="AI311" i="74" s="1"/>
  <c r="D152" i="74"/>
  <c r="AI310" i="74" s="1"/>
  <c r="D139" i="74"/>
  <c r="AI297" i="74" s="1"/>
  <c r="D156" i="74"/>
  <c r="AI314" i="74" s="1"/>
  <c r="D150" i="74"/>
  <c r="AI308" i="74" s="1"/>
  <c r="D158" i="74"/>
  <c r="AI316" i="74" s="1"/>
  <c r="D148" i="74"/>
  <c r="AI306" i="74" s="1"/>
  <c r="D157" i="74"/>
  <c r="AI315" i="74" s="1"/>
  <c r="D138" i="74"/>
  <c r="AI296" i="74" s="1"/>
  <c r="D131" i="74"/>
  <c r="AI289" i="74" s="1"/>
  <c r="D136" i="74"/>
  <c r="AI294" i="74" s="1"/>
  <c r="D134" i="74"/>
  <c r="AI292" i="74" s="1"/>
  <c r="D142" i="74"/>
  <c r="AI300" i="74" s="1"/>
  <c r="D144" i="74"/>
  <c r="AI302" i="74" s="1"/>
  <c r="AB121" i="74"/>
  <c r="AQ169" i="74" l="1"/>
  <c r="AR169" i="74"/>
  <c r="AT169" i="74"/>
  <c r="AN169" i="74"/>
  <c r="AS169" i="74"/>
  <c r="AK169" i="74"/>
  <c r="AL212" i="74"/>
  <c r="N294" i="74"/>
  <c r="AL211" i="74"/>
  <c r="I135" i="74"/>
  <c r="I153" i="74"/>
  <c r="I149" i="74"/>
  <c r="I134" i="74"/>
  <c r="I131" i="74"/>
  <c r="I136" i="74"/>
  <c r="I139" i="74"/>
  <c r="I152" i="74"/>
  <c r="I157" i="74"/>
  <c r="I140" i="74"/>
  <c r="I145" i="74"/>
  <c r="I146" i="74"/>
  <c r="I133" i="74"/>
  <c r="I143" i="74"/>
  <c r="I156" i="74"/>
  <c r="I158" i="74"/>
  <c r="I141" i="74"/>
  <c r="I154" i="74"/>
  <c r="I132" i="74"/>
  <c r="I148" i="74"/>
  <c r="I142" i="74"/>
  <c r="I151" i="74"/>
  <c r="I144" i="74"/>
  <c r="I150" i="74"/>
  <c r="I147" i="74"/>
  <c r="I137" i="74"/>
  <c r="I155" i="74"/>
  <c r="I159" i="74"/>
  <c r="I138" i="74"/>
  <c r="Y154" i="74"/>
  <c r="Y146" i="74"/>
  <c r="Y144" i="74"/>
  <c r="Y142" i="74"/>
  <c r="Y160" i="74"/>
  <c r="Y140" i="74"/>
  <c r="Y132" i="74"/>
  <c r="Y158" i="74"/>
  <c r="Y155" i="74"/>
  <c r="Y150" i="74"/>
  <c r="Y147" i="74"/>
  <c r="Y143" i="74"/>
  <c r="Y136" i="74"/>
  <c r="Y131" i="74"/>
  <c r="Y153" i="74"/>
  <c r="Y145" i="74"/>
  <c r="Y141" i="74"/>
  <c r="Y139" i="74"/>
  <c r="Y157" i="74"/>
  <c r="Y134" i="74"/>
  <c r="Y159" i="74"/>
  <c r="Y148" i="74"/>
  <c r="Y135" i="74"/>
  <c r="Y151" i="74"/>
  <c r="Y133" i="74"/>
  <c r="Y137" i="74"/>
  <c r="Y149" i="74"/>
  <c r="Y156" i="74"/>
  <c r="Y138" i="74"/>
  <c r="Y152" i="74"/>
  <c r="N265" i="74"/>
  <c r="AL208" i="74"/>
  <c r="AL207" i="74"/>
  <c r="AQ295" i="74" l="1"/>
  <c r="Z137" i="74"/>
  <c r="AA137" i="74" s="1"/>
  <c r="AC137" i="74" s="1"/>
  <c r="AQ297" i="74"/>
  <c r="Z139" i="74"/>
  <c r="AA139" i="74" s="1"/>
  <c r="AC139" i="74" s="1"/>
  <c r="AQ298" i="74"/>
  <c r="Z140" i="74"/>
  <c r="AA140" i="74" s="1"/>
  <c r="AC140" i="74" s="1"/>
  <c r="AL302" i="74"/>
  <c r="J144" i="74"/>
  <c r="K144" i="74" s="1"/>
  <c r="M144" i="74" s="1"/>
  <c r="AL314" i="74"/>
  <c r="J156" i="74"/>
  <c r="K156" i="74" s="1"/>
  <c r="M156" i="74" s="1"/>
  <c r="AJ250" i="74"/>
  <c r="AJ249" i="74"/>
  <c r="AJ248" i="74"/>
  <c r="AJ247" i="74"/>
  <c r="AJ246" i="74"/>
  <c r="AJ245" i="74"/>
  <c r="AJ244" i="74"/>
  <c r="AJ243" i="74"/>
  <c r="AJ242" i="74"/>
  <c r="AJ241" i="74"/>
  <c r="AJ240" i="74"/>
  <c r="AJ239" i="74"/>
  <c r="AJ238" i="74"/>
  <c r="AJ237" i="74"/>
  <c r="AJ236" i="74"/>
  <c r="AJ235" i="74"/>
  <c r="AJ234" i="74"/>
  <c r="AJ233" i="74"/>
  <c r="AJ232" i="74"/>
  <c r="AJ231" i="74"/>
  <c r="AJ230" i="74"/>
  <c r="AJ229" i="74"/>
  <c r="AJ228" i="74"/>
  <c r="AJ227" i="74"/>
  <c r="AJ226" i="74"/>
  <c r="AJ225" i="74"/>
  <c r="AJ224" i="74"/>
  <c r="AJ252" i="74"/>
  <c r="AJ251" i="74"/>
  <c r="AJ223" i="74"/>
  <c r="AJ222" i="74"/>
  <c r="AJ221" i="74"/>
  <c r="AJ220" i="74"/>
  <c r="AJ219" i="74"/>
  <c r="AJ218" i="74"/>
  <c r="AJ217" i="74"/>
  <c r="AJ253" i="74"/>
  <c r="AQ296" i="74"/>
  <c r="Z138" i="74"/>
  <c r="AA138" i="74" s="1"/>
  <c r="AC138" i="74" s="1"/>
  <c r="AQ291" i="74"/>
  <c r="Z133" i="74"/>
  <c r="AA133" i="74" s="1"/>
  <c r="AC133" i="74" s="1"/>
  <c r="AQ317" i="74"/>
  <c r="Z159" i="74"/>
  <c r="AA159" i="74" s="1"/>
  <c r="AC159" i="74" s="1"/>
  <c r="AQ299" i="74"/>
  <c r="Z141" i="74"/>
  <c r="AA141" i="74" s="1"/>
  <c r="AC141" i="74" s="1"/>
  <c r="AQ294" i="74"/>
  <c r="Z136" i="74"/>
  <c r="AA136" i="74" s="1"/>
  <c r="AC136" i="74" s="1"/>
  <c r="AQ313" i="74"/>
  <c r="Z155" i="74"/>
  <c r="AA155" i="74" s="1"/>
  <c r="AC155" i="74" s="1"/>
  <c r="AQ318" i="74"/>
  <c r="Z160" i="74"/>
  <c r="AA160" i="74" s="1"/>
  <c r="AC160" i="74" s="1"/>
  <c r="AQ312" i="74"/>
  <c r="Z154" i="74"/>
  <c r="AA154" i="74" s="1"/>
  <c r="AC154" i="74" s="1"/>
  <c r="AL295" i="74"/>
  <c r="J137" i="74"/>
  <c r="K137" i="74" s="1"/>
  <c r="M137" i="74" s="1"/>
  <c r="AL309" i="74"/>
  <c r="J151" i="74"/>
  <c r="K151" i="74" s="1"/>
  <c r="M151" i="74" s="1"/>
  <c r="AL312" i="74"/>
  <c r="J154" i="74"/>
  <c r="K154" i="74" s="1"/>
  <c r="M154" i="74" s="1"/>
  <c r="AL301" i="74"/>
  <c r="J143" i="74"/>
  <c r="K143" i="74" s="1"/>
  <c r="M143" i="74" s="1"/>
  <c r="AL298" i="74"/>
  <c r="J140" i="74"/>
  <c r="K140" i="74" s="1"/>
  <c r="M140" i="74" s="1"/>
  <c r="AL294" i="74"/>
  <c r="J136" i="74"/>
  <c r="K136" i="74" s="1"/>
  <c r="M136" i="74" s="1"/>
  <c r="AL311" i="74"/>
  <c r="J153" i="74"/>
  <c r="K153" i="74" s="1"/>
  <c r="M153" i="74" s="1"/>
  <c r="AQ310" i="74"/>
  <c r="Z152" i="74"/>
  <c r="AA152" i="74" s="1"/>
  <c r="AC152" i="74" s="1"/>
  <c r="AQ289" i="74"/>
  <c r="S195" i="74"/>
  <c r="S191" i="74"/>
  <c r="S201" i="74" s="1"/>
  <c r="Y169" i="74"/>
  <c r="S194" i="74"/>
  <c r="S203" i="74" s="1"/>
  <c r="S192" i="74"/>
  <c r="S190" i="74"/>
  <c r="S193" i="74"/>
  <c r="S204" i="74" s="1"/>
  <c r="M293" i="74" s="1"/>
  <c r="S275" i="74" s="1"/>
  <c r="S196" i="74"/>
  <c r="Z131" i="74"/>
  <c r="AA131" i="74" s="1"/>
  <c r="AC131" i="74" s="1"/>
  <c r="AQ304" i="74"/>
  <c r="Z146" i="74"/>
  <c r="AA146" i="74" s="1"/>
  <c r="AC146" i="74" s="1"/>
  <c r="AL290" i="74"/>
  <c r="J132" i="74"/>
  <c r="K132" i="74" s="1"/>
  <c r="M132" i="74" s="1"/>
  <c r="AL303" i="74"/>
  <c r="J145" i="74"/>
  <c r="K145" i="74" s="1"/>
  <c r="M145" i="74" s="1"/>
  <c r="AL297" i="74"/>
  <c r="J139" i="74"/>
  <c r="K139" i="74" s="1"/>
  <c r="M139" i="74" s="1"/>
  <c r="AL307" i="74"/>
  <c r="J149" i="74"/>
  <c r="K149" i="74" s="1"/>
  <c r="M149" i="74" s="1"/>
  <c r="AQ314" i="74"/>
  <c r="Z156" i="74"/>
  <c r="AA156" i="74" s="1"/>
  <c r="AC156" i="74" s="1"/>
  <c r="AQ309" i="74"/>
  <c r="Z151" i="74"/>
  <c r="AA151" i="74" s="1"/>
  <c r="AC151" i="74" s="1"/>
  <c r="AQ292" i="74"/>
  <c r="Z134" i="74"/>
  <c r="AA134" i="74" s="1"/>
  <c r="AC134" i="74" s="1"/>
  <c r="AQ303" i="74"/>
  <c r="Z145" i="74"/>
  <c r="AA145" i="74" s="1"/>
  <c r="AC145" i="74" s="1"/>
  <c r="AQ301" i="74"/>
  <c r="Z143" i="74"/>
  <c r="AA143" i="74" s="1"/>
  <c r="AC143" i="74" s="1"/>
  <c r="AQ316" i="74"/>
  <c r="Z158" i="74"/>
  <c r="AA158" i="74" s="1"/>
  <c r="AC158" i="74" s="1"/>
  <c r="AQ300" i="74"/>
  <c r="Z142" i="74"/>
  <c r="AA142" i="74" s="1"/>
  <c r="AC142" i="74" s="1"/>
  <c r="AL296" i="74"/>
  <c r="J138" i="74"/>
  <c r="K138" i="74" s="1"/>
  <c r="M138" i="74" s="1"/>
  <c r="AL305" i="74"/>
  <c r="J147" i="74"/>
  <c r="K147" i="74" s="1"/>
  <c r="M147" i="74" s="1"/>
  <c r="AL300" i="74"/>
  <c r="J142" i="74"/>
  <c r="K142" i="74" s="1"/>
  <c r="M142" i="74" s="1"/>
  <c r="J141" i="74"/>
  <c r="K141" i="74" s="1"/>
  <c r="M141" i="74" s="1"/>
  <c r="AL299" i="74"/>
  <c r="AL291" i="74"/>
  <c r="J133" i="74"/>
  <c r="K133" i="74" s="1"/>
  <c r="M133" i="74" s="1"/>
  <c r="AL315" i="74"/>
  <c r="J157" i="74"/>
  <c r="K157" i="74" s="1"/>
  <c r="M157" i="74" s="1"/>
  <c r="AL289" i="74"/>
  <c r="C190" i="74"/>
  <c r="I169" i="74"/>
  <c r="C192" i="74"/>
  <c r="J131" i="74"/>
  <c r="K131" i="74" s="1"/>
  <c r="M131" i="74" s="1"/>
  <c r="C193" i="74"/>
  <c r="C204" i="74" s="1"/>
  <c r="M292" i="74" s="1"/>
  <c r="S274" i="74" s="1"/>
  <c r="C191" i="74"/>
  <c r="C201" i="74" s="1"/>
  <c r="AL293" i="74"/>
  <c r="J135" i="74"/>
  <c r="K135" i="74" s="1"/>
  <c r="M135" i="74" s="1"/>
  <c r="AQ306" i="74"/>
  <c r="Z148" i="74"/>
  <c r="AA148" i="74" s="1"/>
  <c r="AC148" i="74" s="1"/>
  <c r="AQ308" i="74"/>
  <c r="Z150" i="74"/>
  <c r="AA150" i="74" s="1"/>
  <c r="AC150" i="74" s="1"/>
  <c r="AL313" i="74"/>
  <c r="J155" i="74"/>
  <c r="K155" i="74" s="1"/>
  <c r="M155" i="74" s="1"/>
  <c r="AQ307" i="74"/>
  <c r="Z149" i="74"/>
  <c r="AA149" i="74" s="1"/>
  <c r="AC149" i="74" s="1"/>
  <c r="AQ293" i="74"/>
  <c r="Z135" i="74"/>
  <c r="AA135" i="74" s="1"/>
  <c r="AC135" i="74" s="1"/>
  <c r="AQ315" i="74"/>
  <c r="Z157" i="74"/>
  <c r="AA157" i="74" s="1"/>
  <c r="AC157" i="74" s="1"/>
  <c r="AQ311" i="74"/>
  <c r="Z153" i="74"/>
  <c r="AA153" i="74" s="1"/>
  <c r="AC153" i="74" s="1"/>
  <c r="AQ305" i="74"/>
  <c r="Z147" i="74"/>
  <c r="AA147" i="74" s="1"/>
  <c r="AC147" i="74" s="1"/>
  <c r="AQ290" i="74"/>
  <c r="Z132" i="74"/>
  <c r="AA132" i="74" s="1"/>
  <c r="AC132" i="74" s="1"/>
  <c r="AQ302" i="74"/>
  <c r="Z144" i="74"/>
  <c r="AA144" i="74" s="1"/>
  <c r="AC144" i="74" s="1"/>
  <c r="AL317" i="74"/>
  <c r="J159" i="74"/>
  <c r="K159" i="74" s="1"/>
  <c r="M159" i="74" s="1"/>
  <c r="AL308" i="74"/>
  <c r="J150" i="74"/>
  <c r="K150" i="74" s="1"/>
  <c r="M150" i="74" s="1"/>
  <c r="AL306" i="74"/>
  <c r="J148" i="74"/>
  <c r="K148" i="74" s="1"/>
  <c r="M148" i="74" s="1"/>
  <c r="AL316" i="74"/>
  <c r="J158" i="74"/>
  <c r="K158" i="74" s="1"/>
  <c r="M158" i="74" s="1"/>
  <c r="AL304" i="74"/>
  <c r="J146" i="74"/>
  <c r="K146" i="74" s="1"/>
  <c r="M146" i="74" s="1"/>
  <c r="AL310" i="74"/>
  <c r="J152" i="74"/>
  <c r="K152" i="74" s="1"/>
  <c r="M152" i="74" s="1"/>
  <c r="AL292" i="74"/>
  <c r="J134" i="74"/>
  <c r="K134" i="74" s="1"/>
  <c r="M134" i="74" s="1"/>
  <c r="AN253" i="74"/>
  <c r="AN252" i="74"/>
  <c r="AN251" i="74"/>
  <c r="AN223" i="74"/>
  <c r="AN222" i="74"/>
  <c r="AN221" i="74"/>
  <c r="AN220" i="74"/>
  <c r="AN219" i="74"/>
  <c r="AN218" i="74"/>
  <c r="AN217" i="74"/>
  <c r="AN250" i="74"/>
  <c r="AN246" i="74"/>
  <c r="AN242" i="74"/>
  <c r="AN238" i="74"/>
  <c r="AN234" i="74"/>
  <c r="AN230" i="74"/>
  <c r="AN226" i="74"/>
  <c r="AN249" i="74"/>
  <c r="AN245" i="74"/>
  <c r="AN241" i="74"/>
  <c r="AN237" i="74"/>
  <c r="AN233" i="74"/>
  <c r="AN229" i="74"/>
  <c r="AN225" i="74"/>
  <c r="AN248" i="74"/>
  <c r="AN244" i="74"/>
  <c r="AN240" i="74"/>
  <c r="AN236" i="74"/>
  <c r="AN232" i="74"/>
  <c r="AN228" i="74"/>
  <c r="AN224" i="74"/>
  <c r="AN239" i="74"/>
  <c r="AN247" i="74"/>
  <c r="AN231" i="74"/>
  <c r="AN235" i="74"/>
  <c r="AN227" i="74"/>
  <c r="AN243" i="74"/>
  <c r="N293" i="74" l="1"/>
  <c r="U211" i="74"/>
  <c r="U212" i="74"/>
  <c r="N263" i="74"/>
  <c r="E208" i="74"/>
  <c r="E207" i="74"/>
  <c r="C194" i="74"/>
  <c r="C203" i="74" s="1"/>
  <c r="AC169" i="74"/>
  <c r="AB169" i="74"/>
  <c r="T169" i="74"/>
  <c r="AA169" i="74"/>
  <c r="Z169" i="74"/>
  <c r="W169" i="74"/>
  <c r="L169" i="74"/>
  <c r="G169" i="74"/>
  <c r="M169" i="74"/>
  <c r="D169" i="74"/>
  <c r="K169" i="74"/>
  <c r="J169" i="74"/>
  <c r="N264" i="74"/>
  <c r="U207" i="74"/>
  <c r="U208" i="74"/>
  <c r="C195" i="74"/>
  <c r="C196" i="74"/>
  <c r="E211" i="74" l="1"/>
  <c r="N292" i="74"/>
  <c r="E212" i="74"/>
  <c r="M268" i="74"/>
  <c r="M267" i="74"/>
  <c r="C253" i="74"/>
  <c r="C252" i="74"/>
  <c r="C249" i="74"/>
  <c r="C245" i="74"/>
  <c r="C241" i="74"/>
  <c r="C237" i="74"/>
  <c r="C233" i="74"/>
  <c r="C229" i="74"/>
  <c r="C225" i="74"/>
  <c r="C217" i="74"/>
  <c r="C248" i="74"/>
  <c r="C244" i="74"/>
  <c r="C240" i="74"/>
  <c r="C236" i="74"/>
  <c r="C232" i="74"/>
  <c r="C228" i="74"/>
  <c r="C224" i="74"/>
  <c r="C223" i="74"/>
  <c r="C222" i="74"/>
  <c r="C221" i="74"/>
  <c r="C220" i="74"/>
  <c r="C219" i="74"/>
  <c r="C218" i="74"/>
  <c r="C251" i="74"/>
  <c r="C247" i="74"/>
  <c r="C243" i="74"/>
  <c r="C239" i="74"/>
  <c r="C235" i="74"/>
  <c r="C231" i="74"/>
  <c r="C227" i="74"/>
  <c r="C246" i="74"/>
  <c r="C230" i="74"/>
  <c r="C238" i="74"/>
  <c r="C250" i="74"/>
  <c r="C242" i="74"/>
  <c r="C226" i="74"/>
  <c r="C234" i="74"/>
  <c r="W253" i="74"/>
  <c r="W252" i="74"/>
  <c r="W251" i="74"/>
  <c r="W217" i="74"/>
  <c r="W249" i="74"/>
  <c r="W245" i="74"/>
  <c r="W241" i="74"/>
  <c r="W237" i="74"/>
  <c r="W233" i="74"/>
  <c r="W229" i="74"/>
  <c r="W225" i="74"/>
  <c r="W248" i="74"/>
  <c r="W244" i="74"/>
  <c r="W240" i="74"/>
  <c r="W236" i="74"/>
  <c r="W232" i="74"/>
  <c r="W228" i="74"/>
  <c r="W224" i="74"/>
  <c r="W247" i="74"/>
  <c r="W243" i="74"/>
  <c r="W239" i="74"/>
  <c r="W235" i="74"/>
  <c r="W231" i="74"/>
  <c r="W227" i="74"/>
  <c r="W242" i="74"/>
  <c r="W226" i="74"/>
  <c r="W223" i="74"/>
  <c r="W220" i="74"/>
  <c r="W234" i="74"/>
  <c r="W222" i="74"/>
  <c r="W238" i="74"/>
  <c r="W221" i="74"/>
  <c r="W250" i="74"/>
  <c r="W218" i="74"/>
  <c r="W246" i="74"/>
  <c r="W230" i="74"/>
  <c r="W219" i="74"/>
  <c r="S252" i="74"/>
  <c r="S223" i="74"/>
  <c r="S222" i="74"/>
  <c r="S221" i="74"/>
  <c r="S220" i="74"/>
  <c r="S219" i="74"/>
  <c r="S218" i="74"/>
  <c r="S250" i="74"/>
  <c r="S246" i="74"/>
  <c r="S242" i="74"/>
  <c r="S238" i="74"/>
  <c r="S234" i="74"/>
  <c r="S230" i="74"/>
  <c r="S226" i="74"/>
  <c r="S249" i="74"/>
  <c r="S245" i="74"/>
  <c r="S241" i="74"/>
  <c r="S237" i="74"/>
  <c r="S233" i="74"/>
  <c r="S229" i="74"/>
  <c r="S225" i="74"/>
  <c r="S217" i="74"/>
  <c r="S253" i="74"/>
  <c r="S248" i="74"/>
  <c r="S244" i="74"/>
  <c r="S240" i="74"/>
  <c r="S236" i="74"/>
  <c r="S232" i="74"/>
  <c r="S228" i="74"/>
  <c r="S224" i="74"/>
  <c r="S247" i="74"/>
  <c r="S231" i="74"/>
  <c r="S243" i="74"/>
  <c r="S227" i="74"/>
  <c r="S239" i="74"/>
  <c r="S251" i="74"/>
  <c r="S235" i="74"/>
  <c r="M297" i="74" l="1"/>
  <c r="M296" i="74"/>
  <c r="G253" i="74"/>
  <c r="G252" i="74"/>
  <c r="G248" i="74"/>
  <c r="G244" i="74"/>
  <c r="G240" i="74"/>
  <c r="G236" i="74"/>
  <c r="G232" i="74"/>
  <c r="G228" i="74"/>
  <c r="G224" i="74"/>
  <c r="G223" i="74"/>
  <c r="G222" i="74"/>
  <c r="G221" i="74"/>
  <c r="G220" i="74"/>
  <c r="G219" i="74"/>
  <c r="G218" i="74"/>
  <c r="G251" i="74"/>
  <c r="G247" i="74"/>
  <c r="G243" i="74"/>
  <c r="G239" i="74"/>
  <c r="G235" i="74"/>
  <c r="G231" i="74"/>
  <c r="G227" i="74"/>
  <c r="G250" i="74"/>
  <c r="G246" i="74"/>
  <c r="G242" i="74"/>
  <c r="G238" i="74"/>
  <c r="G234" i="74"/>
  <c r="G230" i="74"/>
  <c r="G226" i="74"/>
  <c r="G237" i="74"/>
  <c r="G217" i="74"/>
  <c r="G249" i="74"/>
  <c r="G233" i="74"/>
  <c r="G245" i="74"/>
  <c r="G229" i="74"/>
  <c r="G241" i="74"/>
  <c r="G225" i="74"/>
  <c r="T18" i="57" l="1"/>
  <c r="T17" i="57"/>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M7" i="68"/>
  <c r="S22" i="72"/>
  <c r="S18" i="72"/>
  <c r="S17" i="72"/>
  <c r="K23" i="53"/>
  <c r="R23" i="53"/>
  <c r="K22" i="53"/>
  <c r="I87" i="53" s="1"/>
  <c r="T53" i="72"/>
  <c r="T52" i="72"/>
  <c r="P39" i="53"/>
  <c r="P38" i="53"/>
  <c r="P37" i="53"/>
  <c r="P36" i="53"/>
  <c r="P35" i="53"/>
  <c r="I85" i="53" l="1"/>
  <c r="M51" i="53"/>
  <c r="K51" i="53"/>
  <c r="L51" i="53" s="1"/>
  <c r="K39" i="53"/>
  <c r="L39" i="53" s="1"/>
  <c r="O39" i="53" s="1"/>
  <c r="K38" i="53"/>
  <c r="L38" i="53" s="1"/>
  <c r="O38" i="53" s="1"/>
  <c r="K37" i="53" l="1"/>
  <c r="L37" i="53" s="1"/>
  <c r="O37" i="53" s="1"/>
  <c r="O51" i="53"/>
  <c r="K36" i="53"/>
  <c r="L36" i="53" s="1"/>
  <c r="O36" i="53" s="1"/>
  <c r="L35" i="53" l="1"/>
  <c r="O35" i="53" s="1"/>
  <c r="Q39" i="53" l="1"/>
  <c r="Q36" i="53"/>
  <c r="Q37" i="53"/>
  <c r="Q38" i="53"/>
  <c r="H27" i="29"/>
  <c r="P67" i="72"/>
  <c r="J67" i="72"/>
  <c r="E67" i="72"/>
  <c r="T74" i="72"/>
  <c r="W7" i="72"/>
  <c r="V26" i="72"/>
  <c r="A27" i="72"/>
  <c r="A26" i="72"/>
  <c r="D14" i="53"/>
  <c r="Y24" i="10"/>
  <c r="Z24" i="10"/>
  <c r="Y25" i="10"/>
  <c r="Z25" i="10"/>
  <c r="Y26" i="10"/>
  <c r="Z26" i="10"/>
  <c r="L43" i="11"/>
  <c r="AB43" i="11"/>
  <c r="AS41" i="11"/>
  <c r="AS121" i="11"/>
  <c r="AS122" i="11"/>
  <c r="AS123" i="11"/>
  <c r="AO121" i="11"/>
  <c r="AB122" i="11"/>
  <c r="AB123" i="11"/>
  <c r="X121" i="11"/>
  <c r="L121" i="11"/>
  <c r="L122" i="11"/>
  <c r="L123" i="11"/>
  <c r="H121" i="11"/>
  <c r="AN115" i="11"/>
  <c r="W115" i="11"/>
  <c r="G114" i="11"/>
  <c r="L32" i="8"/>
  <c r="U32" i="66"/>
  <c r="U36" i="66"/>
  <c r="O42" i="53" l="1"/>
  <c r="I67" i="53" s="1"/>
  <c r="J67" i="53" s="1"/>
  <c r="Q35" i="53"/>
  <c r="AB121" i="11"/>
  <c r="Q42" i="53" l="1"/>
  <c r="I68" i="53" s="1"/>
  <c r="L68" i="53" s="1" a="1"/>
  <c r="L68" i="53" s="1"/>
  <c r="K24" i="53"/>
  <c r="I86" i="53" s="1"/>
  <c r="I92" i="53" s="1"/>
  <c r="L67" i="53" a="1"/>
  <c r="L67" i="53" s="1"/>
  <c r="M67" i="53" a="1"/>
  <c r="M67" i="53" s="1"/>
  <c r="Q67" i="53" s="1"/>
  <c r="AI57" i="8"/>
  <c r="U57" i="8"/>
  <c r="F306" i="8" s="1"/>
  <c r="T149" i="72"/>
  <c r="P146" i="72"/>
  <c r="L146" i="72"/>
  <c r="H146" i="72"/>
  <c r="W85" i="72"/>
  <c r="M85" i="72"/>
  <c r="E85" i="72"/>
  <c r="E84" i="72"/>
  <c r="E21" i="72"/>
  <c r="S20" i="72"/>
  <c r="E19" i="72"/>
  <c r="E14" i="72"/>
  <c r="E13" i="72"/>
  <c r="A12" i="72"/>
  <c r="M7" i="72"/>
  <c r="N147" i="72" s="1"/>
  <c r="E7" i="72"/>
  <c r="E6" i="72"/>
  <c r="A27" i="18"/>
  <c r="A26" i="18"/>
  <c r="S22" i="69"/>
  <c r="S18" i="69"/>
  <c r="S17" i="69"/>
  <c r="E21" i="69"/>
  <c r="S20" i="69"/>
  <c r="E19" i="69"/>
  <c r="E14" i="69"/>
  <c r="E13" i="69"/>
  <c r="A12" i="69"/>
  <c r="S22" i="68"/>
  <c r="S18" i="68"/>
  <c r="S17" i="68"/>
  <c r="E21" i="68"/>
  <c r="S20" i="68"/>
  <c r="E19" i="68"/>
  <c r="E14" i="68"/>
  <c r="E13" i="68"/>
  <c r="A12" i="68"/>
  <c r="S22" i="67"/>
  <c r="S18" i="67"/>
  <c r="S17" i="67"/>
  <c r="E21" i="67"/>
  <c r="S20" i="67"/>
  <c r="E19" i="67"/>
  <c r="E14" i="67"/>
  <c r="E13" i="67"/>
  <c r="A12" i="67"/>
  <c r="E21" i="18"/>
  <c r="E19" i="18"/>
  <c r="E14" i="18"/>
  <c r="E13" i="18"/>
  <c r="A12" i="18"/>
  <c r="S22" i="40"/>
  <c r="S18" i="40"/>
  <c r="S17" i="40"/>
  <c r="E21" i="40"/>
  <c r="E19" i="40"/>
  <c r="E14" i="40"/>
  <c r="E13" i="40"/>
  <c r="A12" i="40"/>
  <c r="S20" i="40"/>
  <c r="S22" i="66"/>
  <c r="S18" i="66"/>
  <c r="S17" i="66"/>
  <c r="E21" i="66"/>
  <c r="S20" i="66"/>
  <c r="E19" i="66"/>
  <c r="E14" i="66"/>
  <c r="E13" i="66"/>
  <c r="A12" i="66"/>
  <c r="S22" i="65"/>
  <c r="S18" i="65"/>
  <c r="S17" i="65"/>
  <c r="E21" i="65"/>
  <c r="S20" i="65"/>
  <c r="E19" i="65"/>
  <c r="E14" i="65"/>
  <c r="E13" i="65"/>
  <c r="A12" i="65"/>
  <c r="S22" i="64"/>
  <c r="S18" i="64"/>
  <c r="S17" i="64"/>
  <c r="E21" i="64"/>
  <c r="S20" i="64"/>
  <c r="E19" i="64"/>
  <c r="E14" i="64"/>
  <c r="E13" i="64"/>
  <c r="A12" i="64"/>
  <c r="S22" i="62"/>
  <c r="S18" i="62"/>
  <c r="S17" i="62"/>
  <c r="E21" i="62"/>
  <c r="S20" i="62"/>
  <c r="E19" i="62"/>
  <c r="E14" i="62"/>
  <c r="E13" i="62"/>
  <c r="A12" i="62"/>
  <c r="S22" i="63"/>
  <c r="S18" i="63"/>
  <c r="S17" i="63"/>
  <c r="E21" i="63"/>
  <c r="S20" i="63"/>
  <c r="E19" i="63"/>
  <c r="E14" i="63"/>
  <c r="E13" i="63"/>
  <c r="A12" i="63"/>
  <c r="S22" i="58"/>
  <c r="S18" i="58"/>
  <c r="S17" i="58"/>
  <c r="E21" i="58"/>
  <c r="S20" i="58"/>
  <c r="E19" i="58"/>
  <c r="E14" i="58"/>
  <c r="E13" i="58"/>
  <c r="A12" i="58"/>
  <c r="S22" i="50"/>
  <c r="S18" i="50"/>
  <c r="S17" i="50"/>
  <c r="E21" i="50"/>
  <c r="S20" i="50"/>
  <c r="E19" i="50"/>
  <c r="E14" i="50"/>
  <c r="E13" i="50"/>
  <c r="A12" i="50"/>
  <c r="S22" i="55"/>
  <c r="S18" i="55"/>
  <c r="S17" i="55"/>
  <c r="E21" i="55"/>
  <c r="S20" i="55"/>
  <c r="E19" i="55"/>
  <c r="E14" i="55"/>
  <c r="E13" i="55"/>
  <c r="A12" i="55"/>
  <c r="T22" i="56"/>
  <c r="T18" i="56"/>
  <c r="T17" i="56"/>
  <c r="E21" i="56"/>
  <c r="T20" i="56"/>
  <c r="E19" i="56"/>
  <c r="E14" i="56"/>
  <c r="E13" i="56"/>
  <c r="A12" i="56"/>
  <c r="E21" i="57"/>
  <c r="E19" i="57"/>
  <c r="E14" i="57"/>
  <c r="E13" i="57"/>
  <c r="A12" i="57"/>
  <c r="N55" i="56"/>
  <c r="J68" i="53" l="1"/>
  <c r="I76" i="53" s="1"/>
  <c r="M68" i="53" a="1"/>
  <c r="M68" i="53" s="1"/>
  <c r="Q68" i="53" s="1"/>
  <c r="I77" i="53" s="1"/>
  <c r="J147" i="72"/>
  <c r="R147" i="72"/>
  <c r="M7" i="56"/>
  <c r="E7" i="56"/>
  <c r="E6" i="56"/>
  <c r="W85" i="58"/>
  <c r="W156" i="58"/>
  <c r="M156" i="58"/>
  <c r="E156" i="58"/>
  <c r="E155" i="58"/>
  <c r="M85" i="58"/>
  <c r="E85" i="58"/>
  <c r="E84" i="58"/>
  <c r="E7" i="58"/>
  <c r="E6" i="58"/>
  <c r="W85" i="64"/>
  <c r="T74" i="40"/>
  <c r="W7" i="66"/>
  <c r="W83" i="66"/>
  <c r="W7" i="69"/>
  <c r="W84" i="69"/>
  <c r="P67" i="69"/>
  <c r="J67" i="69"/>
  <c r="E67" i="69"/>
  <c r="M84" i="69"/>
  <c r="E84" i="69"/>
  <c r="E83" i="69"/>
  <c r="T74" i="69"/>
  <c r="V26" i="69"/>
  <c r="A27" i="69"/>
  <c r="A26" i="69"/>
  <c r="M7" i="69"/>
  <c r="E7" i="69"/>
  <c r="E6" i="69"/>
  <c r="J90" i="25"/>
  <c r="J89" i="25"/>
  <c r="J88" i="25"/>
  <c r="J84" i="25"/>
  <c r="J83" i="25"/>
  <c r="J82" i="25"/>
  <c r="I78" i="53" l="1"/>
  <c r="G81" i="53" a="1"/>
  <c r="G81" i="53" s="1"/>
  <c r="L50" i="25"/>
  <c r="L49" i="25"/>
  <c r="L48" i="25"/>
  <c r="L47" i="25"/>
  <c r="L46" i="25"/>
  <c r="L45" i="25"/>
  <c r="L44" i="25"/>
  <c r="L43" i="25"/>
  <c r="L42" i="25"/>
  <c r="L41" i="25"/>
  <c r="L40" i="25"/>
  <c r="L39" i="25"/>
  <c r="L38" i="25"/>
  <c r="L37" i="25"/>
  <c r="L36" i="25"/>
  <c r="L35" i="25"/>
  <c r="L34" i="25"/>
  <c r="L33" i="25"/>
  <c r="L32" i="25"/>
  <c r="L31" i="25"/>
  <c r="L30" i="25"/>
  <c r="L29" i="25"/>
  <c r="L28" i="25"/>
  <c r="L27" i="25"/>
  <c r="L26" i="25"/>
  <c r="T50" i="25"/>
  <c r="T49" i="25"/>
  <c r="T48" i="25"/>
  <c r="T47" i="25"/>
  <c r="T46" i="25"/>
  <c r="T45" i="25"/>
  <c r="T44" i="25"/>
  <c r="T43" i="25"/>
  <c r="T42" i="25"/>
  <c r="T41" i="25"/>
  <c r="T40" i="25"/>
  <c r="T39" i="25"/>
  <c r="T38" i="25"/>
  <c r="T37" i="25"/>
  <c r="T36" i="25"/>
  <c r="T35" i="25"/>
  <c r="T34" i="25"/>
  <c r="T33" i="25"/>
  <c r="T32" i="25"/>
  <c r="T31" i="25"/>
  <c r="T30" i="25"/>
  <c r="T29" i="25"/>
  <c r="T28" i="25"/>
  <c r="T27" i="25"/>
  <c r="T26" i="25"/>
  <c r="P57" i="25"/>
  <c r="P56" i="25"/>
  <c r="P55" i="25"/>
  <c r="P54" i="25"/>
  <c r="P53" i="25"/>
  <c r="P52" i="25"/>
  <c r="P51" i="25"/>
  <c r="P50" i="25"/>
  <c r="P49" i="25"/>
  <c r="P48" i="25"/>
  <c r="P47" i="25"/>
  <c r="P46" i="25"/>
  <c r="P45" i="25"/>
  <c r="P44" i="25"/>
  <c r="P43" i="25"/>
  <c r="P42" i="25"/>
  <c r="P41" i="25"/>
  <c r="P40" i="25"/>
  <c r="P39" i="25"/>
  <c r="P38" i="25"/>
  <c r="P37" i="25"/>
  <c r="P36" i="25"/>
  <c r="P35" i="25"/>
  <c r="P34" i="25"/>
  <c r="P33" i="25"/>
  <c r="P32" i="25"/>
  <c r="P31" i="25"/>
  <c r="P30" i="25"/>
  <c r="P29" i="25"/>
  <c r="P28" i="25"/>
  <c r="P27" i="25"/>
  <c r="P26" i="25"/>
  <c r="N20" i="25"/>
  <c r="M20" i="25"/>
  <c r="L20" i="25"/>
  <c r="N17" i="25"/>
  <c r="M17" i="25"/>
  <c r="L17" i="25"/>
  <c r="AB39" i="69"/>
  <c r="AB38" i="69"/>
  <c r="AB36" i="69"/>
  <c r="P67" i="68"/>
  <c r="R146" i="68" s="1"/>
  <c r="J67" i="68"/>
  <c r="N146" i="68" s="1"/>
  <c r="E67" i="68"/>
  <c r="J146" i="68" s="1"/>
  <c r="A27" i="68"/>
  <c r="A26" i="68"/>
  <c r="T74" i="68"/>
  <c r="T148" i="68" s="1"/>
  <c r="V26" i="68"/>
  <c r="W7" i="68"/>
  <c r="AB48" i="68"/>
  <c r="AB47" i="68"/>
  <c r="AB45" i="68"/>
  <c r="W85" i="68"/>
  <c r="M85" i="68"/>
  <c r="E85" i="68"/>
  <c r="E84" i="68"/>
  <c r="E7" i="68"/>
  <c r="E6" i="68"/>
  <c r="F77" i="22"/>
  <c r="AA39" i="67"/>
  <c r="AA38" i="67"/>
  <c r="AA36" i="67"/>
  <c r="P67" i="67"/>
  <c r="R215" i="67" s="1"/>
  <c r="J67" i="67"/>
  <c r="E67" i="67"/>
  <c r="J215" i="67" s="1"/>
  <c r="T74" i="67"/>
  <c r="V26" i="67"/>
  <c r="A27" i="67"/>
  <c r="A87" i="67" s="1"/>
  <c r="A26" i="67"/>
  <c r="A86" i="67" s="1"/>
  <c r="W7" i="67"/>
  <c r="W155" i="67"/>
  <c r="M155" i="67"/>
  <c r="E155" i="67"/>
  <c r="E154" i="67"/>
  <c r="W84" i="67"/>
  <c r="M84" i="67"/>
  <c r="E84" i="67"/>
  <c r="E83" i="67"/>
  <c r="M7" i="67"/>
  <c r="E7" i="67"/>
  <c r="E6" i="67"/>
  <c r="J237" i="38"/>
  <c r="J236" i="38"/>
  <c r="J235" i="38"/>
  <c r="J234" i="38"/>
  <c r="J233" i="38"/>
  <c r="J232" i="38"/>
  <c r="J231" i="38"/>
  <c r="J230" i="38"/>
  <c r="J229" i="38"/>
  <c r="J228" i="38"/>
  <c r="J227" i="38"/>
  <c r="J226" i="38"/>
  <c r="J225" i="38"/>
  <c r="J224" i="38"/>
  <c r="J223" i="38"/>
  <c r="J222" i="38"/>
  <c r="J221" i="38"/>
  <c r="J220" i="38"/>
  <c r="J219" i="38"/>
  <c r="J218" i="38"/>
  <c r="J217" i="38"/>
  <c r="J216" i="38"/>
  <c r="J215" i="38"/>
  <c r="J214" i="38"/>
  <c r="J213" i="38"/>
  <c r="J212" i="38"/>
  <c r="J211" i="38"/>
  <c r="J210" i="38"/>
  <c r="J209" i="38"/>
  <c r="C237" i="38"/>
  <c r="C236" i="38"/>
  <c r="C235" i="38"/>
  <c r="C234" i="38"/>
  <c r="C233" i="38"/>
  <c r="C232" i="38"/>
  <c r="C231" i="38"/>
  <c r="C230" i="38"/>
  <c r="C229" i="38"/>
  <c r="C228" i="38"/>
  <c r="C227" i="38"/>
  <c r="C226" i="38"/>
  <c r="C225" i="38"/>
  <c r="C224" i="38"/>
  <c r="C223" i="38"/>
  <c r="C222" i="38"/>
  <c r="C221" i="38"/>
  <c r="C220" i="38"/>
  <c r="C219" i="38"/>
  <c r="C218" i="38"/>
  <c r="C217" i="38"/>
  <c r="C216" i="38"/>
  <c r="C215" i="38"/>
  <c r="C214" i="38"/>
  <c r="C213" i="38"/>
  <c r="C212" i="38"/>
  <c r="C211" i="38"/>
  <c r="C210" i="38"/>
  <c r="C209" i="38"/>
  <c r="J175" i="38"/>
  <c r="J174" i="38"/>
  <c r="J173" i="38"/>
  <c r="J172" i="38"/>
  <c r="J171" i="38"/>
  <c r="J170" i="38"/>
  <c r="J169" i="38"/>
  <c r="J168" i="38"/>
  <c r="J167" i="38"/>
  <c r="J166" i="38"/>
  <c r="J165" i="38"/>
  <c r="J164" i="38"/>
  <c r="J163" i="38"/>
  <c r="J162" i="38"/>
  <c r="J161" i="38"/>
  <c r="J160" i="38"/>
  <c r="J159" i="38"/>
  <c r="J158" i="38"/>
  <c r="J157" i="38"/>
  <c r="J156" i="38"/>
  <c r="J155" i="38"/>
  <c r="J154" i="38"/>
  <c r="J153" i="38"/>
  <c r="J152" i="38"/>
  <c r="J151" i="38"/>
  <c r="J150" i="38"/>
  <c r="J149" i="38"/>
  <c r="J148" i="38"/>
  <c r="J147" i="38"/>
  <c r="J146" i="38"/>
  <c r="C182" i="38"/>
  <c r="C181" i="38"/>
  <c r="C180" i="38"/>
  <c r="C179" i="38"/>
  <c r="C178" i="38"/>
  <c r="C177" i="38"/>
  <c r="C176" i="38"/>
  <c r="C175" i="38"/>
  <c r="C174" i="38"/>
  <c r="C173" i="38"/>
  <c r="C172" i="38"/>
  <c r="C171" i="38"/>
  <c r="C170" i="38"/>
  <c r="C169" i="38"/>
  <c r="C168" i="38"/>
  <c r="C167" i="38"/>
  <c r="C166" i="38"/>
  <c r="C165" i="38"/>
  <c r="C164" i="38"/>
  <c r="C163" i="38"/>
  <c r="C162" i="38"/>
  <c r="C161" i="38"/>
  <c r="C160" i="38"/>
  <c r="C159" i="38"/>
  <c r="C158" i="38"/>
  <c r="C157" i="38"/>
  <c r="C156" i="38"/>
  <c r="C155" i="38"/>
  <c r="C154" i="38"/>
  <c r="C153" i="38"/>
  <c r="C152" i="38"/>
  <c r="C151" i="38"/>
  <c r="C150" i="38"/>
  <c r="C149" i="38"/>
  <c r="C148" i="38"/>
  <c r="C147" i="38"/>
  <c r="C146" i="38"/>
  <c r="J121" i="38"/>
  <c r="J120" i="38"/>
  <c r="J119" i="38"/>
  <c r="J118" i="38"/>
  <c r="J117" i="38"/>
  <c r="J116" i="38"/>
  <c r="J115" i="38"/>
  <c r="J114" i="38"/>
  <c r="J113" i="38"/>
  <c r="J112" i="38"/>
  <c r="J111" i="38"/>
  <c r="J110" i="38"/>
  <c r="J109" i="38"/>
  <c r="J108" i="38"/>
  <c r="J107" i="38"/>
  <c r="J106" i="38"/>
  <c r="J105" i="38"/>
  <c r="J104" i="38"/>
  <c r="J103" i="38"/>
  <c r="J102" i="38"/>
  <c r="J101" i="38"/>
  <c r="J100" i="38"/>
  <c r="J99" i="38"/>
  <c r="J98" i="38"/>
  <c r="J97" i="38"/>
  <c r="J96" i="38"/>
  <c r="J95" i="38"/>
  <c r="J94" i="38"/>
  <c r="J93" i="38"/>
  <c r="J92" i="38"/>
  <c r="J91" i="38"/>
  <c r="J90" i="38"/>
  <c r="J89" i="38"/>
  <c r="J88" i="38"/>
  <c r="J87" i="38"/>
  <c r="J86" i="38"/>
  <c r="J85" i="38"/>
  <c r="C121" i="38"/>
  <c r="C120" i="38"/>
  <c r="C119" i="38"/>
  <c r="C118" i="38"/>
  <c r="C117" i="38"/>
  <c r="C116" i="38"/>
  <c r="C115" i="38"/>
  <c r="C114" i="38"/>
  <c r="C113" i="38"/>
  <c r="C112" i="38"/>
  <c r="C111" i="38"/>
  <c r="C110" i="38"/>
  <c r="C109" i="38"/>
  <c r="C108" i="38"/>
  <c r="C107" i="38"/>
  <c r="C106" i="38"/>
  <c r="C105" i="38"/>
  <c r="C104" i="38"/>
  <c r="C103" i="38"/>
  <c r="C102" i="38"/>
  <c r="C101" i="38"/>
  <c r="C100" i="38"/>
  <c r="C99" i="38"/>
  <c r="C98" i="38"/>
  <c r="C97" i="38"/>
  <c r="C96" i="38"/>
  <c r="C95" i="38"/>
  <c r="C94" i="38"/>
  <c r="C93" i="38"/>
  <c r="C92" i="38"/>
  <c r="C91" i="38"/>
  <c r="C90" i="38"/>
  <c r="C89" i="38"/>
  <c r="C88" i="38"/>
  <c r="C87" i="38"/>
  <c r="C86" i="38"/>
  <c r="C85" i="38"/>
  <c r="R146" i="69"/>
  <c r="M146" i="69"/>
  <c r="J146" i="69"/>
  <c r="P145" i="69"/>
  <c r="L145" i="69"/>
  <c r="H145" i="69"/>
  <c r="T148" i="69"/>
  <c r="P145" i="68"/>
  <c r="L145" i="68"/>
  <c r="H145" i="68"/>
  <c r="N215" i="67"/>
  <c r="P214" i="67"/>
  <c r="L214" i="67"/>
  <c r="H214" i="67"/>
  <c r="T145" i="67"/>
  <c r="T217" i="67" s="1"/>
  <c r="AA16" i="40"/>
  <c r="AA15" i="40"/>
  <c r="AA13" i="40"/>
  <c r="E84" i="18"/>
  <c r="W85" i="40"/>
  <c r="W7" i="40"/>
  <c r="E84" i="40"/>
  <c r="M85" i="40"/>
  <c r="E85" i="40"/>
  <c r="M7" i="40"/>
  <c r="E7" i="40"/>
  <c r="E6" i="40"/>
  <c r="C150" i="14"/>
  <c r="C148" i="14"/>
  <c r="C149" i="14"/>
  <c r="Y47" i="14"/>
  <c r="Y46" i="14"/>
  <c r="Y45" i="14"/>
  <c r="E46" i="14"/>
  <c r="D47" i="14"/>
  <c r="R236" i="8"/>
  <c r="W155" i="66"/>
  <c r="M155" i="66"/>
  <c r="E155" i="66"/>
  <c r="E154" i="66"/>
  <c r="M83" i="66"/>
  <c r="E83" i="66"/>
  <c r="E82" i="66"/>
  <c r="P66" i="66"/>
  <c r="R216" i="66" s="1"/>
  <c r="J66" i="66"/>
  <c r="N216" i="66" s="1"/>
  <c r="E66" i="66"/>
  <c r="J216" i="66" s="1"/>
  <c r="A27" i="66"/>
  <c r="A86" i="66" s="1"/>
  <c r="A26" i="66"/>
  <c r="A85" i="66" s="1"/>
  <c r="T218" i="66"/>
  <c r="T145" i="66"/>
  <c r="V85" i="66"/>
  <c r="T73" i="66"/>
  <c r="V26" i="66"/>
  <c r="M7" i="66"/>
  <c r="E7" i="66"/>
  <c r="E6" i="66"/>
  <c r="W7" i="18"/>
  <c r="AB37" i="66"/>
  <c r="AB36" i="66"/>
  <c r="AB34" i="66"/>
  <c r="P215" i="66"/>
  <c r="L215" i="66"/>
  <c r="H215" i="66"/>
  <c r="W84" i="65" l="1"/>
  <c r="W157" i="65"/>
  <c r="M157" i="65"/>
  <c r="E157" i="65"/>
  <c r="E156" i="65"/>
  <c r="M84" i="65"/>
  <c r="E84" i="65"/>
  <c r="E83" i="65"/>
  <c r="P66" i="65"/>
  <c r="R217" i="65" s="1"/>
  <c r="J66" i="65"/>
  <c r="N217" i="65" s="1"/>
  <c r="E66" i="65"/>
  <c r="J217" i="65" s="1"/>
  <c r="T146" i="65"/>
  <c r="T219" i="65" s="1"/>
  <c r="V86" i="65"/>
  <c r="T73" i="65"/>
  <c r="V26" i="65"/>
  <c r="V32" i="65"/>
  <c r="A27" i="65"/>
  <c r="A87" i="65" s="1"/>
  <c r="A26" i="65"/>
  <c r="A86" i="65" s="1"/>
  <c r="W7" i="65"/>
  <c r="M7" i="65"/>
  <c r="E7" i="65"/>
  <c r="E6" i="65"/>
  <c r="AA50" i="65"/>
  <c r="AA49" i="65"/>
  <c r="AA47" i="65"/>
  <c r="P216" i="65"/>
  <c r="L216" i="65"/>
  <c r="P337" i="19" l="1"/>
  <c r="Q335" i="19"/>
  <c r="P335" i="19"/>
  <c r="T305" i="19" s="1"/>
  <c r="P68" i="64"/>
  <c r="J68" i="64"/>
  <c r="N147" i="64" s="1"/>
  <c r="E68" i="64"/>
  <c r="M85" i="64"/>
  <c r="E85" i="64"/>
  <c r="E84" i="64"/>
  <c r="W7" i="64"/>
  <c r="AA38" i="64"/>
  <c r="AA41" i="64"/>
  <c r="AA40" i="64"/>
  <c r="M7" i="64"/>
  <c r="E7" i="64"/>
  <c r="E6" i="64"/>
  <c r="T75" i="64"/>
  <c r="T149" i="64" s="1"/>
  <c r="V26" i="64"/>
  <c r="A27" i="64"/>
  <c r="A26" i="64"/>
  <c r="R147" i="64"/>
  <c r="J147" i="64"/>
  <c r="P146" i="64"/>
  <c r="L146" i="64"/>
  <c r="H146" i="64"/>
  <c r="W85" i="62" l="1"/>
  <c r="P67" i="62"/>
  <c r="J67" i="62"/>
  <c r="N147" i="62" s="1"/>
  <c r="E67" i="62"/>
  <c r="J147" i="62" s="1"/>
  <c r="E6" i="18"/>
  <c r="E6" i="62"/>
  <c r="E84" i="62"/>
  <c r="M85" i="62"/>
  <c r="E85" i="62"/>
  <c r="W7" i="62"/>
  <c r="M7" i="62"/>
  <c r="E7" i="62"/>
  <c r="AA45" i="62"/>
  <c r="AA44" i="62"/>
  <c r="AA42" i="62"/>
  <c r="W85" i="63"/>
  <c r="M85" i="63"/>
  <c r="E85" i="63"/>
  <c r="E84" i="63"/>
  <c r="E6" i="63"/>
  <c r="W7" i="63"/>
  <c r="M7" i="63"/>
  <c r="E7" i="63"/>
  <c r="W85" i="18"/>
  <c r="M85" i="18"/>
  <c r="E85" i="18"/>
  <c r="M7" i="18"/>
  <c r="E7" i="18"/>
  <c r="P67" i="63"/>
  <c r="J67" i="63"/>
  <c r="E67" i="63"/>
  <c r="AA43" i="63"/>
  <c r="AA42" i="63"/>
  <c r="AA40" i="63"/>
  <c r="W7" i="58"/>
  <c r="M7" i="58"/>
  <c r="P67" i="58"/>
  <c r="J67" i="58"/>
  <c r="E67" i="58"/>
  <c r="AB47" i="58"/>
  <c r="AB49" i="58"/>
  <c r="AB50" i="58"/>
  <c r="P66" i="57"/>
  <c r="J66" i="57"/>
  <c r="E66" i="57"/>
  <c r="X7" i="57"/>
  <c r="X7" i="56"/>
  <c r="W7" i="55"/>
  <c r="W7" i="50"/>
  <c r="P67" i="50"/>
  <c r="J67" i="50"/>
  <c r="E67" i="50"/>
  <c r="AB39" i="56"/>
  <c r="AA35" i="55"/>
  <c r="AA65" i="50"/>
  <c r="AA64" i="50"/>
  <c r="AA62" i="50"/>
  <c r="M7" i="50"/>
  <c r="E7" i="50"/>
  <c r="E6" i="50"/>
  <c r="P67" i="56"/>
  <c r="J67" i="56"/>
  <c r="E67" i="56"/>
  <c r="P67" i="55"/>
  <c r="J67" i="55"/>
  <c r="E67" i="55"/>
  <c r="E85" i="55"/>
  <c r="E84" i="55"/>
  <c r="E7" i="55"/>
  <c r="E6" i="55"/>
  <c r="W85" i="55"/>
  <c r="M85" i="55"/>
  <c r="M7" i="55"/>
  <c r="AA34" i="55"/>
  <c r="AA32" i="55"/>
  <c r="D87" i="20"/>
  <c r="C87" i="20"/>
  <c r="D115" i="20" s="1"/>
  <c r="AB42" i="57"/>
  <c r="AB36" i="56"/>
  <c r="AB38" i="56"/>
  <c r="AB39" i="57"/>
  <c r="E6" i="57"/>
  <c r="M7" i="57"/>
  <c r="E7" i="57"/>
  <c r="S17" i="18"/>
  <c r="S18" i="18"/>
  <c r="S22" i="18"/>
  <c r="S20" i="18"/>
  <c r="U73" i="57"/>
  <c r="AB41" i="57"/>
  <c r="T74" i="63"/>
  <c r="T149" i="63" s="1"/>
  <c r="V26" i="63"/>
  <c r="A27" i="63"/>
  <c r="A26" i="63"/>
  <c r="R147" i="63"/>
  <c r="N147" i="63"/>
  <c r="J147" i="63"/>
  <c r="P146" i="63"/>
  <c r="L146" i="63"/>
  <c r="H146" i="63"/>
  <c r="T74" i="62"/>
  <c r="T149" i="62" s="1"/>
  <c r="V26" i="62"/>
  <c r="A27" i="62"/>
  <c r="A26" i="62"/>
  <c r="R147" i="62"/>
  <c r="P146" i="62"/>
  <c r="L146" i="62"/>
  <c r="H146" i="62"/>
  <c r="E87" i="20" l="1"/>
  <c r="D116" i="20" s="1"/>
  <c r="G113" i="20" l="1"/>
  <c r="H113" i="20" l="1"/>
  <c r="G116" i="20" s="1"/>
  <c r="L43" i="59"/>
  <c r="J43" i="59"/>
  <c r="H43" i="59"/>
  <c r="A28" i="59"/>
  <c r="A27" i="59"/>
  <c r="T23" i="59"/>
  <c r="T19" i="59"/>
  <c r="T18" i="59"/>
  <c r="T75" i="59"/>
  <c r="T220" i="59" s="1"/>
  <c r="V27" i="59"/>
  <c r="C148" i="60"/>
  <c r="B99" i="59" s="1"/>
  <c r="G99" i="59" s="1"/>
  <c r="C147" i="60"/>
  <c r="B98" i="59" s="1"/>
  <c r="C146" i="60"/>
  <c r="B97" i="59" s="1"/>
  <c r="T134" i="60"/>
  <c r="D128" i="60"/>
  <c r="D135" i="60" s="1"/>
  <c r="G111" i="60"/>
  <c r="G110" i="60"/>
  <c r="R83" i="60"/>
  <c r="P83" i="60"/>
  <c r="L83" i="60"/>
  <c r="J83" i="60"/>
  <c r="F83" i="60"/>
  <c r="D83" i="60"/>
  <c r="R82" i="60"/>
  <c r="P82" i="60"/>
  <c r="L82" i="60"/>
  <c r="J82" i="60"/>
  <c r="F82" i="60"/>
  <c r="D82" i="60"/>
  <c r="R81" i="60"/>
  <c r="P81" i="60"/>
  <c r="L81" i="60"/>
  <c r="J81" i="60"/>
  <c r="F81" i="60"/>
  <c r="D81" i="60"/>
  <c r="R80" i="60"/>
  <c r="P80" i="60"/>
  <c r="O111" i="60" s="1"/>
  <c r="O112" i="60" s="1"/>
  <c r="L80" i="60"/>
  <c r="J80" i="60"/>
  <c r="I111" i="60" s="1"/>
  <c r="I112" i="60" s="1"/>
  <c r="F80" i="60"/>
  <c r="D80" i="60"/>
  <c r="C112" i="60" s="1"/>
  <c r="R79" i="60"/>
  <c r="P79" i="60"/>
  <c r="L79" i="60"/>
  <c r="J79" i="60"/>
  <c r="F79" i="60"/>
  <c r="D79" i="60"/>
  <c r="R78" i="60"/>
  <c r="P78" i="60"/>
  <c r="O107" i="60" s="1"/>
  <c r="O108" i="60" s="1"/>
  <c r="L78" i="60"/>
  <c r="J78" i="60"/>
  <c r="I107" i="60" s="1"/>
  <c r="I108" i="60" s="1"/>
  <c r="F78" i="60"/>
  <c r="D78" i="60"/>
  <c r="C107" i="60" s="1"/>
  <c r="R77" i="60"/>
  <c r="P77" i="60"/>
  <c r="L77" i="60"/>
  <c r="J77" i="60"/>
  <c r="F77" i="60"/>
  <c r="D77" i="60"/>
  <c r="R76" i="60"/>
  <c r="P76" i="60"/>
  <c r="L76" i="60"/>
  <c r="J76" i="60"/>
  <c r="F76" i="60"/>
  <c r="D76" i="60"/>
  <c r="R75" i="60"/>
  <c r="P75" i="60"/>
  <c r="L75" i="60"/>
  <c r="J75" i="60"/>
  <c r="F75" i="60"/>
  <c r="D75" i="60"/>
  <c r="R74" i="60"/>
  <c r="P74" i="60"/>
  <c r="L74" i="60"/>
  <c r="J74" i="60"/>
  <c r="F74" i="60"/>
  <c r="D74" i="60"/>
  <c r="R73" i="60"/>
  <c r="P73" i="60"/>
  <c r="L73" i="60"/>
  <c r="J73" i="60"/>
  <c r="F73" i="60"/>
  <c r="D73" i="60"/>
  <c r="D84" i="60" s="1"/>
  <c r="E67" i="60"/>
  <c r="K50" i="60"/>
  <c r="K51" i="60" s="1"/>
  <c r="K52" i="60" s="1"/>
  <c r="K41" i="60" s="1"/>
  <c r="J50" i="60"/>
  <c r="J51" i="60" s="1"/>
  <c r="I50" i="60"/>
  <c r="I51" i="60" s="1"/>
  <c r="H50" i="60"/>
  <c r="H51" i="60" s="1"/>
  <c r="G50" i="60"/>
  <c r="G51" i="60" s="1"/>
  <c r="G52" i="60" s="1"/>
  <c r="G41" i="60" s="1"/>
  <c r="F50" i="60"/>
  <c r="F51" i="60" s="1"/>
  <c r="K48" i="60"/>
  <c r="J48" i="60"/>
  <c r="I48" i="60"/>
  <c r="H48" i="60"/>
  <c r="G48" i="60"/>
  <c r="F48" i="60"/>
  <c r="H44" i="60"/>
  <c r="K38" i="60"/>
  <c r="J38" i="60"/>
  <c r="I38" i="60"/>
  <c r="H38" i="60"/>
  <c r="G38" i="60"/>
  <c r="F38" i="60"/>
  <c r="K37" i="60"/>
  <c r="J37" i="60"/>
  <c r="I37" i="60"/>
  <c r="H37" i="60"/>
  <c r="G37" i="60"/>
  <c r="F37" i="60"/>
  <c r="K35" i="60"/>
  <c r="K36" i="60" s="1"/>
  <c r="J35" i="60"/>
  <c r="J36" i="60" s="1"/>
  <c r="I35" i="60"/>
  <c r="I36" i="60" s="1"/>
  <c r="H35" i="60"/>
  <c r="H36" i="60" s="1"/>
  <c r="G35" i="60"/>
  <c r="G36" i="60" s="1"/>
  <c r="F35" i="60"/>
  <c r="F36" i="60" s="1"/>
  <c r="Z26" i="60"/>
  <c r="Y26" i="60"/>
  <c r="Z25" i="60"/>
  <c r="I39" i="60" s="1"/>
  <c r="Y25" i="60"/>
  <c r="Z24" i="60"/>
  <c r="Y24" i="60"/>
  <c r="E20" i="60"/>
  <c r="P18" i="60"/>
  <c r="F17" i="60" s="1"/>
  <c r="P17" i="60"/>
  <c r="D14" i="60"/>
  <c r="J218" i="59"/>
  <c r="R148" i="59"/>
  <c r="R218" i="59" s="1"/>
  <c r="N148" i="59"/>
  <c r="N218" i="59" s="1"/>
  <c r="J148" i="59"/>
  <c r="P147" i="59"/>
  <c r="P217" i="59" s="1"/>
  <c r="L147" i="59"/>
  <c r="L217" i="59" s="1"/>
  <c r="H147" i="59"/>
  <c r="H217" i="59" s="1"/>
  <c r="E22" i="59"/>
  <c r="T21" i="59"/>
  <c r="E20" i="59"/>
  <c r="E15" i="59"/>
  <c r="E14" i="59"/>
  <c r="A13" i="59"/>
  <c r="N7" i="59"/>
  <c r="N86" i="59" s="1"/>
  <c r="N157" i="59" s="1"/>
  <c r="E7" i="59"/>
  <c r="E86" i="59" s="1"/>
  <c r="E157" i="59" s="1"/>
  <c r="E6" i="59"/>
  <c r="E85" i="59" s="1"/>
  <c r="E156" i="59" s="1"/>
  <c r="I52" i="60" l="1"/>
  <c r="I41" i="60" s="1"/>
  <c r="F39" i="60"/>
  <c r="F52" i="60"/>
  <c r="F41" i="60" s="1"/>
  <c r="J52" i="60"/>
  <c r="J41" i="60" s="1"/>
  <c r="D134" i="60"/>
  <c r="F40" i="60"/>
  <c r="J39" i="60"/>
  <c r="J40" i="60" s="1"/>
  <c r="J42" i="60" s="1"/>
  <c r="D99" i="59"/>
  <c r="H52" i="60"/>
  <c r="H41" i="60" s="1"/>
  <c r="I40" i="60"/>
  <c r="I42" i="60" s="1"/>
  <c r="G39" i="60"/>
  <c r="G40" i="60" s="1"/>
  <c r="G42" i="60" s="1"/>
  <c r="K39" i="60"/>
  <c r="K40" i="60" s="1"/>
  <c r="K42" i="60" s="1"/>
  <c r="C108" i="60"/>
  <c r="D133" i="60"/>
  <c r="H39" i="60"/>
  <c r="H40" i="60" s="1"/>
  <c r="C111" i="60"/>
  <c r="T150" i="59"/>
  <c r="F42" i="60" l="1"/>
  <c r="H42" i="60"/>
  <c r="C148" i="10" l="1"/>
  <c r="B98" i="58" s="1"/>
  <c r="C147" i="10"/>
  <c r="B97" i="58" s="1"/>
  <c r="C146" i="10"/>
  <c r="B96" i="58" s="1"/>
  <c r="G111" i="10"/>
  <c r="G110" i="10"/>
  <c r="T74" i="58"/>
  <c r="T219" i="58" s="1"/>
  <c r="V26" i="58"/>
  <c r="D51" i="3"/>
  <c r="D50" i="3"/>
  <c r="D49" i="3"/>
  <c r="D48" i="3"/>
  <c r="D47" i="3"/>
  <c r="D46" i="3"/>
  <c r="D45" i="3"/>
  <c r="D44" i="3"/>
  <c r="D43" i="3"/>
  <c r="D42" i="3"/>
  <c r="D41" i="3"/>
  <c r="D40" i="3"/>
  <c r="D39" i="3"/>
  <c r="D38" i="3"/>
  <c r="D37" i="3"/>
  <c r="D36" i="3"/>
  <c r="D35" i="3"/>
  <c r="D34" i="3"/>
  <c r="D33" i="3"/>
  <c r="D32" i="3"/>
  <c r="D31" i="3"/>
  <c r="D30" i="3"/>
  <c r="D29" i="3"/>
  <c r="D28" i="3"/>
  <c r="D27" i="3"/>
  <c r="L42" i="58"/>
  <c r="J42" i="58"/>
  <c r="H42" i="58"/>
  <c r="A27" i="58"/>
  <c r="A26" i="58"/>
  <c r="R147" i="58"/>
  <c r="R217" i="58" s="1"/>
  <c r="N147" i="58"/>
  <c r="N217" i="58" s="1"/>
  <c r="J147" i="58"/>
  <c r="J217" i="58" s="1"/>
  <c r="P146" i="58"/>
  <c r="P216" i="58" s="1"/>
  <c r="L146" i="58"/>
  <c r="L216" i="58" s="1"/>
  <c r="H146" i="58"/>
  <c r="H216" i="58" s="1"/>
  <c r="T149" i="58" l="1"/>
  <c r="T134" i="10" l="1"/>
  <c r="D128" i="10"/>
  <c r="D135" i="10" s="1"/>
  <c r="D133" i="10" l="1"/>
  <c r="D134" i="10"/>
  <c r="D64" i="3" l="1"/>
  <c r="D63" i="3"/>
  <c r="D62" i="3"/>
  <c r="D61" i="3"/>
  <c r="D60" i="3"/>
  <c r="D59" i="3"/>
  <c r="D58" i="3"/>
  <c r="D57" i="3"/>
  <c r="D56" i="3"/>
  <c r="D55" i="3"/>
  <c r="D54" i="3"/>
  <c r="D53" i="3"/>
  <c r="D52" i="3"/>
  <c r="L113" i="21" l="1"/>
  <c r="A33" i="50"/>
  <c r="A34" i="50"/>
  <c r="A35" i="50"/>
  <c r="A36" i="50"/>
  <c r="A37" i="50"/>
  <c r="A38" i="50"/>
  <c r="A39" i="50"/>
  <c r="C113" i="21"/>
  <c r="D33" i="50" s="1"/>
  <c r="C114" i="21"/>
  <c r="D34" i="50" s="1"/>
  <c r="C115" i="21"/>
  <c r="D35" i="50" s="1"/>
  <c r="C116" i="21"/>
  <c r="D36" i="50" s="1"/>
  <c r="C117" i="21"/>
  <c r="D37" i="50" s="1"/>
  <c r="C118" i="21"/>
  <c r="D38" i="50" s="1"/>
  <c r="C119" i="21"/>
  <c r="D39" i="50" s="1"/>
  <c r="I27" i="29" l="1"/>
  <c r="I28" i="29" s="1"/>
  <c r="I29" i="29" s="1"/>
  <c r="H28" i="29" l="1"/>
  <c r="H29" i="29" s="1"/>
  <c r="L39" i="57" l="1"/>
  <c r="L38" i="57"/>
  <c r="L37" i="57"/>
  <c r="L36" i="57"/>
  <c r="I54" i="29"/>
  <c r="I53" i="29"/>
  <c r="I43" i="29"/>
  <c r="I42" i="29"/>
  <c r="I44" i="29" s="1"/>
  <c r="H42" i="29"/>
  <c r="I45" i="29" l="1"/>
  <c r="C41" i="19" l="1"/>
  <c r="C40" i="19"/>
  <c r="J33" i="19" s="1"/>
  <c r="C39" i="19"/>
  <c r="B28" i="3" l="1"/>
  <c r="B29" i="3" l="1"/>
  <c r="H28" i="3"/>
  <c r="B30" i="3" l="1"/>
  <c r="H29" i="3"/>
  <c r="B31" i="3" l="1"/>
  <c r="H30" i="3"/>
  <c r="B32" i="3" l="1"/>
  <c r="H31" i="3"/>
  <c r="A27" i="57"/>
  <c r="A26" i="57"/>
  <c r="D8" i="29"/>
  <c r="P145" i="57"/>
  <c r="L145" i="57"/>
  <c r="H145" i="57"/>
  <c r="F84" i="57"/>
  <c r="U74" i="56"/>
  <c r="A40" i="56"/>
  <c r="A41" i="56"/>
  <c r="A27" i="56"/>
  <c r="A26" i="56"/>
  <c r="T27" i="56"/>
  <c r="T26" i="56"/>
  <c r="T36" i="20"/>
  <c r="T35" i="20"/>
  <c r="T32" i="20"/>
  <c r="T31" i="20"/>
  <c r="T30" i="20"/>
  <c r="T29" i="20"/>
  <c r="D14" i="20"/>
  <c r="D8" i="20"/>
  <c r="P146" i="56"/>
  <c r="L146" i="56"/>
  <c r="H146" i="56"/>
  <c r="R147" i="56"/>
  <c r="F85" i="56"/>
  <c r="T74" i="55"/>
  <c r="T149" i="55" s="1"/>
  <c r="V26" i="55"/>
  <c r="A27" i="55"/>
  <c r="A26" i="55"/>
  <c r="D167" i="15"/>
  <c r="H33" i="55" s="1"/>
  <c r="D166" i="15"/>
  <c r="H32" i="55" s="1"/>
  <c r="E167" i="15"/>
  <c r="K33" i="55" s="1"/>
  <c r="E166" i="15"/>
  <c r="K32" i="55" s="1"/>
  <c r="P146" i="55"/>
  <c r="L146" i="55"/>
  <c r="H146" i="55"/>
  <c r="J147" i="55"/>
  <c r="D14" i="15"/>
  <c r="P61" i="29"/>
  <c r="H44" i="29"/>
  <c r="H43" i="29"/>
  <c r="B33" i="3" l="1"/>
  <c r="H32" i="3"/>
  <c r="R146" i="57"/>
  <c r="H30" i="29"/>
  <c r="H45" i="29"/>
  <c r="P84" i="57"/>
  <c r="J146" i="57"/>
  <c r="N146" i="57"/>
  <c r="P85" i="56"/>
  <c r="J147" i="56"/>
  <c r="N147" i="56"/>
  <c r="J45" i="29"/>
  <c r="H67" i="29" s="1"/>
  <c r="N147" i="55"/>
  <c r="R147" i="55"/>
  <c r="O37" i="57" l="1"/>
  <c r="C88" i="29"/>
  <c r="B34" i="3"/>
  <c r="H33" i="3"/>
  <c r="I55" i="29"/>
  <c r="J43" i="29"/>
  <c r="J44" i="29"/>
  <c r="G88" i="29" l="1" a="1"/>
  <c r="G88" i="29" s="1"/>
  <c r="F88" i="29" a="1"/>
  <c r="F88" i="29" s="1"/>
  <c r="E88" i="29"/>
  <c r="D88" i="29"/>
  <c r="I57" i="29"/>
  <c r="I58" i="29" s="1"/>
  <c r="I59" i="29" s="1"/>
  <c r="H68" i="29"/>
  <c r="B35" i="3"/>
  <c r="H34" i="3"/>
  <c r="I61" i="29" l="1"/>
  <c r="I60" i="29" s="1"/>
  <c r="C90" i="29"/>
  <c r="O38" i="57"/>
  <c r="B36" i="3"/>
  <c r="H35" i="3"/>
  <c r="T149" i="50"/>
  <c r="T74" i="50"/>
  <c r="V26" i="50"/>
  <c r="A27" i="50"/>
  <c r="A26" i="50"/>
  <c r="D14" i="21"/>
  <c r="P146" i="50"/>
  <c r="L146" i="50"/>
  <c r="H146" i="50"/>
  <c r="N147" i="50"/>
  <c r="F85" i="50"/>
  <c r="P83" i="10"/>
  <c r="P82" i="10"/>
  <c r="P81" i="10"/>
  <c r="P80" i="10"/>
  <c r="O111" i="10" s="1"/>
  <c r="O112" i="10" s="1"/>
  <c r="P79" i="10"/>
  <c r="P78" i="10"/>
  <c r="O107" i="10" s="1"/>
  <c r="O108" i="10" s="1"/>
  <c r="P77" i="10"/>
  <c r="P76" i="10"/>
  <c r="P75" i="10"/>
  <c r="P74" i="10"/>
  <c r="P73" i="10"/>
  <c r="J83" i="10"/>
  <c r="J82" i="10"/>
  <c r="J81" i="10"/>
  <c r="J80" i="10"/>
  <c r="I111" i="10" s="1"/>
  <c r="I112" i="10" s="1"/>
  <c r="J79" i="10"/>
  <c r="J78" i="10"/>
  <c r="I107" i="10" s="1"/>
  <c r="I108" i="10" s="1"/>
  <c r="J77" i="10"/>
  <c r="J76" i="10"/>
  <c r="J75" i="10"/>
  <c r="J74" i="10"/>
  <c r="J73" i="10"/>
  <c r="D83" i="10"/>
  <c r="D82" i="10"/>
  <c r="D81" i="10"/>
  <c r="D80" i="10"/>
  <c r="C112" i="10" s="1"/>
  <c r="D79" i="10"/>
  <c r="D78" i="10"/>
  <c r="C107" i="10" s="1"/>
  <c r="D77" i="10"/>
  <c r="D76" i="10"/>
  <c r="D75" i="10"/>
  <c r="D74" i="10"/>
  <c r="D73" i="10"/>
  <c r="H44" i="10"/>
  <c r="K38" i="10"/>
  <c r="J38" i="10"/>
  <c r="I38" i="10"/>
  <c r="H38" i="10"/>
  <c r="G38" i="10"/>
  <c r="K37" i="10"/>
  <c r="J37" i="10"/>
  <c r="I37" i="10"/>
  <c r="H37" i="10"/>
  <c r="G37" i="10"/>
  <c r="F37" i="10"/>
  <c r="F38" i="10"/>
  <c r="E20" i="10"/>
  <c r="D90" i="29" l="1"/>
  <c r="E90" i="29"/>
  <c r="B37" i="3"/>
  <c r="H36" i="3"/>
  <c r="C108" i="10"/>
  <c r="C111" i="10"/>
  <c r="D84" i="10"/>
  <c r="P85" i="50"/>
  <c r="R147" i="50"/>
  <c r="J147" i="50"/>
  <c r="B38" i="3" l="1"/>
  <c r="H37" i="3"/>
  <c r="K50" i="10"/>
  <c r="K51" i="10" s="1"/>
  <c r="J50" i="10"/>
  <c r="J51" i="10" s="1"/>
  <c r="I50" i="10"/>
  <c r="I51" i="10" s="1"/>
  <c r="H50" i="10"/>
  <c r="H51" i="10" s="1"/>
  <c r="G50" i="10"/>
  <c r="G51" i="10" s="1"/>
  <c r="F50" i="10"/>
  <c r="F51" i="10" s="1"/>
  <c r="K39" i="10"/>
  <c r="I39" i="10"/>
  <c r="H39" i="10"/>
  <c r="K35" i="10"/>
  <c r="K36" i="10" s="1"/>
  <c r="J35" i="10"/>
  <c r="J36" i="10" s="1"/>
  <c r="I35" i="10"/>
  <c r="H35" i="10"/>
  <c r="G35" i="10"/>
  <c r="F35" i="10"/>
  <c r="G39" i="10"/>
  <c r="K48" i="10"/>
  <c r="J48" i="10"/>
  <c r="I48" i="10"/>
  <c r="H48" i="10"/>
  <c r="G48" i="10"/>
  <c r="F48" i="10"/>
  <c r="S20" i="45"/>
  <c r="P17" i="10"/>
  <c r="P18" i="10"/>
  <c r="D14" i="10"/>
  <c r="B39" i="3" l="1"/>
  <c r="H38" i="3"/>
  <c r="J52" i="10"/>
  <c r="J41" i="10" s="1"/>
  <c r="F17" i="10"/>
  <c r="J39" i="10"/>
  <c r="K52" i="10"/>
  <c r="K41" i="10" s="1"/>
  <c r="F39" i="10"/>
  <c r="G52" i="10"/>
  <c r="G41" i="10" s="1"/>
  <c r="F52" i="10"/>
  <c r="F41" i="10" s="1"/>
  <c r="I52" i="10"/>
  <c r="I41" i="10" s="1"/>
  <c r="H52" i="10"/>
  <c r="H41" i="10" s="1"/>
  <c r="B40" i="3" l="1"/>
  <c r="H39" i="3"/>
  <c r="O22" i="45"/>
  <c r="O21" i="45"/>
  <c r="N22" i="45"/>
  <c r="N21" i="45"/>
  <c r="J45" i="45"/>
  <c r="I45" i="45"/>
  <c r="H45" i="45"/>
  <c r="G45" i="45"/>
  <c r="F45" i="45"/>
  <c r="F47" i="45" s="1"/>
  <c r="F48" i="45" s="1"/>
  <c r="F60" i="45" s="1"/>
  <c r="J44" i="45"/>
  <c r="J46" i="45" s="1"/>
  <c r="I44" i="45"/>
  <c r="I46" i="45" s="1"/>
  <c r="H44" i="45"/>
  <c r="H46" i="45" s="1"/>
  <c r="G44" i="45"/>
  <c r="G46" i="45" s="1"/>
  <c r="F44" i="45"/>
  <c r="F46" i="45" s="1"/>
  <c r="I32" i="45"/>
  <c r="H32" i="45"/>
  <c r="I31" i="45"/>
  <c r="H31" i="45"/>
  <c r="J30" i="45"/>
  <c r="J34" i="45" s="1"/>
  <c r="I30" i="45"/>
  <c r="I34" i="45" s="1"/>
  <c r="H30" i="45"/>
  <c r="H34" i="45" s="1"/>
  <c r="G30" i="45"/>
  <c r="G34" i="45" s="1"/>
  <c r="F30" i="45"/>
  <c r="F34" i="45" s="1"/>
  <c r="S21" i="45"/>
  <c r="F16" i="45" s="1"/>
  <c r="J32" i="45"/>
  <c r="J31" i="45"/>
  <c r="D14" i="45"/>
  <c r="O22" i="9"/>
  <c r="O21" i="9"/>
  <c r="N22" i="9"/>
  <c r="N21" i="9"/>
  <c r="H40" i="3" l="1"/>
  <c r="B41" i="3"/>
  <c r="J47" i="45"/>
  <c r="J48" i="45" s="1"/>
  <c r="F64" i="45" s="1"/>
  <c r="G47" i="45"/>
  <c r="G48" i="45" s="1"/>
  <c r="F61" i="45" s="1"/>
  <c r="H47" i="45"/>
  <c r="H48" i="45" s="1"/>
  <c r="F62" i="45" s="1"/>
  <c r="J33" i="45"/>
  <c r="I33" i="45"/>
  <c r="I35" i="45" s="1"/>
  <c r="H33" i="45"/>
  <c r="H35" i="45" s="1"/>
  <c r="J35" i="45"/>
  <c r="J36" i="45" s="1"/>
  <c r="I47" i="45"/>
  <c r="I48" i="45" s="1"/>
  <c r="F63" i="45" s="1"/>
  <c r="F31" i="45"/>
  <c r="F33" i="45" s="1"/>
  <c r="G31" i="45"/>
  <c r="F32" i="45"/>
  <c r="G32" i="45"/>
  <c r="H41" i="3" l="1"/>
  <c r="B42" i="3"/>
  <c r="H36" i="45"/>
  <c r="F20" i="45"/>
  <c r="F21" i="45" s="1"/>
  <c r="G33" i="45"/>
  <c r="G35" i="45" s="1"/>
  <c r="I36" i="45"/>
  <c r="F35" i="45"/>
  <c r="F36" i="45" s="1"/>
  <c r="H42" i="3" l="1"/>
  <c r="B43" i="3"/>
  <c r="G36" i="45"/>
  <c r="B44" i="3" l="1"/>
  <c r="H43" i="3"/>
  <c r="S21" i="9"/>
  <c r="F44" i="9"/>
  <c r="J44" i="9"/>
  <c r="I44" i="9"/>
  <c r="H44" i="9"/>
  <c r="G44" i="9"/>
  <c r="J32" i="9"/>
  <c r="I32" i="9"/>
  <c r="H32" i="9"/>
  <c r="G32" i="9"/>
  <c r="J31" i="9"/>
  <c r="I31" i="9"/>
  <c r="H31" i="9"/>
  <c r="G31" i="9"/>
  <c r="F31" i="9"/>
  <c r="F32" i="9"/>
  <c r="J30" i="9"/>
  <c r="I30" i="9"/>
  <c r="H30" i="9"/>
  <c r="G30" i="9"/>
  <c r="F30" i="9"/>
  <c r="F31" i="20"/>
  <c r="D14" i="9"/>
  <c r="F121" i="8"/>
  <c r="F122" i="8"/>
  <c r="F123" i="8"/>
  <c r="F124" i="8"/>
  <c r="F125" i="8"/>
  <c r="F126" i="8"/>
  <c r="F127" i="8"/>
  <c r="F128" i="8"/>
  <c r="F129" i="8"/>
  <c r="F130" i="8"/>
  <c r="F131" i="8"/>
  <c r="F132" i="8"/>
  <c r="F133" i="8"/>
  <c r="F134" i="8"/>
  <c r="F135" i="8"/>
  <c r="F136" i="8"/>
  <c r="F137" i="8"/>
  <c r="F138" i="8"/>
  <c r="F139" i="8"/>
  <c r="F140" i="8"/>
  <c r="F141" i="8"/>
  <c r="F142" i="8"/>
  <c r="F143" i="8"/>
  <c r="F144" i="8"/>
  <c r="S120" i="8"/>
  <c r="F120" i="8"/>
  <c r="T148" i="40"/>
  <c r="V26" i="40"/>
  <c r="D46" i="14"/>
  <c r="L47" i="38"/>
  <c r="H47" i="38"/>
  <c r="B47" i="38"/>
  <c r="T74" i="18"/>
  <c r="BF28" i="3"/>
  <c r="P332" i="19"/>
  <c r="H44" i="3" l="1"/>
  <c r="B45" i="3"/>
  <c r="U149" i="56"/>
  <c r="U148" i="57"/>
  <c r="J33" i="9"/>
  <c r="F34" i="9"/>
  <c r="I33" i="9"/>
  <c r="H33" i="9"/>
  <c r="G33" i="9"/>
  <c r="F33" i="9"/>
  <c r="F20" i="9"/>
  <c r="F21" i="9" s="1"/>
  <c r="D14" i="19"/>
  <c r="AV288" i="11"/>
  <c r="AT289" i="11"/>
  <c r="AT290" i="11"/>
  <c r="AT291" i="11"/>
  <c r="AT292" i="11"/>
  <c r="AT293" i="11"/>
  <c r="AT294" i="11"/>
  <c r="AT295" i="11"/>
  <c r="AT296" i="11"/>
  <c r="AT297" i="11"/>
  <c r="AT298" i="11"/>
  <c r="AT299" i="11"/>
  <c r="AT300" i="11"/>
  <c r="AT301" i="11"/>
  <c r="AT302" i="11"/>
  <c r="AT303" i="11"/>
  <c r="AT304" i="11"/>
  <c r="AT305" i="11"/>
  <c r="AT306" i="11"/>
  <c r="AT307" i="11"/>
  <c r="AT308" i="11"/>
  <c r="AT309" i="11"/>
  <c r="AT310" i="11"/>
  <c r="AT311" i="11"/>
  <c r="AT312" i="11"/>
  <c r="AT313" i="11"/>
  <c r="AT314" i="11"/>
  <c r="AT315" i="11"/>
  <c r="AT316" i="11"/>
  <c r="AQ288" i="11"/>
  <c r="AO289" i="11"/>
  <c r="AO290" i="11"/>
  <c r="AO291" i="11"/>
  <c r="AO292" i="11"/>
  <c r="AO293" i="11"/>
  <c r="AO294" i="11"/>
  <c r="AO295" i="11"/>
  <c r="AO296" i="11"/>
  <c r="AO297" i="11"/>
  <c r="AO298" i="11"/>
  <c r="AO299" i="11"/>
  <c r="AO300" i="11"/>
  <c r="AO301" i="11"/>
  <c r="AO302" i="11"/>
  <c r="AO303" i="11"/>
  <c r="AO304" i="11"/>
  <c r="AO305" i="11"/>
  <c r="AO306" i="11"/>
  <c r="AO307" i="11"/>
  <c r="AO308" i="11"/>
  <c r="AO309" i="11"/>
  <c r="AO310" i="11"/>
  <c r="AO311" i="11"/>
  <c r="AO312" i="11"/>
  <c r="AO313" i="11"/>
  <c r="AO314" i="11"/>
  <c r="AO315" i="11"/>
  <c r="AO316" i="11"/>
  <c r="AO317" i="11"/>
  <c r="AO318" i="11"/>
  <c r="AL288" i="11"/>
  <c r="AJ289" i="11"/>
  <c r="AJ290" i="11"/>
  <c r="AJ291" i="11"/>
  <c r="AJ292" i="11"/>
  <c r="AJ293" i="11"/>
  <c r="AJ294" i="11"/>
  <c r="AJ295" i="11"/>
  <c r="AJ296" i="11"/>
  <c r="AJ297" i="11"/>
  <c r="AJ298" i="11"/>
  <c r="AJ299" i="11"/>
  <c r="AJ300" i="11"/>
  <c r="AJ301" i="11"/>
  <c r="AJ302" i="11"/>
  <c r="AJ303" i="11"/>
  <c r="AJ304" i="11"/>
  <c r="AJ305" i="11"/>
  <c r="AJ306" i="11"/>
  <c r="AJ307" i="11"/>
  <c r="AJ308" i="11"/>
  <c r="AJ309" i="11"/>
  <c r="AJ310" i="11"/>
  <c r="AJ311" i="11"/>
  <c r="AJ312" i="11"/>
  <c r="AJ313" i="11"/>
  <c r="AJ314" i="11"/>
  <c r="AJ315" i="11"/>
  <c r="AJ316" i="11"/>
  <c r="AJ317" i="11"/>
  <c r="L35" i="40"/>
  <c r="L36" i="40"/>
  <c r="L37" i="40"/>
  <c r="J35" i="40"/>
  <c r="J36" i="40"/>
  <c r="J37" i="40"/>
  <c r="H35" i="40"/>
  <c r="H36" i="40"/>
  <c r="H37" i="40"/>
  <c r="AN285" i="8"/>
  <c r="AH285" i="8"/>
  <c r="AB285" i="8"/>
  <c r="AL286" i="8"/>
  <c r="AL287" i="8"/>
  <c r="AL288" i="8"/>
  <c r="AL289" i="8"/>
  <c r="AL290" i="8"/>
  <c r="AL291" i="8"/>
  <c r="AL292" i="8"/>
  <c r="AL293" i="8"/>
  <c r="AL294" i="8"/>
  <c r="AL295" i="8"/>
  <c r="AL296" i="8"/>
  <c r="AL297" i="8"/>
  <c r="AL298" i="8"/>
  <c r="AL299" i="8"/>
  <c r="AL300" i="8"/>
  <c r="AL301" i="8"/>
  <c r="AL302" i="8"/>
  <c r="AL303" i="8"/>
  <c r="AL304" i="8"/>
  <c r="AL305" i="8"/>
  <c r="AL306" i="8"/>
  <c r="AL307" i="8"/>
  <c r="AL308" i="8"/>
  <c r="AL309" i="8"/>
  <c r="AL310" i="8"/>
  <c r="AL311" i="8"/>
  <c r="AL312" i="8"/>
  <c r="AL313" i="8"/>
  <c r="AL314" i="8"/>
  <c r="AL315" i="8"/>
  <c r="AL316" i="8"/>
  <c r="AL317" i="8"/>
  <c r="AL318"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Z286" i="8"/>
  <c r="Z287" i="8"/>
  <c r="Z288" i="8"/>
  <c r="Z289" i="8"/>
  <c r="Z290" i="8"/>
  <c r="Z291" i="8"/>
  <c r="Z292" i="8"/>
  <c r="Z293" i="8"/>
  <c r="Z294" i="8"/>
  <c r="Z295" i="8"/>
  <c r="Z296" i="8"/>
  <c r="Z297" i="8"/>
  <c r="Z298" i="8"/>
  <c r="Z299" i="8"/>
  <c r="Z300" i="8"/>
  <c r="Z301" i="8"/>
  <c r="Z302" i="8"/>
  <c r="Z303" i="8"/>
  <c r="Z304" i="8"/>
  <c r="Z305" i="8"/>
  <c r="Z306" i="8"/>
  <c r="Z307" i="8"/>
  <c r="Z308" i="8"/>
  <c r="Z309" i="8"/>
  <c r="Z283" i="8"/>
  <c r="Z284" i="8"/>
  <c r="Y283" i="8"/>
  <c r="Y284" i="8"/>
  <c r="D21" i="11"/>
  <c r="V35" i="65" s="1"/>
  <c r="D20" i="11"/>
  <c r="V34" i="65" s="1"/>
  <c r="D19" i="11"/>
  <c r="V33" i="65" s="1"/>
  <c r="D14" i="11"/>
  <c r="D21" i="8"/>
  <c r="D20" i="8"/>
  <c r="D19" i="8"/>
  <c r="D14" i="8"/>
  <c r="H45" i="3" l="1"/>
  <c r="B46"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M45" i="3" s="1"/>
  <c r="C44" i="3"/>
  <c r="M44" i="3" s="1"/>
  <c r="C43" i="3"/>
  <c r="M43" i="3" s="1"/>
  <c r="C42" i="3"/>
  <c r="M42" i="3" s="1"/>
  <c r="C41" i="3"/>
  <c r="M41" i="3" s="1"/>
  <c r="C40" i="3"/>
  <c r="M40" i="3" s="1"/>
  <c r="C39" i="3"/>
  <c r="M39" i="3" s="1"/>
  <c r="C38" i="3"/>
  <c r="M38" i="3" s="1"/>
  <c r="C37" i="3"/>
  <c r="M37" i="3" s="1"/>
  <c r="C36" i="3"/>
  <c r="M36" i="3" s="1"/>
  <c r="C35" i="3"/>
  <c r="M35" i="3" s="1"/>
  <c r="C34" i="3"/>
  <c r="M34" i="3" s="1"/>
  <c r="C33" i="3"/>
  <c r="M33" i="3" s="1"/>
  <c r="C32" i="3"/>
  <c r="M32" i="3" s="1"/>
  <c r="C31" i="3"/>
  <c r="M31" i="3" s="1"/>
  <c r="C30" i="3"/>
  <c r="M30" i="3" s="1"/>
  <c r="C29" i="3"/>
  <c r="M29" i="3" s="1"/>
  <c r="C28" i="3"/>
  <c r="M28" i="3" s="1"/>
  <c r="C27" i="3"/>
  <c r="BF152" i="3"/>
  <c r="BF151" i="3"/>
  <c r="BF150" i="3"/>
  <c r="BF149" i="3"/>
  <c r="BF148" i="3"/>
  <c r="BF147" i="3"/>
  <c r="BF146" i="3"/>
  <c r="BF145" i="3"/>
  <c r="BF144" i="3"/>
  <c r="BF143" i="3"/>
  <c r="BF142" i="3"/>
  <c r="BF141" i="3"/>
  <c r="BF140" i="3"/>
  <c r="BF139" i="3"/>
  <c r="BF138" i="3"/>
  <c r="BF137" i="3"/>
  <c r="BF136" i="3"/>
  <c r="BF135" i="3"/>
  <c r="BF134" i="3"/>
  <c r="BF133" i="3"/>
  <c r="BF132" i="3"/>
  <c r="BF131" i="3"/>
  <c r="BF130" i="3"/>
  <c r="BF129" i="3"/>
  <c r="BF128" i="3"/>
  <c r="BF127" i="3"/>
  <c r="BF126" i="3"/>
  <c r="BF125" i="3"/>
  <c r="BF124" i="3"/>
  <c r="BF123" i="3"/>
  <c r="BF122" i="3"/>
  <c r="BF121" i="3"/>
  <c r="BF120" i="3"/>
  <c r="BF119" i="3"/>
  <c r="BF118" i="3"/>
  <c r="BF117" i="3"/>
  <c r="BF116" i="3"/>
  <c r="BF115" i="3"/>
  <c r="BF114" i="3"/>
  <c r="BF113" i="3"/>
  <c r="BF112" i="3"/>
  <c r="BF111" i="3"/>
  <c r="BF110" i="3"/>
  <c r="BF109" i="3"/>
  <c r="BF108" i="3"/>
  <c r="BF107" i="3"/>
  <c r="BF106" i="3"/>
  <c r="BF105" i="3"/>
  <c r="BF104" i="3"/>
  <c r="BF103" i="3"/>
  <c r="BF102" i="3"/>
  <c r="BF101" i="3"/>
  <c r="BF100" i="3"/>
  <c r="BF99" i="3"/>
  <c r="BF98" i="3"/>
  <c r="BF97" i="3"/>
  <c r="BF96" i="3"/>
  <c r="BF95" i="3"/>
  <c r="BF94" i="3"/>
  <c r="BF93" i="3"/>
  <c r="BF92" i="3"/>
  <c r="BF91" i="3"/>
  <c r="BF90" i="3"/>
  <c r="BF89" i="3"/>
  <c r="BF88" i="3"/>
  <c r="BF87" i="3"/>
  <c r="BF86" i="3"/>
  <c r="BF85" i="3"/>
  <c r="BF84" i="3"/>
  <c r="BF83" i="3"/>
  <c r="BF82" i="3"/>
  <c r="BF81" i="3"/>
  <c r="BF80" i="3"/>
  <c r="BF79" i="3"/>
  <c r="BF78" i="3"/>
  <c r="BF77" i="3"/>
  <c r="BF76" i="3"/>
  <c r="BF75" i="3"/>
  <c r="BF74" i="3"/>
  <c r="BF73" i="3"/>
  <c r="BF72" i="3"/>
  <c r="BF71" i="3"/>
  <c r="BF70" i="3"/>
  <c r="BF69" i="3"/>
  <c r="BF68" i="3"/>
  <c r="BF67" i="3"/>
  <c r="BF66" i="3"/>
  <c r="BF65" i="3"/>
  <c r="BF64" i="3"/>
  <c r="BF63" i="3"/>
  <c r="BF62" i="3"/>
  <c r="BF61" i="3"/>
  <c r="BF60" i="3"/>
  <c r="BF59" i="3"/>
  <c r="BF58" i="3"/>
  <c r="BF57" i="3"/>
  <c r="BF56" i="3"/>
  <c r="BF55" i="3"/>
  <c r="BF54" i="3"/>
  <c r="BF53" i="3"/>
  <c r="BF52" i="3"/>
  <c r="BF51" i="3"/>
  <c r="BF50" i="3"/>
  <c r="BF49" i="3"/>
  <c r="BF48" i="3"/>
  <c r="BF47" i="3"/>
  <c r="BF46" i="3"/>
  <c r="BF45" i="3"/>
  <c r="BF44" i="3"/>
  <c r="BF43" i="3"/>
  <c r="BF42" i="3"/>
  <c r="BF41" i="3"/>
  <c r="BF40" i="3"/>
  <c r="BF39" i="3"/>
  <c r="BF38" i="3"/>
  <c r="BF37" i="3"/>
  <c r="BF36" i="3"/>
  <c r="BF35" i="3"/>
  <c r="BF34" i="3"/>
  <c r="BF33" i="3"/>
  <c r="BF32" i="3"/>
  <c r="BF31" i="3"/>
  <c r="BF30" i="3"/>
  <c r="BF29" i="3"/>
  <c r="BF27" i="3"/>
  <c r="AN27" i="3"/>
  <c r="A27" i="40"/>
  <c r="A26" i="40"/>
  <c r="P145" i="40"/>
  <c r="L145" i="40"/>
  <c r="H145" i="40"/>
  <c r="P67" i="40"/>
  <c r="R146" i="40" s="1"/>
  <c r="D14" i="14"/>
  <c r="D11" i="74" l="1"/>
  <c r="D9" i="74"/>
  <c r="D7" i="74"/>
  <c r="D10" i="74"/>
  <c r="M46" i="3"/>
  <c r="B47" i="3"/>
  <c r="H46" i="3"/>
  <c r="H27" i="3"/>
  <c r="M27" i="3"/>
  <c r="D11" i="11"/>
  <c r="D7" i="11"/>
  <c r="D10" i="11" s="1" a="1"/>
  <c r="D10" i="11" s="1"/>
  <c r="E67" i="40"/>
  <c r="J146" i="40" s="1"/>
  <c r="J67" i="40"/>
  <c r="N146" i="40" s="1"/>
  <c r="D14" i="38"/>
  <c r="S14" i="65" l="1"/>
  <c r="S14" i="75"/>
  <c r="S13" i="65"/>
  <c r="S13" i="75"/>
  <c r="S15" i="65"/>
  <c r="S15" i="75"/>
  <c r="N12" i="65"/>
  <c r="N12" i="75"/>
  <c r="D349" i="74"/>
  <c r="E335" i="74"/>
  <c r="D324" i="74"/>
  <c r="AM317" i="74"/>
  <c r="AK309" i="74"/>
  <c r="AK307" i="74"/>
  <c r="AP305" i="74"/>
  <c r="AP304" i="74"/>
  <c r="AR300" i="74"/>
  <c r="AP298" i="74"/>
  <c r="AP296" i="74"/>
  <c r="AM295" i="74"/>
  <c r="AR294" i="74"/>
  <c r="AP293" i="74"/>
  <c r="D253" i="74"/>
  <c r="D252" i="74"/>
  <c r="X249" i="74"/>
  <c r="AO246" i="74"/>
  <c r="AO243" i="74"/>
  <c r="X241" i="74"/>
  <c r="AO238" i="74"/>
  <c r="AO235" i="74"/>
  <c r="X233" i="74"/>
  <c r="AO230" i="74"/>
  <c r="AO227" i="74"/>
  <c r="X225" i="74"/>
  <c r="H223" i="74"/>
  <c r="AO221" i="74"/>
  <c r="AO220" i="74"/>
  <c r="AO219" i="74"/>
  <c r="X217" i="74"/>
  <c r="O9" i="74"/>
  <c r="F326" i="74"/>
  <c r="AR314" i="74"/>
  <c r="AM300" i="74"/>
  <c r="AW294" i="74"/>
  <c r="AO253" i="74"/>
  <c r="AO250" i="74"/>
  <c r="X245" i="74"/>
  <c r="AO239" i="74"/>
  <c r="AO234" i="74"/>
  <c r="X229" i="74"/>
  <c r="AO223" i="74"/>
  <c r="O10" i="74"/>
  <c r="G337" i="74"/>
  <c r="AK315" i="74"/>
  <c r="AM313" i="74"/>
  <c r="AP306" i="74"/>
  <c r="AR302" i="74"/>
  <c r="AK296" i="74"/>
  <c r="AP292" i="74"/>
  <c r="AU290" i="74"/>
  <c r="AK288" i="74"/>
  <c r="H252" i="74"/>
  <c r="X247" i="74"/>
  <c r="X242" i="74"/>
  <c r="AO236" i="74"/>
  <c r="X231" i="74"/>
  <c r="X226" i="74"/>
  <c r="H222" i="74"/>
  <c r="H220" i="74"/>
  <c r="T218" i="74"/>
  <c r="F347" i="74"/>
  <c r="G334" i="74"/>
  <c r="AP318" i="74"/>
  <c r="AW311" i="74"/>
  <c r="AW310" i="74"/>
  <c r="AW309" i="74"/>
  <c r="AW307" i="74"/>
  <c r="AK301" i="74"/>
  <c r="AW295" i="74"/>
  <c r="AU292" i="74"/>
  <c r="AM292" i="74"/>
  <c r="AO252" i="74"/>
  <c r="X251" i="74"/>
  <c r="AO248" i="74"/>
  <c r="X246" i="74"/>
  <c r="X243" i="74"/>
  <c r="AO240" i="74"/>
  <c r="X238" i="74"/>
  <c r="X235" i="74"/>
  <c r="AO232" i="74"/>
  <c r="X230" i="74"/>
  <c r="X227" i="74"/>
  <c r="AO224" i="74"/>
  <c r="AO222" i="74"/>
  <c r="T221" i="74"/>
  <c r="AO218" i="74"/>
  <c r="H218" i="74"/>
  <c r="F340" i="74"/>
  <c r="AP312" i="74"/>
  <c r="AW301" i="74"/>
  <c r="AM296" i="74"/>
  <c r="AM293" i="74"/>
  <c r="AM289" i="74"/>
  <c r="X252" i="74"/>
  <c r="AO247" i="74"/>
  <c r="AO242" i="74"/>
  <c r="X237" i="74"/>
  <c r="AO231" i="74"/>
  <c r="AO226" i="74"/>
  <c r="T222" i="74"/>
  <c r="T220" i="74"/>
  <c r="T219" i="74"/>
  <c r="U219" i="74" s="1"/>
  <c r="D217" i="74"/>
  <c r="F325" i="74"/>
  <c r="AU297" i="74"/>
  <c r="AK293" i="74"/>
  <c r="AW291" i="74"/>
  <c r="AU289" i="74"/>
  <c r="T253" i="74"/>
  <c r="X250" i="74"/>
  <c r="AO244" i="74"/>
  <c r="X239" i="74"/>
  <c r="X234" i="74"/>
  <c r="AO228" i="74"/>
  <c r="T223" i="74"/>
  <c r="H221" i="74"/>
  <c r="H219" i="74"/>
  <c r="AO217" i="74"/>
  <c r="E351" i="74"/>
  <c r="D346" i="74"/>
  <c r="G335" i="74"/>
  <c r="E326" i="74"/>
  <c r="D321" i="74"/>
  <c r="AR315" i="74"/>
  <c r="AW312" i="74"/>
  <c r="AR309" i="74"/>
  <c r="AR305" i="74"/>
  <c r="AU302" i="74"/>
  <c r="AP300" i="74"/>
  <c r="AK298" i="74"/>
  <c r="E352" i="74"/>
  <c r="D347" i="74"/>
  <c r="G336" i="74"/>
  <c r="E327" i="74"/>
  <c r="D322" i="74"/>
  <c r="AU315" i="74"/>
  <c r="AK313" i="74"/>
  <c r="AU310" i="74"/>
  <c r="AU308" i="74"/>
  <c r="AU306" i="74"/>
  <c r="AU304" i="74"/>
  <c r="AP301" i="74"/>
  <c r="AR298" i="74"/>
  <c r="E339" i="74"/>
  <c r="E324" i="74"/>
  <c r="AK314" i="74"/>
  <c r="AW308" i="74"/>
  <c r="AW304" i="74"/>
  <c r="AU300" i="74"/>
  <c r="AM297" i="74"/>
  <c r="AM294" i="74"/>
  <c r="AP291" i="74"/>
  <c r="AU288" i="74"/>
  <c r="AK253" i="74"/>
  <c r="D348" i="74"/>
  <c r="E325" i="74"/>
  <c r="AW314" i="74"/>
  <c r="AP308" i="74"/>
  <c r="AR297" i="74"/>
  <c r="AK295" i="74"/>
  <c r="AR291" i="74"/>
  <c r="AW288" i="74"/>
  <c r="M269" i="74"/>
  <c r="M279" i="74" s="1"/>
  <c r="H251" i="74"/>
  <c r="H249" i="74"/>
  <c r="H247" i="74"/>
  <c r="H245" i="74"/>
  <c r="H243" i="74"/>
  <c r="H241" i="74"/>
  <c r="H239" i="74"/>
  <c r="H237" i="74"/>
  <c r="H235" i="74"/>
  <c r="H233" i="74"/>
  <c r="H231" i="74"/>
  <c r="H229" i="74"/>
  <c r="H227" i="74"/>
  <c r="H225" i="74"/>
  <c r="E346" i="74"/>
  <c r="AW315" i="74"/>
  <c r="AK305" i="74"/>
  <c r="AU293" i="74"/>
  <c r="D251" i="74"/>
  <c r="AK249" i="74"/>
  <c r="T248" i="74"/>
  <c r="D247" i="74"/>
  <c r="AK245" i="74"/>
  <c r="T244" i="74"/>
  <c r="D243" i="74"/>
  <c r="AK241" i="74"/>
  <c r="T240" i="74"/>
  <c r="D239" i="74"/>
  <c r="AK237" i="74"/>
  <c r="T236" i="74"/>
  <c r="D235" i="74"/>
  <c r="AK233" i="74"/>
  <c r="T232" i="74"/>
  <c r="D231" i="74"/>
  <c r="AK229" i="74"/>
  <c r="T228" i="74"/>
  <c r="D227" i="74"/>
  <c r="D350" i="74"/>
  <c r="G339" i="74"/>
  <c r="F334" i="74"/>
  <c r="D325" i="74"/>
  <c r="AP317" i="74"/>
  <c r="AU314" i="74"/>
  <c r="AK312" i="74"/>
  <c r="AR308" i="74"/>
  <c r="AR304" i="74"/>
  <c r="AM302" i="74"/>
  <c r="AW299" i="74"/>
  <c r="AW297" i="74"/>
  <c r="D351" i="74"/>
  <c r="G340" i="74"/>
  <c r="F335" i="74"/>
  <c r="D326" i="74"/>
  <c r="AR318" i="74"/>
  <c r="AM315" i="74"/>
  <c r="AR312" i="74"/>
  <c r="AM310" i="74"/>
  <c r="AM308" i="74"/>
  <c r="AM306" i="74"/>
  <c r="AM304" i="74"/>
  <c r="AW300" i="74"/>
  <c r="D352" i="74"/>
  <c r="F336" i="74"/>
  <c r="F321" i="74"/>
  <c r="AU312" i="74"/>
  <c r="AW303" i="74"/>
  <c r="AP299" i="74"/>
  <c r="AR296" i="74"/>
  <c r="AR293" i="74"/>
  <c r="AW290" i="74"/>
  <c r="AM288" i="74"/>
  <c r="AK252" i="74"/>
  <c r="E340" i="74"/>
  <c r="E321" i="74"/>
  <c r="AU313" i="74"/>
  <c r="AU296" i="74"/>
  <c r="AP294" i="74"/>
  <c r="AM291" i="74"/>
  <c r="AR288" i="74"/>
  <c r="U253" i="74"/>
  <c r="U248" i="74"/>
  <c r="U244" i="74"/>
  <c r="U240" i="74"/>
  <c r="U236" i="74"/>
  <c r="U232" i="74"/>
  <c r="U228" i="74"/>
  <c r="F337" i="74"/>
  <c r="AP310" i="74"/>
  <c r="AU299" i="74"/>
  <c r="AU291" i="74"/>
  <c r="H253" i="74"/>
  <c r="AK250" i="74"/>
  <c r="T249" i="74"/>
  <c r="D248" i="74"/>
  <c r="AK246" i="74"/>
  <c r="T245" i="74"/>
  <c r="U245" i="74" s="1"/>
  <c r="D244" i="74"/>
  <c r="AK242" i="74"/>
  <c r="T241" i="74"/>
  <c r="U241" i="74" s="1"/>
  <c r="D240" i="74"/>
  <c r="AK238" i="74"/>
  <c r="T237" i="74"/>
  <c r="D236" i="74"/>
  <c r="AK234" i="74"/>
  <c r="T233" i="74"/>
  <c r="D232" i="74"/>
  <c r="AK230" i="74"/>
  <c r="T229" i="74"/>
  <c r="U229" i="74" s="1"/>
  <c r="D228" i="74"/>
  <c r="AK226" i="74"/>
  <c r="T225" i="74"/>
  <c r="U225" i="74" s="1"/>
  <c r="D224" i="74"/>
  <c r="F348" i="74"/>
  <c r="F338" i="74"/>
  <c r="E333" i="74"/>
  <c r="F323" i="74"/>
  <c r="AW316" i="74"/>
  <c r="AM314" i="74"/>
  <c r="AR311" i="74"/>
  <c r="AR307" i="74"/>
  <c r="AU303" i="74"/>
  <c r="AU301" i="74"/>
  <c r="AK299" i="74"/>
  <c r="AK297" i="74"/>
  <c r="F349" i="74"/>
  <c r="F339" i="74"/>
  <c r="E334" i="74"/>
  <c r="F324" i="74"/>
  <c r="AK317" i="74"/>
  <c r="AP314" i="74"/>
  <c r="AU311" i="74"/>
  <c r="AU309" i="74"/>
  <c r="AU307" i="74"/>
  <c r="AU305" i="74"/>
  <c r="AP303" i="74"/>
  <c r="AK300" i="74"/>
  <c r="E349" i="74"/>
  <c r="G333" i="74"/>
  <c r="AU316" i="74"/>
  <c r="AP311" i="74"/>
  <c r="AP307" i="74"/>
  <c r="AR303" i="74"/>
  <c r="AM298" i="74"/>
  <c r="AR295" i="74"/>
  <c r="AW292" i="74"/>
  <c r="AK290" i="74"/>
  <c r="AK251" i="74"/>
  <c r="E336" i="74"/>
  <c r="AR317" i="74"/>
  <c r="AM312" i="74"/>
  <c r="AW305" i="74"/>
  <c r="AU295" i="74"/>
  <c r="AK294" i="74"/>
  <c r="AM290" i="74"/>
  <c r="H250" i="74"/>
  <c r="H248" i="74"/>
  <c r="H246" i="74"/>
  <c r="H244" i="74"/>
  <c r="H242" i="74"/>
  <c r="H240" i="74"/>
  <c r="H238" i="74"/>
  <c r="H236" i="74"/>
  <c r="H234" i="74"/>
  <c r="H232" i="74"/>
  <c r="H230" i="74"/>
  <c r="H228" i="74"/>
  <c r="H226" i="74"/>
  <c r="H224" i="74"/>
  <c r="E332" i="74"/>
  <c r="AM299" i="74"/>
  <c r="AP290" i="74"/>
  <c r="AO251" i="74"/>
  <c r="T250" i="74"/>
  <c r="U250" i="74" s="1"/>
  <c r="D249" i="74"/>
  <c r="AK247" i="74"/>
  <c r="T246" i="74"/>
  <c r="U246" i="74" s="1"/>
  <c r="D245" i="74"/>
  <c r="AK243" i="74"/>
  <c r="T242" i="74"/>
  <c r="U242" i="74" s="1"/>
  <c r="D241" i="74"/>
  <c r="AK239" i="74"/>
  <c r="T238" i="74"/>
  <c r="U238" i="74" s="1"/>
  <c r="D237" i="74"/>
  <c r="AK235" i="74"/>
  <c r="T234" i="74"/>
  <c r="U234" i="74" s="1"/>
  <c r="D233" i="74"/>
  <c r="AK231" i="74"/>
  <c r="T230" i="74"/>
  <c r="U230" i="74" s="1"/>
  <c r="D229" i="74"/>
  <c r="AK227" i="74"/>
  <c r="T226" i="74"/>
  <c r="U226" i="74" s="1"/>
  <c r="D225" i="74"/>
  <c r="X223" i="74"/>
  <c r="AO225" i="74"/>
  <c r="F352" i="74"/>
  <c r="E322" i="74"/>
  <c r="AR306" i="74"/>
  <c r="AW296" i="74"/>
  <c r="E323" i="74"/>
  <c r="AM309" i="74"/>
  <c r="AR299" i="74"/>
  <c r="AK310" i="74"/>
  <c r="AU294" i="74"/>
  <c r="F351" i="74"/>
  <c r="AK303" i="74"/>
  <c r="U237" i="74"/>
  <c r="D323" i="74"/>
  <c r="T251" i="74"/>
  <c r="D246" i="74"/>
  <c r="AK240" i="74"/>
  <c r="T235" i="74"/>
  <c r="U235" i="74" s="1"/>
  <c r="D230" i="74"/>
  <c r="AK225" i="74"/>
  <c r="X222" i="74"/>
  <c r="X220" i="74"/>
  <c r="X218" i="74"/>
  <c r="T217" i="74"/>
  <c r="U217" i="74" s="1"/>
  <c r="U221" i="74"/>
  <c r="U223" i="74"/>
  <c r="X228" i="74"/>
  <c r="X236" i="74"/>
  <c r="X244" i="74"/>
  <c r="T252" i="74"/>
  <c r="U252" i="74" s="1"/>
  <c r="AP289" i="74"/>
  <c r="AP297" i="74"/>
  <c r="AK304" i="74"/>
  <c r="AP309" i="74"/>
  <c r="F322" i="74"/>
  <c r="E347" i="74"/>
  <c r="AK316" i="74"/>
  <c r="AM303" i="74"/>
  <c r="E348" i="74"/>
  <c r="AR316" i="74"/>
  <c r="AM307" i="74"/>
  <c r="F346" i="74"/>
  <c r="AK306" i="74"/>
  <c r="AK292" i="74"/>
  <c r="F332" i="74"/>
  <c r="AP295" i="74"/>
  <c r="U251" i="74"/>
  <c r="AK308" i="74"/>
  <c r="D250" i="74"/>
  <c r="AK244" i="74"/>
  <c r="T239" i="74"/>
  <c r="D234" i="74"/>
  <c r="AK228" i="74"/>
  <c r="AK224" i="74"/>
  <c r="D222" i="74"/>
  <c r="D220" i="74"/>
  <c r="D218" i="74"/>
  <c r="AK217" i="74"/>
  <c r="AK219" i="74"/>
  <c r="AK221" i="74"/>
  <c r="AK223" i="74"/>
  <c r="AO229" i="74"/>
  <c r="AO237" i="74"/>
  <c r="AO245" i="74"/>
  <c r="AR290" i="74"/>
  <c r="F333" i="74"/>
  <c r="X253" i="74"/>
  <c r="E337" i="74"/>
  <c r="AP313" i="74"/>
  <c r="AM301" i="74"/>
  <c r="E338" i="74"/>
  <c r="AW313" i="74"/>
  <c r="AM305" i="74"/>
  <c r="D327" i="74"/>
  <c r="AK302" i="74"/>
  <c r="AR289" i="74"/>
  <c r="AP316" i="74"/>
  <c r="AW293" i="74"/>
  <c r="U249" i="74"/>
  <c r="U233" i="74"/>
  <c r="AU298" i="74"/>
  <c r="AK248" i="74"/>
  <c r="T243" i="74"/>
  <c r="U243" i="74" s="1"/>
  <c r="D238" i="74"/>
  <c r="AK232" i="74"/>
  <c r="T227" i="74"/>
  <c r="U227" i="74" s="1"/>
  <c r="T224" i="74"/>
  <c r="U224" i="74" s="1"/>
  <c r="X221" i="74"/>
  <c r="X219" i="74"/>
  <c r="H217" i="74"/>
  <c r="U218" i="74"/>
  <c r="U220" i="74"/>
  <c r="U222" i="74"/>
  <c r="X224" i="74"/>
  <c r="X232" i="74"/>
  <c r="X240" i="74"/>
  <c r="X248" i="74"/>
  <c r="AK291" i="74"/>
  <c r="AR301" i="74"/>
  <c r="AW306" i="74"/>
  <c r="AR313" i="74"/>
  <c r="G338" i="74"/>
  <c r="F327" i="74"/>
  <c r="AR310" i="74"/>
  <c r="AW298" i="74"/>
  <c r="G332" i="74"/>
  <c r="AM311" i="74"/>
  <c r="AP302" i="74"/>
  <c r="AP315" i="74"/>
  <c r="M298" i="74"/>
  <c r="M303" i="74" s="1"/>
  <c r="M270" i="74"/>
  <c r="M278" i="74" s="1"/>
  <c r="M283" i="74" s="1"/>
  <c r="AK311" i="74"/>
  <c r="AW289" i="74"/>
  <c r="U239" i="74"/>
  <c r="F350" i="74"/>
  <c r="AK289" i="74"/>
  <c r="T247" i="74"/>
  <c r="U247" i="74" s="1"/>
  <c r="D242" i="74"/>
  <c r="AK236" i="74"/>
  <c r="T231" i="74"/>
  <c r="U231" i="74" s="1"/>
  <c r="D226" i="74"/>
  <c r="D223" i="74"/>
  <c r="D221" i="74"/>
  <c r="D219" i="74"/>
  <c r="O11" i="74"/>
  <c r="T11" i="74" s="1"/>
  <c r="AK218" i="74"/>
  <c r="AK220" i="74"/>
  <c r="AK222" i="74"/>
  <c r="AO233" i="74"/>
  <c r="AO241" i="74"/>
  <c r="AO249" i="74"/>
  <c r="AP288" i="74"/>
  <c r="AR292" i="74"/>
  <c r="AW302" i="74"/>
  <c r="AM316" i="74"/>
  <c r="E350" i="74"/>
  <c r="M47" i="3"/>
  <c r="H47" i="3"/>
  <c r="B48" i="3"/>
  <c r="O10" i="11"/>
  <c r="O9" i="11"/>
  <c r="C64" i="75" s="1"/>
  <c r="O11" i="11"/>
  <c r="M64" i="75" s="1"/>
  <c r="P215" i="75" s="1"/>
  <c r="E340" i="11"/>
  <c r="S56" i="75" s="1"/>
  <c r="AU309" i="11"/>
  <c r="AU297" i="11"/>
  <c r="AP311" i="11"/>
  <c r="AP299" i="11"/>
  <c r="AP298" i="11"/>
  <c r="AU307" i="11"/>
  <c r="AU295" i="11"/>
  <c r="AP309" i="11"/>
  <c r="AP297" i="11"/>
  <c r="AU308" i="11"/>
  <c r="AU296" i="11"/>
  <c r="AP310" i="11"/>
  <c r="AU292" i="11"/>
  <c r="AP318" i="11"/>
  <c r="AP305" i="11"/>
  <c r="AU300" i="11"/>
  <c r="AP300" i="11"/>
  <c r="AU293" i="11"/>
  <c r="AR288" i="11"/>
  <c r="AU316" i="11"/>
  <c r="AP294" i="11"/>
  <c r="AM288" i="11"/>
  <c r="AU303" i="11"/>
  <c r="AU301" i="11"/>
  <c r="AP303" i="11"/>
  <c r="AP314" i="11"/>
  <c r="AU310" i="11"/>
  <c r="AU306" i="11"/>
  <c r="AU294" i="11"/>
  <c r="AP308" i="11"/>
  <c r="AP296" i="11"/>
  <c r="AW288" i="11"/>
  <c r="AU305" i="11"/>
  <c r="AP307" i="11"/>
  <c r="AU304" i="11"/>
  <c r="AP306" i="11"/>
  <c r="AU315" i="11"/>
  <c r="AU313" i="11"/>
  <c r="AP291" i="11"/>
  <c r="AP302" i="11"/>
  <c r="AP289" i="11"/>
  <c r="AP295" i="11"/>
  <c r="AP290" i="11"/>
  <c r="AP312" i="11"/>
  <c r="AU289" i="11"/>
  <c r="AP315" i="11"/>
  <c r="AU312" i="11"/>
  <c r="AU298" i="11"/>
  <c r="AU291" i="11"/>
  <c r="AP317" i="11"/>
  <c r="AP293" i="11"/>
  <c r="AU299" i="11"/>
  <c r="AP313" i="11"/>
  <c r="AU314" i="11"/>
  <c r="AU302" i="11"/>
  <c r="AU290" i="11"/>
  <c r="AP316" i="11"/>
  <c r="AP304" i="11"/>
  <c r="AP292" i="11"/>
  <c r="AU311" i="11"/>
  <c r="AP301" i="11"/>
  <c r="AK317" i="11"/>
  <c r="AK305" i="11"/>
  <c r="AK293" i="11"/>
  <c r="AK314" i="11"/>
  <c r="AK301" i="11"/>
  <c r="AK316" i="11"/>
  <c r="AK304" i="11"/>
  <c r="AK292" i="11"/>
  <c r="AK302" i="11"/>
  <c r="AK290" i="11"/>
  <c r="AK313" i="11"/>
  <c r="AK289" i="11"/>
  <c r="AK315" i="11"/>
  <c r="AK303" i="11"/>
  <c r="AK291" i="11"/>
  <c r="AK306" i="11"/>
  <c r="AK312" i="11"/>
  <c r="AK300" i="11"/>
  <c r="AK299" i="11"/>
  <c r="AK294" i="11"/>
  <c r="AK311" i="11"/>
  <c r="AK310" i="11"/>
  <c r="AK298" i="11"/>
  <c r="AK309" i="11"/>
  <c r="AK297" i="11"/>
  <c r="AK296" i="11"/>
  <c r="AK295" i="11"/>
  <c r="AK308" i="11"/>
  <c r="AK307" i="11"/>
  <c r="E22" i="38"/>
  <c r="E26" i="38" s="1"/>
  <c r="E23" i="38"/>
  <c r="F38" i="38" s="1"/>
  <c r="F35" i="38"/>
  <c r="G35" i="38"/>
  <c r="M35" i="38"/>
  <c r="N35" i="38"/>
  <c r="T35" i="38"/>
  <c r="U35" i="38"/>
  <c r="G36" i="38"/>
  <c r="G37" i="38" s="1"/>
  <c r="N36" i="38"/>
  <c r="M36" i="38" s="1"/>
  <c r="U36" i="38"/>
  <c r="T36" i="38" s="1"/>
  <c r="M38" i="38"/>
  <c r="G40" i="38"/>
  <c r="M40" i="38"/>
  <c r="N40" i="38"/>
  <c r="T40" i="38" s="1"/>
  <c r="D70" i="38"/>
  <c r="S85" i="38"/>
  <c r="T85" i="38" s="1"/>
  <c r="S86" i="38"/>
  <c r="T86" i="38" s="1"/>
  <c r="V86" i="38"/>
  <c r="S87" i="38"/>
  <c r="T87" i="38" s="1"/>
  <c r="V87" i="38"/>
  <c r="S88" i="38"/>
  <c r="T88" i="38" s="1"/>
  <c r="V88" i="38"/>
  <c r="S89" i="38"/>
  <c r="T89" i="38" s="1"/>
  <c r="V89" i="38"/>
  <c r="S90" i="38"/>
  <c r="T90" i="38" s="1"/>
  <c r="V90" i="38"/>
  <c r="S91" i="38"/>
  <c r="T91" i="38" s="1"/>
  <c r="V91" i="38"/>
  <c r="S92" i="38"/>
  <c r="T92" i="38" s="1"/>
  <c r="V92" i="38"/>
  <c r="S93" i="38"/>
  <c r="T93" i="38"/>
  <c r="V93" i="38"/>
  <c r="S94" i="38"/>
  <c r="T94" i="38" s="1"/>
  <c r="V94" i="38"/>
  <c r="S95" i="38"/>
  <c r="T95" i="38" s="1"/>
  <c r="V95" i="38"/>
  <c r="S96" i="38"/>
  <c r="T96" i="38" s="1"/>
  <c r="V96" i="38"/>
  <c r="S97" i="38"/>
  <c r="T97" i="38"/>
  <c r="V97" i="38"/>
  <c r="S98" i="38"/>
  <c r="T98" i="38" s="1"/>
  <c r="V98" i="38"/>
  <c r="S99" i="38"/>
  <c r="T99" i="38" s="1"/>
  <c r="V99" i="38"/>
  <c r="S100" i="38"/>
  <c r="T100" i="38" s="1"/>
  <c r="V100" i="38"/>
  <c r="S101" i="38"/>
  <c r="T101" i="38"/>
  <c r="V101" i="38"/>
  <c r="S102" i="38"/>
  <c r="T102" i="38" s="1"/>
  <c r="V102" i="38"/>
  <c r="S103" i="38"/>
  <c r="T103" i="38" s="1"/>
  <c r="V103" i="38"/>
  <c r="S104" i="38"/>
  <c r="T104" i="38" s="1"/>
  <c r="V104" i="38"/>
  <c r="S105" i="38"/>
  <c r="T105" i="38" s="1"/>
  <c r="V105" i="38"/>
  <c r="S106" i="38"/>
  <c r="T106" i="38" s="1"/>
  <c r="V106" i="38"/>
  <c r="S107" i="38"/>
  <c r="T107" i="38" s="1"/>
  <c r="V107" i="38"/>
  <c r="S108" i="38"/>
  <c r="T108" i="38" s="1"/>
  <c r="V108" i="38"/>
  <c r="S109" i="38"/>
  <c r="T109" i="38" s="1"/>
  <c r="V109" i="38"/>
  <c r="S110" i="38"/>
  <c r="T110" i="38" s="1"/>
  <c r="V110" i="38"/>
  <c r="S111" i="38"/>
  <c r="T111" i="38" s="1"/>
  <c r="V111" i="38"/>
  <c r="S112" i="38"/>
  <c r="T112" i="38" s="1"/>
  <c r="V112" i="38"/>
  <c r="S113" i="38"/>
  <c r="T113" i="38"/>
  <c r="V113" i="38"/>
  <c r="S114" i="38"/>
  <c r="T114" i="38" s="1"/>
  <c r="V114" i="38"/>
  <c r="S115" i="38"/>
  <c r="T115" i="38" s="1"/>
  <c r="V115" i="38"/>
  <c r="S116" i="38"/>
  <c r="T116" i="38" s="1"/>
  <c r="V116" i="38"/>
  <c r="S117" i="38"/>
  <c r="T117" i="38"/>
  <c r="V117" i="38"/>
  <c r="S118" i="38"/>
  <c r="T118" i="38" s="1"/>
  <c r="V118" i="38"/>
  <c r="S119" i="38"/>
  <c r="T119" i="38" s="1"/>
  <c r="V119" i="38"/>
  <c r="S120" i="38"/>
  <c r="T120" i="38" s="1"/>
  <c r="V120" i="38"/>
  <c r="S121" i="38"/>
  <c r="T121" i="38"/>
  <c r="V121" i="38"/>
  <c r="D129" i="38"/>
  <c r="D194" i="38" s="1"/>
  <c r="D130" i="38"/>
  <c r="D131" i="38"/>
  <c r="D133" i="38"/>
  <c r="D136" i="38"/>
  <c r="Q146" i="38"/>
  <c r="R146" i="38" s="1"/>
  <c r="Q147" i="38"/>
  <c r="R147" i="38" s="1"/>
  <c r="T147" i="38"/>
  <c r="Q148" i="38"/>
  <c r="R148" i="38"/>
  <c r="T148" i="38"/>
  <c r="Q149" i="38"/>
  <c r="R149" i="38"/>
  <c r="T149" i="38"/>
  <c r="Q150" i="38"/>
  <c r="R150" i="38" s="1"/>
  <c r="T150" i="38"/>
  <c r="Q151" i="38"/>
  <c r="R151" i="38" s="1"/>
  <c r="T151" i="38"/>
  <c r="Q152" i="38"/>
  <c r="R152" i="38"/>
  <c r="T152" i="38"/>
  <c r="Q153" i="38"/>
  <c r="R153" i="38" s="1"/>
  <c r="T153" i="38"/>
  <c r="Q154" i="38"/>
  <c r="R154" i="38"/>
  <c r="T154" i="38"/>
  <c r="Q155" i="38"/>
  <c r="R155" i="38"/>
  <c r="T155" i="38"/>
  <c r="Q156" i="38"/>
  <c r="R156" i="38" s="1"/>
  <c r="T156" i="38"/>
  <c r="Q157" i="38"/>
  <c r="R157" i="38" s="1"/>
  <c r="T157" i="38"/>
  <c r="Q158" i="38"/>
  <c r="R158" i="38"/>
  <c r="T158" i="38"/>
  <c r="Q159" i="38"/>
  <c r="R159" i="38" s="1"/>
  <c r="T159" i="38"/>
  <c r="Q160" i="38"/>
  <c r="R160" i="38"/>
  <c r="T160" i="38"/>
  <c r="Q161" i="38"/>
  <c r="R161" i="38"/>
  <c r="T161" i="38"/>
  <c r="Q162" i="38"/>
  <c r="R162" i="38" s="1"/>
  <c r="T162" i="38"/>
  <c r="Q163" i="38"/>
  <c r="R163" i="38" s="1"/>
  <c r="T163" i="38"/>
  <c r="Q164" i="38"/>
  <c r="R164" i="38" s="1"/>
  <c r="T164" i="38"/>
  <c r="Q165" i="38"/>
  <c r="R165" i="38" s="1"/>
  <c r="T165" i="38"/>
  <c r="Q166" i="38"/>
  <c r="R166" i="38"/>
  <c r="T166" i="38"/>
  <c r="Q167" i="38"/>
  <c r="R167" i="38" s="1"/>
  <c r="T167" i="38"/>
  <c r="Q168" i="38"/>
  <c r="R168" i="38"/>
  <c r="T168" i="38"/>
  <c r="Q169" i="38"/>
  <c r="R169" i="38" s="1"/>
  <c r="T169" i="38"/>
  <c r="Q170" i="38"/>
  <c r="R170" i="38" s="1"/>
  <c r="T170" i="38"/>
  <c r="Q171" i="38"/>
  <c r="R171" i="38" s="1"/>
  <c r="T171" i="38"/>
  <c r="Q172" i="38"/>
  <c r="T172" i="38"/>
  <c r="Q173" i="38"/>
  <c r="R173" i="38"/>
  <c r="T173" i="38"/>
  <c r="Q174" i="38"/>
  <c r="R174" i="38"/>
  <c r="T174" i="38"/>
  <c r="Q175" i="38"/>
  <c r="R175" i="38" s="1"/>
  <c r="T175" i="38"/>
  <c r="F176" i="38"/>
  <c r="J176" i="38"/>
  <c r="K176" i="38" s="1"/>
  <c r="M176" i="38"/>
  <c r="Q176" i="38"/>
  <c r="R176" i="38" s="1"/>
  <c r="T176" i="38"/>
  <c r="F177" i="38"/>
  <c r="J177" i="38"/>
  <c r="K177" i="38" s="1"/>
  <c r="M177" i="38"/>
  <c r="Q177" i="38"/>
  <c r="R177" i="38" s="1"/>
  <c r="T177" i="38"/>
  <c r="F178" i="38"/>
  <c r="J178" i="38"/>
  <c r="K178" i="38" s="1"/>
  <c r="M178" i="38"/>
  <c r="Q178" i="38"/>
  <c r="R178" i="38" s="1"/>
  <c r="T178" i="38"/>
  <c r="F179" i="38"/>
  <c r="J179" i="38"/>
  <c r="K179" i="38" s="1"/>
  <c r="M179" i="38"/>
  <c r="Q179" i="38"/>
  <c r="R179" i="38" s="1"/>
  <c r="T179" i="38"/>
  <c r="F180" i="38"/>
  <c r="J180" i="38"/>
  <c r="K180" i="38" s="1"/>
  <c r="M180" i="38"/>
  <c r="Q180" i="38"/>
  <c r="R180" i="38" s="1"/>
  <c r="T180" i="38"/>
  <c r="F181" i="38"/>
  <c r="J181" i="38"/>
  <c r="K181" i="38" s="1"/>
  <c r="M181" i="38"/>
  <c r="Q181" i="38"/>
  <c r="R181" i="38" s="1"/>
  <c r="T181" i="38"/>
  <c r="F182" i="38"/>
  <c r="J182" i="38"/>
  <c r="K182" i="38" s="1"/>
  <c r="M182" i="38"/>
  <c r="Q182" i="38"/>
  <c r="R182" i="38"/>
  <c r="T182" i="38"/>
  <c r="D195" i="38"/>
  <c r="D201" i="38"/>
  <c r="Q209" i="38"/>
  <c r="R209" i="38" s="1"/>
  <c r="Q210" i="38"/>
  <c r="R210" i="38" s="1"/>
  <c r="T210" i="38"/>
  <c r="Q211" i="38"/>
  <c r="R211" i="38" s="1"/>
  <c r="T211" i="38"/>
  <c r="Q212" i="38"/>
  <c r="R212" i="38" s="1"/>
  <c r="T212" i="38"/>
  <c r="Q213" i="38"/>
  <c r="R213" i="38" s="1"/>
  <c r="T213" i="38"/>
  <c r="Q214" i="38"/>
  <c r="R214" i="38" s="1"/>
  <c r="T214" i="38"/>
  <c r="Q215" i="38"/>
  <c r="R215" i="38" s="1"/>
  <c r="T215" i="38"/>
  <c r="Q216" i="38"/>
  <c r="R216" i="38"/>
  <c r="T216" i="38"/>
  <c r="Q217" i="38"/>
  <c r="R217" i="38"/>
  <c r="T217" i="38"/>
  <c r="Q218" i="38"/>
  <c r="R218" i="38"/>
  <c r="T218" i="38"/>
  <c r="Q219" i="38"/>
  <c r="R219" i="38" s="1"/>
  <c r="T219" i="38"/>
  <c r="Q220" i="38"/>
  <c r="R220" i="38"/>
  <c r="T220" i="38"/>
  <c r="Q221" i="38"/>
  <c r="R221" i="38" s="1"/>
  <c r="T221" i="38"/>
  <c r="Q222" i="38"/>
  <c r="R222" i="38" s="1"/>
  <c r="T222" i="38"/>
  <c r="Q223" i="38"/>
  <c r="R223" i="38" s="1"/>
  <c r="T223" i="38"/>
  <c r="Q224" i="38"/>
  <c r="R224" i="38"/>
  <c r="T224" i="38"/>
  <c r="Q225" i="38"/>
  <c r="R225" i="38"/>
  <c r="T225" i="38"/>
  <c r="Q226" i="38"/>
  <c r="R226" i="38"/>
  <c r="T226" i="38"/>
  <c r="Q227" i="38"/>
  <c r="R227" i="38" s="1"/>
  <c r="T227" i="38"/>
  <c r="Q228" i="38"/>
  <c r="R228" i="38" s="1"/>
  <c r="T228" i="38"/>
  <c r="Q229" i="38"/>
  <c r="R229" i="38" s="1"/>
  <c r="T229" i="38"/>
  <c r="Q230" i="38"/>
  <c r="R230" i="38"/>
  <c r="T230" i="38"/>
  <c r="Q231" i="38"/>
  <c r="R231" i="38" s="1"/>
  <c r="T231" i="38"/>
  <c r="Q232" i="38"/>
  <c r="R232" i="38" s="1"/>
  <c r="T232" i="38"/>
  <c r="Q233" i="38"/>
  <c r="R233" i="38" s="1"/>
  <c r="T233" i="38"/>
  <c r="Q234" i="38"/>
  <c r="R234" i="38"/>
  <c r="T234" i="38"/>
  <c r="Q235" i="38"/>
  <c r="R235" i="38" s="1"/>
  <c r="T235" i="38"/>
  <c r="Q236" i="38"/>
  <c r="R236" i="38" s="1"/>
  <c r="T236" i="38"/>
  <c r="Q237" i="38"/>
  <c r="R237" i="38" s="1"/>
  <c r="T237" i="38"/>
  <c r="C238" i="38"/>
  <c r="D238" i="38" s="1"/>
  <c r="F238" i="38"/>
  <c r="J238" i="38"/>
  <c r="K238" i="38" s="1"/>
  <c r="M238" i="38"/>
  <c r="Q238" i="38"/>
  <c r="R238" i="38"/>
  <c r="T238" i="38"/>
  <c r="C239" i="38"/>
  <c r="D239" i="38" s="1"/>
  <c r="F239" i="38"/>
  <c r="J239" i="38"/>
  <c r="K239" i="38" s="1"/>
  <c r="M239" i="38"/>
  <c r="Q239" i="38"/>
  <c r="R239" i="38" s="1"/>
  <c r="T239" i="38"/>
  <c r="C240" i="38"/>
  <c r="D240" i="38" s="1"/>
  <c r="F240" i="38"/>
  <c r="J240" i="38"/>
  <c r="K240" i="38" s="1"/>
  <c r="M240" i="38"/>
  <c r="Q240" i="38"/>
  <c r="R240" i="38"/>
  <c r="T240" i="38"/>
  <c r="C241" i="38"/>
  <c r="D241" i="38" s="1"/>
  <c r="F241" i="38"/>
  <c r="J241" i="38"/>
  <c r="K241" i="38" s="1"/>
  <c r="M241" i="38"/>
  <c r="Q241" i="38"/>
  <c r="R241" i="38"/>
  <c r="T241" i="38"/>
  <c r="C242" i="38"/>
  <c r="D242" i="38" s="1"/>
  <c r="F242" i="38"/>
  <c r="J242" i="38"/>
  <c r="K242" i="38" s="1"/>
  <c r="M242" i="38"/>
  <c r="Q242" i="38"/>
  <c r="R242" i="38"/>
  <c r="T242" i="38"/>
  <c r="C243" i="38"/>
  <c r="D243" i="38" s="1"/>
  <c r="F243" i="38"/>
  <c r="J243" i="38"/>
  <c r="K243" i="38" s="1"/>
  <c r="M243" i="38"/>
  <c r="Q243" i="38"/>
  <c r="R243" i="38" s="1"/>
  <c r="T243" i="38"/>
  <c r="C244" i="38"/>
  <c r="D244" i="38" s="1"/>
  <c r="F244" i="38"/>
  <c r="J244" i="38"/>
  <c r="K244" i="38" s="1"/>
  <c r="M244" i="38"/>
  <c r="Q244" i="38"/>
  <c r="R244" i="38"/>
  <c r="T244" i="38"/>
  <c r="C245" i="38"/>
  <c r="D245" i="38" s="1"/>
  <c r="F245" i="38"/>
  <c r="J245" i="38"/>
  <c r="K245" i="38" s="1"/>
  <c r="M245" i="38"/>
  <c r="Q245" i="38"/>
  <c r="R245" i="38" s="1"/>
  <c r="T245" i="38"/>
  <c r="B258" i="38"/>
  <c r="M288" i="74" l="1"/>
  <c r="M282" i="74"/>
  <c r="M287" i="74"/>
  <c r="C137" i="75"/>
  <c r="H212" i="75"/>
  <c r="H64" i="75"/>
  <c r="H137" i="75" s="1"/>
  <c r="L215" i="75" s="1"/>
  <c r="U38" i="38"/>
  <c r="T38" i="38"/>
  <c r="D196" i="38"/>
  <c r="D200" i="38" s="1"/>
  <c r="D135" i="38"/>
  <c r="G38" i="38"/>
  <c r="R172" i="38"/>
  <c r="D71" i="38"/>
  <c r="D132" i="38" s="1"/>
  <c r="D197" i="38" s="1"/>
  <c r="D74" i="38"/>
  <c r="U39" i="38"/>
  <c r="M37" i="38"/>
  <c r="N38" i="38"/>
  <c r="M286" i="74"/>
  <c r="M285" i="74"/>
  <c r="M284" i="74"/>
  <c r="M299" i="74"/>
  <c r="M302" i="74" s="1"/>
  <c r="T10" i="74"/>
  <c r="T9" i="74"/>
  <c r="M48" i="3"/>
  <c r="H48" i="3"/>
  <c r="B49" i="3"/>
  <c r="T11" i="11"/>
  <c r="M64" i="65"/>
  <c r="P215" i="65" s="1"/>
  <c r="T9" i="11"/>
  <c r="T10" i="11"/>
  <c r="C64" i="65"/>
  <c r="S56" i="65"/>
  <c r="N39" i="38"/>
  <c r="D198" i="38"/>
  <c r="U37" i="38"/>
  <c r="N37" i="38"/>
  <c r="T39" i="38"/>
  <c r="T41" i="38" s="1"/>
  <c r="F36" i="38"/>
  <c r="N41" i="38"/>
  <c r="M39" i="38"/>
  <c r="M41" i="38" s="1"/>
  <c r="G39" i="38"/>
  <c r="G41" i="38" s="1"/>
  <c r="T37" i="38"/>
  <c r="U40" i="38"/>
  <c r="D30" i="8"/>
  <c r="D14" i="22"/>
  <c r="D8" i="25"/>
  <c r="M68" i="38" l="1"/>
  <c r="U48" i="38"/>
  <c r="M67" i="38"/>
  <c r="M71" i="38"/>
  <c r="M70" i="38"/>
  <c r="U49" i="38"/>
  <c r="M132" i="38"/>
  <c r="M131" i="38"/>
  <c r="P138" i="38"/>
  <c r="P137" i="38"/>
  <c r="L196" i="38"/>
  <c r="L195" i="38"/>
  <c r="P201" i="38"/>
  <c r="U50" i="38"/>
  <c r="P200" i="38"/>
  <c r="U41" i="38"/>
  <c r="M310" i="74"/>
  <c r="M308" i="74"/>
  <c r="M311" i="74"/>
  <c r="M307" i="74"/>
  <c r="M305" i="74"/>
  <c r="M309" i="74"/>
  <c r="M306" i="74"/>
  <c r="M49" i="3"/>
  <c r="H49" i="3"/>
  <c r="B50" i="3"/>
  <c r="H64" i="65"/>
  <c r="H137" i="65" s="1"/>
  <c r="L215" i="65" s="1"/>
  <c r="C137" i="65"/>
  <c r="H212" i="65"/>
  <c r="F37" i="38"/>
  <c r="F39" i="38"/>
  <c r="F41" i="38" s="1"/>
  <c r="M50" i="3" l="1"/>
  <c r="H50" i="3"/>
  <c r="B51" i="3"/>
  <c r="AN101" i="3"/>
  <c r="AN100" i="3"/>
  <c r="AN99" i="3"/>
  <c r="AN98" i="3"/>
  <c r="AN97" i="3"/>
  <c r="AN96" i="3"/>
  <c r="AN95" i="3"/>
  <c r="AN94" i="3"/>
  <c r="AN93" i="3"/>
  <c r="AN92" i="3"/>
  <c r="AN91" i="3"/>
  <c r="AN90" i="3"/>
  <c r="AN89" i="3"/>
  <c r="AN88" i="3"/>
  <c r="AN87" i="3"/>
  <c r="AN86" i="3"/>
  <c r="AN85" i="3"/>
  <c r="AN84" i="3"/>
  <c r="AN83" i="3"/>
  <c r="AN82" i="3"/>
  <c r="AN81" i="3"/>
  <c r="AN80" i="3"/>
  <c r="AN79" i="3"/>
  <c r="AN78" i="3"/>
  <c r="AN77" i="3"/>
  <c r="AN76" i="3"/>
  <c r="AN75" i="3"/>
  <c r="AN74" i="3"/>
  <c r="AN73" i="3"/>
  <c r="AN72" i="3"/>
  <c r="AN71" i="3"/>
  <c r="AN70" i="3"/>
  <c r="AN69" i="3"/>
  <c r="AN68" i="3"/>
  <c r="AN67" i="3"/>
  <c r="AN66" i="3"/>
  <c r="AN65" i="3"/>
  <c r="AN64" i="3"/>
  <c r="AN63" i="3"/>
  <c r="AN62" i="3"/>
  <c r="AN61" i="3"/>
  <c r="AN60" i="3"/>
  <c r="AN59" i="3"/>
  <c r="AN58" i="3"/>
  <c r="AN57" i="3"/>
  <c r="AN56" i="3"/>
  <c r="AN55" i="3"/>
  <c r="AN54" i="3"/>
  <c r="AN53" i="3"/>
  <c r="AN52" i="3"/>
  <c r="AN51" i="3"/>
  <c r="AN50" i="3"/>
  <c r="AN49" i="3"/>
  <c r="AN48" i="3"/>
  <c r="AN47" i="3"/>
  <c r="AN46" i="3"/>
  <c r="AN45" i="3"/>
  <c r="AN44" i="3"/>
  <c r="AN43" i="3"/>
  <c r="AN42" i="3"/>
  <c r="AN41" i="3"/>
  <c r="AN40" i="3"/>
  <c r="AN39" i="3"/>
  <c r="AN38" i="3"/>
  <c r="AN37" i="3"/>
  <c r="AN36" i="3"/>
  <c r="AN35" i="3"/>
  <c r="AN34" i="3"/>
  <c r="AN33" i="3"/>
  <c r="AN32" i="3"/>
  <c r="AN31" i="3"/>
  <c r="AN30" i="3"/>
  <c r="AN29" i="3"/>
  <c r="AN28" i="3"/>
  <c r="BK102" i="3"/>
  <c r="BJ102" i="3"/>
  <c r="BI102" i="3"/>
  <c r="BH102" i="3"/>
  <c r="BG102" i="3"/>
  <c r="BE102" i="3"/>
  <c r="BD102" i="3"/>
  <c r="BC102" i="3"/>
  <c r="BB102" i="3"/>
  <c r="BA102" i="3"/>
  <c r="AZ102" i="3"/>
  <c r="AY102" i="3"/>
  <c r="AX102" i="3"/>
  <c r="AW102" i="3"/>
  <c r="AV102" i="3"/>
  <c r="AU102" i="3"/>
  <c r="AT102" i="3"/>
  <c r="AS102" i="3"/>
  <c r="AR102" i="3"/>
  <c r="AQ102" i="3"/>
  <c r="AP102" i="3"/>
  <c r="AO102" i="3"/>
  <c r="BK101" i="3"/>
  <c r="BJ101" i="3"/>
  <c r="BI101" i="3"/>
  <c r="BH101" i="3"/>
  <c r="BG101" i="3"/>
  <c r="BE101" i="3"/>
  <c r="BD101" i="3"/>
  <c r="BC101" i="3"/>
  <c r="BB101" i="3"/>
  <c r="BA101" i="3"/>
  <c r="AZ101" i="3"/>
  <c r="AY101" i="3"/>
  <c r="AX101" i="3"/>
  <c r="AW101" i="3"/>
  <c r="AV101" i="3"/>
  <c r="AU101" i="3"/>
  <c r="AT101" i="3"/>
  <c r="AS101" i="3"/>
  <c r="AR101" i="3"/>
  <c r="AQ101" i="3"/>
  <c r="AP101" i="3"/>
  <c r="AO101" i="3"/>
  <c r="BK100" i="3"/>
  <c r="BJ100" i="3"/>
  <c r="BI100" i="3"/>
  <c r="BH100" i="3"/>
  <c r="BG100" i="3"/>
  <c r="BE100" i="3"/>
  <c r="BD100" i="3"/>
  <c r="BC100" i="3"/>
  <c r="BB100" i="3"/>
  <c r="BA100" i="3"/>
  <c r="AZ100" i="3"/>
  <c r="AY100" i="3"/>
  <c r="AX100" i="3"/>
  <c r="AW100" i="3"/>
  <c r="AV100" i="3"/>
  <c r="AU100" i="3"/>
  <c r="AT100" i="3"/>
  <c r="AS100" i="3"/>
  <c r="AR100" i="3"/>
  <c r="AQ100" i="3"/>
  <c r="AP100" i="3"/>
  <c r="AO100" i="3"/>
  <c r="BK99" i="3"/>
  <c r="BJ99" i="3"/>
  <c r="BI99" i="3"/>
  <c r="BH99" i="3"/>
  <c r="BG99" i="3"/>
  <c r="BE99" i="3"/>
  <c r="BD99" i="3"/>
  <c r="BC99" i="3"/>
  <c r="BB99" i="3"/>
  <c r="BA99" i="3"/>
  <c r="AZ99" i="3"/>
  <c r="AY99" i="3"/>
  <c r="AX99" i="3"/>
  <c r="AW99" i="3"/>
  <c r="AV99" i="3"/>
  <c r="AU99" i="3"/>
  <c r="AT99" i="3"/>
  <c r="AS99" i="3"/>
  <c r="AR99" i="3"/>
  <c r="AQ99" i="3"/>
  <c r="AP99" i="3"/>
  <c r="AO99" i="3"/>
  <c r="BK98" i="3"/>
  <c r="BJ98" i="3"/>
  <c r="BI98" i="3"/>
  <c r="BH98" i="3"/>
  <c r="BG98" i="3"/>
  <c r="BE98" i="3"/>
  <c r="BD98" i="3"/>
  <c r="BC98" i="3"/>
  <c r="BB98" i="3"/>
  <c r="BA98" i="3"/>
  <c r="AZ98" i="3"/>
  <c r="AY98" i="3"/>
  <c r="AX98" i="3"/>
  <c r="AW98" i="3"/>
  <c r="AV98" i="3"/>
  <c r="AU98" i="3"/>
  <c r="AT98" i="3"/>
  <c r="AS98" i="3"/>
  <c r="AR98" i="3"/>
  <c r="AQ98" i="3"/>
  <c r="AP98" i="3"/>
  <c r="AO98" i="3"/>
  <c r="BK97" i="3"/>
  <c r="BJ97" i="3"/>
  <c r="BI97" i="3"/>
  <c r="BH97" i="3"/>
  <c r="BG97" i="3"/>
  <c r="BE97" i="3"/>
  <c r="BD97" i="3"/>
  <c r="BC97" i="3"/>
  <c r="BB97" i="3"/>
  <c r="BA97" i="3"/>
  <c r="AZ97" i="3"/>
  <c r="AY97" i="3"/>
  <c r="AX97" i="3"/>
  <c r="AW97" i="3"/>
  <c r="AV97" i="3"/>
  <c r="AU97" i="3"/>
  <c r="AT97" i="3"/>
  <c r="AS97" i="3"/>
  <c r="AR97" i="3"/>
  <c r="AQ97" i="3"/>
  <c r="AP97" i="3"/>
  <c r="AO97" i="3"/>
  <c r="BK96" i="3"/>
  <c r="BJ96" i="3"/>
  <c r="BI96" i="3"/>
  <c r="BH96" i="3"/>
  <c r="BG96" i="3"/>
  <c r="BE96" i="3"/>
  <c r="BD96" i="3"/>
  <c r="BC96" i="3"/>
  <c r="BB96" i="3"/>
  <c r="BA96" i="3"/>
  <c r="AZ96" i="3"/>
  <c r="AY96" i="3"/>
  <c r="AX96" i="3"/>
  <c r="AW96" i="3"/>
  <c r="AV96" i="3"/>
  <c r="AU96" i="3"/>
  <c r="AT96" i="3"/>
  <c r="AS96" i="3"/>
  <c r="AR96" i="3"/>
  <c r="AQ96" i="3"/>
  <c r="AP96" i="3"/>
  <c r="AO96" i="3"/>
  <c r="BK95" i="3"/>
  <c r="BJ95" i="3"/>
  <c r="BI95" i="3"/>
  <c r="BH95" i="3"/>
  <c r="BG95" i="3"/>
  <c r="BE95" i="3"/>
  <c r="BD95" i="3"/>
  <c r="BC95" i="3"/>
  <c r="BB95" i="3"/>
  <c r="BA95" i="3"/>
  <c r="AZ95" i="3"/>
  <c r="AY95" i="3"/>
  <c r="AX95" i="3"/>
  <c r="AW95" i="3"/>
  <c r="AV95" i="3"/>
  <c r="AU95" i="3"/>
  <c r="AT95" i="3"/>
  <c r="AS95" i="3"/>
  <c r="AR95" i="3"/>
  <c r="AQ95" i="3"/>
  <c r="AP95" i="3"/>
  <c r="AO95" i="3"/>
  <c r="BK94" i="3"/>
  <c r="BJ94" i="3"/>
  <c r="BI94" i="3"/>
  <c r="BH94" i="3"/>
  <c r="BG94" i="3"/>
  <c r="BE94" i="3"/>
  <c r="BD94" i="3"/>
  <c r="BC94" i="3"/>
  <c r="BB94" i="3"/>
  <c r="BA94" i="3"/>
  <c r="AZ94" i="3"/>
  <c r="AY94" i="3"/>
  <c r="AX94" i="3"/>
  <c r="AW94" i="3"/>
  <c r="AV94" i="3"/>
  <c r="AU94" i="3"/>
  <c r="AT94" i="3"/>
  <c r="AS94" i="3"/>
  <c r="AR94" i="3"/>
  <c r="AQ94" i="3"/>
  <c r="AP94" i="3"/>
  <c r="AO94" i="3"/>
  <c r="BK93" i="3"/>
  <c r="BJ93" i="3"/>
  <c r="BI93" i="3"/>
  <c r="BH93" i="3"/>
  <c r="BG93" i="3"/>
  <c r="BE93" i="3"/>
  <c r="BD93" i="3"/>
  <c r="BC93" i="3"/>
  <c r="BB93" i="3"/>
  <c r="BA93" i="3"/>
  <c r="AZ93" i="3"/>
  <c r="AY93" i="3"/>
  <c r="AX93" i="3"/>
  <c r="AW93" i="3"/>
  <c r="AV93" i="3"/>
  <c r="AU93" i="3"/>
  <c r="AT93" i="3"/>
  <c r="AS93" i="3"/>
  <c r="AR93" i="3"/>
  <c r="AQ93" i="3"/>
  <c r="AP93" i="3"/>
  <c r="AO93" i="3"/>
  <c r="BK92" i="3"/>
  <c r="BJ92" i="3"/>
  <c r="BI92" i="3"/>
  <c r="BH92" i="3"/>
  <c r="BG92" i="3"/>
  <c r="BE92" i="3"/>
  <c r="BD92" i="3"/>
  <c r="BC92" i="3"/>
  <c r="BB92" i="3"/>
  <c r="BA92" i="3"/>
  <c r="AZ92" i="3"/>
  <c r="AY92" i="3"/>
  <c r="AX92" i="3"/>
  <c r="AW92" i="3"/>
  <c r="AV92" i="3"/>
  <c r="AU92" i="3"/>
  <c r="AT92" i="3"/>
  <c r="AS92" i="3"/>
  <c r="AR92" i="3"/>
  <c r="AQ92" i="3"/>
  <c r="AP92" i="3"/>
  <c r="AO92" i="3"/>
  <c r="BK91" i="3"/>
  <c r="BJ91" i="3"/>
  <c r="BI91" i="3"/>
  <c r="BH91" i="3"/>
  <c r="BG91" i="3"/>
  <c r="BE91" i="3"/>
  <c r="BD91" i="3"/>
  <c r="BC91" i="3"/>
  <c r="BB91" i="3"/>
  <c r="BA91" i="3"/>
  <c r="AZ91" i="3"/>
  <c r="AY91" i="3"/>
  <c r="AX91" i="3"/>
  <c r="AW91" i="3"/>
  <c r="AV91" i="3"/>
  <c r="AU91" i="3"/>
  <c r="AT91" i="3"/>
  <c r="AS91" i="3"/>
  <c r="AR91" i="3"/>
  <c r="AQ91" i="3"/>
  <c r="AP91" i="3"/>
  <c r="AO91" i="3"/>
  <c r="BK90" i="3"/>
  <c r="BJ90" i="3"/>
  <c r="BI90" i="3"/>
  <c r="BH90" i="3"/>
  <c r="BG90" i="3"/>
  <c r="BE90" i="3"/>
  <c r="BD90" i="3"/>
  <c r="BC90" i="3"/>
  <c r="BB90" i="3"/>
  <c r="BA90" i="3"/>
  <c r="AZ90" i="3"/>
  <c r="AY90" i="3"/>
  <c r="AX90" i="3"/>
  <c r="AW90" i="3"/>
  <c r="AV90" i="3"/>
  <c r="AU90" i="3"/>
  <c r="AT90" i="3"/>
  <c r="AS90" i="3"/>
  <c r="AR90" i="3"/>
  <c r="AQ90" i="3"/>
  <c r="AP90" i="3"/>
  <c r="AO90" i="3"/>
  <c r="BK89" i="3"/>
  <c r="BJ89" i="3"/>
  <c r="BI89" i="3"/>
  <c r="BH89" i="3"/>
  <c r="BG89" i="3"/>
  <c r="BE89" i="3"/>
  <c r="BD89" i="3"/>
  <c r="BC89" i="3"/>
  <c r="BB89" i="3"/>
  <c r="BA89" i="3"/>
  <c r="AZ89" i="3"/>
  <c r="AY89" i="3"/>
  <c r="AX89" i="3"/>
  <c r="AW89" i="3"/>
  <c r="AV89" i="3"/>
  <c r="AU89" i="3"/>
  <c r="AT89" i="3"/>
  <c r="AS89" i="3"/>
  <c r="AR89" i="3"/>
  <c r="AQ89" i="3"/>
  <c r="AP89" i="3"/>
  <c r="AO89" i="3"/>
  <c r="BK88" i="3"/>
  <c r="BJ88" i="3"/>
  <c r="BI88" i="3"/>
  <c r="BH88" i="3"/>
  <c r="BG88" i="3"/>
  <c r="BE88" i="3"/>
  <c r="BD88" i="3"/>
  <c r="BC88" i="3"/>
  <c r="BB88" i="3"/>
  <c r="BA88" i="3"/>
  <c r="AZ88" i="3"/>
  <c r="AY88" i="3"/>
  <c r="AX88" i="3"/>
  <c r="AW88" i="3"/>
  <c r="AV88" i="3"/>
  <c r="AU88" i="3"/>
  <c r="AT88" i="3"/>
  <c r="AS88" i="3"/>
  <c r="AR88" i="3"/>
  <c r="AQ88" i="3"/>
  <c r="AP88" i="3"/>
  <c r="AO88" i="3"/>
  <c r="BK87" i="3"/>
  <c r="BJ87" i="3"/>
  <c r="BI87" i="3"/>
  <c r="BH87" i="3"/>
  <c r="BG87" i="3"/>
  <c r="BE87" i="3"/>
  <c r="BD87" i="3"/>
  <c r="BC87" i="3"/>
  <c r="BB87" i="3"/>
  <c r="BA87" i="3"/>
  <c r="AZ87" i="3"/>
  <c r="AY87" i="3"/>
  <c r="AX87" i="3"/>
  <c r="AW87" i="3"/>
  <c r="AV87" i="3"/>
  <c r="AU87" i="3"/>
  <c r="AT87" i="3"/>
  <c r="AS87" i="3"/>
  <c r="AR87" i="3"/>
  <c r="AQ87" i="3"/>
  <c r="AP87" i="3"/>
  <c r="AO87" i="3"/>
  <c r="BK86" i="3"/>
  <c r="BJ86" i="3"/>
  <c r="BI86" i="3"/>
  <c r="BH86" i="3"/>
  <c r="BG86" i="3"/>
  <c r="BE86" i="3"/>
  <c r="BD86" i="3"/>
  <c r="BC86" i="3"/>
  <c r="BB86" i="3"/>
  <c r="BA86" i="3"/>
  <c r="AZ86" i="3"/>
  <c r="AY86" i="3"/>
  <c r="AX86" i="3"/>
  <c r="AW86" i="3"/>
  <c r="AV86" i="3"/>
  <c r="AU86" i="3"/>
  <c r="AT86" i="3"/>
  <c r="AS86" i="3"/>
  <c r="AR86" i="3"/>
  <c r="AQ86" i="3"/>
  <c r="AP86" i="3"/>
  <c r="AO86" i="3"/>
  <c r="BK85" i="3"/>
  <c r="BJ85" i="3"/>
  <c r="BI85" i="3"/>
  <c r="BH85" i="3"/>
  <c r="BG85" i="3"/>
  <c r="BE85" i="3"/>
  <c r="BD85" i="3"/>
  <c r="BC85" i="3"/>
  <c r="BB85" i="3"/>
  <c r="BA85" i="3"/>
  <c r="AZ85" i="3"/>
  <c r="AY85" i="3"/>
  <c r="AX85" i="3"/>
  <c r="AW85" i="3"/>
  <c r="AV85" i="3"/>
  <c r="AU85" i="3"/>
  <c r="AT85" i="3"/>
  <c r="AS85" i="3"/>
  <c r="AR85" i="3"/>
  <c r="AQ85" i="3"/>
  <c r="AP85" i="3"/>
  <c r="AO85" i="3"/>
  <c r="BK84" i="3"/>
  <c r="BJ84" i="3"/>
  <c r="BI84" i="3"/>
  <c r="BH84" i="3"/>
  <c r="BG84" i="3"/>
  <c r="BE84" i="3"/>
  <c r="BD84" i="3"/>
  <c r="BC84" i="3"/>
  <c r="BB84" i="3"/>
  <c r="BA84" i="3"/>
  <c r="AZ84" i="3"/>
  <c r="AY84" i="3"/>
  <c r="AX84" i="3"/>
  <c r="AW84" i="3"/>
  <c r="AV84" i="3"/>
  <c r="AU84" i="3"/>
  <c r="AT84" i="3"/>
  <c r="AS84" i="3"/>
  <c r="AR84" i="3"/>
  <c r="AQ84" i="3"/>
  <c r="AP84" i="3"/>
  <c r="AO84" i="3"/>
  <c r="BK83" i="3"/>
  <c r="BJ83" i="3"/>
  <c r="BI83" i="3"/>
  <c r="BH83" i="3"/>
  <c r="BG83" i="3"/>
  <c r="BE83" i="3"/>
  <c r="BD83" i="3"/>
  <c r="BC83" i="3"/>
  <c r="BB83" i="3"/>
  <c r="BA83" i="3"/>
  <c r="AZ83" i="3"/>
  <c r="AY83" i="3"/>
  <c r="AX83" i="3"/>
  <c r="AW83" i="3"/>
  <c r="AV83" i="3"/>
  <c r="AU83" i="3"/>
  <c r="AT83" i="3"/>
  <c r="AS83" i="3"/>
  <c r="AR83" i="3"/>
  <c r="AQ83" i="3"/>
  <c r="AP83" i="3"/>
  <c r="AO83" i="3"/>
  <c r="BK82" i="3"/>
  <c r="BJ82" i="3"/>
  <c r="BI82" i="3"/>
  <c r="BH82" i="3"/>
  <c r="BG82" i="3"/>
  <c r="BE82" i="3"/>
  <c r="BD82" i="3"/>
  <c r="BC82" i="3"/>
  <c r="BB82" i="3"/>
  <c r="BA82" i="3"/>
  <c r="AZ82" i="3"/>
  <c r="AY82" i="3"/>
  <c r="AX82" i="3"/>
  <c r="AW82" i="3"/>
  <c r="AV82" i="3"/>
  <c r="AU82" i="3"/>
  <c r="AT82" i="3"/>
  <c r="AS82" i="3"/>
  <c r="AR82" i="3"/>
  <c r="AQ82" i="3"/>
  <c r="AP82" i="3"/>
  <c r="AO82" i="3"/>
  <c r="BK81" i="3"/>
  <c r="BJ81" i="3"/>
  <c r="BI81" i="3"/>
  <c r="BH81" i="3"/>
  <c r="BG81" i="3"/>
  <c r="BE81" i="3"/>
  <c r="BD81" i="3"/>
  <c r="BC81" i="3"/>
  <c r="BB81" i="3"/>
  <c r="BA81" i="3"/>
  <c r="AZ81" i="3"/>
  <c r="AY81" i="3"/>
  <c r="AX81" i="3"/>
  <c r="AW81" i="3"/>
  <c r="AV81" i="3"/>
  <c r="AU81" i="3"/>
  <c r="AT81" i="3"/>
  <c r="AS81" i="3"/>
  <c r="AR81" i="3"/>
  <c r="AQ81" i="3"/>
  <c r="AP81" i="3"/>
  <c r="AO81" i="3"/>
  <c r="BK80" i="3"/>
  <c r="BJ80" i="3"/>
  <c r="BI80" i="3"/>
  <c r="BH80" i="3"/>
  <c r="BG80" i="3"/>
  <c r="BE80" i="3"/>
  <c r="BD80" i="3"/>
  <c r="BC80" i="3"/>
  <c r="BB80" i="3"/>
  <c r="BA80" i="3"/>
  <c r="AZ80" i="3"/>
  <c r="AY80" i="3"/>
  <c r="AX80" i="3"/>
  <c r="AW80" i="3"/>
  <c r="AV80" i="3"/>
  <c r="AU80" i="3"/>
  <c r="AT80" i="3"/>
  <c r="AS80" i="3"/>
  <c r="AR80" i="3"/>
  <c r="AQ80" i="3"/>
  <c r="AP80" i="3"/>
  <c r="AO80" i="3"/>
  <c r="BK79" i="3"/>
  <c r="BJ79" i="3"/>
  <c r="BI79" i="3"/>
  <c r="BH79" i="3"/>
  <c r="BG79" i="3"/>
  <c r="BE79" i="3"/>
  <c r="BD79" i="3"/>
  <c r="BC79" i="3"/>
  <c r="BB79" i="3"/>
  <c r="BA79" i="3"/>
  <c r="AZ79" i="3"/>
  <c r="AY79" i="3"/>
  <c r="AX79" i="3"/>
  <c r="AW79" i="3"/>
  <c r="AV79" i="3"/>
  <c r="AU79" i="3"/>
  <c r="AT79" i="3"/>
  <c r="AS79" i="3"/>
  <c r="AR79" i="3"/>
  <c r="AQ79" i="3"/>
  <c r="AP79" i="3"/>
  <c r="AO79" i="3"/>
  <c r="BK78" i="3"/>
  <c r="BJ78" i="3"/>
  <c r="BI78" i="3"/>
  <c r="BH78" i="3"/>
  <c r="BG78" i="3"/>
  <c r="BE78" i="3"/>
  <c r="BD78" i="3"/>
  <c r="BC78" i="3"/>
  <c r="BB78" i="3"/>
  <c r="BA78" i="3"/>
  <c r="AZ78" i="3"/>
  <c r="AY78" i="3"/>
  <c r="AX78" i="3"/>
  <c r="AW78" i="3"/>
  <c r="AV78" i="3"/>
  <c r="AU78" i="3"/>
  <c r="AT78" i="3"/>
  <c r="AS78" i="3"/>
  <c r="AR78" i="3"/>
  <c r="AQ78" i="3"/>
  <c r="AP78" i="3"/>
  <c r="AO78" i="3"/>
  <c r="BK77" i="3"/>
  <c r="BJ77" i="3"/>
  <c r="BI77" i="3"/>
  <c r="BH77" i="3"/>
  <c r="BG77" i="3"/>
  <c r="BE77" i="3"/>
  <c r="BD77" i="3"/>
  <c r="BC77" i="3"/>
  <c r="BB77" i="3"/>
  <c r="BA77" i="3"/>
  <c r="AZ77" i="3"/>
  <c r="AY77" i="3"/>
  <c r="AX77" i="3"/>
  <c r="AW77" i="3"/>
  <c r="AV77" i="3"/>
  <c r="AU77" i="3"/>
  <c r="AT77" i="3"/>
  <c r="AS77" i="3"/>
  <c r="AR77" i="3"/>
  <c r="AQ77" i="3"/>
  <c r="AP77" i="3"/>
  <c r="AO77" i="3"/>
  <c r="BK76" i="3"/>
  <c r="BJ76" i="3"/>
  <c r="BI76" i="3"/>
  <c r="BH76" i="3"/>
  <c r="BG76" i="3"/>
  <c r="BE76" i="3"/>
  <c r="BD76" i="3"/>
  <c r="BC76" i="3"/>
  <c r="BB76" i="3"/>
  <c r="BA76" i="3"/>
  <c r="AZ76" i="3"/>
  <c r="AY76" i="3"/>
  <c r="AX76" i="3"/>
  <c r="AW76" i="3"/>
  <c r="AV76" i="3"/>
  <c r="AU76" i="3"/>
  <c r="AT76" i="3"/>
  <c r="AS76" i="3"/>
  <c r="AR76" i="3"/>
  <c r="AQ76" i="3"/>
  <c r="AP76" i="3"/>
  <c r="AO76" i="3"/>
  <c r="BK75" i="3"/>
  <c r="BJ75" i="3"/>
  <c r="BI75" i="3"/>
  <c r="BH75" i="3"/>
  <c r="BG75" i="3"/>
  <c r="BE75" i="3"/>
  <c r="BD75" i="3"/>
  <c r="BC75" i="3"/>
  <c r="BB75" i="3"/>
  <c r="BA75" i="3"/>
  <c r="AZ75" i="3"/>
  <c r="AY75" i="3"/>
  <c r="AX75" i="3"/>
  <c r="AW75" i="3"/>
  <c r="AV75" i="3"/>
  <c r="AU75" i="3"/>
  <c r="AT75" i="3"/>
  <c r="AS75" i="3"/>
  <c r="AR75" i="3"/>
  <c r="AQ75" i="3"/>
  <c r="AP75" i="3"/>
  <c r="AO75" i="3"/>
  <c r="BK74" i="3"/>
  <c r="BJ74" i="3"/>
  <c r="BI74" i="3"/>
  <c r="BH74" i="3"/>
  <c r="BG74" i="3"/>
  <c r="BE74" i="3"/>
  <c r="BD74" i="3"/>
  <c r="BC74" i="3"/>
  <c r="BB74" i="3"/>
  <c r="BA74" i="3"/>
  <c r="AZ74" i="3"/>
  <c r="AY74" i="3"/>
  <c r="AX74" i="3"/>
  <c r="AW74" i="3"/>
  <c r="AV74" i="3"/>
  <c r="AU74" i="3"/>
  <c r="AT74" i="3"/>
  <c r="AS74" i="3"/>
  <c r="AR74" i="3"/>
  <c r="AQ74" i="3"/>
  <c r="AP74" i="3"/>
  <c r="AO74" i="3"/>
  <c r="BK73" i="3"/>
  <c r="BJ73" i="3"/>
  <c r="BI73" i="3"/>
  <c r="BH73" i="3"/>
  <c r="BG73" i="3"/>
  <c r="BE73" i="3"/>
  <c r="BD73" i="3"/>
  <c r="BC73" i="3"/>
  <c r="BB73" i="3"/>
  <c r="BA73" i="3"/>
  <c r="AZ73" i="3"/>
  <c r="AY73" i="3"/>
  <c r="AX73" i="3"/>
  <c r="AW73" i="3"/>
  <c r="AV73" i="3"/>
  <c r="AU73" i="3"/>
  <c r="AT73" i="3"/>
  <c r="AS73" i="3"/>
  <c r="AR73" i="3"/>
  <c r="AQ73" i="3"/>
  <c r="AP73" i="3"/>
  <c r="AO73" i="3"/>
  <c r="BK72" i="3"/>
  <c r="BJ72" i="3"/>
  <c r="BI72" i="3"/>
  <c r="BH72" i="3"/>
  <c r="BG72" i="3"/>
  <c r="BE72" i="3"/>
  <c r="BD72" i="3"/>
  <c r="BC72" i="3"/>
  <c r="BB72" i="3"/>
  <c r="BA72" i="3"/>
  <c r="AZ72" i="3"/>
  <c r="AY72" i="3"/>
  <c r="AX72" i="3"/>
  <c r="AW72" i="3"/>
  <c r="AV72" i="3"/>
  <c r="AU72" i="3"/>
  <c r="AT72" i="3"/>
  <c r="AS72" i="3"/>
  <c r="AR72" i="3"/>
  <c r="AQ72" i="3"/>
  <c r="AP72" i="3"/>
  <c r="AO72" i="3"/>
  <c r="BK71" i="3"/>
  <c r="BJ71" i="3"/>
  <c r="BI71" i="3"/>
  <c r="BH71" i="3"/>
  <c r="BG71" i="3"/>
  <c r="BE71" i="3"/>
  <c r="BD71" i="3"/>
  <c r="BC71" i="3"/>
  <c r="BB71" i="3"/>
  <c r="BA71" i="3"/>
  <c r="AZ71" i="3"/>
  <c r="AY71" i="3"/>
  <c r="AX71" i="3"/>
  <c r="AW71" i="3"/>
  <c r="AV71" i="3"/>
  <c r="AU71" i="3"/>
  <c r="AT71" i="3"/>
  <c r="AS71" i="3"/>
  <c r="AR71" i="3"/>
  <c r="AQ71" i="3"/>
  <c r="AP71" i="3"/>
  <c r="AO71" i="3"/>
  <c r="BK70" i="3"/>
  <c r="BJ70" i="3"/>
  <c r="BI70" i="3"/>
  <c r="BH70" i="3"/>
  <c r="BG70" i="3"/>
  <c r="BE70" i="3"/>
  <c r="BD70" i="3"/>
  <c r="BC70" i="3"/>
  <c r="BB70" i="3"/>
  <c r="BA70" i="3"/>
  <c r="AZ70" i="3"/>
  <c r="AY70" i="3"/>
  <c r="AX70" i="3"/>
  <c r="AW70" i="3"/>
  <c r="AV70" i="3"/>
  <c r="AU70" i="3"/>
  <c r="AT70" i="3"/>
  <c r="AS70" i="3"/>
  <c r="AR70" i="3"/>
  <c r="AQ70" i="3"/>
  <c r="AP70" i="3"/>
  <c r="AO70" i="3"/>
  <c r="BK69" i="3"/>
  <c r="BJ69" i="3"/>
  <c r="BI69" i="3"/>
  <c r="BH69" i="3"/>
  <c r="BG69" i="3"/>
  <c r="BE69" i="3"/>
  <c r="BD69" i="3"/>
  <c r="BC69" i="3"/>
  <c r="BB69" i="3"/>
  <c r="BA69" i="3"/>
  <c r="AZ69" i="3"/>
  <c r="AY69" i="3"/>
  <c r="AX69" i="3"/>
  <c r="AW69" i="3"/>
  <c r="AV69" i="3"/>
  <c r="AU69" i="3"/>
  <c r="AT69" i="3"/>
  <c r="AS69" i="3"/>
  <c r="AR69" i="3"/>
  <c r="AQ69" i="3"/>
  <c r="AP69" i="3"/>
  <c r="AO69" i="3"/>
  <c r="BK68" i="3"/>
  <c r="BJ68" i="3"/>
  <c r="BI68" i="3"/>
  <c r="BH68" i="3"/>
  <c r="BG68" i="3"/>
  <c r="BE68" i="3"/>
  <c r="BD68" i="3"/>
  <c r="BC68" i="3"/>
  <c r="BB68" i="3"/>
  <c r="BA68" i="3"/>
  <c r="AZ68" i="3"/>
  <c r="AY68" i="3"/>
  <c r="AX68" i="3"/>
  <c r="AW68" i="3"/>
  <c r="AV68" i="3"/>
  <c r="AU68" i="3"/>
  <c r="AT68" i="3"/>
  <c r="AS68" i="3"/>
  <c r="AR68" i="3"/>
  <c r="AQ68" i="3"/>
  <c r="AP68" i="3"/>
  <c r="AO68" i="3"/>
  <c r="BK67" i="3"/>
  <c r="BJ67" i="3"/>
  <c r="BI67" i="3"/>
  <c r="BH67" i="3"/>
  <c r="BG67" i="3"/>
  <c r="BE67" i="3"/>
  <c r="BD67" i="3"/>
  <c r="BC67" i="3"/>
  <c r="BB67" i="3"/>
  <c r="BA67" i="3"/>
  <c r="AZ67" i="3"/>
  <c r="AY67" i="3"/>
  <c r="AX67" i="3"/>
  <c r="AW67" i="3"/>
  <c r="AV67" i="3"/>
  <c r="AU67" i="3"/>
  <c r="AT67" i="3"/>
  <c r="AS67" i="3"/>
  <c r="AR67" i="3"/>
  <c r="AQ67" i="3"/>
  <c r="AP67" i="3"/>
  <c r="AO67" i="3"/>
  <c r="BK66" i="3"/>
  <c r="BJ66" i="3"/>
  <c r="BI66" i="3"/>
  <c r="BH66" i="3"/>
  <c r="BG66" i="3"/>
  <c r="BE66" i="3"/>
  <c r="BD66" i="3"/>
  <c r="BC66" i="3"/>
  <c r="BB66" i="3"/>
  <c r="BA66" i="3"/>
  <c r="AZ66" i="3"/>
  <c r="AY66" i="3"/>
  <c r="AX66" i="3"/>
  <c r="AW66" i="3"/>
  <c r="AV66" i="3"/>
  <c r="AU66" i="3"/>
  <c r="AT66" i="3"/>
  <c r="AS66" i="3"/>
  <c r="AR66" i="3"/>
  <c r="AQ66" i="3"/>
  <c r="AP66" i="3"/>
  <c r="AO66" i="3"/>
  <c r="BK65" i="3"/>
  <c r="BJ65" i="3"/>
  <c r="BI65" i="3"/>
  <c r="BH65" i="3"/>
  <c r="BG65" i="3"/>
  <c r="BE65" i="3"/>
  <c r="BD65" i="3"/>
  <c r="BC65" i="3"/>
  <c r="BB65" i="3"/>
  <c r="BA65" i="3"/>
  <c r="AZ65" i="3"/>
  <c r="AY65" i="3"/>
  <c r="AX65" i="3"/>
  <c r="AW65" i="3"/>
  <c r="AV65" i="3"/>
  <c r="AU65" i="3"/>
  <c r="AT65" i="3"/>
  <c r="AS65" i="3"/>
  <c r="AR65" i="3"/>
  <c r="AQ65" i="3"/>
  <c r="AP65" i="3"/>
  <c r="AO65" i="3"/>
  <c r="BK64" i="3"/>
  <c r="BJ64" i="3"/>
  <c r="BI64" i="3"/>
  <c r="BH64" i="3"/>
  <c r="BG64" i="3"/>
  <c r="BE64" i="3"/>
  <c r="BD64" i="3"/>
  <c r="BC64" i="3"/>
  <c r="BB64" i="3"/>
  <c r="BA64" i="3"/>
  <c r="AZ64" i="3"/>
  <c r="AY64" i="3"/>
  <c r="AX64" i="3"/>
  <c r="AW64" i="3"/>
  <c r="AV64" i="3"/>
  <c r="AU64" i="3"/>
  <c r="AT64" i="3"/>
  <c r="AS64" i="3"/>
  <c r="AR64" i="3"/>
  <c r="AQ64" i="3"/>
  <c r="AP64" i="3"/>
  <c r="AO64" i="3"/>
  <c r="BK63" i="3"/>
  <c r="BJ63" i="3"/>
  <c r="BI63" i="3"/>
  <c r="BH63" i="3"/>
  <c r="BG63" i="3"/>
  <c r="BE63" i="3"/>
  <c r="BD63" i="3"/>
  <c r="BC63" i="3"/>
  <c r="BB63" i="3"/>
  <c r="BA63" i="3"/>
  <c r="AZ63" i="3"/>
  <c r="AY63" i="3"/>
  <c r="AX63" i="3"/>
  <c r="AW63" i="3"/>
  <c r="AV63" i="3"/>
  <c r="AU63" i="3"/>
  <c r="AT63" i="3"/>
  <c r="AS63" i="3"/>
  <c r="AR63" i="3"/>
  <c r="AQ63" i="3"/>
  <c r="AP63" i="3"/>
  <c r="AO63" i="3"/>
  <c r="BK62" i="3"/>
  <c r="BJ62" i="3"/>
  <c r="BI62" i="3"/>
  <c r="BH62" i="3"/>
  <c r="BG62" i="3"/>
  <c r="BE62" i="3"/>
  <c r="BD62" i="3"/>
  <c r="BC62" i="3"/>
  <c r="BB62" i="3"/>
  <c r="BA62" i="3"/>
  <c r="AZ62" i="3"/>
  <c r="AY62" i="3"/>
  <c r="AX62" i="3"/>
  <c r="AW62" i="3"/>
  <c r="AV62" i="3"/>
  <c r="AU62" i="3"/>
  <c r="AT62" i="3"/>
  <c r="AS62" i="3"/>
  <c r="AR62" i="3"/>
  <c r="AQ62" i="3"/>
  <c r="AP62" i="3"/>
  <c r="AO62" i="3"/>
  <c r="BK61" i="3"/>
  <c r="BJ61" i="3"/>
  <c r="BI61" i="3"/>
  <c r="BH61" i="3"/>
  <c r="BG61" i="3"/>
  <c r="BE61" i="3"/>
  <c r="BD61" i="3"/>
  <c r="BC61" i="3"/>
  <c r="BB61" i="3"/>
  <c r="BA61" i="3"/>
  <c r="AZ61" i="3"/>
  <c r="AY61" i="3"/>
  <c r="AX61" i="3"/>
  <c r="AW61" i="3"/>
  <c r="AV61" i="3"/>
  <c r="AU61" i="3"/>
  <c r="AT61" i="3"/>
  <c r="AS61" i="3"/>
  <c r="AR61" i="3"/>
  <c r="AQ61" i="3"/>
  <c r="AP61" i="3"/>
  <c r="AO61" i="3"/>
  <c r="BK60" i="3"/>
  <c r="BJ60" i="3"/>
  <c r="BI60" i="3"/>
  <c r="BH60" i="3"/>
  <c r="BG60" i="3"/>
  <c r="BE60" i="3"/>
  <c r="BD60" i="3"/>
  <c r="BC60" i="3"/>
  <c r="BB60" i="3"/>
  <c r="BA60" i="3"/>
  <c r="AZ60" i="3"/>
  <c r="AY60" i="3"/>
  <c r="AX60" i="3"/>
  <c r="AW60" i="3"/>
  <c r="AV60" i="3"/>
  <c r="AU60" i="3"/>
  <c r="AT60" i="3"/>
  <c r="AS60" i="3"/>
  <c r="AR60" i="3"/>
  <c r="AQ60" i="3"/>
  <c r="AP60" i="3"/>
  <c r="AO60" i="3"/>
  <c r="BK59" i="3"/>
  <c r="BJ59" i="3"/>
  <c r="BI59" i="3"/>
  <c r="BH59" i="3"/>
  <c r="BG59" i="3"/>
  <c r="BE59" i="3"/>
  <c r="BD59" i="3"/>
  <c r="BC59" i="3"/>
  <c r="BB59" i="3"/>
  <c r="BA59" i="3"/>
  <c r="AZ59" i="3"/>
  <c r="AY59" i="3"/>
  <c r="AX59" i="3"/>
  <c r="AW59" i="3"/>
  <c r="AV59" i="3"/>
  <c r="AU59" i="3"/>
  <c r="AT59" i="3"/>
  <c r="AS59" i="3"/>
  <c r="AR59" i="3"/>
  <c r="AQ59" i="3"/>
  <c r="AP59" i="3"/>
  <c r="AO59" i="3"/>
  <c r="BK58" i="3"/>
  <c r="BJ58" i="3"/>
  <c r="BI58" i="3"/>
  <c r="BH58" i="3"/>
  <c r="BG58" i="3"/>
  <c r="BE58" i="3"/>
  <c r="BD58" i="3"/>
  <c r="BC58" i="3"/>
  <c r="BB58" i="3"/>
  <c r="BA58" i="3"/>
  <c r="AZ58" i="3"/>
  <c r="AY58" i="3"/>
  <c r="AX58" i="3"/>
  <c r="AW58" i="3"/>
  <c r="AV58" i="3"/>
  <c r="AU58" i="3"/>
  <c r="AT58" i="3"/>
  <c r="AS58" i="3"/>
  <c r="AR58" i="3"/>
  <c r="AQ58" i="3"/>
  <c r="AP58" i="3"/>
  <c r="AO58" i="3"/>
  <c r="BK57" i="3"/>
  <c r="BJ57" i="3"/>
  <c r="BI57" i="3"/>
  <c r="BH57" i="3"/>
  <c r="BG57" i="3"/>
  <c r="BE57" i="3"/>
  <c r="BD57" i="3"/>
  <c r="BC57" i="3"/>
  <c r="BB57" i="3"/>
  <c r="BA57" i="3"/>
  <c r="AZ57" i="3"/>
  <c r="AY57" i="3"/>
  <c r="AX57" i="3"/>
  <c r="AW57" i="3"/>
  <c r="AV57" i="3"/>
  <c r="AU57" i="3"/>
  <c r="AT57" i="3"/>
  <c r="AS57" i="3"/>
  <c r="AR57" i="3"/>
  <c r="AQ57" i="3"/>
  <c r="AP57" i="3"/>
  <c r="AO57" i="3"/>
  <c r="BK56" i="3"/>
  <c r="BJ56" i="3"/>
  <c r="BI56" i="3"/>
  <c r="BH56" i="3"/>
  <c r="BG56" i="3"/>
  <c r="BE56" i="3"/>
  <c r="BD56" i="3"/>
  <c r="BC56" i="3"/>
  <c r="BB56" i="3"/>
  <c r="BA56" i="3"/>
  <c r="AZ56" i="3"/>
  <c r="AY56" i="3"/>
  <c r="AX56" i="3"/>
  <c r="AW56" i="3"/>
  <c r="AV56" i="3"/>
  <c r="AU56" i="3"/>
  <c r="AT56" i="3"/>
  <c r="AS56" i="3"/>
  <c r="AR56" i="3"/>
  <c r="AQ56" i="3"/>
  <c r="AP56" i="3"/>
  <c r="AO56" i="3"/>
  <c r="BK55" i="3"/>
  <c r="BJ55" i="3"/>
  <c r="BI55" i="3"/>
  <c r="BH55" i="3"/>
  <c r="BG55" i="3"/>
  <c r="BE55" i="3"/>
  <c r="BD55" i="3"/>
  <c r="BC55" i="3"/>
  <c r="BB55" i="3"/>
  <c r="BA55" i="3"/>
  <c r="AZ55" i="3"/>
  <c r="AY55" i="3"/>
  <c r="AX55" i="3"/>
  <c r="AW55" i="3"/>
  <c r="AV55" i="3"/>
  <c r="AU55" i="3"/>
  <c r="AT55" i="3"/>
  <c r="AS55" i="3"/>
  <c r="AR55" i="3"/>
  <c r="AQ55" i="3"/>
  <c r="AP55" i="3"/>
  <c r="AO55" i="3"/>
  <c r="BK54" i="3"/>
  <c r="BJ54" i="3"/>
  <c r="BI54" i="3"/>
  <c r="BH54" i="3"/>
  <c r="BG54" i="3"/>
  <c r="BE54" i="3"/>
  <c r="BD54" i="3"/>
  <c r="BC54" i="3"/>
  <c r="BB54" i="3"/>
  <c r="BA54" i="3"/>
  <c r="AZ54" i="3"/>
  <c r="AY54" i="3"/>
  <c r="AX54" i="3"/>
  <c r="AW54" i="3"/>
  <c r="AV54" i="3"/>
  <c r="AU54" i="3"/>
  <c r="AT54" i="3"/>
  <c r="AS54" i="3"/>
  <c r="AR54" i="3"/>
  <c r="AQ54" i="3"/>
  <c r="AP54" i="3"/>
  <c r="AO54" i="3"/>
  <c r="BK53" i="3"/>
  <c r="BJ53" i="3"/>
  <c r="BI53" i="3"/>
  <c r="BH53" i="3"/>
  <c r="BG53" i="3"/>
  <c r="BE53" i="3"/>
  <c r="BD53" i="3"/>
  <c r="BC53" i="3"/>
  <c r="BB53" i="3"/>
  <c r="BA53" i="3"/>
  <c r="AZ53" i="3"/>
  <c r="AY53" i="3"/>
  <c r="AX53" i="3"/>
  <c r="AW53" i="3"/>
  <c r="AV53" i="3"/>
  <c r="AU53" i="3"/>
  <c r="AT53" i="3"/>
  <c r="AS53" i="3"/>
  <c r="AR53" i="3"/>
  <c r="AQ53" i="3"/>
  <c r="AP53" i="3"/>
  <c r="AO53" i="3"/>
  <c r="BK52" i="3"/>
  <c r="BJ52" i="3"/>
  <c r="BI52" i="3"/>
  <c r="BH52" i="3"/>
  <c r="BG52" i="3"/>
  <c r="BE52" i="3"/>
  <c r="BD52" i="3"/>
  <c r="BC52" i="3"/>
  <c r="BB52" i="3"/>
  <c r="BA52" i="3"/>
  <c r="AZ52" i="3"/>
  <c r="AY52" i="3"/>
  <c r="AX52" i="3"/>
  <c r="AW52" i="3"/>
  <c r="AV52" i="3"/>
  <c r="AU52" i="3"/>
  <c r="AT52" i="3"/>
  <c r="AS52" i="3"/>
  <c r="AR52" i="3"/>
  <c r="AQ52" i="3"/>
  <c r="AP52" i="3"/>
  <c r="AO52" i="3"/>
  <c r="BK51" i="3"/>
  <c r="BJ51" i="3"/>
  <c r="BI51" i="3"/>
  <c r="BH51" i="3"/>
  <c r="BG51" i="3"/>
  <c r="BE51" i="3"/>
  <c r="BD51" i="3"/>
  <c r="BC51" i="3"/>
  <c r="BB51" i="3"/>
  <c r="BA51" i="3"/>
  <c r="AZ51" i="3"/>
  <c r="AY51" i="3"/>
  <c r="AX51" i="3"/>
  <c r="AW51" i="3"/>
  <c r="AV51" i="3"/>
  <c r="AU51" i="3"/>
  <c r="AT51" i="3"/>
  <c r="AS51" i="3"/>
  <c r="AR51" i="3"/>
  <c r="AQ51" i="3"/>
  <c r="AP51" i="3"/>
  <c r="AO51" i="3"/>
  <c r="BK50" i="3"/>
  <c r="BJ50" i="3"/>
  <c r="BI50" i="3"/>
  <c r="BH50" i="3"/>
  <c r="BG50" i="3"/>
  <c r="BE50" i="3"/>
  <c r="BD50" i="3"/>
  <c r="BC50" i="3"/>
  <c r="BB50" i="3"/>
  <c r="BA50" i="3"/>
  <c r="AZ50" i="3"/>
  <c r="AY50" i="3"/>
  <c r="AX50" i="3"/>
  <c r="AW50" i="3"/>
  <c r="AV50" i="3"/>
  <c r="AU50" i="3"/>
  <c r="AT50" i="3"/>
  <c r="AS50" i="3"/>
  <c r="AR50" i="3"/>
  <c r="AQ50" i="3"/>
  <c r="AP50" i="3"/>
  <c r="AO50" i="3"/>
  <c r="BK49" i="3"/>
  <c r="BJ49" i="3"/>
  <c r="BI49" i="3"/>
  <c r="BH49" i="3"/>
  <c r="BG49" i="3"/>
  <c r="BE49" i="3"/>
  <c r="BD49" i="3"/>
  <c r="BC49" i="3"/>
  <c r="BB49" i="3"/>
  <c r="BA49" i="3"/>
  <c r="AZ49" i="3"/>
  <c r="AY49" i="3"/>
  <c r="AX49" i="3"/>
  <c r="AW49" i="3"/>
  <c r="AV49" i="3"/>
  <c r="AU49" i="3"/>
  <c r="AT49" i="3"/>
  <c r="AS49" i="3"/>
  <c r="AR49" i="3"/>
  <c r="AQ49" i="3"/>
  <c r="AP49" i="3"/>
  <c r="AO49" i="3"/>
  <c r="BK48" i="3"/>
  <c r="BJ48" i="3"/>
  <c r="BI48" i="3"/>
  <c r="BH48" i="3"/>
  <c r="BG48" i="3"/>
  <c r="BE48" i="3"/>
  <c r="BD48" i="3"/>
  <c r="BC48" i="3"/>
  <c r="BB48" i="3"/>
  <c r="BA48" i="3"/>
  <c r="AZ48" i="3"/>
  <c r="AY48" i="3"/>
  <c r="AX48" i="3"/>
  <c r="AW48" i="3"/>
  <c r="AV48" i="3"/>
  <c r="AU48" i="3"/>
  <c r="AT48" i="3"/>
  <c r="AS48" i="3"/>
  <c r="AR48" i="3"/>
  <c r="AQ48" i="3"/>
  <c r="AP48" i="3"/>
  <c r="AO48" i="3"/>
  <c r="BK47" i="3"/>
  <c r="BJ47" i="3"/>
  <c r="BI47" i="3"/>
  <c r="BH47" i="3"/>
  <c r="BG47" i="3"/>
  <c r="BE47" i="3"/>
  <c r="BD47" i="3"/>
  <c r="BC47" i="3"/>
  <c r="BB47" i="3"/>
  <c r="BA47" i="3"/>
  <c r="AZ47" i="3"/>
  <c r="AY47" i="3"/>
  <c r="AX47" i="3"/>
  <c r="AW47" i="3"/>
  <c r="AV47" i="3"/>
  <c r="AU47" i="3"/>
  <c r="AT47" i="3"/>
  <c r="AS47" i="3"/>
  <c r="AR47" i="3"/>
  <c r="AQ47" i="3"/>
  <c r="AP47" i="3"/>
  <c r="AO47" i="3"/>
  <c r="BK46" i="3"/>
  <c r="BJ46" i="3"/>
  <c r="BI46" i="3"/>
  <c r="BH46" i="3"/>
  <c r="BG46" i="3"/>
  <c r="BE46" i="3"/>
  <c r="BD46" i="3"/>
  <c r="BC46" i="3"/>
  <c r="BB46" i="3"/>
  <c r="BA46" i="3"/>
  <c r="AZ46" i="3"/>
  <c r="AY46" i="3"/>
  <c r="AX46" i="3"/>
  <c r="AW46" i="3"/>
  <c r="AV46" i="3"/>
  <c r="AU46" i="3"/>
  <c r="AT46" i="3"/>
  <c r="AS46" i="3"/>
  <c r="AR46" i="3"/>
  <c r="AQ46" i="3"/>
  <c r="AP46" i="3"/>
  <c r="AO46" i="3"/>
  <c r="BK45" i="3"/>
  <c r="BJ45" i="3"/>
  <c r="BI45" i="3"/>
  <c r="BH45" i="3"/>
  <c r="BG45" i="3"/>
  <c r="BE45" i="3"/>
  <c r="BD45" i="3"/>
  <c r="BC45" i="3"/>
  <c r="BB45" i="3"/>
  <c r="BA45" i="3"/>
  <c r="AZ45" i="3"/>
  <c r="AY45" i="3"/>
  <c r="AX45" i="3"/>
  <c r="AW45" i="3"/>
  <c r="AV45" i="3"/>
  <c r="AU45" i="3"/>
  <c r="AT45" i="3"/>
  <c r="AS45" i="3"/>
  <c r="AR45" i="3"/>
  <c r="AQ45" i="3"/>
  <c r="AP45" i="3"/>
  <c r="AO45" i="3"/>
  <c r="BK44" i="3"/>
  <c r="BJ44" i="3"/>
  <c r="BI44" i="3"/>
  <c r="BH44" i="3"/>
  <c r="BG44" i="3"/>
  <c r="BE44" i="3"/>
  <c r="BD44" i="3"/>
  <c r="BC44" i="3"/>
  <c r="BB44" i="3"/>
  <c r="BA44" i="3"/>
  <c r="AZ44" i="3"/>
  <c r="AY44" i="3"/>
  <c r="AX44" i="3"/>
  <c r="AW44" i="3"/>
  <c r="AV44" i="3"/>
  <c r="AU44" i="3"/>
  <c r="AT44" i="3"/>
  <c r="AS44" i="3"/>
  <c r="AR44" i="3"/>
  <c r="AQ44" i="3"/>
  <c r="AP44" i="3"/>
  <c r="AO44" i="3"/>
  <c r="BK43" i="3"/>
  <c r="BJ43" i="3"/>
  <c r="BI43" i="3"/>
  <c r="BH43" i="3"/>
  <c r="BG43" i="3"/>
  <c r="BE43" i="3"/>
  <c r="BD43" i="3"/>
  <c r="BC43" i="3"/>
  <c r="BB43" i="3"/>
  <c r="BA43" i="3"/>
  <c r="AZ43" i="3"/>
  <c r="AY43" i="3"/>
  <c r="AX43" i="3"/>
  <c r="AW43" i="3"/>
  <c r="AV43" i="3"/>
  <c r="AU43" i="3"/>
  <c r="AT43" i="3"/>
  <c r="AS43" i="3"/>
  <c r="AR43" i="3"/>
  <c r="AQ43" i="3"/>
  <c r="AP43" i="3"/>
  <c r="AO43" i="3"/>
  <c r="BK42" i="3"/>
  <c r="BJ42" i="3"/>
  <c r="BI42" i="3"/>
  <c r="BH42" i="3"/>
  <c r="BG42" i="3"/>
  <c r="BE42" i="3"/>
  <c r="BD42" i="3"/>
  <c r="BC42" i="3"/>
  <c r="BB42" i="3"/>
  <c r="BA42" i="3"/>
  <c r="AZ42" i="3"/>
  <c r="AY42" i="3"/>
  <c r="AX42" i="3"/>
  <c r="AW42" i="3"/>
  <c r="AV42" i="3"/>
  <c r="AU42" i="3"/>
  <c r="AT42" i="3"/>
  <c r="AS42" i="3"/>
  <c r="AR42" i="3"/>
  <c r="AQ42" i="3"/>
  <c r="AP42" i="3"/>
  <c r="AO42" i="3"/>
  <c r="BK41" i="3"/>
  <c r="BJ41" i="3"/>
  <c r="BI41" i="3"/>
  <c r="BH41" i="3"/>
  <c r="BG41" i="3"/>
  <c r="BE41" i="3"/>
  <c r="BD41" i="3"/>
  <c r="BC41" i="3"/>
  <c r="BB41" i="3"/>
  <c r="BA41" i="3"/>
  <c r="AZ41" i="3"/>
  <c r="AY41" i="3"/>
  <c r="AX41" i="3"/>
  <c r="AW41" i="3"/>
  <c r="AV41" i="3"/>
  <c r="AU41" i="3"/>
  <c r="AT41" i="3"/>
  <c r="AS41" i="3"/>
  <c r="AR41" i="3"/>
  <c r="AQ41" i="3"/>
  <c r="AP41" i="3"/>
  <c r="AO41" i="3"/>
  <c r="BK40" i="3"/>
  <c r="BJ40" i="3"/>
  <c r="BI40" i="3"/>
  <c r="BH40" i="3"/>
  <c r="BG40" i="3"/>
  <c r="BE40" i="3"/>
  <c r="BD40" i="3"/>
  <c r="BC40" i="3"/>
  <c r="BB40" i="3"/>
  <c r="BA40" i="3"/>
  <c r="AZ40" i="3"/>
  <c r="AY40" i="3"/>
  <c r="AX40" i="3"/>
  <c r="AW40" i="3"/>
  <c r="AV40" i="3"/>
  <c r="AU40" i="3"/>
  <c r="AT40" i="3"/>
  <c r="AS40" i="3"/>
  <c r="AR40" i="3"/>
  <c r="AQ40" i="3"/>
  <c r="AP40" i="3"/>
  <c r="AO40" i="3"/>
  <c r="BK39" i="3"/>
  <c r="BJ39" i="3"/>
  <c r="BI39" i="3"/>
  <c r="BH39" i="3"/>
  <c r="BG39" i="3"/>
  <c r="BE39" i="3"/>
  <c r="BD39" i="3"/>
  <c r="BC39" i="3"/>
  <c r="BB39" i="3"/>
  <c r="BA39" i="3"/>
  <c r="AZ39" i="3"/>
  <c r="AY39" i="3"/>
  <c r="AX39" i="3"/>
  <c r="AW39" i="3"/>
  <c r="AV39" i="3"/>
  <c r="AU39" i="3"/>
  <c r="AT39" i="3"/>
  <c r="AS39" i="3"/>
  <c r="AR39" i="3"/>
  <c r="AQ39" i="3"/>
  <c r="AP39" i="3"/>
  <c r="AO39" i="3"/>
  <c r="BK38" i="3"/>
  <c r="BJ38" i="3"/>
  <c r="BI38" i="3"/>
  <c r="BH38" i="3"/>
  <c r="BG38" i="3"/>
  <c r="BE38" i="3"/>
  <c r="BD38" i="3"/>
  <c r="BC38" i="3"/>
  <c r="BB38" i="3"/>
  <c r="BA38" i="3"/>
  <c r="AZ38" i="3"/>
  <c r="AY38" i="3"/>
  <c r="AX38" i="3"/>
  <c r="AW38" i="3"/>
  <c r="AV38" i="3"/>
  <c r="AU38" i="3"/>
  <c r="AT38" i="3"/>
  <c r="AS38" i="3"/>
  <c r="AR38" i="3"/>
  <c r="AQ38" i="3"/>
  <c r="AP38" i="3"/>
  <c r="AO38" i="3"/>
  <c r="BK37" i="3"/>
  <c r="BJ37" i="3"/>
  <c r="BI37" i="3"/>
  <c r="BH37" i="3"/>
  <c r="BG37" i="3"/>
  <c r="BE37" i="3"/>
  <c r="BD37" i="3"/>
  <c r="BC37" i="3"/>
  <c r="BB37" i="3"/>
  <c r="BA37" i="3"/>
  <c r="AZ37" i="3"/>
  <c r="AY37" i="3"/>
  <c r="AX37" i="3"/>
  <c r="AW37" i="3"/>
  <c r="AV37" i="3"/>
  <c r="AU37" i="3"/>
  <c r="AT37" i="3"/>
  <c r="AS37" i="3"/>
  <c r="AR37" i="3"/>
  <c r="AQ37" i="3"/>
  <c r="AP37" i="3"/>
  <c r="AO37" i="3"/>
  <c r="BK36" i="3"/>
  <c r="BJ36" i="3"/>
  <c r="BI36" i="3"/>
  <c r="BH36" i="3"/>
  <c r="BG36" i="3"/>
  <c r="BE36" i="3"/>
  <c r="BD36" i="3"/>
  <c r="BC36" i="3"/>
  <c r="BB36" i="3"/>
  <c r="BA36" i="3"/>
  <c r="AZ36" i="3"/>
  <c r="AY36" i="3"/>
  <c r="AX36" i="3"/>
  <c r="AW36" i="3"/>
  <c r="AV36" i="3"/>
  <c r="AU36" i="3"/>
  <c r="AT36" i="3"/>
  <c r="AS36" i="3"/>
  <c r="AR36" i="3"/>
  <c r="AQ36" i="3"/>
  <c r="AP36" i="3"/>
  <c r="AO36" i="3"/>
  <c r="BK35" i="3"/>
  <c r="BJ35" i="3"/>
  <c r="BI35" i="3"/>
  <c r="BH35" i="3"/>
  <c r="BG35" i="3"/>
  <c r="BE35" i="3"/>
  <c r="BD35" i="3"/>
  <c r="BC35" i="3"/>
  <c r="BB35" i="3"/>
  <c r="BA35" i="3"/>
  <c r="AZ35" i="3"/>
  <c r="AY35" i="3"/>
  <c r="AX35" i="3"/>
  <c r="AW35" i="3"/>
  <c r="AV35" i="3"/>
  <c r="AU35" i="3"/>
  <c r="AT35" i="3"/>
  <c r="AS35" i="3"/>
  <c r="AR35" i="3"/>
  <c r="AQ35" i="3"/>
  <c r="AP35" i="3"/>
  <c r="AO35" i="3"/>
  <c r="BK34" i="3"/>
  <c r="BJ34" i="3"/>
  <c r="BI34" i="3"/>
  <c r="BH34" i="3"/>
  <c r="BG34" i="3"/>
  <c r="BE34" i="3"/>
  <c r="BD34" i="3"/>
  <c r="BC34" i="3"/>
  <c r="BB34" i="3"/>
  <c r="BA34" i="3"/>
  <c r="AZ34" i="3"/>
  <c r="AY34" i="3"/>
  <c r="AX34" i="3"/>
  <c r="AW34" i="3"/>
  <c r="AV34" i="3"/>
  <c r="AU34" i="3"/>
  <c r="AT34" i="3"/>
  <c r="AS34" i="3"/>
  <c r="AR34" i="3"/>
  <c r="AQ34" i="3"/>
  <c r="AP34" i="3"/>
  <c r="AO34" i="3"/>
  <c r="BK33" i="3"/>
  <c r="BJ33" i="3"/>
  <c r="BI33" i="3"/>
  <c r="BH33" i="3"/>
  <c r="BG33" i="3"/>
  <c r="BE33" i="3"/>
  <c r="BD33" i="3"/>
  <c r="BC33" i="3"/>
  <c r="BB33" i="3"/>
  <c r="BA33" i="3"/>
  <c r="AZ33" i="3"/>
  <c r="AY33" i="3"/>
  <c r="AX33" i="3"/>
  <c r="AW33" i="3"/>
  <c r="AV33" i="3"/>
  <c r="AU33" i="3"/>
  <c r="AT33" i="3"/>
  <c r="AS33" i="3"/>
  <c r="AR33" i="3"/>
  <c r="AQ33" i="3"/>
  <c r="AP33" i="3"/>
  <c r="AO33" i="3"/>
  <c r="BK32" i="3"/>
  <c r="BJ32" i="3"/>
  <c r="BI32" i="3"/>
  <c r="BH32" i="3"/>
  <c r="BG32" i="3"/>
  <c r="BE32" i="3"/>
  <c r="BD32" i="3"/>
  <c r="BC32" i="3"/>
  <c r="BB32" i="3"/>
  <c r="BA32" i="3"/>
  <c r="AZ32" i="3"/>
  <c r="AY32" i="3"/>
  <c r="AX32" i="3"/>
  <c r="AW32" i="3"/>
  <c r="AV32" i="3"/>
  <c r="AU32" i="3"/>
  <c r="AT32" i="3"/>
  <c r="AS32" i="3"/>
  <c r="AR32" i="3"/>
  <c r="AQ32" i="3"/>
  <c r="AP32" i="3"/>
  <c r="AO32" i="3"/>
  <c r="BK31" i="3"/>
  <c r="BJ31" i="3"/>
  <c r="BI31" i="3"/>
  <c r="BH31" i="3"/>
  <c r="BG31" i="3"/>
  <c r="BE31" i="3"/>
  <c r="BD31" i="3"/>
  <c r="BC31" i="3"/>
  <c r="BB31" i="3"/>
  <c r="BA31" i="3"/>
  <c r="AZ31" i="3"/>
  <c r="AY31" i="3"/>
  <c r="AX31" i="3"/>
  <c r="AW31" i="3"/>
  <c r="AV31" i="3"/>
  <c r="AU31" i="3"/>
  <c r="AT31" i="3"/>
  <c r="AS31" i="3"/>
  <c r="AR31" i="3"/>
  <c r="AQ31" i="3"/>
  <c r="AP31" i="3"/>
  <c r="AO31" i="3"/>
  <c r="BK30" i="3"/>
  <c r="BJ30" i="3"/>
  <c r="BI30" i="3"/>
  <c r="BH30" i="3"/>
  <c r="BG30" i="3"/>
  <c r="BE30" i="3"/>
  <c r="BD30" i="3"/>
  <c r="BC30" i="3"/>
  <c r="BB30" i="3"/>
  <c r="BA30" i="3"/>
  <c r="AZ30" i="3"/>
  <c r="AY30" i="3"/>
  <c r="AX30" i="3"/>
  <c r="AW30" i="3"/>
  <c r="AV30" i="3"/>
  <c r="AU30" i="3"/>
  <c r="AT30" i="3"/>
  <c r="AS30" i="3"/>
  <c r="AR30" i="3"/>
  <c r="AQ30" i="3"/>
  <c r="AP30" i="3"/>
  <c r="AO30" i="3"/>
  <c r="BK29" i="3"/>
  <c r="BJ29" i="3"/>
  <c r="BI29" i="3"/>
  <c r="BH29" i="3"/>
  <c r="BG29" i="3"/>
  <c r="BE29" i="3"/>
  <c r="BD29" i="3"/>
  <c r="BC29" i="3"/>
  <c r="BB29" i="3"/>
  <c r="BA29" i="3"/>
  <c r="AZ29" i="3"/>
  <c r="AY29" i="3"/>
  <c r="AX29" i="3"/>
  <c r="AW29" i="3"/>
  <c r="AV29" i="3"/>
  <c r="AU29" i="3"/>
  <c r="AT29" i="3"/>
  <c r="AS29" i="3"/>
  <c r="AR29" i="3"/>
  <c r="AQ29" i="3"/>
  <c r="AP29" i="3"/>
  <c r="AO29" i="3"/>
  <c r="BK28" i="3"/>
  <c r="BJ28" i="3"/>
  <c r="BI28" i="3"/>
  <c r="BH28" i="3"/>
  <c r="BG28" i="3"/>
  <c r="BE28" i="3"/>
  <c r="BD28" i="3"/>
  <c r="BC28" i="3"/>
  <c r="BB28" i="3"/>
  <c r="BA28" i="3"/>
  <c r="AZ28" i="3"/>
  <c r="AY28" i="3"/>
  <c r="AX28" i="3"/>
  <c r="AW28" i="3"/>
  <c r="AV28" i="3"/>
  <c r="AU28" i="3"/>
  <c r="AT28" i="3"/>
  <c r="AS28" i="3"/>
  <c r="AR28" i="3"/>
  <c r="AQ28" i="3"/>
  <c r="AP28" i="3"/>
  <c r="AO28" i="3"/>
  <c r="BK27" i="3"/>
  <c r="BJ27" i="3"/>
  <c r="BI27" i="3"/>
  <c r="BH27" i="3"/>
  <c r="BG27" i="3"/>
  <c r="BE27" i="3"/>
  <c r="BD27" i="3"/>
  <c r="BC27" i="3"/>
  <c r="BB27" i="3"/>
  <c r="BA27" i="3"/>
  <c r="AZ27" i="3"/>
  <c r="AY27" i="3"/>
  <c r="AX27" i="3"/>
  <c r="AW27" i="3"/>
  <c r="AV27" i="3"/>
  <c r="AU27" i="3"/>
  <c r="AT27" i="3"/>
  <c r="AS27" i="3"/>
  <c r="AR27" i="3"/>
  <c r="AQ27" i="3"/>
  <c r="AP27" i="3"/>
  <c r="AO27" i="3"/>
  <c r="AN102" i="3"/>
  <c r="D11" i="14" l="1"/>
  <c r="S15" i="40" s="1"/>
  <c r="D11" i="45"/>
  <c r="S15" i="63" s="1"/>
  <c r="D7" i="8"/>
  <c r="D11" i="29"/>
  <c r="T15" i="57" s="1"/>
  <c r="D11" i="10"/>
  <c r="S15" i="58" s="1"/>
  <c r="H51" i="3"/>
  <c r="M51" i="3"/>
  <c r="D11" i="38"/>
  <c r="S15" i="67" s="1"/>
  <c r="D10" i="53"/>
  <c r="S14" i="72" s="1"/>
  <c r="D9" i="53"/>
  <c r="S13" i="72" s="1"/>
  <c r="D7" i="53"/>
  <c r="N12" i="72" s="1"/>
  <c r="D11" i="53"/>
  <c r="S15" i="72" s="1"/>
  <c r="D11" i="21"/>
  <c r="S15" i="50" s="1"/>
  <c r="D11" i="22"/>
  <c r="S15" i="68" s="1"/>
  <c r="D11" i="8"/>
  <c r="S15" i="66" s="1"/>
  <c r="D11" i="20"/>
  <c r="T15" i="56" s="1"/>
  <c r="D7" i="60"/>
  <c r="D10" i="60" s="1" a="1"/>
  <c r="D10" i="60" s="1"/>
  <c r="T15" i="59" s="1"/>
  <c r="D9" i="60"/>
  <c r="T14" i="59" s="1"/>
  <c r="D11" i="60"/>
  <c r="T16" i="59" s="1"/>
  <c r="D11" i="19"/>
  <c r="S15" i="64" s="1"/>
  <c r="D11" i="9"/>
  <c r="S15" i="62" s="1"/>
  <c r="D11" i="15"/>
  <c r="S15" i="55" s="1"/>
  <c r="D11" i="25"/>
  <c r="S15" i="69" s="1"/>
  <c r="D9" i="15"/>
  <c r="D48" i="29"/>
  <c r="H69" i="29" s="1"/>
  <c r="D36" i="29"/>
  <c r="F84" i="56"/>
  <c r="F84" i="50"/>
  <c r="D7" i="29"/>
  <c r="D7" i="20"/>
  <c r="D9" i="20" s="1" a="1"/>
  <c r="D9" i="20" s="1"/>
  <c r="T13" i="56" s="1"/>
  <c r="D7" i="15"/>
  <c r="D10" i="15" s="1" a="1"/>
  <c r="D10" i="15" s="1"/>
  <c r="S14" i="55" s="1"/>
  <c r="D10" i="21"/>
  <c r="S14" i="50" s="1"/>
  <c r="D9" i="21"/>
  <c r="S13" i="50" s="1"/>
  <c r="D7" i="21"/>
  <c r="D9" i="10"/>
  <c r="S13" i="58" s="1"/>
  <c r="D7" i="10"/>
  <c r="D10" i="10" s="1" a="1"/>
  <c r="D10" i="10" s="1"/>
  <c r="S14" i="58" s="1"/>
  <c r="D7" i="45"/>
  <c r="D10" i="45" s="1" a="1"/>
  <c r="D10" i="45" s="1"/>
  <c r="S14" i="63" s="1"/>
  <c r="D9" i="45"/>
  <c r="D9" i="9"/>
  <c r="S13" i="62" s="1"/>
  <c r="D7" i="9"/>
  <c r="S13" i="64"/>
  <c r="D7" i="19"/>
  <c r="D9" i="8"/>
  <c r="S13" i="66" s="1"/>
  <c r="S13" i="40"/>
  <c r="D7" i="14"/>
  <c r="D7" i="38"/>
  <c r="S13" i="67"/>
  <c r="D9" i="22"/>
  <c r="S13" i="68" s="1"/>
  <c r="D7" i="22"/>
  <c r="D7" i="25"/>
  <c r="P67" i="18"/>
  <c r="R147" i="18" s="1"/>
  <c r="J67" i="18"/>
  <c r="N147" i="18" s="1"/>
  <c r="E67" i="18"/>
  <c r="J147" i="18" s="1"/>
  <c r="D14" i="25"/>
  <c r="D15" i="25"/>
  <c r="N12" i="68" l="1"/>
  <c r="D10" i="22" a="1"/>
  <c r="D10" i="22" s="1"/>
  <c r="S14" i="68" s="1"/>
  <c r="N12" i="62"/>
  <c r="D10" i="9" a="1"/>
  <c r="D10" i="9" s="1"/>
  <c r="S14" i="62" s="1"/>
  <c r="N12" i="67"/>
  <c r="D10" i="38" a="1"/>
  <c r="D10" i="38" s="1"/>
  <c r="S14" i="67" s="1"/>
  <c r="N12" i="64"/>
  <c r="AB39" i="64" s="1"/>
  <c r="D10" i="19" a="1"/>
  <c r="D10" i="19" s="1"/>
  <c r="S14" i="64" s="1"/>
  <c r="N12" i="69"/>
  <c r="D10" i="25" a="1"/>
  <c r="D10" i="25" s="1"/>
  <c r="S14" i="69" s="1"/>
  <c r="D9" i="25" a="1"/>
  <c r="D9" i="25" s="1"/>
  <c r="S13" i="69" s="1"/>
  <c r="N12" i="40"/>
  <c r="D10" i="14" a="1"/>
  <c r="D10" i="14" s="1"/>
  <c r="D10" i="8" a="1"/>
  <c r="D10" i="8" s="1"/>
  <c r="S14" i="66" s="1"/>
  <c r="D9" i="29" a="1"/>
  <c r="D9" i="29" s="1"/>
  <c r="D10" i="29" a="1"/>
  <c r="D10" i="29" s="1"/>
  <c r="T13" i="57" s="1"/>
  <c r="G9" i="29"/>
  <c r="O39" i="57"/>
  <c r="C92" i="29"/>
  <c r="N12" i="66"/>
  <c r="D291" i="8"/>
  <c r="H32" i="66" s="1"/>
  <c r="D290" i="8"/>
  <c r="H31" i="66" s="1"/>
  <c r="D294" i="8"/>
  <c r="H35" i="66" s="1"/>
  <c r="D293" i="8"/>
  <c r="H34" i="66" s="1"/>
  <c r="D292" i="8"/>
  <c r="H33" i="66" s="1"/>
  <c r="O9" i="53"/>
  <c r="O11" i="53"/>
  <c r="O10" i="53"/>
  <c r="S13" i="63"/>
  <c r="N12" i="63"/>
  <c r="N12" i="58"/>
  <c r="O11" i="10"/>
  <c r="O10" i="10"/>
  <c r="O9" i="10"/>
  <c r="N12" i="56"/>
  <c r="AB37" i="56" s="1"/>
  <c r="O10" i="20"/>
  <c r="O9" i="20"/>
  <c r="O11" i="20"/>
  <c r="T11" i="20" s="1"/>
  <c r="E138" i="20"/>
  <c r="S13" i="55"/>
  <c r="N12" i="55"/>
  <c r="AA33" i="55" s="1"/>
  <c r="O9" i="38"/>
  <c r="O11" i="38"/>
  <c r="O10" i="38"/>
  <c r="D118" i="38"/>
  <c r="D114" i="38"/>
  <c r="D110" i="38"/>
  <c r="D106" i="38"/>
  <c r="D102" i="38"/>
  <c r="D98" i="38"/>
  <c r="D94" i="38"/>
  <c r="D90" i="38"/>
  <c r="D86" i="38"/>
  <c r="K118" i="38"/>
  <c r="K114" i="38"/>
  <c r="K110" i="38"/>
  <c r="K106" i="38"/>
  <c r="K102" i="38"/>
  <c r="K98" i="38"/>
  <c r="K94" i="38"/>
  <c r="K90" i="38"/>
  <c r="K86" i="38"/>
  <c r="D121" i="38"/>
  <c r="D117" i="38"/>
  <c r="D113" i="38"/>
  <c r="D109" i="38"/>
  <c r="D105" i="38"/>
  <c r="D101" i="38"/>
  <c r="D97" i="38"/>
  <c r="D93" i="38"/>
  <c r="D89" i="38"/>
  <c r="K121" i="38"/>
  <c r="K117" i="38"/>
  <c r="K113" i="38"/>
  <c r="K109" i="38"/>
  <c r="K105" i="38"/>
  <c r="K101" i="38"/>
  <c r="K97" i="38"/>
  <c r="K93" i="38"/>
  <c r="K89" i="38"/>
  <c r="K85" i="38"/>
  <c r="D119" i="38"/>
  <c r="D111" i="38"/>
  <c r="D103" i="38"/>
  <c r="D95" i="38"/>
  <c r="D87" i="38"/>
  <c r="K115" i="38"/>
  <c r="K107" i="38"/>
  <c r="K99" i="38"/>
  <c r="K91" i="38"/>
  <c r="D85" i="38"/>
  <c r="D116" i="38"/>
  <c r="D108" i="38"/>
  <c r="D100" i="38"/>
  <c r="D92" i="38"/>
  <c r="K120" i="38"/>
  <c r="K112" i="38"/>
  <c r="K104" i="38"/>
  <c r="K96" i="38"/>
  <c r="K88" i="38"/>
  <c r="D115" i="38"/>
  <c r="D107" i="38"/>
  <c r="D99" i="38"/>
  <c r="D91" i="38"/>
  <c r="K119" i="38"/>
  <c r="K111" i="38"/>
  <c r="K95" i="38"/>
  <c r="K87" i="38"/>
  <c r="D112" i="38"/>
  <c r="K108" i="38"/>
  <c r="K92" i="38"/>
  <c r="K103" i="38"/>
  <c r="D120" i="38"/>
  <c r="D104" i="38"/>
  <c r="D96" i="38"/>
  <c r="D88" i="38"/>
  <c r="K116" i="38"/>
  <c r="K100" i="38"/>
  <c r="D147" i="38"/>
  <c r="D163" i="38"/>
  <c r="K146" i="38"/>
  <c r="K162" i="38"/>
  <c r="D211" i="38"/>
  <c r="D227" i="38"/>
  <c r="K214" i="38"/>
  <c r="K230" i="38"/>
  <c r="D156" i="38"/>
  <c r="D172" i="38"/>
  <c r="K159" i="38"/>
  <c r="K175" i="38"/>
  <c r="D224" i="38"/>
  <c r="K211" i="38"/>
  <c r="K227" i="38"/>
  <c r="D153" i="38"/>
  <c r="D169" i="38"/>
  <c r="K156" i="38"/>
  <c r="K172" i="38"/>
  <c r="D221" i="38"/>
  <c r="D237" i="38"/>
  <c r="K224" i="38"/>
  <c r="D146" i="38"/>
  <c r="D162" i="38"/>
  <c r="K149" i="38"/>
  <c r="K165" i="38"/>
  <c r="D214" i="38"/>
  <c r="D230" i="38"/>
  <c r="K217" i="38"/>
  <c r="K233" i="38"/>
  <c r="D155" i="38"/>
  <c r="K154" i="38"/>
  <c r="K170" i="38"/>
  <c r="D219" i="38"/>
  <c r="K222" i="38"/>
  <c r="D148" i="38"/>
  <c r="K151" i="38"/>
  <c r="D216" i="38"/>
  <c r="K219" i="38"/>
  <c r="D161" i="38"/>
  <c r="K164" i="38"/>
  <c r="D229" i="38"/>
  <c r="K232" i="38"/>
  <c r="D170" i="38"/>
  <c r="K173" i="38"/>
  <c r="K209" i="38"/>
  <c r="D159" i="38"/>
  <c r="K158" i="38"/>
  <c r="K174" i="38"/>
  <c r="D223" i="38"/>
  <c r="K210" i="38"/>
  <c r="D152" i="38"/>
  <c r="K155" i="38"/>
  <c r="D220" i="38"/>
  <c r="K223" i="38"/>
  <c r="D165" i="38"/>
  <c r="K168" i="38"/>
  <c r="D233" i="38"/>
  <c r="K236" i="38"/>
  <c r="D174" i="38"/>
  <c r="D210" i="38"/>
  <c r="K213" i="38"/>
  <c r="D151" i="38"/>
  <c r="D167" i="38"/>
  <c r="K150" i="38"/>
  <c r="K166" i="38"/>
  <c r="D215" i="38"/>
  <c r="D231" i="38"/>
  <c r="K218" i="38"/>
  <c r="K234" i="38"/>
  <c r="D160" i="38"/>
  <c r="K147" i="38"/>
  <c r="K163" i="38"/>
  <c r="D212" i="38"/>
  <c r="D228" i="38"/>
  <c r="K215" i="38"/>
  <c r="K231" i="38"/>
  <c r="D157" i="38"/>
  <c r="D173" i="38"/>
  <c r="K160" i="38"/>
  <c r="D209" i="38"/>
  <c r="D225" i="38"/>
  <c r="K212" i="38"/>
  <c r="K228" i="38"/>
  <c r="D150" i="38"/>
  <c r="D166" i="38"/>
  <c r="K153" i="38"/>
  <c r="K169" i="38"/>
  <c r="D218" i="38"/>
  <c r="D234" i="38"/>
  <c r="K221" i="38"/>
  <c r="K237" i="38"/>
  <c r="D171" i="38"/>
  <c r="D235" i="38"/>
  <c r="D164" i="38"/>
  <c r="K167" i="38"/>
  <c r="D232" i="38"/>
  <c r="K235" i="38"/>
  <c r="K148" i="38"/>
  <c r="D213" i="38"/>
  <c r="K216" i="38"/>
  <c r="D154" i="38"/>
  <c r="K157" i="38"/>
  <c r="D222" i="38"/>
  <c r="K225" i="38"/>
  <c r="D175" i="38"/>
  <c r="K226" i="38"/>
  <c r="D168" i="38"/>
  <c r="K171" i="38"/>
  <c r="D236" i="38"/>
  <c r="D149" i="38"/>
  <c r="K152" i="38"/>
  <c r="D217" i="38"/>
  <c r="K220" i="38"/>
  <c r="D158" i="38"/>
  <c r="K161" i="38"/>
  <c r="D226" i="38"/>
  <c r="K229" i="38"/>
  <c r="O11" i="22"/>
  <c r="O10" i="22"/>
  <c r="H65" i="68" s="1"/>
  <c r="L144" i="68" s="1"/>
  <c r="O9" i="22"/>
  <c r="O10" i="14"/>
  <c r="O9" i="14"/>
  <c r="O11" i="14"/>
  <c r="T11" i="14" s="1"/>
  <c r="F46" i="14"/>
  <c r="O11" i="9"/>
  <c r="O10" i="9"/>
  <c r="O9" i="9"/>
  <c r="O11" i="45"/>
  <c r="O10" i="45"/>
  <c r="O9" i="45"/>
  <c r="O9" i="15"/>
  <c r="O11" i="15"/>
  <c r="T11" i="15" s="1"/>
  <c r="O10" i="15"/>
  <c r="N12" i="57"/>
  <c r="AB40" i="57" s="1"/>
  <c r="T11" i="29"/>
  <c r="Y11" i="29" s="1"/>
  <c r="T10" i="29"/>
  <c r="T9" i="29"/>
  <c r="C64" i="57" s="1"/>
  <c r="N12" i="18"/>
  <c r="C186" i="60"/>
  <c r="V39" i="59" s="1"/>
  <c r="O11" i="60"/>
  <c r="O10" i="60"/>
  <c r="O9" i="60"/>
  <c r="S75" i="60"/>
  <c r="B175" i="60"/>
  <c r="U134" i="60"/>
  <c r="O127" i="60"/>
  <c r="S83" i="60"/>
  <c r="M74" i="60"/>
  <c r="N13" i="59"/>
  <c r="AA48" i="75" s="1"/>
  <c r="S79" i="60"/>
  <c r="G73" i="60"/>
  <c r="M78" i="60"/>
  <c r="J108" i="60" s="1"/>
  <c r="C191" i="60"/>
  <c r="H45" i="59" s="1"/>
  <c r="M82" i="60"/>
  <c r="G74" i="60"/>
  <c r="M79" i="60"/>
  <c r="C190" i="60"/>
  <c r="M76" i="60"/>
  <c r="S81" i="60"/>
  <c r="C184" i="60"/>
  <c r="V37" i="59" s="1"/>
  <c r="G76" i="60"/>
  <c r="M81" i="60"/>
  <c r="B174" i="60"/>
  <c r="J34" i="59" s="1"/>
  <c r="S80" i="60"/>
  <c r="P112" i="60" s="1"/>
  <c r="E191" i="60"/>
  <c r="L45" i="59" s="1"/>
  <c r="C181" i="60"/>
  <c r="V34" i="59" s="1"/>
  <c r="C182" i="60"/>
  <c r="V35" i="59" s="1"/>
  <c r="G82" i="60"/>
  <c r="B176" i="60"/>
  <c r="J36" i="59" s="1"/>
  <c r="S73" i="60"/>
  <c r="S78" i="60"/>
  <c r="P108" i="60" s="1"/>
  <c r="G81" i="60"/>
  <c r="M75" i="60"/>
  <c r="S77" i="60"/>
  <c r="G83" i="60"/>
  <c r="M77" i="60"/>
  <c r="S82" i="60"/>
  <c r="S76" i="60"/>
  <c r="G79" i="60"/>
  <c r="M73" i="60"/>
  <c r="C185" i="60"/>
  <c r="V38" i="59" s="1"/>
  <c r="G77" i="60"/>
  <c r="G78" i="60"/>
  <c r="D108" i="60" s="1"/>
  <c r="M83" i="60"/>
  <c r="C183" i="60"/>
  <c r="V36" i="59" s="1"/>
  <c r="G75" i="60"/>
  <c r="M80" i="60"/>
  <c r="J112" i="60" s="1"/>
  <c r="B177" i="60"/>
  <c r="J37" i="59" s="1"/>
  <c r="S74" i="60"/>
  <c r="G80" i="60"/>
  <c r="D112" i="60" s="1"/>
  <c r="T132" i="60"/>
  <c r="E190" i="60"/>
  <c r="D191" i="60"/>
  <c r="J45" i="59" s="1"/>
  <c r="D190" i="60"/>
  <c r="O10" i="8"/>
  <c r="O9" i="8"/>
  <c r="O11" i="8"/>
  <c r="E310" i="8"/>
  <c r="S56" i="66" s="1"/>
  <c r="O9" i="25"/>
  <c r="O10" i="25"/>
  <c r="O11" i="25"/>
  <c r="O11" i="19"/>
  <c r="O10" i="19"/>
  <c r="O9" i="19"/>
  <c r="N12" i="50"/>
  <c r="AA63" i="50" s="1"/>
  <c r="O9" i="21"/>
  <c r="C65" i="50" s="1"/>
  <c r="O11" i="21"/>
  <c r="T11" i="21" s="1"/>
  <c r="O10" i="21"/>
  <c r="S15" i="18"/>
  <c r="U134" i="10"/>
  <c r="O127" i="10"/>
  <c r="T132" i="10"/>
  <c r="H66" i="29"/>
  <c r="F83" i="57"/>
  <c r="D49" i="38"/>
  <c r="D55" i="38"/>
  <c r="D61" i="38"/>
  <c r="H56" i="38"/>
  <c r="D57" i="38"/>
  <c r="H58" i="38"/>
  <c r="D59" i="38"/>
  <c r="D54" i="38"/>
  <c r="H60" i="38"/>
  <c r="H49" i="38"/>
  <c r="H55" i="38"/>
  <c r="H61" i="38"/>
  <c r="H62" i="38"/>
  <c r="H57" i="38"/>
  <c r="H52" i="38"/>
  <c r="H53" i="38"/>
  <c r="D60" i="38"/>
  <c r="D50" i="38"/>
  <c r="D56" i="38"/>
  <c r="D62" i="38"/>
  <c r="D52" i="38"/>
  <c r="D53" i="38"/>
  <c r="H59" i="38"/>
  <c r="H54" i="38"/>
  <c r="H50" i="38"/>
  <c r="D51" i="38"/>
  <c r="H51" i="38"/>
  <c r="D58" i="38"/>
  <c r="L49" i="38"/>
  <c r="B121" i="20"/>
  <c r="A32" i="56" s="1"/>
  <c r="B122" i="20"/>
  <c r="A33" i="56" s="1"/>
  <c r="C65" i="56"/>
  <c r="B124" i="20"/>
  <c r="A35" i="56" s="1"/>
  <c r="B123" i="20"/>
  <c r="A34" i="56" s="1"/>
  <c r="U41" i="20"/>
  <c r="C132" i="21"/>
  <c r="V42" i="50" s="1"/>
  <c r="R104" i="21"/>
  <c r="R106" i="21"/>
  <c r="R105" i="21"/>
  <c r="R108" i="21"/>
  <c r="R102" i="21"/>
  <c r="R109" i="21"/>
  <c r="R110" i="21"/>
  <c r="R101" i="21"/>
  <c r="R100" i="21"/>
  <c r="C191" i="10"/>
  <c r="H44" i="58" s="1"/>
  <c r="E191" i="10"/>
  <c r="L44" i="58" s="1"/>
  <c r="D191" i="10"/>
  <c r="J44" i="58" s="1"/>
  <c r="C184" i="10"/>
  <c r="V36" i="58" s="1"/>
  <c r="C186" i="10"/>
  <c r="V38" i="58" s="1"/>
  <c r="C183" i="10"/>
  <c r="V35" i="58" s="1"/>
  <c r="C182" i="10"/>
  <c r="V34" i="58" s="1"/>
  <c r="C181" i="10"/>
  <c r="V33" i="58" s="1"/>
  <c r="B175" i="10"/>
  <c r="J34" i="58" s="1"/>
  <c r="B176" i="10"/>
  <c r="J35" i="58" s="1"/>
  <c r="B174" i="10"/>
  <c r="J33" i="58" s="1"/>
  <c r="C185" i="10"/>
  <c r="V37" i="58" s="1"/>
  <c r="B177" i="10"/>
  <c r="J36" i="58" s="1"/>
  <c r="C124" i="45"/>
  <c r="O39" i="63" s="1"/>
  <c r="F123" i="45"/>
  <c r="U37" i="63" s="1"/>
  <c r="G123" i="45"/>
  <c r="W37" i="63" s="1"/>
  <c r="G122" i="45"/>
  <c r="W35" i="63" s="1"/>
  <c r="G121" i="45"/>
  <c r="W33" i="63" s="1"/>
  <c r="D121" i="45"/>
  <c r="Q33" i="63" s="1"/>
  <c r="C114" i="45"/>
  <c r="H33" i="63" s="1"/>
  <c r="D120" i="45"/>
  <c r="Q31" i="63" s="1"/>
  <c r="C113" i="45"/>
  <c r="H32" i="63" s="1"/>
  <c r="C112" i="45"/>
  <c r="H31" i="63" s="1"/>
  <c r="F120" i="45"/>
  <c r="U31" i="63" s="1"/>
  <c r="G120" i="45"/>
  <c r="W31" i="63" s="1"/>
  <c r="F122" i="45"/>
  <c r="U35" i="63" s="1"/>
  <c r="E121" i="45"/>
  <c r="S33" i="63" s="1"/>
  <c r="E120" i="45"/>
  <c r="S31" i="63" s="1"/>
  <c r="G126" i="45"/>
  <c r="W43" i="63" s="1"/>
  <c r="C122" i="45"/>
  <c r="O35" i="63" s="1"/>
  <c r="C116" i="45"/>
  <c r="H36" i="63" s="1"/>
  <c r="E123" i="45"/>
  <c r="S37" i="63" s="1"/>
  <c r="C111" i="45"/>
  <c r="H30" i="63" s="1"/>
  <c r="C120" i="45"/>
  <c r="O31" i="63" s="1"/>
  <c r="D124" i="45"/>
  <c r="Q39" i="63" s="1"/>
  <c r="C121" i="45"/>
  <c r="O33" i="63" s="1"/>
  <c r="G124" i="45"/>
  <c r="W39" i="63" s="1"/>
  <c r="F121" i="45"/>
  <c r="U33" i="63" s="1"/>
  <c r="D122" i="45"/>
  <c r="Q35" i="63" s="1"/>
  <c r="E122" i="45"/>
  <c r="S35" i="63" s="1"/>
  <c r="E124" i="45"/>
  <c r="S39" i="63" s="1"/>
  <c r="C115" i="45"/>
  <c r="H35" i="63" s="1"/>
  <c r="F125" i="45"/>
  <c r="U41" i="63" s="1"/>
  <c r="E125" i="45"/>
  <c r="S41" i="63" s="1"/>
  <c r="G125" i="45"/>
  <c r="W41" i="63" s="1"/>
  <c r="D123" i="45"/>
  <c r="Q37" i="63" s="1"/>
  <c r="C123" i="45"/>
  <c r="O37" i="63" s="1"/>
  <c r="F124" i="45"/>
  <c r="U39" i="63" s="1"/>
  <c r="E126" i="45"/>
  <c r="S43" i="63" s="1"/>
  <c r="F126" i="45"/>
  <c r="U43" i="63" s="1"/>
  <c r="C126" i="45"/>
  <c r="O43" i="63" s="1"/>
  <c r="C125" i="45"/>
  <c r="O41" i="63" s="1"/>
  <c r="D125" i="45"/>
  <c r="Q41" i="63" s="1"/>
  <c r="D126" i="45"/>
  <c r="Q43" i="63" s="1"/>
  <c r="C116" i="9"/>
  <c r="H36" i="62" s="1"/>
  <c r="E120" i="9"/>
  <c r="S31" i="62" s="1"/>
  <c r="C115" i="9"/>
  <c r="H35" i="62" s="1"/>
  <c r="C114" i="9"/>
  <c r="H33" i="62" s="1"/>
  <c r="F120" i="9"/>
  <c r="U31" i="62" s="1"/>
  <c r="C120" i="9"/>
  <c r="O31" i="62" s="1"/>
  <c r="C113" i="9"/>
  <c r="H32" i="62" s="1"/>
  <c r="C112" i="9"/>
  <c r="H31" i="62" s="1"/>
  <c r="D120" i="9"/>
  <c r="Q31" i="62" s="1"/>
  <c r="C111" i="9"/>
  <c r="H30" i="62" s="1"/>
  <c r="G120" i="9"/>
  <c r="W31" i="62" s="1"/>
  <c r="F123" i="9"/>
  <c r="U37" i="62" s="1"/>
  <c r="D121" i="9"/>
  <c r="Q33" i="62" s="1"/>
  <c r="E121" i="9"/>
  <c r="S33" i="62" s="1"/>
  <c r="F121" i="9"/>
  <c r="U33" i="62" s="1"/>
  <c r="G121" i="9"/>
  <c r="W33" i="62" s="1"/>
  <c r="C123" i="9"/>
  <c r="O37" i="62" s="1"/>
  <c r="D123" i="9"/>
  <c r="Q37" i="62" s="1"/>
  <c r="E123" i="9"/>
  <c r="S37" i="62" s="1"/>
  <c r="G123" i="9"/>
  <c r="W37" i="62" s="1"/>
  <c r="C121" i="9"/>
  <c r="O33" i="62" s="1"/>
  <c r="C122" i="9"/>
  <c r="O35" i="62" s="1"/>
  <c r="L63" i="38"/>
  <c r="L51" i="38"/>
  <c r="H63" i="38"/>
  <c r="L60" i="38"/>
  <c r="L59" i="38"/>
  <c r="D63" i="38"/>
  <c r="L57" i="38"/>
  <c r="L55" i="38"/>
  <c r="L54" i="38"/>
  <c r="L52" i="38"/>
  <c r="L62" i="38"/>
  <c r="L50" i="38"/>
  <c r="L61" i="38"/>
  <c r="L58" i="38"/>
  <c r="L56" i="38"/>
  <c r="L53" i="38"/>
  <c r="D293" i="38"/>
  <c r="J41" i="67" s="1"/>
  <c r="C288" i="38"/>
  <c r="H33" i="67" s="1"/>
  <c r="D292" i="38"/>
  <c r="J40" i="67" s="1"/>
  <c r="C287" i="38"/>
  <c r="H31" i="67" s="1"/>
  <c r="G298" i="38"/>
  <c r="W31" i="67" s="1"/>
  <c r="F298" i="38"/>
  <c r="U31" i="67" s="1"/>
  <c r="E298" i="38"/>
  <c r="S31" i="67" s="1"/>
  <c r="E290" i="38"/>
  <c r="L37" i="67" s="1"/>
  <c r="D290" i="38"/>
  <c r="J37" i="67" s="1"/>
  <c r="E293" i="38"/>
  <c r="L41" i="67" s="1"/>
  <c r="C293" i="38"/>
  <c r="H41" i="67" s="1"/>
  <c r="C291" i="38"/>
  <c r="H39" i="67" s="1"/>
  <c r="C290" i="38"/>
  <c r="H37" i="67" s="1"/>
  <c r="D291" i="38"/>
  <c r="J39" i="67" s="1"/>
  <c r="D289" i="38"/>
  <c r="J35" i="67" s="1"/>
  <c r="D288" i="38"/>
  <c r="J33" i="67" s="1"/>
  <c r="D287" i="38"/>
  <c r="J31" i="67" s="1"/>
  <c r="E291" i="38"/>
  <c r="L39" i="67" s="1"/>
  <c r="E288" i="38"/>
  <c r="L33" i="67" s="1"/>
  <c r="E287" i="38"/>
  <c r="L31" i="67" s="1"/>
  <c r="C289" i="38"/>
  <c r="H35" i="67" s="1"/>
  <c r="E292" i="38"/>
  <c r="L40" i="67" s="1"/>
  <c r="E289" i="38"/>
  <c r="L35" i="67" s="1"/>
  <c r="C292" i="38"/>
  <c r="H40" i="67" s="1"/>
  <c r="F165" i="38"/>
  <c r="F153" i="38"/>
  <c r="F163" i="38"/>
  <c r="F174" i="38"/>
  <c r="F162" i="38"/>
  <c r="F161" i="38"/>
  <c r="F149" i="38"/>
  <c r="F172" i="38"/>
  <c r="F148" i="38"/>
  <c r="F171" i="38"/>
  <c r="F158" i="38"/>
  <c r="F157" i="38"/>
  <c r="F155" i="38"/>
  <c r="F154" i="38"/>
  <c r="F164" i="38"/>
  <c r="F152" i="38"/>
  <c r="F175" i="38"/>
  <c r="F151" i="38"/>
  <c r="F150" i="38"/>
  <c r="F173" i="38"/>
  <c r="F160" i="38"/>
  <c r="F159" i="38"/>
  <c r="F170" i="38"/>
  <c r="F169" i="38"/>
  <c r="F168" i="38"/>
  <c r="F156" i="38"/>
  <c r="F167" i="38"/>
  <c r="F166" i="38"/>
  <c r="M110" i="38"/>
  <c r="M98" i="38"/>
  <c r="M86" i="38"/>
  <c r="F110" i="38"/>
  <c r="F98" i="38"/>
  <c r="F86" i="38"/>
  <c r="M165" i="38"/>
  <c r="M153" i="38"/>
  <c r="M237" i="38"/>
  <c r="M225" i="38"/>
  <c r="M213" i="38"/>
  <c r="F228" i="38"/>
  <c r="F216" i="38"/>
  <c r="M109" i="38"/>
  <c r="M97" i="38"/>
  <c r="F121" i="38"/>
  <c r="F109" i="38"/>
  <c r="F97" i="38"/>
  <c r="M210" i="38"/>
  <c r="M164" i="38"/>
  <c r="M152" i="38"/>
  <c r="M236" i="38"/>
  <c r="M224" i="38"/>
  <c r="M212" i="38"/>
  <c r="F227" i="38"/>
  <c r="F215" i="38"/>
  <c r="M108" i="38"/>
  <c r="M96" i="38"/>
  <c r="F120" i="38"/>
  <c r="F96" i="38"/>
  <c r="M175" i="38"/>
  <c r="M163" i="38"/>
  <c r="M151" i="38"/>
  <c r="M235" i="38"/>
  <c r="M223" i="38"/>
  <c r="F226" i="38"/>
  <c r="F214" i="38"/>
  <c r="M174" i="38"/>
  <c r="M234" i="38"/>
  <c r="F237" i="38"/>
  <c r="F225" i="38"/>
  <c r="F213" i="38"/>
  <c r="F212" i="38"/>
  <c r="M105" i="38"/>
  <c r="M172" i="38"/>
  <c r="M160" i="38"/>
  <c r="M148" i="38"/>
  <c r="M232" i="38"/>
  <c r="F223" i="38"/>
  <c r="F116" i="38"/>
  <c r="F103" i="38"/>
  <c r="F147" i="38"/>
  <c r="M168" i="38"/>
  <c r="M100" i="38"/>
  <c r="M99" i="38"/>
  <c r="M121" i="38"/>
  <c r="M93" i="38"/>
  <c r="M159" i="38"/>
  <c r="F234" i="38"/>
  <c r="M170" i="38"/>
  <c r="M229" i="38"/>
  <c r="M156" i="38"/>
  <c r="F219" i="38"/>
  <c r="F88" i="38"/>
  <c r="M227" i="38"/>
  <c r="M87" i="38"/>
  <c r="M120" i="38"/>
  <c r="F108" i="38"/>
  <c r="M211" i="38"/>
  <c r="F117" i="38"/>
  <c r="F211" i="38"/>
  <c r="M147" i="38"/>
  <c r="F210" i="38"/>
  <c r="M158" i="38"/>
  <c r="F221" i="38"/>
  <c r="M101" i="38"/>
  <c r="F111" i="38"/>
  <c r="M119" i="38"/>
  <c r="M107" i="38"/>
  <c r="M95" i="38"/>
  <c r="F119" i="38"/>
  <c r="F107" i="38"/>
  <c r="F95" i="38"/>
  <c r="M162" i="38"/>
  <c r="M150" i="38"/>
  <c r="M222" i="38"/>
  <c r="F93" i="38"/>
  <c r="M220" i="38"/>
  <c r="F92" i="38"/>
  <c r="M231" i="38"/>
  <c r="F220" i="38"/>
  <c r="F113" i="38"/>
  <c r="M228" i="38"/>
  <c r="M215" i="38"/>
  <c r="M111" i="38"/>
  <c r="F217" i="38"/>
  <c r="M118" i="38"/>
  <c r="M106" i="38"/>
  <c r="M94" i="38"/>
  <c r="F118" i="38"/>
  <c r="F106" i="38"/>
  <c r="F94" i="38"/>
  <c r="M173" i="38"/>
  <c r="M161" i="38"/>
  <c r="M149" i="38"/>
  <c r="M233" i="38"/>
  <c r="M221" i="38"/>
  <c r="F236" i="38"/>
  <c r="F224" i="38"/>
  <c r="F105" i="38"/>
  <c r="F235" i="38"/>
  <c r="F104" i="38"/>
  <c r="M219" i="38"/>
  <c r="F91" i="38"/>
  <c r="M89" i="38"/>
  <c r="M155" i="38"/>
  <c r="F218" i="38"/>
  <c r="F99" i="38"/>
  <c r="M117" i="38"/>
  <c r="M218" i="38"/>
  <c r="M217" i="38"/>
  <c r="F89" i="38"/>
  <c r="F100" i="38"/>
  <c r="F87" i="38"/>
  <c r="F229" i="38"/>
  <c r="M116" i="38"/>
  <c r="M104" i="38"/>
  <c r="M92" i="38"/>
  <c r="M171" i="38"/>
  <c r="F222" i="38"/>
  <c r="M230" i="38"/>
  <c r="F232" i="38"/>
  <c r="F101" i="38"/>
  <c r="M167" i="38"/>
  <c r="F230" i="38"/>
  <c r="M166" i="38"/>
  <c r="M226" i="38"/>
  <c r="M115" i="38"/>
  <c r="M103" i="38"/>
  <c r="M91" i="38"/>
  <c r="F115" i="38"/>
  <c r="F233" i="38"/>
  <c r="F231" i="38"/>
  <c r="F112" i="38"/>
  <c r="M214" i="38"/>
  <c r="M114" i="38"/>
  <c r="M102" i="38"/>
  <c r="M90" i="38"/>
  <c r="F114" i="38"/>
  <c r="F102" i="38"/>
  <c r="F90" i="38"/>
  <c r="M169" i="38"/>
  <c r="M157" i="38"/>
  <c r="M216" i="38"/>
  <c r="M88" i="38"/>
  <c r="M154" i="38"/>
  <c r="M113" i="38"/>
  <c r="M112" i="38"/>
  <c r="F258" i="38"/>
  <c r="E258" i="38"/>
  <c r="D255" i="38"/>
  <c r="E299" i="38" s="1"/>
  <c r="S33" i="67" s="1"/>
  <c r="E255" i="38"/>
  <c r="F299" i="38" s="1"/>
  <c r="U33" i="67" s="1"/>
  <c r="F255" i="38"/>
  <c r="G299" i="38" s="1"/>
  <c r="W33" i="67" s="1"/>
  <c r="D258" i="38"/>
  <c r="F151" i="22"/>
  <c r="W31" i="68" s="1"/>
  <c r="E151" i="22"/>
  <c r="U31" i="68" s="1"/>
  <c r="D151" i="22"/>
  <c r="S31" i="68" s="1"/>
  <c r="E78" i="25"/>
  <c r="H33" i="69" s="1"/>
  <c r="F82" i="25"/>
  <c r="J37" i="69" s="1"/>
  <c r="E77" i="25"/>
  <c r="H32" i="69" s="1"/>
  <c r="F80" i="25"/>
  <c r="J35" i="69" s="1"/>
  <c r="D82" i="25"/>
  <c r="F37" i="69" s="1"/>
  <c r="F79" i="25"/>
  <c r="J34" i="69" s="1"/>
  <c r="D81" i="25"/>
  <c r="F36" i="69" s="1"/>
  <c r="F85" i="25"/>
  <c r="W31" i="69" s="1"/>
  <c r="D80" i="25"/>
  <c r="F35" i="69" s="1"/>
  <c r="F78" i="25"/>
  <c r="J33" i="69" s="1"/>
  <c r="D79" i="25"/>
  <c r="F34" i="69" s="1"/>
  <c r="D78" i="25"/>
  <c r="F33" i="69" s="1"/>
  <c r="E76" i="25"/>
  <c r="H31" i="69" s="1"/>
  <c r="D86" i="25"/>
  <c r="S32" i="69" s="1"/>
  <c r="E81" i="25"/>
  <c r="H36" i="69" s="1"/>
  <c r="F77" i="25"/>
  <c r="J32" i="69" s="1"/>
  <c r="F81" i="25"/>
  <c r="J36" i="69" s="1"/>
  <c r="E82" i="25"/>
  <c r="H37" i="69" s="1"/>
  <c r="E80" i="25"/>
  <c r="H35" i="69" s="1"/>
  <c r="E79" i="25"/>
  <c r="H34" i="69" s="1"/>
  <c r="F76" i="25"/>
  <c r="J31" i="69" s="1"/>
  <c r="E85" i="25"/>
  <c r="U31" i="69" s="1"/>
  <c r="D85" i="25"/>
  <c r="S31" i="69" s="1"/>
  <c r="D77" i="25"/>
  <c r="F32" i="69" s="1"/>
  <c r="D76" i="25"/>
  <c r="F31" i="69" s="1"/>
  <c r="G332" i="19"/>
  <c r="K56" i="64" s="1"/>
  <c r="K187" i="19"/>
  <c r="B334" i="19"/>
  <c r="A59" i="64" s="1"/>
  <c r="C308" i="19"/>
  <c r="I34" i="64" s="1"/>
  <c r="B333" i="19"/>
  <c r="A58" i="64" s="1"/>
  <c r="B323" i="19"/>
  <c r="A49" i="64" s="1"/>
  <c r="B332" i="19"/>
  <c r="A57" i="64" s="1"/>
  <c r="B322" i="19"/>
  <c r="A48" i="64" s="1"/>
  <c r="K209" i="19"/>
  <c r="K102" i="19"/>
  <c r="B321" i="19"/>
  <c r="A47" i="64" s="1"/>
  <c r="B330" i="19"/>
  <c r="A55" i="64" s="1"/>
  <c r="K123" i="19"/>
  <c r="C313" i="19"/>
  <c r="I38" i="64" s="1"/>
  <c r="R331" i="19"/>
  <c r="B331" i="19"/>
  <c r="A56" i="64" s="1"/>
  <c r="K144" i="19"/>
  <c r="B320" i="19"/>
  <c r="A46" i="64" s="1"/>
  <c r="B319" i="19"/>
  <c r="A45" i="64" s="1"/>
  <c r="B318" i="19"/>
  <c r="A44" i="64" s="1"/>
  <c r="C314" i="19"/>
  <c r="I39" i="64" s="1"/>
  <c r="L320" i="19"/>
  <c r="B329" i="19"/>
  <c r="A54" i="64" s="1"/>
  <c r="L322" i="19"/>
  <c r="L324" i="19"/>
  <c r="L319" i="19"/>
  <c r="R332" i="19"/>
  <c r="L325" i="19"/>
  <c r="K165" i="19"/>
  <c r="L323" i="19"/>
  <c r="L321" i="19"/>
  <c r="L318" i="19"/>
  <c r="H31" i="40"/>
  <c r="H32" i="40"/>
  <c r="AI285" i="8"/>
  <c r="AO285" i="8"/>
  <c r="AC285" i="8"/>
  <c r="AM318" i="8"/>
  <c r="AM306" i="8"/>
  <c r="AM294" i="8"/>
  <c r="AG303" i="8"/>
  <c r="AG291" i="8"/>
  <c r="AA304" i="8"/>
  <c r="AA292" i="8"/>
  <c r="AA307" i="8"/>
  <c r="AM317" i="8"/>
  <c r="AM305" i="8"/>
  <c r="AM293" i="8"/>
  <c r="AG302" i="8"/>
  <c r="AG290" i="8"/>
  <c r="AA303" i="8"/>
  <c r="AA291" i="8"/>
  <c r="AG287" i="8"/>
  <c r="AM301" i="8"/>
  <c r="AG286" i="8"/>
  <c r="AM300" i="8"/>
  <c r="AA298" i="8"/>
  <c r="AM299" i="8"/>
  <c r="AA309" i="8"/>
  <c r="AG307" i="8"/>
  <c r="AA296" i="8"/>
  <c r="AA293" i="8"/>
  <c r="AM316" i="8"/>
  <c r="AM304" i="8"/>
  <c r="AM292" i="8"/>
  <c r="AG313" i="8"/>
  <c r="AG301" i="8"/>
  <c r="AG289" i="8"/>
  <c r="AA302" i="8"/>
  <c r="AA290" i="8"/>
  <c r="AG299" i="8"/>
  <c r="AG310" i="8"/>
  <c r="AG309" i="8"/>
  <c r="AG296" i="8"/>
  <c r="AA308" i="8"/>
  <c r="AA295" i="8"/>
  <c r="AG292" i="8"/>
  <c r="AM315" i="8"/>
  <c r="AM303" i="8"/>
  <c r="AM291" i="8"/>
  <c r="AG312" i="8"/>
  <c r="AG300" i="8"/>
  <c r="AG288" i="8"/>
  <c r="AA301" i="8"/>
  <c r="AA289" i="8"/>
  <c r="AA300" i="8"/>
  <c r="AM313" i="8"/>
  <c r="AA299" i="8"/>
  <c r="AG297" i="8"/>
  <c r="AA286" i="8"/>
  <c r="AG308" i="8"/>
  <c r="AG295" i="8"/>
  <c r="AG306" i="8"/>
  <c r="AM314" i="8"/>
  <c r="AM302" i="8"/>
  <c r="AM290" i="8"/>
  <c r="AG311" i="8"/>
  <c r="AA288" i="8"/>
  <c r="AM289" i="8"/>
  <c r="AG298" i="8"/>
  <c r="AA287" i="8"/>
  <c r="AM288" i="8"/>
  <c r="AM287" i="8"/>
  <c r="AA297" i="8"/>
  <c r="AM286" i="8"/>
  <c r="AM297" i="8"/>
  <c r="AA305" i="8"/>
  <c r="AG294" i="8"/>
  <c r="AM312" i="8"/>
  <c r="AM298" i="8"/>
  <c r="AG304" i="8"/>
  <c r="AM311" i="8"/>
  <c r="AM309" i="8"/>
  <c r="AM310" i="8"/>
  <c r="AM308" i="8"/>
  <c r="AM296" i="8"/>
  <c r="AG305" i="8"/>
  <c r="AG293" i="8"/>
  <c r="AA306" i="8"/>
  <c r="AA294" i="8"/>
  <c r="AM295" i="8"/>
  <c r="AM307" i="8"/>
  <c r="C65" i="40"/>
  <c r="M65" i="40" l="1"/>
  <c r="P144" i="40" s="1"/>
  <c r="M65" i="50"/>
  <c r="P145" i="50" s="1"/>
  <c r="F92" i="29" a="1"/>
  <c r="F92" i="29" s="1"/>
  <c r="G92" i="29" a="1"/>
  <c r="G92" i="29" s="1"/>
  <c r="H64" i="57"/>
  <c r="L144" i="57" s="1"/>
  <c r="S13" i="18"/>
  <c r="S14" i="18"/>
  <c r="D92" i="29"/>
  <c r="E92" i="29"/>
  <c r="O36" i="57"/>
  <c r="C86" i="29"/>
  <c r="T10" i="53"/>
  <c r="T10" i="60"/>
  <c r="T11" i="53"/>
  <c r="M65" i="72"/>
  <c r="P145" i="72" s="1"/>
  <c r="C65" i="72"/>
  <c r="T9" i="53"/>
  <c r="M64" i="57"/>
  <c r="P144" i="57" s="1"/>
  <c r="J109" i="60"/>
  <c r="K119" i="60"/>
  <c r="M119" i="60" s="1"/>
  <c r="D192" i="60" s="1"/>
  <c r="J46" i="59" s="1"/>
  <c r="J113" i="60"/>
  <c r="K120" i="60"/>
  <c r="M120" i="60" s="1"/>
  <c r="D193" i="60" s="1"/>
  <c r="Q119" i="60"/>
  <c r="S119" i="60" s="1"/>
  <c r="E192" i="60" s="1"/>
  <c r="P109" i="60"/>
  <c r="AB37" i="69"/>
  <c r="AB46" i="68"/>
  <c r="AA14" i="40"/>
  <c r="AB35" i="66"/>
  <c r="AA37" i="67"/>
  <c r="AA48" i="65"/>
  <c r="AA39" i="64"/>
  <c r="AA43" i="62"/>
  <c r="AA41" i="63"/>
  <c r="AB48" i="58"/>
  <c r="Y9" i="29"/>
  <c r="Y10" i="29"/>
  <c r="T9" i="45"/>
  <c r="T10" i="45"/>
  <c r="C65" i="63"/>
  <c r="H65" i="63" s="1"/>
  <c r="T9" i="9"/>
  <c r="T10" i="9"/>
  <c r="T11" i="22"/>
  <c r="M65" i="68"/>
  <c r="P144" i="68" s="1"/>
  <c r="T11" i="10"/>
  <c r="M65" i="58"/>
  <c r="P145" i="58" s="1"/>
  <c r="P215" i="58" s="1"/>
  <c r="T11" i="25"/>
  <c r="M65" i="69"/>
  <c r="P144" i="69" s="1"/>
  <c r="T10" i="8"/>
  <c r="E120" i="60"/>
  <c r="G120" i="60" s="1"/>
  <c r="C193" i="60" s="1"/>
  <c r="H47" i="59" s="1"/>
  <c r="D113" i="60"/>
  <c r="O122" i="60"/>
  <c r="O124" i="60" s="1"/>
  <c r="J35" i="59"/>
  <c r="T11" i="60"/>
  <c r="M66" i="59"/>
  <c r="P146" i="59" s="1"/>
  <c r="P216" i="59" s="1"/>
  <c r="T11" i="38"/>
  <c r="M65" i="67"/>
  <c r="T11" i="19"/>
  <c r="M66" i="64"/>
  <c r="P145" i="64" s="1"/>
  <c r="T9" i="19"/>
  <c r="T10" i="19"/>
  <c r="C66" i="64"/>
  <c r="T9" i="15"/>
  <c r="T10" i="15"/>
  <c r="T11" i="45"/>
  <c r="M65" i="63"/>
  <c r="P145" i="63" s="1"/>
  <c r="T11" i="9"/>
  <c r="M65" i="62"/>
  <c r="P145" i="62" s="1"/>
  <c r="T9" i="22"/>
  <c r="T10" i="22"/>
  <c r="C65" i="68"/>
  <c r="H141" i="68" s="1"/>
  <c r="T9" i="38"/>
  <c r="T10" i="38"/>
  <c r="C65" i="67"/>
  <c r="T9" i="10"/>
  <c r="T10" i="10"/>
  <c r="C65" i="58"/>
  <c r="T9" i="8"/>
  <c r="C64" i="66"/>
  <c r="A124" i="60"/>
  <c r="J44" i="59"/>
  <c r="D109" i="60"/>
  <c r="E119" i="60"/>
  <c r="G119" i="60" s="1"/>
  <c r="C192" i="60" s="1"/>
  <c r="P113" i="60"/>
  <c r="Q120" i="60"/>
  <c r="S120" i="60" s="1"/>
  <c r="E193" i="60" s="1"/>
  <c r="L47" i="59" s="1"/>
  <c r="C65" i="62"/>
  <c r="H145" i="62" s="1"/>
  <c r="T9" i="21"/>
  <c r="T10" i="21"/>
  <c r="C65" i="69"/>
  <c r="T9" i="25"/>
  <c r="T10" i="25"/>
  <c r="T11" i="8"/>
  <c r="M64" i="66"/>
  <c r="A125" i="60"/>
  <c r="L44" i="59"/>
  <c r="A123" i="60"/>
  <c r="H44" i="59"/>
  <c r="T9" i="60"/>
  <c r="C66" i="59"/>
  <c r="T10" i="14"/>
  <c r="T9" i="14"/>
  <c r="T9" i="20"/>
  <c r="T10" i="20"/>
  <c r="H142" i="56"/>
  <c r="H65" i="56"/>
  <c r="L145" i="56" s="1"/>
  <c r="H142" i="50"/>
  <c r="H65" i="50"/>
  <c r="L145" i="50" s="1"/>
  <c r="H144" i="40"/>
  <c r="H65" i="40"/>
  <c r="L144" i="40" s="1"/>
  <c r="O122" i="10"/>
  <c r="O124" i="10" s="1"/>
  <c r="H141" i="57"/>
  <c r="M65" i="56"/>
  <c r="P145" i="56" s="1"/>
  <c r="M65" i="55"/>
  <c r="P145" i="55" s="1"/>
  <c r="C65" i="55"/>
  <c r="C62" i="45"/>
  <c r="D64" i="45"/>
  <c r="D63" i="45"/>
  <c r="D62" i="45"/>
  <c r="C64" i="45"/>
  <c r="C63" i="45"/>
  <c r="D61" i="45"/>
  <c r="D60" i="45"/>
  <c r="C61" i="45"/>
  <c r="C60" i="45"/>
  <c r="D259" i="38"/>
  <c r="D256" i="38"/>
  <c r="F256" i="38"/>
  <c r="G300" i="38" s="1"/>
  <c r="W35" i="67" s="1"/>
  <c r="E256" i="38"/>
  <c r="F300" i="38" s="1"/>
  <c r="U35" i="67" s="1"/>
  <c r="E259" i="38"/>
  <c r="F301" i="38" s="1"/>
  <c r="U37" i="67" s="1"/>
  <c r="F259" i="38"/>
  <c r="G301" i="38" s="1"/>
  <c r="W37" i="67" s="1"/>
  <c r="H65" i="62" l="1"/>
  <c r="L145" i="62" s="1"/>
  <c r="E86" i="29"/>
  <c r="D86" i="29"/>
  <c r="F86" i="29" a="1"/>
  <c r="F86" i="29" s="1"/>
  <c r="H65" i="72"/>
  <c r="L145" i="72" s="1"/>
  <c r="H142" i="72"/>
  <c r="H210" i="67"/>
  <c r="H65" i="67"/>
  <c r="C136" i="67"/>
  <c r="H145" i="64"/>
  <c r="H66" i="64"/>
  <c r="L145" i="64" s="1"/>
  <c r="H146" i="59"/>
  <c r="H216" i="59" s="1"/>
  <c r="H66" i="59"/>
  <c r="L146" i="59" s="1"/>
  <c r="L216" i="59" s="1"/>
  <c r="C194" i="60"/>
  <c r="H46" i="59"/>
  <c r="D194" i="60"/>
  <c r="J47" i="59"/>
  <c r="P214" i="66"/>
  <c r="M136" i="66"/>
  <c r="H65" i="69"/>
  <c r="L144" i="69" s="1"/>
  <c r="H144" i="69"/>
  <c r="H65" i="58"/>
  <c r="L145" i="58" s="1"/>
  <c r="L215" i="58" s="1"/>
  <c r="H145" i="58"/>
  <c r="H215" i="58" s="1"/>
  <c r="P213" i="67"/>
  <c r="M136" i="67"/>
  <c r="H214" i="66"/>
  <c r="C136" i="66"/>
  <c r="H64" i="66"/>
  <c r="J123" i="60"/>
  <c r="F134" i="60"/>
  <c r="D146" i="60"/>
  <c r="D97" i="59" s="1"/>
  <c r="F135" i="60"/>
  <c r="F133" i="60"/>
  <c r="D148" i="60"/>
  <c r="D147" i="60"/>
  <c r="D98" i="59" s="1"/>
  <c r="L123" i="60"/>
  <c r="Q123" i="60"/>
  <c r="T130" i="60"/>
  <c r="T131" i="60" s="1"/>
  <c r="L145" i="63"/>
  <c r="H142" i="63"/>
  <c r="L46" i="59"/>
  <c r="E194" i="60"/>
  <c r="H142" i="55"/>
  <c r="H65" i="55"/>
  <c r="L145" i="55" s="1"/>
  <c r="Q123" i="10"/>
  <c r="T130" i="10"/>
  <c r="T131" i="10" s="1"/>
  <c r="E66" i="45"/>
  <c r="D160" i="45" s="1"/>
  <c r="E301" i="38"/>
  <c r="S37" i="67" s="1"/>
  <c r="K259" i="38"/>
  <c r="K258" i="38"/>
  <c r="J268" i="38"/>
  <c r="E300" i="38"/>
  <c r="S35" i="67" s="1"/>
  <c r="K256" i="38"/>
  <c r="K255" i="38"/>
  <c r="M268" i="38"/>
  <c r="G160" i="45" l="1" a="1"/>
  <c r="G160" i="45" s="1"/>
  <c r="M190" i="45"/>
  <c r="E160" i="45"/>
  <c r="H160" i="45" a="1"/>
  <c r="H160" i="45" s="1"/>
  <c r="L160" i="45"/>
  <c r="L109" i="67"/>
  <c r="D314" i="38"/>
  <c r="L110" i="67"/>
  <c r="D315" i="38"/>
  <c r="L111" i="67"/>
  <c r="D316" i="38"/>
  <c r="L112" i="67"/>
  <c r="D317" i="38"/>
  <c r="B125" i="60"/>
  <c r="L48" i="59"/>
  <c r="J124" i="60"/>
  <c r="J125" i="60" s="1"/>
  <c r="J126" i="60" s="1"/>
  <c r="J127" i="60" s="1"/>
  <c r="J128" i="60" s="1"/>
  <c r="J129" i="60" s="1"/>
  <c r="J130" i="60" s="1"/>
  <c r="J131" i="60" s="1"/>
  <c r="J132" i="60" s="1"/>
  <c r="J133" i="60" s="1"/>
  <c r="J134" i="60" s="1"/>
  <c r="J135" i="60" s="1"/>
  <c r="J136" i="60" s="1"/>
  <c r="J137" i="60" s="1"/>
  <c r="J138" i="60" s="1"/>
  <c r="J139" i="60" s="1"/>
  <c r="J140" i="60" s="1"/>
  <c r="J141" i="60" s="1"/>
  <c r="J142" i="60" s="1"/>
  <c r="J143" i="60" s="1"/>
  <c r="J144" i="60" s="1"/>
  <c r="J145" i="60" s="1"/>
  <c r="J146" i="60" s="1"/>
  <c r="J147" i="60" s="1"/>
  <c r="J148" i="60" s="1"/>
  <c r="J149" i="60" s="1"/>
  <c r="J150" i="60" s="1"/>
  <c r="J151" i="60" s="1"/>
  <c r="J152" i="60" s="1"/>
  <c r="J153" i="60" s="1"/>
  <c r="J154" i="60" s="1"/>
  <c r="J155" i="60" s="1"/>
  <c r="J156" i="60" s="1"/>
  <c r="J157" i="60" s="1"/>
  <c r="J158" i="60" s="1"/>
  <c r="J159" i="60" s="1"/>
  <c r="J160" i="60" s="1"/>
  <c r="J161" i="60" s="1"/>
  <c r="J162" i="60" s="1"/>
  <c r="J163" i="60" s="1"/>
  <c r="J164" i="60" s="1"/>
  <c r="J165" i="60" s="1"/>
  <c r="J166" i="60" s="1"/>
  <c r="J167" i="60" s="1"/>
  <c r="J168" i="60" s="1"/>
  <c r="J169" i="60" s="1"/>
  <c r="J170" i="60" s="1"/>
  <c r="L214" i="66"/>
  <c r="H136" i="66"/>
  <c r="B124" i="60"/>
  <c r="J48" i="59"/>
  <c r="L213" i="67"/>
  <c r="H136" i="67"/>
  <c r="H66" i="45"/>
  <c r="U47" i="63"/>
  <c r="B123" i="60"/>
  <c r="H48" i="59"/>
  <c r="E75" i="45"/>
  <c r="E67" i="45"/>
  <c r="E72" i="45"/>
  <c r="E74" i="45"/>
  <c r="M267" i="38"/>
  <c r="M271" i="38" s="1"/>
  <c r="J267" i="38"/>
  <c r="I199" i="19"/>
  <c r="I198" i="19"/>
  <c r="I177" i="19"/>
  <c r="I176" i="19"/>
  <c r="I155" i="19"/>
  <c r="I154" i="19"/>
  <c r="I134" i="19"/>
  <c r="I133" i="19"/>
  <c r="I112" i="19"/>
  <c r="I117" i="19" s="1"/>
  <c r="I113" i="19"/>
  <c r="I118" i="19" s="1"/>
  <c r="I188" i="19"/>
  <c r="C30" i="19"/>
  <c r="J32" i="19" s="1"/>
  <c r="C29" i="19"/>
  <c r="C304" i="19" s="1"/>
  <c r="I31" i="64" s="1"/>
  <c r="C28" i="19"/>
  <c r="F24" i="25"/>
  <c r="G24" i="25"/>
  <c r="H24" i="25"/>
  <c r="G314" i="38" l="1" a="1"/>
  <c r="G314" i="38" s="1"/>
  <c r="H314" i="38" a="1"/>
  <c r="H314" i="38" s="1"/>
  <c r="L314" i="38" s="1"/>
  <c r="E314" i="38"/>
  <c r="U48" i="63"/>
  <c r="D159" i="45"/>
  <c r="H315" i="38" a="1"/>
  <c r="H315" i="38" s="1"/>
  <c r="L315" i="38" s="1"/>
  <c r="E315" i="38"/>
  <c r="G315" i="38" a="1"/>
  <c r="G315" i="38" s="1"/>
  <c r="E317" i="38"/>
  <c r="G317" i="38" a="1"/>
  <c r="G317" i="38" s="1"/>
  <c r="H317" i="38" a="1"/>
  <c r="H317" i="38" s="1"/>
  <c r="L317" i="38" s="1"/>
  <c r="H316" i="38" a="1"/>
  <c r="H316" i="38" s="1"/>
  <c r="L316" i="38" s="1"/>
  <c r="G316" i="38" a="1"/>
  <c r="G316" i="38" s="1"/>
  <c r="E316" i="38"/>
  <c r="D333" i="38"/>
  <c r="E123" i="60" a="1"/>
  <c r="E123" i="60" s="1"/>
  <c r="M272" i="38"/>
  <c r="H67" i="45"/>
  <c r="D75" i="45"/>
  <c r="D71" i="45"/>
  <c r="D72" i="45"/>
  <c r="J272" i="38"/>
  <c r="J271" i="38"/>
  <c r="C303" i="19"/>
  <c r="I30" i="64" s="1"/>
  <c r="C256" i="19"/>
  <c r="D256" i="19"/>
  <c r="C257" i="19"/>
  <c r="C258" i="19"/>
  <c r="C259" i="19"/>
  <c r="C260" i="19"/>
  <c r="C261" i="19"/>
  <c r="C262" i="19"/>
  <c r="D238" i="19"/>
  <c r="D237" i="19"/>
  <c r="D236" i="19"/>
  <c r="D224" i="19"/>
  <c r="D231" i="19" s="1"/>
  <c r="D223" i="19"/>
  <c r="D230" i="19" s="1"/>
  <c r="D222" i="19"/>
  <c r="D260" i="19" s="1"/>
  <c r="D221" i="19"/>
  <c r="D259" i="19" s="1"/>
  <c r="D220" i="19"/>
  <c r="D258" i="19" s="1"/>
  <c r="D219" i="19"/>
  <c r="D257" i="19" s="1"/>
  <c r="J208" i="19"/>
  <c r="K208" i="19" s="1"/>
  <c r="I210" i="19"/>
  <c r="J122" i="19"/>
  <c r="K122" i="19" s="1"/>
  <c r="J73" i="19"/>
  <c r="K73" i="19" s="1"/>
  <c r="H318" i="19" s="1"/>
  <c r="K44" i="64" s="1"/>
  <c r="I103" i="19"/>
  <c r="J101" i="19"/>
  <c r="K101" i="19" s="1"/>
  <c r="D322" i="38" l="1"/>
  <c r="D323" i="38"/>
  <c r="M193" i="45"/>
  <c r="E159" i="45"/>
  <c r="D171" i="45" s="1"/>
  <c r="L159" i="45"/>
  <c r="D172" i="45" s="1"/>
  <c r="G159" i="45" a="1"/>
  <c r="G159" i="45" s="1"/>
  <c r="H159" i="45" a="1"/>
  <c r="H159" i="45" s="1"/>
  <c r="D324" i="38"/>
  <c r="B327" i="38" a="1"/>
  <c r="B327" i="38" s="1"/>
  <c r="K155" i="60"/>
  <c r="E134" i="60"/>
  <c r="K147" i="60"/>
  <c r="K144" i="60"/>
  <c r="K170" i="60"/>
  <c r="K139" i="60"/>
  <c r="K164" i="60"/>
  <c r="K123" i="60"/>
  <c r="K141" i="60"/>
  <c r="K165" i="60"/>
  <c r="K156" i="60"/>
  <c r="K146" i="60"/>
  <c r="K143" i="60"/>
  <c r="K125" i="60"/>
  <c r="E135" i="60"/>
  <c r="K130" i="60"/>
  <c r="K127" i="60"/>
  <c r="K159" i="60"/>
  <c r="K157" i="60"/>
  <c r="K160" i="60"/>
  <c r="K151" i="60"/>
  <c r="K131" i="60"/>
  <c r="R123" i="60"/>
  <c r="K154" i="60"/>
  <c r="K133" i="60"/>
  <c r="K148" i="60"/>
  <c r="K168" i="60"/>
  <c r="K162" i="60"/>
  <c r="K163" i="60"/>
  <c r="K126" i="60"/>
  <c r="K150" i="60"/>
  <c r="K152" i="60"/>
  <c r="K145" i="60"/>
  <c r="K167" i="60"/>
  <c r="O125" i="60"/>
  <c r="K161" i="60"/>
  <c r="K140" i="60"/>
  <c r="K135" i="60"/>
  <c r="K142" i="60"/>
  <c r="K128" i="60"/>
  <c r="K166" i="60"/>
  <c r="K124" i="60"/>
  <c r="K169" i="60"/>
  <c r="K153" i="60"/>
  <c r="K134" i="60"/>
  <c r="K132" i="60"/>
  <c r="K137" i="60"/>
  <c r="K136" i="60"/>
  <c r="K158" i="60"/>
  <c r="K138" i="60"/>
  <c r="K149" i="60"/>
  <c r="K129" i="60"/>
  <c r="E133" i="60"/>
  <c r="D261" i="19"/>
  <c r="D229" i="19"/>
  <c r="D262" i="19"/>
  <c r="J74" i="19"/>
  <c r="K74" i="19" s="1"/>
  <c r="H319" i="19" s="1"/>
  <c r="K45" i="64" s="1"/>
  <c r="J75" i="19"/>
  <c r="J76" i="19"/>
  <c r="J77" i="19"/>
  <c r="K77" i="19" s="1"/>
  <c r="H322" i="19" s="1"/>
  <c r="K48" i="64" s="1"/>
  <c r="J78" i="19"/>
  <c r="K78" i="19" s="1"/>
  <c r="H323" i="19" s="1"/>
  <c r="K49" i="64" s="1"/>
  <c r="B176" i="45" l="1" a="1"/>
  <c r="B176" i="45" s="1"/>
  <c r="D173" i="45"/>
  <c r="G135" i="60"/>
  <c r="H135" i="60" s="1"/>
  <c r="E148" i="60"/>
  <c r="U131" i="60"/>
  <c r="U132" i="60"/>
  <c r="T135" i="60"/>
  <c r="U135" i="60" s="1"/>
  <c r="G134" i="60"/>
  <c r="H134" i="60" s="1"/>
  <c r="E147" i="60"/>
  <c r="G98" i="59" s="1"/>
  <c r="G133" i="60"/>
  <c r="H133" i="60" s="1"/>
  <c r="E146" i="60"/>
  <c r="K76" i="19"/>
  <c r="K75" i="19"/>
  <c r="L74" i="19"/>
  <c r="L78" i="19"/>
  <c r="L73" i="19"/>
  <c r="L77" i="19"/>
  <c r="D47" i="21"/>
  <c r="B101" i="59" l="1"/>
  <c r="G97" i="59"/>
  <c r="D209" i="60"/>
  <c r="L75" i="19"/>
  <c r="H320" i="19"/>
  <c r="K46" i="64" s="1"/>
  <c r="Q155" i="60"/>
  <c r="Q156" i="60"/>
  <c r="M146" i="60"/>
  <c r="P155" i="60"/>
  <c r="P153" i="60"/>
  <c r="P154" i="60"/>
  <c r="P148" i="60"/>
  <c r="P149" i="60"/>
  <c r="Q151" i="60"/>
  <c r="Q150" i="60"/>
  <c r="M145" i="60"/>
  <c r="P150" i="60"/>
  <c r="P145" i="60"/>
  <c r="P144" i="60"/>
  <c r="Q145" i="60"/>
  <c r="P143" i="60"/>
  <c r="Q146" i="60"/>
  <c r="M144" i="60"/>
  <c r="L76" i="19"/>
  <c r="H321" i="19"/>
  <c r="K47" i="64" s="1"/>
  <c r="H43" i="25"/>
  <c r="H44" i="25" s="1"/>
  <c r="G43" i="25"/>
  <c r="G44" i="25" s="1"/>
  <c r="F43" i="25"/>
  <c r="F44" i="25" s="1"/>
  <c r="H27" i="25"/>
  <c r="G27" i="25"/>
  <c r="F27" i="25"/>
  <c r="H25" i="25"/>
  <c r="G25" i="25"/>
  <c r="F25" i="25"/>
  <c r="H31" i="25"/>
  <c r="G31" i="25"/>
  <c r="F31" i="25"/>
  <c r="AB36" i="25"/>
  <c r="AA23" i="25"/>
  <c r="AB23" i="25" s="1"/>
  <c r="H29" i="25" s="1"/>
  <c r="H42" i="25"/>
  <c r="G42" i="25"/>
  <c r="F42" i="25"/>
  <c r="I51" i="21"/>
  <c r="S31" i="21"/>
  <c r="T31" i="21" s="1"/>
  <c r="S32" i="21"/>
  <c r="T32" i="21" s="1"/>
  <c r="S33" i="21"/>
  <c r="T33" i="21" s="1"/>
  <c r="D52" i="21" s="1"/>
  <c r="S34" i="21"/>
  <c r="T34" i="21" s="1"/>
  <c r="S35" i="21"/>
  <c r="T35" i="21" s="1"/>
  <c r="E209" i="60" l="1"/>
  <c r="D213" i="60" s="1"/>
  <c r="B219" i="60" s="1" a="1"/>
  <c r="B219" i="60" s="1"/>
  <c r="G209" i="60" a="1"/>
  <c r="G209" i="60" s="1"/>
  <c r="N236" i="60"/>
  <c r="L209" i="60"/>
  <c r="D214" i="60" s="1"/>
  <c r="D215" i="60" s="1"/>
  <c r="F29" i="25"/>
  <c r="G28" i="25"/>
  <c r="F28" i="25"/>
  <c r="G29" i="25"/>
  <c r="H28" i="25"/>
  <c r="F45" i="25"/>
  <c r="G45" i="25"/>
  <c r="H47" i="25"/>
  <c r="H45" i="25"/>
  <c r="H33" i="25"/>
  <c r="F32" i="25"/>
  <c r="D228" i="60" l="1" a="1"/>
  <c r="D228" i="60" s="1"/>
  <c r="D229" i="60" a="1"/>
  <c r="D229" i="60" s="1"/>
  <c r="D226" i="60" a="1"/>
  <c r="D226" i="60" s="1"/>
  <c r="D225" i="60" a="1"/>
  <c r="D225" i="60" s="1"/>
  <c r="D227" i="60" a="1"/>
  <c r="D227" i="60" s="1"/>
  <c r="F53" i="25"/>
  <c r="F54" i="25" s="1"/>
  <c r="F86" i="25"/>
  <c r="W32" i="69" s="1"/>
  <c r="U41" i="25"/>
  <c r="U29" i="25"/>
  <c r="M42" i="25"/>
  <c r="M30" i="25"/>
  <c r="U40" i="25"/>
  <c r="U28" i="25"/>
  <c r="M41" i="25"/>
  <c r="M29" i="25"/>
  <c r="U39" i="25"/>
  <c r="U27" i="25"/>
  <c r="M40" i="25"/>
  <c r="M28" i="25"/>
  <c r="U50" i="25"/>
  <c r="U38" i="25"/>
  <c r="M39" i="25"/>
  <c r="M27" i="25"/>
  <c r="U47" i="25"/>
  <c r="M36" i="25"/>
  <c r="M35" i="25"/>
  <c r="U33" i="25"/>
  <c r="M44" i="25"/>
  <c r="U36" i="25"/>
  <c r="U34" i="25"/>
  <c r="D53" i="25"/>
  <c r="D54" i="25" s="1"/>
  <c r="U45" i="25"/>
  <c r="M34" i="25"/>
  <c r="M49" i="25"/>
  <c r="U46" i="25"/>
  <c r="M47" i="25"/>
  <c r="U32" i="25"/>
  <c r="U43" i="25"/>
  <c r="U49" i="25"/>
  <c r="U37" i="25"/>
  <c r="M50" i="25"/>
  <c r="M38" i="25"/>
  <c r="U48" i="25"/>
  <c r="M37" i="25"/>
  <c r="M48" i="25"/>
  <c r="M46" i="25"/>
  <c r="M33" i="25"/>
  <c r="U31" i="25"/>
  <c r="U35" i="25"/>
  <c r="U44" i="25"/>
  <c r="M45" i="25"/>
  <c r="M32" i="25"/>
  <c r="M31" i="25"/>
  <c r="M43" i="25"/>
  <c r="U30" i="25"/>
  <c r="U42" i="25"/>
  <c r="Q49" i="25"/>
  <c r="Q37" i="25"/>
  <c r="Q36" i="25"/>
  <c r="Q35" i="25"/>
  <c r="Q46" i="25"/>
  <c r="Q34" i="25"/>
  <c r="Q32" i="25"/>
  <c r="Q30" i="25"/>
  <c r="Q47" i="25"/>
  <c r="Q48" i="25"/>
  <c r="Q39" i="25"/>
  <c r="Q31" i="25"/>
  <c r="Q29" i="25"/>
  <c r="Q45" i="25"/>
  <c r="Q33" i="25"/>
  <c r="Q44" i="25"/>
  <c r="Q43" i="25"/>
  <c r="Q42" i="25"/>
  <c r="Q41" i="25"/>
  <c r="Q28" i="25"/>
  <c r="Q27" i="25"/>
  <c r="Q40" i="25"/>
  <c r="Q50" i="25"/>
  <c r="Q38" i="25"/>
  <c r="F47" i="25"/>
  <c r="G33" i="25"/>
  <c r="F33" i="25"/>
  <c r="F46" i="25"/>
  <c r="G47" i="25"/>
  <c r="E53" i="25" l="1"/>
  <c r="E54" i="25" s="1"/>
  <c r="E86" i="25"/>
  <c r="U32" i="69" s="1"/>
  <c r="E52" i="25"/>
  <c r="E87" i="25" s="1"/>
  <c r="U34" i="69" s="1"/>
  <c r="Q26" i="25"/>
  <c r="D52" i="25"/>
  <c r="M26" i="25"/>
  <c r="F52" i="25"/>
  <c r="F87" i="25" s="1"/>
  <c r="W34" i="69" s="1"/>
  <c r="U26" i="25"/>
  <c r="L71" i="21"/>
  <c r="L72" i="21"/>
  <c r="L73" i="21"/>
  <c r="L74" i="21"/>
  <c r="L75" i="21"/>
  <c r="L76" i="21"/>
  <c r="L77" i="21"/>
  <c r="L78" i="21"/>
  <c r="L79" i="21"/>
  <c r="L80" i="21"/>
  <c r="L81" i="21"/>
  <c r="L82" i="21"/>
  <c r="L83" i="21"/>
  <c r="J66" i="25" l="1"/>
  <c r="D87" i="25"/>
  <c r="S34" i="69" s="1"/>
  <c r="E58" i="25"/>
  <c r="F58" i="25" s="1"/>
  <c r="L57" i="69" s="1"/>
  <c r="E59" i="25"/>
  <c r="I35" i="22"/>
  <c r="I32" i="22"/>
  <c r="I31" i="22"/>
  <c r="H35" i="22"/>
  <c r="H32" i="22"/>
  <c r="F141" i="22" s="1"/>
  <c r="J32" i="68" s="1"/>
  <c r="H31" i="22"/>
  <c r="F140" i="22" s="1"/>
  <c r="J31" i="68" s="1"/>
  <c r="E35" i="22"/>
  <c r="G31" i="22"/>
  <c r="G35" i="22"/>
  <c r="G32" i="22"/>
  <c r="F35" i="22"/>
  <c r="D35" i="22"/>
  <c r="F32" i="22"/>
  <c r="E141" i="22" s="1"/>
  <c r="H32" i="68" s="1"/>
  <c r="F31" i="22"/>
  <c r="E140" i="22" s="1"/>
  <c r="H31" i="68" s="1"/>
  <c r="E31" i="22"/>
  <c r="E32" i="22"/>
  <c r="D32" i="22"/>
  <c r="D141" i="22" s="1"/>
  <c r="F32" i="68" s="1"/>
  <c r="D31" i="22"/>
  <c r="D140" i="22" s="1"/>
  <c r="F31" i="68" s="1"/>
  <c r="C64" i="22"/>
  <c r="C63" i="22"/>
  <c r="C62" i="22"/>
  <c r="C61" i="22"/>
  <c r="C60" i="22"/>
  <c r="C59" i="22"/>
  <c r="C58" i="22"/>
  <c r="C57" i="22"/>
  <c r="C56" i="22"/>
  <c r="C55" i="22"/>
  <c r="C54" i="22"/>
  <c r="C53" i="22"/>
  <c r="C52" i="22"/>
  <c r="C51" i="22"/>
  <c r="H41" i="22"/>
  <c r="F41" i="22"/>
  <c r="D55" i="25" l="1"/>
  <c r="F59" i="25"/>
  <c r="L58" i="69" s="1"/>
  <c r="J65" i="25"/>
  <c r="E55" i="25"/>
  <c r="F55" i="25"/>
  <c r="H38" i="22"/>
  <c r="F144" i="22" s="1"/>
  <c r="J35" i="68" s="1"/>
  <c r="G38" i="22"/>
  <c r="F38" i="22"/>
  <c r="E144" i="22" s="1"/>
  <c r="H35" i="68" s="1"/>
  <c r="D38" i="22"/>
  <c r="D144" i="22" s="1"/>
  <c r="F35" i="68" s="1"/>
  <c r="I38" i="22"/>
  <c r="E38" i="22"/>
  <c r="V33" i="22"/>
  <c r="U33" i="22"/>
  <c r="V32" i="22"/>
  <c r="U32" i="22"/>
  <c r="V31" i="22"/>
  <c r="U31" i="22"/>
  <c r="V30" i="22"/>
  <c r="U30" i="22"/>
  <c r="V29" i="22"/>
  <c r="U29" i="22"/>
  <c r="V27" i="22"/>
  <c r="U27" i="22"/>
  <c r="U26" i="22"/>
  <c r="V26" i="22" s="1"/>
  <c r="U25" i="22"/>
  <c r="E66" i="21"/>
  <c r="E65" i="21"/>
  <c r="E64" i="21"/>
  <c r="E63" i="21"/>
  <c r="E62" i="21"/>
  <c r="E61" i="21"/>
  <c r="E60" i="21"/>
  <c r="E59" i="21"/>
  <c r="E58" i="21"/>
  <c r="F58" i="21" s="1"/>
  <c r="F39" i="21"/>
  <c r="D119" i="21" s="1"/>
  <c r="G39" i="50" s="1"/>
  <c r="F38" i="21"/>
  <c r="D118" i="21" s="1"/>
  <c r="G38" i="50" s="1"/>
  <c r="F37" i="21"/>
  <c r="D117" i="21" s="1"/>
  <c r="G37" i="50" s="1"/>
  <c r="F36" i="21"/>
  <c r="D116" i="21" s="1"/>
  <c r="G36" i="50" s="1"/>
  <c r="F35" i="21"/>
  <c r="D115" i="21" s="1"/>
  <c r="G35" i="50" s="1"/>
  <c r="F34" i="21"/>
  <c r="D114" i="21" s="1"/>
  <c r="G34" i="50" s="1"/>
  <c r="F33" i="21"/>
  <c r="D113" i="21" s="1"/>
  <c r="G33" i="50" s="1"/>
  <c r="F32" i="21"/>
  <c r="F31" i="21"/>
  <c r="F30" i="21"/>
  <c r="F29" i="21"/>
  <c r="F28" i="21"/>
  <c r="F27" i="21"/>
  <c r="F26" i="21"/>
  <c r="J69" i="25" l="1"/>
  <c r="K69" i="25" s="1"/>
  <c r="J70" i="25"/>
  <c r="K70" i="25" s="1"/>
  <c r="H66" i="21"/>
  <c r="F66" i="21"/>
  <c r="H63" i="21"/>
  <c r="F63" i="21"/>
  <c r="H59" i="21"/>
  <c r="F59" i="21"/>
  <c r="H60" i="21"/>
  <c r="F60" i="21"/>
  <c r="F64" i="21"/>
  <c r="H64" i="21"/>
  <c r="H58" i="21"/>
  <c r="H61" i="21"/>
  <c r="C123" i="21" s="1"/>
  <c r="Q33" i="50" s="1"/>
  <c r="F61" i="21"/>
  <c r="H65" i="21"/>
  <c r="F65" i="21"/>
  <c r="F62" i="21"/>
  <c r="H62" i="21"/>
  <c r="G39" i="21"/>
  <c r="H39" i="21" s="1"/>
  <c r="E119" i="21" s="1"/>
  <c r="J39" i="50" s="1"/>
  <c r="G38" i="21"/>
  <c r="H38" i="21" s="1"/>
  <c r="E118" i="21" s="1"/>
  <c r="J38" i="50" s="1"/>
  <c r="G37" i="21"/>
  <c r="H37" i="21" s="1"/>
  <c r="E117" i="21" s="1"/>
  <c r="J37" i="50" s="1"/>
  <c r="G36" i="21"/>
  <c r="H36" i="21" s="1"/>
  <c r="E116" i="21" s="1"/>
  <c r="J36" i="50" s="1"/>
  <c r="G35" i="21"/>
  <c r="H35" i="21" s="1"/>
  <c r="E115" i="21" s="1"/>
  <c r="J35" i="50" s="1"/>
  <c r="G30" i="21"/>
  <c r="H30" i="21" s="1"/>
  <c r="M75" i="21" s="1"/>
  <c r="G28" i="21"/>
  <c r="H28" i="21" s="1"/>
  <c r="M73" i="21" s="1"/>
  <c r="G26" i="21"/>
  <c r="G34" i="21"/>
  <c r="H34" i="21" s="1"/>
  <c r="E114" i="21" s="1"/>
  <c r="J34" i="50" s="1"/>
  <c r="G29" i="21"/>
  <c r="H29" i="21" s="1"/>
  <c r="M74" i="21" s="1"/>
  <c r="G27" i="21"/>
  <c r="H27" i="21" s="1"/>
  <c r="M72" i="21" s="1"/>
  <c r="G33" i="21"/>
  <c r="H33" i="21" s="1"/>
  <c r="E113" i="21" s="1"/>
  <c r="J33" i="50" s="1"/>
  <c r="G32" i="21"/>
  <c r="H32" i="21" s="1"/>
  <c r="M77" i="21" s="1"/>
  <c r="G31" i="21"/>
  <c r="H31" i="21" s="1"/>
  <c r="M76" i="21" s="1"/>
  <c r="I33" i="22"/>
  <c r="G33" i="22"/>
  <c r="H33" i="22"/>
  <c r="D33" i="22"/>
  <c r="F33" i="22"/>
  <c r="E33" i="22"/>
  <c r="I57" i="22"/>
  <c r="G59" i="22"/>
  <c r="E61" i="22"/>
  <c r="I55" i="22"/>
  <c r="G57" i="22"/>
  <c r="E58" i="22"/>
  <c r="G55" i="22"/>
  <c r="I64" i="22"/>
  <c r="N51" i="22" s="1"/>
  <c r="E56" i="22"/>
  <c r="G53" i="22"/>
  <c r="G52" i="22"/>
  <c r="I61" i="22"/>
  <c r="G63" i="22"/>
  <c r="G51" i="22"/>
  <c r="E52" i="22"/>
  <c r="I59" i="22"/>
  <c r="E63" i="22"/>
  <c r="I56" i="22"/>
  <c r="G58" i="22"/>
  <c r="E60" i="22"/>
  <c r="E59" i="22"/>
  <c r="I54" i="22"/>
  <c r="G56" i="22"/>
  <c r="I53" i="22"/>
  <c r="E57" i="22"/>
  <c r="I52" i="22"/>
  <c r="G54" i="22"/>
  <c r="I63" i="22"/>
  <c r="I51" i="22"/>
  <c r="E55" i="22"/>
  <c r="I62" i="22"/>
  <c r="G64" i="22"/>
  <c r="M51" i="22" s="1"/>
  <c r="E54" i="22"/>
  <c r="E53" i="22"/>
  <c r="I60" i="22"/>
  <c r="G62" i="22"/>
  <c r="E64" i="22"/>
  <c r="L51" i="22" s="1"/>
  <c r="G61" i="22"/>
  <c r="I58" i="22"/>
  <c r="E62" i="22"/>
  <c r="G60" i="22"/>
  <c r="V25" i="22"/>
  <c r="G73" i="22" l="1"/>
  <c r="G75" i="22" s="1"/>
  <c r="F142" i="22"/>
  <c r="J33" i="68" s="1"/>
  <c r="F73" i="22"/>
  <c r="F75" i="22" s="1"/>
  <c r="E142" i="22"/>
  <c r="H33" i="68" s="1"/>
  <c r="E73" i="22"/>
  <c r="D142" i="22"/>
  <c r="F33" i="68" s="1"/>
  <c r="M83" i="21"/>
  <c r="M81" i="21"/>
  <c r="M80" i="21"/>
  <c r="M78" i="21"/>
  <c r="C127" i="21"/>
  <c r="Q37" i="50" s="1"/>
  <c r="M88" i="21"/>
  <c r="N98" i="21" s="1"/>
  <c r="C101" i="21" s="1"/>
  <c r="M82" i="21"/>
  <c r="M84" i="21"/>
  <c r="M89" i="21"/>
  <c r="C128" i="21"/>
  <c r="M87" i="21"/>
  <c r="C126" i="21"/>
  <c r="Q36" i="50" s="1"/>
  <c r="C124" i="21"/>
  <c r="Q34" i="50" s="1"/>
  <c r="M85" i="21"/>
  <c r="C125" i="21"/>
  <c r="Q35" i="50" s="1"/>
  <c r="M86" i="21"/>
  <c r="M79" i="21"/>
  <c r="N97" i="21"/>
  <c r="G64" i="21"/>
  <c r="B126" i="21" s="1"/>
  <c r="N36" i="50" s="1"/>
  <c r="G61" i="21"/>
  <c r="B123" i="21" s="1"/>
  <c r="N33" i="50" s="1"/>
  <c r="G60" i="21"/>
  <c r="G62" i="21"/>
  <c r="B124" i="21" s="1"/>
  <c r="N34" i="50" s="1"/>
  <c r="G65" i="21"/>
  <c r="B127" i="21" s="1"/>
  <c r="N37" i="50" s="1"/>
  <c r="G63" i="21"/>
  <c r="B125" i="21" s="1"/>
  <c r="N35" i="50" s="1"/>
  <c r="G66" i="21"/>
  <c r="B128" i="21" s="1"/>
  <c r="G58" i="21"/>
  <c r="G59" i="21"/>
  <c r="N96" i="21"/>
  <c r="N50" i="22"/>
  <c r="N52" i="22" s="1"/>
  <c r="N53" i="22" s="1" a="1"/>
  <c r="N53" i="22" s="1"/>
  <c r="N64" i="22"/>
  <c r="N67" i="22" s="1"/>
  <c r="M50" i="22"/>
  <c r="M52" i="22" s="1"/>
  <c r="M53" i="22" s="1" a="1"/>
  <c r="M53" i="22" s="1"/>
  <c r="L50" i="22"/>
  <c r="L52" i="22" s="1"/>
  <c r="L53" i="22" s="1" a="1"/>
  <c r="L53" i="22" s="1"/>
  <c r="L55" i="22" s="1" a="1"/>
  <c r="L55" i="22" s="1"/>
  <c r="I34" i="22"/>
  <c r="G34" i="22"/>
  <c r="H34" i="22"/>
  <c r="F143" i="22" s="1"/>
  <c r="J34" i="68" s="1"/>
  <c r="F34" i="22"/>
  <c r="E143" i="22" s="1"/>
  <c r="H34" i="68" s="1"/>
  <c r="D34" i="22"/>
  <c r="E34" i="22"/>
  <c r="H26" i="21"/>
  <c r="M71" i="21" s="1"/>
  <c r="E116" i="22" l="1"/>
  <c r="E152" i="22"/>
  <c r="U32" i="68" s="1"/>
  <c r="M64" i="22"/>
  <c r="M67" i="22" s="1"/>
  <c r="D39" i="22"/>
  <c r="D143" i="22"/>
  <c r="F34" i="68" s="1"/>
  <c r="O109" i="22"/>
  <c r="P109" i="22" s="1"/>
  <c r="O105" i="22"/>
  <c r="P105" i="22" s="1"/>
  <c r="O101" i="22"/>
  <c r="P101" i="22" s="1"/>
  <c r="O97" i="22"/>
  <c r="P97" i="22" s="1"/>
  <c r="O93" i="22"/>
  <c r="P93" i="22" s="1"/>
  <c r="O89" i="22"/>
  <c r="P89" i="22" s="1"/>
  <c r="O85" i="22"/>
  <c r="P85" i="22" s="1"/>
  <c r="J110" i="22"/>
  <c r="K110" i="22" s="1"/>
  <c r="J106" i="22"/>
  <c r="K106" i="22" s="1"/>
  <c r="J102" i="22"/>
  <c r="K102" i="22" s="1"/>
  <c r="J98" i="22"/>
  <c r="K98" i="22" s="1"/>
  <c r="J94" i="22"/>
  <c r="K94" i="22" s="1"/>
  <c r="J90" i="22"/>
  <c r="K90" i="22" s="1"/>
  <c r="J86" i="22"/>
  <c r="K86" i="22" s="1"/>
  <c r="E111" i="22"/>
  <c r="F111" i="22" s="1"/>
  <c r="E107" i="22"/>
  <c r="F107" i="22" s="1"/>
  <c r="E103" i="22"/>
  <c r="F103" i="22" s="1"/>
  <c r="E99" i="22"/>
  <c r="F99" i="22" s="1"/>
  <c r="E95" i="22"/>
  <c r="F95" i="22" s="1"/>
  <c r="E91" i="22"/>
  <c r="F91" i="22" s="1"/>
  <c r="E87" i="22"/>
  <c r="F87" i="22" s="1"/>
  <c r="E83" i="22"/>
  <c r="F83" i="22" s="1"/>
  <c r="O108" i="22"/>
  <c r="P108" i="22" s="1"/>
  <c r="O104" i="22"/>
  <c r="P104" i="22" s="1"/>
  <c r="O100" i="22"/>
  <c r="P100" i="22" s="1"/>
  <c r="O96" i="22"/>
  <c r="P96" i="22" s="1"/>
  <c r="O92" i="22"/>
  <c r="P92" i="22" s="1"/>
  <c r="O88" i="22"/>
  <c r="P88" i="22" s="1"/>
  <c r="O84" i="22"/>
  <c r="P84" i="22" s="1"/>
  <c r="J109" i="22"/>
  <c r="K109" i="22" s="1"/>
  <c r="J105" i="22"/>
  <c r="K105" i="22" s="1"/>
  <c r="J101" i="22"/>
  <c r="K101" i="22" s="1"/>
  <c r="J97" i="22"/>
  <c r="K97" i="22" s="1"/>
  <c r="J93" i="22"/>
  <c r="K93" i="22" s="1"/>
  <c r="J89" i="22"/>
  <c r="K89" i="22" s="1"/>
  <c r="J85" i="22"/>
  <c r="K85" i="22" s="1"/>
  <c r="E110" i="22"/>
  <c r="F110" i="22" s="1"/>
  <c r="E106" i="22"/>
  <c r="F106" i="22" s="1"/>
  <c r="E90" i="22"/>
  <c r="F90" i="22" s="1"/>
  <c r="E102" i="22"/>
  <c r="F102" i="22" s="1"/>
  <c r="E86" i="22"/>
  <c r="F86" i="22" s="1"/>
  <c r="E98" i="22"/>
  <c r="F98" i="22" s="1"/>
  <c r="E94" i="22"/>
  <c r="F94" i="22" s="1"/>
  <c r="E75" i="22"/>
  <c r="O111" i="22"/>
  <c r="P111" i="22" s="1"/>
  <c r="E96" i="22"/>
  <c r="F96" i="22" s="1"/>
  <c r="J83" i="22"/>
  <c r="K83" i="22" s="1"/>
  <c r="J99" i="22"/>
  <c r="K99" i="22" s="1"/>
  <c r="O86" i="22"/>
  <c r="P86" i="22" s="1"/>
  <c r="O102" i="22"/>
  <c r="P102" i="22" s="1"/>
  <c r="E89" i="22"/>
  <c r="F89" i="22" s="1"/>
  <c r="E105" i="22"/>
  <c r="F105" i="22" s="1"/>
  <c r="J92" i="22"/>
  <c r="K92" i="22" s="1"/>
  <c r="J108" i="22"/>
  <c r="K108" i="22" s="1"/>
  <c r="O95" i="22"/>
  <c r="P95" i="22" s="1"/>
  <c r="E84" i="22"/>
  <c r="F84" i="22" s="1"/>
  <c r="E100" i="22"/>
  <c r="F100" i="22" s="1"/>
  <c r="J87" i="22"/>
  <c r="K87" i="22" s="1"/>
  <c r="J103" i="22"/>
  <c r="K103" i="22" s="1"/>
  <c r="O90" i="22"/>
  <c r="P90" i="22" s="1"/>
  <c r="O106" i="22"/>
  <c r="P106" i="22" s="1"/>
  <c r="E93" i="22"/>
  <c r="F93" i="22" s="1"/>
  <c r="E109" i="22"/>
  <c r="F109" i="22" s="1"/>
  <c r="J96" i="22"/>
  <c r="K96" i="22" s="1"/>
  <c r="O83" i="22"/>
  <c r="P83" i="22" s="1"/>
  <c r="O99" i="22"/>
  <c r="P99" i="22" s="1"/>
  <c r="E88" i="22"/>
  <c r="F88" i="22" s="1"/>
  <c r="E104" i="22"/>
  <c r="F104" i="22" s="1"/>
  <c r="J91" i="22"/>
  <c r="K91" i="22" s="1"/>
  <c r="J107" i="22"/>
  <c r="K107" i="22" s="1"/>
  <c r="O94" i="22"/>
  <c r="P94" i="22" s="1"/>
  <c r="O110" i="22"/>
  <c r="P110" i="22" s="1"/>
  <c r="E97" i="22"/>
  <c r="F97" i="22" s="1"/>
  <c r="J84" i="22"/>
  <c r="K84" i="22" s="1"/>
  <c r="J100" i="22"/>
  <c r="K100" i="22" s="1"/>
  <c r="O87" i="22"/>
  <c r="P87" i="22" s="1"/>
  <c r="O103" i="22"/>
  <c r="P103" i="22" s="1"/>
  <c r="E92" i="22"/>
  <c r="F92" i="22" s="1"/>
  <c r="E108" i="22"/>
  <c r="F108" i="22" s="1"/>
  <c r="J95" i="22"/>
  <c r="K95" i="22" s="1"/>
  <c r="J111" i="22"/>
  <c r="K111" i="22" s="1"/>
  <c r="O98" i="22"/>
  <c r="P98" i="22" s="1"/>
  <c r="E85" i="22"/>
  <c r="F85" i="22" s="1"/>
  <c r="E101" i="22"/>
  <c r="F101" i="22" s="1"/>
  <c r="J88" i="22"/>
  <c r="K88" i="22" s="1"/>
  <c r="J104" i="22"/>
  <c r="K104" i="22" s="1"/>
  <c r="O91" i="22"/>
  <c r="P91" i="22" s="1"/>
  <c r="O107" i="22"/>
  <c r="P107" i="22" s="1"/>
  <c r="F116" i="22"/>
  <c r="F152" i="22"/>
  <c r="W32" i="68" s="1"/>
  <c r="Q90" i="21"/>
  <c r="C136" i="21"/>
  <c r="L89" i="21"/>
  <c r="Q83" i="21"/>
  <c r="Q78" i="21"/>
  <c r="L88" i="21"/>
  <c r="L85" i="21"/>
  <c r="L84" i="21"/>
  <c r="L87" i="21"/>
  <c r="L86" i="21"/>
  <c r="D101" i="21"/>
  <c r="C135" i="21" s="1"/>
  <c r="C137" i="21" s="1"/>
  <c r="F101" i="21"/>
  <c r="C133" i="21" s="1"/>
  <c r="E101" i="21"/>
  <c r="C134" i="21" s="1"/>
  <c r="B163" i="21" s="1"/>
  <c r="K163" i="21" s="1"/>
  <c r="L58" i="22" a="1"/>
  <c r="L58" i="22" s="1"/>
  <c r="L57" i="22" a="1"/>
  <c r="L57" i="22" s="1"/>
  <c r="L56" i="22" a="1"/>
  <c r="L56" i="22" s="1"/>
  <c r="M55" i="22" a="1"/>
  <c r="M55" i="22" s="1"/>
  <c r="M57" i="22" a="1"/>
  <c r="M57" i="22" s="1"/>
  <c r="M56" i="22" a="1"/>
  <c r="M56" i="22" s="1"/>
  <c r="M58" i="22" a="1"/>
  <c r="M58" i="22" s="1"/>
  <c r="N56" i="22" a="1"/>
  <c r="N56" i="22" s="1"/>
  <c r="N55" i="22" a="1"/>
  <c r="N55" i="22" s="1"/>
  <c r="N57" i="22" a="1"/>
  <c r="N57" i="22" s="1"/>
  <c r="N58" i="22" a="1"/>
  <c r="N58" i="22" s="1"/>
  <c r="H39" i="22"/>
  <c r="G39" i="22"/>
  <c r="G40" i="22" s="1"/>
  <c r="G42" i="22" s="1"/>
  <c r="G43" i="22" s="1"/>
  <c r="E39" i="22"/>
  <c r="E40" i="22" s="1"/>
  <c r="E42" i="22" s="1"/>
  <c r="E43" i="22" s="1"/>
  <c r="F39" i="22"/>
  <c r="I39" i="22"/>
  <c r="I40" i="22" s="1"/>
  <c r="I42" i="22" s="1"/>
  <c r="I43" i="22" s="1"/>
  <c r="D176" i="21" l="1"/>
  <c r="D175" i="21"/>
  <c r="D177" i="21" s="1"/>
  <c r="D174" i="21"/>
  <c r="B164" i="21"/>
  <c r="V46" i="50"/>
  <c r="B165" i="21"/>
  <c r="K165" i="21" s="1"/>
  <c r="G163" i="21" a="1"/>
  <c r="G163" i="21" s="1"/>
  <c r="F163" i="21" a="1"/>
  <c r="F163" i="21" s="1"/>
  <c r="D163" i="21"/>
  <c r="V43" i="50"/>
  <c r="B162" i="21"/>
  <c r="F117" i="22"/>
  <c r="F153" i="22" s="1"/>
  <c r="W34" i="68" s="1"/>
  <c r="D40" i="22"/>
  <c r="D145" i="22"/>
  <c r="F36" i="68" s="1"/>
  <c r="H40" i="22"/>
  <c r="F145" i="22"/>
  <c r="J36" i="68" s="1"/>
  <c r="F40" i="22"/>
  <c r="E145" i="22"/>
  <c r="H36" i="68" s="1"/>
  <c r="D117" i="22"/>
  <c r="P122" i="22"/>
  <c r="P127" i="22" s="1"/>
  <c r="F118" i="22"/>
  <c r="E117" i="22"/>
  <c r="E153" i="22" s="1"/>
  <c r="U34" i="68" s="1"/>
  <c r="D116" i="22"/>
  <c r="D152" i="22"/>
  <c r="S32" i="68" s="1"/>
  <c r="L64" i="22"/>
  <c r="L67" i="22" s="1"/>
  <c r="P121" i="22"/>
  <c r="P126" i="22" s="1"/>
  <c r="E118" i="22"/>
  <c r="R78" i="21" a="1"/>
  <c r="R78" i="21" s="1"/>
  <c r="N105" i="21" s="1"/>
  <c r="V44" i="50"/>
  <c r="C138" i="21"/>
  <c r="V47" i="50" s="1"/>
  <c r="S90" i="21" a="1"/>
  <c r="S90" i="21" s="1"/>
  <c r="L116" i="21" s="1"/>
  <c r="R90" i="21" a="1"/>
  <c r="R90" i="21" s="1"/>
  <c r="L115" i="21" s="1"/>
  <c r="L114" i="21"/>
  <c r="R91" i="21" a="1"/>
  <c r="R91" i="21" s="1"/>
  <c r="S91" i="21" a="1"/>
  <c r="S91" i="21" s="1"/>
  <c r="L118" i="21" s="1"/>
  <c r="E139" i="21"/>
  <c r="V45" i="50"/>
  <c r="S84" i="21" a="1"/>
  <c r="S84" i="21" s="1"/>
  <c r="R84" i="21" a="1"/>
  <c r="R84" i="21" s="1"/>
  <c r="R83" i="21" a="1"/>
  <c r="R83" i="21" s="1"/>
  <c r="S83" i="21" a="1"/>
  <c r="S83" i="21" s="1"/>
  <c r="R79" i="21" a="1"/>
  <c r="R79" i="21" s="1"/>
  <c r="S78" i="21" a="1"/>
  <c r="S78" i="21" s="1"/>
  <c r="S79" i="21" a="1"/>
  <c r="S79" i="21" s="1"/>
  <c r="L60" i="22"/>
  <c r="N60" i="22"/>
  <c r="N61" i="22" s="1"/>
  <c r="N63" i="22" s="1"/>
  <c r="N66" i="22" s="1"/>
  <c r="N68" i="22" s="1"/>
  <c r="N69" i="22" s="1"/>
  <c r="M60" i="22"/>
  <c r="M61" i="22" s="1"/>
  <c r="M63" i="22" s="1"/>
  <c r="M66" i="22" s="1"/>
  <c r="M68" i="22" s="1"/>
  <c r="M69" i="22" s="1"/>
  <c r="L61" i="22"/>
  <c r="D164" i="21" l="1"/>
  <c r="K162" i="21"/>
  <c r="E164" i="21"/>
  <c r="D178" i="21"/>
  <c r="K164" i="21"/>
  <c r="D179" i="21"/>
  <c r="D162" i="21"/>
  <c r="G162" i="21" a="1"/>
  <c r="G162" i="21" s="1"/>
  <c r="F162" i="21" a="1"/>
  <c r="F162" i="21" s="1"/>
  <c r="D153" i="22"/>
  <c r="S34" i="68" s="1"/>
  <c r="E131" i="22"/>
  <c r="D165" i="22" s="1"/>
  <c r="P120" i="22"/>
  <c r="P125" i="22" s="1"/>
  <c r="D118" i="22"/>
  <c r="H42" i="22"/>
  <c r="H43" i="22" s="1"/>
  <c r="F146" i="22"/>
  <c r="J37" i="68" s="1"/>
  <c r="D122" i="22"/>
  <c r="E132" i="22"/>
  <c r="D166" i="22" s="1"/>
  <c r="D123" i="22"/>
  <c r="F42" i="22"/>
  <c r="F43" i="22" s="1"/>
  <c r="E146" i="22"/>
  <c r="H37" i="68" s="1"/>
  <c r="D42" i="22"/>
  <c r="D43" i="22" s="1"/>
  <c r="D146" i="22"/>
  <c r="F37" i="68" s="1"/>
  <c r="R81" i="21"/>
  <c r="T81" i="21" s="1"/>
  <c r="V49" i="50" s="1"/>
  <c r="L107" i="21"/>
  <c r="R93" i="21"/>
  <c r="R86" i="21"/>
  <c r="T86" i="21" s="1"/>
  <c r="V50" i="50" s="1"/>
  <c r="N106" i="21"/>
  <c r="L109" i="21"/>
  <c r="L117" i="21"/>
  <c r="L110" i="21"/>
  <c r="N107" i="21"/>
  <c r="L108" i="21"/>
  <c r="F131" i="22"/>
  <c r="R56" i="68" s="1"/>
  <c r="L63" i="22"/>
  <c r="L66" i="22" s="1"/>
  <c r="L68" i="22" s="1"/>
  <c r="L69" i="22" s="1"/>
  <c r="G166" i="22" l="1" a="1"/>
  <c r="G166" i="22" s="1"/>
  <c r="H166" i="22" a="1"/>
  <c r="H166" i="22" s="1"/>
  <c r="D128" i="22"/>
  <c r="E128" i="22" s="1"/>
  <c r="H165" i="22" a="1"/>
  <c r="H165" i="22" s="1"/>
  <c r="E165" i="22"/>
  <c r="D172" i="22" s="1"/>
  <c r="F132" i="22"/>
  <c r="R57" i="68" s="1"/>
  <c r="D126" i="22"/>
  <c r="E126" i="22" s="1"/>
  <c r="D127" i="22"/>
  <c r="E127" i="22" s="1"/>
  <c r="V93" i="21"/>
  <c r="T93" i="21"/>
  <c r="V51" i="50" s="1"/>
  <c r="R95" i="21"/>
  <c r="C143" i="21"/>
  <c r="C142" i="21"/>
  <c r="R96" i="21"/>
  <c r="C141" i="21"/>
  <c r="P115" i="21"/>
  <c r="E107" i="21"/>
  <c r="Q110" i="21"/>
  <c r="Q109" i="21"/>
  <c r="P113" i="21"/>
  <c r="E106" i="21"/>
  <c r="P114" i="21"/>
  <c r="Q105" i="21"/>
  <c r="Q106" i="21" s="1"/>
  <c r="E105" i="21"/>
  <c r="Q102" i="21"/>
  <c r="Q101" i="21"/>
  <c r="C144" i="21"/>
  <c r="L74" i="20"/>
  <c r="L71" i="20"/>
  <c r="L37" i="20"/>
  <c r="L36" i="20"/>
  <c r="I36" i="20"/>
  <c r="G76" i="20"/>
  <c r="G79" i="20" s="1"/>
  <c r="F76" i="20"/>
  <c r="F79" i="20" s="1"/>
  <c r="G80" i="20"/>
  <c r="F80" i="20"/>
  <c r="H31" i="20"/>
  <c r="H35" i="20" s="1"/>
  <c r="G31" i="20"/>
  <c r="G35" i="20" s="1"/>
  <c r="F35" i="20"/>
  <c r="I31" i="20"/>
  <c r="I34" i="20" s="1"/>
  <c r="H36" i="20"/>
  <c r="F36" i="20"/>
  <c r="G36" i="20"/>
  <c r="B177" i="22" l="1" a="1"/>
  <c r="B177" i="22" s="1"/>
  <c r="W93" i="21"/>
  <c r="T95" i="21"/>
  <c r="V52" i="50" s="1"/>
  <c r="T96" i="21"/>
  <c r="V53" i="50" s="1"/>
  <c r="O54" i="50" s="1"/>
  <c r="C145" i="21"/>
  <c r="I35" i="20"/>
  <c r="I37" i="20" s="1"/>
  <c r="F37" i="20"/>
  <c r="F81" i="20"/>
  <c r="C128" i="20" s="1"/>
  <c r="D40" i="56" s="1"/>
  <c r="G81" i="20"/>
  <c r="C129" i="20" s="1"/>
  <c r="D41" i="56" s="1"/>
  <c r="G37" i="20"/>
  <c r="H37" i="20"/>
  <c r="F34" i="20"/>
  <c r="H34" i="20"/>
  <c r="G34" i="20"/>
  <c r="C124" i="20" l="1"/>
  <c r="D35" i="56" s="1"/>
  <c r="U32" i="20"/>
  <c r="U35" i="20"/>
  <c r="C123" i="20"/>
  <c r="D34" i="56" s="1"/>
  <c r="U31" i="20"/>
  <c r="U36" i="20"/>
  <c r="U30" i="20"/>
  <c r="C122" i="20"/>
  <c r="D33" i="56" s="1"/>
  <c r="C121" i="20"/>
  <c r="D32" i="56" s="1"/>
  <c r="U29" i="20"/>
  <c r="M36" i="20"/>
  <c r="F82" i="20"/>
  <c r="M37" i="20"/>
  <c r="I204" i="19"/>
  <c r="I203" i="19"/>
  <c r="J186" i="19"/>
  <c r="K186" i="19" s="1"/>
  <c r="I182" i="19"/>
  <c r="I181" i="19"/>
  <c r="I166" i="19"/>
  <c r="J164" i="19"/>
  <c r="K164" i="19" s="1"/>
  <c r="I160" i="19"/>
  <c r="I159" i="19"/>
  <c r="I147" i="19"/>
  <c r="I145" i="19"/>
  <c r="J143" i="19"/>
  <c r="K143" i="19" s="1"/>
  <c r="I139" i="19"/>
  <c r="I138" i="19"/>
  <c r="I124" i="19"/>
  <c r="I105" i="19"/>
  <c r="C80" i="19"/>
  <c r="C78" i="19"/>
  <c r="C77" i="19"/>
  <c r="C76" i="19"/>
  <c r="C75" i="19"/>
  <c r="C74" i="19"/>
  <c r="F66" i="19"/>
  <c r="C100" i="19" s="1"/>
  <c r="D205" i="19"/>
  <c r="F205" i="19" s="1"/>
  <c r="D183" i="19"/>
  <c r="D161" i="19"/>
  <c r="F161" i="19" s="1"/>
  <c r="D140" i="19"/>
  <c r="D119" i="19"/>
  <c r="D99" i="19"/>
  <c r="F65" i="19"/>
  <c r="C99" i="19" s="1"/>
  <c r="D204" i="19"/>
  <c r="D182" i="19"/>
  <c r="F182" i="19" s="1"/>
  <c r="D160" i="19"/>
  <c r="D139" i="19"/>
  <c r="D118" i="19"/>
  <c r="E118" i="19" s="1"/>
  <c r="D98" i="19"/>
  <c r="F64" i="19"/>
  <c r="C98" i="19" s="1"/>
  <c r="D203" i="19"/>
  <c r="D181" i="19"/>
  <c r="D159" i="19"/>
  <c r="D138" i="19"/>
  <c r="D117" i="19"/>
  <c r="D97" i="19"/>
  <c r="F63" i="19"/>
  <c r="C97" i="19" s="1"/>
  <c r="D202" i="19"/>
  <c r="D180" i="19"/>
  <c r="D158" i="19"/>
  <c r="D137" i="19"/>
  <c r="D116" i="19"/>
  <c r="D96" i="19"/>
  <c r="F62" i="19"/>
  <c r="C96" i="19" s="1"/>
  <c r="D201" i="19"/>
  <c r="D179" i="19"/>
  <c r="D157" i="19"/>
  <c r="D136" i="19"/>
  <c r="F136" i="19" s="1"/>
  <c r="D115" i="19"/>
  <c r="F115" i="19" s="1"/>
  <c r="D95" i="19"/>
  <c r="F61" i="19"/>
  <c r="C95" i="19" s="1"/>
  <c r="D200" i="19"/>
  <c r="F200" i="19" s="1"/>
  <c r="D178" i="19"/>
  <c r="D156" i="19"/>
  <c r="F156" i="19" s="1"/>
  <c r="D135" i="19"/>
  <c r="D114" i="19"/>
  <c r="D94" i="19"/>
  <c r="F60" i="19"/>
  <c r="C94" i="19" s="1"/>
  <c r="D199" i="19"/>
  <c r="D177" i="19"/>
  <c r="F177" i="19" s="1"/>
  <c r="D155" i="19"/>
  <c r="D134" i="19"/>
  <c r="D113" i="19"/>
  <c r="D93" i="19"/>
  <c r="F59" i="19"/>
  <c r="C93" i="19" s="1"/>
  <c r="D198" i="19"/>
  <c r="D176" i="19"/>
  <c r="D154" i="19"/>
  <c r="D133" i="19"/>
  <c r="F133" i="19" s="1"/>
  <c r="D112" i="19"/>
  <c r="F112" i="19" s="1"/>
  <c r="D92" i="19"/>
  <c r="F58" i="19"/>
  <c r="C92" i="19" s="1"/>
  <c r="D197" i="19"/>
  <c r="E197" i="19" s="1"/>
  <c r="D175" i="19"/>
  <c r="D153" i="19"/>
  <c r="F153" i="19" s="1"/>
  <c r="D132" i="19"/>
  <c r="D111" i="19"/>
  <c r="D91" i="19"/>
  <c r="F57" i="19"/>
  <c r="C91" i="19" s="1"/>
  <c r="D196" i="19"/>
  <c r="D174" i="19"/>
  <c r="F174" i="19" s="1"/>
  <c r="D152" i="19"/>
  <c r="D131" i="19"/>
  <c r="D110" i="19"/>
  <c r="D90" i="19"/>
  <c r="F56" i="19"/>
  <c r="C90" i="19" s="1"/>
  <c r="D195" i="19"/>
  <c r="D173" i="19"/>
  <c r="D151" i="19"/>
  <c r="D130" i="19"/>
  <c r="E130" i="19" s="1"/>
  <c r="D109" i="19"/>
  <c r="D89" i="19"/>
  <c r="F55" i="19"/>
  <c r="C89" i="19" s="1"/>
  <c r="D194" i="19"/>
  <c r="D172" i="19"/>
  <c r="D150" i="19"/>
  <c r="F150" i="19" s="1"/>
  <c r="D129" i="19"/>
  <c r="D108" i="19"/>
  <c r="D88" i="19"/>
  <c r="F54" i="19"/>
  <c r="C88" i="19" s="1"/>
  <c r="F53" i="19"/>
  <c r="C87" i="19" s="1"/>
  <c r="L41" i="20" l="1" a="1"/>
  <c r="L41" i="20" s="1"/>
  <c r="E135" i="20"/>
  <c r="I91" i="19"/>
  <c r="I96" i="19" s="1"/>
  <c r="I92" i="19"/>
  <c r="I97" i="19" s="1"/>
  <c r="E96" i="19"/>
  <c r="F96" i="19"/>
  <c r="F93" i="19"/>
  <c r="E93" i="19"/>
  <c r="F98" i="19"/>
  <c r="E98" i="19"/>
  <c r="F88" i="19"/>
  <c r="E88" i="19"/>
  <c r="F90" i="19"/>
  <c r="E90" i="19"/>
  <c r="F95" i="19"/>
  <c r="E95" i="19"/>
  <c r="F89" i="19"/>
  <c r="E89" i="19"/>
  <c r="F91" i="19"/>
  <c r="E91" i="19"/>
  <c r="C73" i="19"/>
  <c r="D74" i="19" s="1"/>
  <c r="C319" i="19" s="1"/>
  <c r="C45" i="64" s="1"/>
  <c r="D100" i="19"/>
  <c r="F92" i="19"/>
  <c r="E92" i="19"/>
  <c r="F97" i="19"/>
  <c r="E97" i="19"/>
  <c r="C72" i="19"/>
  <c r="D87" i="19"/>
  <c r="F94" i="19"/>
  <c r="E94" i="19"/>
  <c r="F99" i="19"/>
  <c r="E99" i="19"/>
  <c r="C79" i="19"/>
  <c r="D79" i="19" s="1"/>
  <c r="D107" i="19"/>
  <c r="F107" i="19" s="1"/>
  <c r="G107" i="19" s="1"/>
  <c r="H107" i="19" s="1"/>
  <c r="D171" i="19"/>
  <c r="F171" i="19" s="1"/>
  <c r="G171" i="19" s="1"/>
  <c r="H171" i="19" s="1"/>
  <c r="D128" i="19"/>
  <c r="E128" i="19" s="1"/>
  <c r="D193" i="19"/>
  <c r="F193" i="19" s="1"/>
  <c r="G193" i="19" s="1"/>
  <c r="H193" i="19" s="1"/>
  <c r="D149" i="19"/>
  <c r="F149" i="19" s="1"/>
  <c r="G149" i="19" s="1"/>
  <c r="D141" i="19"/>
  <c r="F141" i="19" s="1"/>
  <c r="D162" i="19"/>
  <c r="F162" i="19" s="1"/>
  <c r="D77" i="19"/>
  <c r="C322" i="19" s="1"/>
  <c r="C48" i="64" s="1"/>
  <c r="D184" i="19"/>
  <c r="F184" i="19" s="1"/>
  <c r="D78" i="19"/>
  <c r="C323" i="19" s="1"/>
  <c r="C49" i="64" s="1"/>
  <c r="E112" i="19"/>
  <c r="F204" i="19"/>
  <c r="E204" i="19"/>
  <c r="F152" i="19"/>
  <c r="E152" i="19"/>
  <c r="J39" i="19"/>
  <c r="J34" i="19"/>
  <c r="F138" i="19"/>
  <c r="E138" i="19"/>
  <c r="F196" i="19"/>
  <c r="E196" i="19"/>
  <c r="F201" i="19"/>
  <c r="E201" i="19"/>
  <c r="F172" i="19"/>
  <c r="E172" i="19"/>
  <c r="F131" i="19"/>
  <c r="E131" i="19"/>
  <c r="F199" i="19"/>
  <c r="E199" i="19"/>
  <c r="E194" i="19"/>
  <c r="F194" i="19"/>
  <c r="F157" i="19"/>
  <c r="E157" i="19"/>
  <c r="F117" i="19"/>
  <c r="E117" i="19"/>
  <c r="F179" i="19"/>
  <c r="E179" i="19"/>
  <c r="F154" i="19"/>
  <c r="E154" i="19"/>
  <c r="F114" i="19"/>
  <c r="E114" i="19"/>
  <c r="F159" i="19"/>
  <c r="E159" i="19"/>
  <c r="F119" i="19"/>
  <c r="E119" i="19"/>
  <c r="E109" i="19"/>
  <c r="F109" i="19"/>
  <c r="F176" i="19"/>
  <c r="E176" i="19"/>
  <c r="F135" i="19"/>
  <c r="E135" i="19"/>
  <c r="F181" i="19"/>
  <c r="E181" i="19"/>
  <c r="F140" i="19"/>
  <c r="E140" i="19"/>
  <c r="F198" i="19"/>
  <c r="E198" i="19"/>
  <c r="F203" i="19"/>
  <c r="E203" i="19"/>
  <c r="F151" i="19"/>
  <c r="E151" i="19"/>
  <c r="E111" i="19"/>
  <c r="F111" i="19"/>
  <c r="F178" i="19"/>
  <c r="E178" i="19"/>
  <c r="F116" i="19"/>
  <c r="E116" i="19"/>
  <c r="F183" i="19"/>
  <c r="E183" i="19"/>
  <c r="F173" i="19"/>
  <c r="E173" i="19"/>
  <c r="F132" i="19"/>
  <c r="E132" i="19"/>
  <c r="F137" i="19"/>
  <c r="E137" i="19"/>
  <c r="F195" i="19"/>
  <c r="E195" i="19"/>
  <c r="F113" i="19"/>
  <c r="E113" i="19"/>
  <c r="F158" i="19"/>
  <c r="E158" i="19"/>
  <c r="F108" i="19"/>
  <c r="E108" i="19"/>
  <c r="F175" i="19"/>
  <c r="E175" i="19"/>
  <c r="F134" i="19"/>
  <c r="E134" i="19"/>
  <c r="F180" i="19"/>
  <c r="E180" i="19"/>
  <c r="F139" i="19"/>
  <c r="E139" i="19"/>
  <c r="F129" i="19"/>
  <c r="E129" i="19"/>
  <c r="F155" i="19"/>
  <c r="E155" i="19"/>
  <c r="F202" i="19"/>
  <c r="E202" i="19"/>
  <c r="F160" i="19"/>
  <c r="E160" i="19"/>
  <c r="F110" i="19"/>
  <c r="E110" i="19"/>
  <c r="F118" i="19"/>
  <c r="F130" i="19"/>
  <c r="E133" i="19"/>
  <c r="E136" i="19"/>
  <c r="E150" i="19"/>
  <c r="E153" i="19"/>
  <c r="E156" i="19"/>
  <c r="E161" i="19"/>
  <c r="E174" i="19"/>
  <c r="F197" i="19"/>
  <c r="E200" i="19"/>
  <c r="E205" i="19"/>
  <c r="E177" i="19"/>
  <c r="E182" i="19"/>
  <c r="D206" i="19"/>
  <c r="D120" i="19"/>
  <c r="E115" i="19"/>
  <c r="V51" i="56" l="1"/>
  <c r="C165" i="20"/>
  <c r="U44" i="20"/>
  <c r="U39" i="20"/>
  <c r="U40" i="20" s="1"/>
  <c r="G150" i="19"/>
  <c r="H150" i="19" s="1"/>
  <c r="H149" i="19"/>
  <c r="M31" i="20"/>
  <c r="A64" i="20"/>
  <c r="O30" i="20"/>
  <c r="O31" i="20" s="1"/>
  <c r="F128" i="19"/>
  <c r="G128" i="19" s="1"/>
  <c r="H128" i="19" s="1"/>
  <c r="D80" i="19"/>
  <c r="D73" i="19"/>
  <c r="C318" i="19" s="1"/>
  <c r="C44" i="64" s="1"/>
  <c r="F87" i="19"/>
  <c r="G87" i="19" s="1"/>
  <c r="E87" i="19"/>
  <c r="F100" i="19"/>
  <c r="E100" i="19"/>
  <c r="E149" i="19"/>
  <c r="E193" i="19"/>
  <c r="E107" i="19"/>
  <c r="G172" i="19"/>
  <c r="H172" i="19" s="1"/>
  <c r="E171" i="19"/>
  <c r="E162" i="19"/>
  <c r="E184" i="19"/>
  <c r="E141" i="19"/>
  <c r="D76" i="19"/>
  <c r="C321" i="19" s="1"/>
  <c r="C47" i="64" s="1"/>
  <c r="D75" i="19"/>
  <c r="C320" i="19" s="1"/>
  <c r="C46" i="64" s="1"/>
  <c r="G194" i="19"/>
  <c r="G108" i="19"/>
  <c r="H108" i="19" s="1"/>
  <c r="F120" i="19"/>
  <c r="E120" i="19"/>
  <c r="J36" i="19"/>
  <c r="C309" i="19" s="1"/>
  <c r="I35" i="64" s="1"/>
  <c r="F206" i="19"/>
  <c r="E206" i="19"/>
  <c r="J29" i="19"/>
  <c r="J30" i="19"/>
  <c r="C306" i="19" s="1"/>
  <c r="I33" i="64" s="1"/>
  <c r="D165" i="20" l="1"/>
  <c r="G165" i="20" a="1"/>
  <c r="G165" i="20" s="1"/>
  <c r="F165" i="20" a="1"/>
  <c r="F165" i="20" s="1"/>
  <c r="H194" i="19"/>
  <c r="G151" i="19"/>
  <c r="G152" i="19" s="1"/>
  <c r="E134" i="20"/>
  <c r="G88" i="19"/>
  <c r="H88" i="19" s="1"/>
  <c r="H87" i="19"/>
  <c r="G129" i="19"/>
  <c r="H129" i="19" s="1"/>
  <c r="J45" i="19"/>
  <c r="C305" i="19"/>
  <c r="I32" i="64" s="1"/>
  <c r="G195" i="19"/>
  <c r="E73" i="19"/>
  <c r="G173" i="19"/>
  <c r="G109" i="19"/>
  <c r="J38" i="19"/>
  <c r="J37" i="19"/>
  <c r="J40" i="19"/>
  <c r="V50" i="56" l="1"/>
  <c r="C163" i="20"/>
  <c r="H151" i="19"/>
  <c r="G89" i="19"/>
  <c r="G90" i="19" s="1"/>
  <c r="E137" i="20"/>
  <c r="V53" i="56" s="1"/>
  <c r="E136" i="20"/>
  <c r="G196" i="19"/>
  <c r="H195" i="19"/>
  <c r="G110" i="19"/>
  <c r="H109" i="19"/>
  <c r="G174" i="19"/>
  <c r="H173" i="19"/>
  <c r="G130" i="19"/>
  <c r="G153" i="19"/>
  <c r="H152" i="19"/>
  <c r="E74" i="19"/>
  <c r="E220" i="19" s="1"/>
  <c r="D318" i="19"/>
  <c r="E44" i="64" s="1"/>
  <c r="C311" i="19"/>
  <c r="I37" i="64" s="1"/>
  <c r="J42" i="19"/>
  <c r="C310" i="19" s="1"/>
  <c r="F73" i="19"/>
  <c r="E318" i="19" s="1"/>
  <c r="G44" i="64" s="1"/>
  <c r="E219" i="19"/>
  <c r="I73" i="19"/>
  <c r="F74" i="19"/>
  <c r="E319" i="19" s="1"/>
  <c r="G45" i="64" s="1"/>
  <c r="F80" i="19"/>
  <c r="F75" i="19"/>
  <c r="E320" i="19" s="1"/>
  <c r="G46" i="64" s="1"/>
  <c r="F79" i="19"/>
  <c r="F76" i="19"/>
  <c r="E321" i="19" s="1"/>
  <c r="G47" i="64" s="1"/>
  <c r="F77" i="19"/>
  <c r="E322" i="19" s="1"/>
  <c r="G48" i="64" s="1"/>
  <c r="F78" i="19"/>
  <c r="E323" i="19" s="1"/>
  <c r="G49" i="64" s="1"/>
  <c r="F163" i="20" l="1" a="1"/>
  <c r="F163" i="20" s="1"/>
  <c r="G163" i="20" a="1"/>
  <c r="G163" i="20" s="1"/>
  <c r="E165" i="20"/>
  <c r="D163" i="20"/>
  <c r="I36" i="64"/>
  <c r="B392" i="19"/>
  <c r="C392" i="19" s="1" a="1"/>
  <c r="C392" i="19" s="1"/>
  <c r="E392" i="19" s="1"/>
  <c r="V52" i="56"/>
  <c r="C167" i="20"/>
  <c r="H89" i="19"/>
  <c r="I74" i="19"/>
  <c r="G117" i="20"/>
  <c r="G154" i="19"/>
  <c r="J150" i="19" s="1"/>
  <c r="H153" i="19"/>
  <c r="G131" i="19"/>
  <c r="H130" i="19"/>
  <c r="G175" i="19"/>
  <c r="H174" i="19"/>
  <c r="G111" i="19"/>
  <c r="H110" i="19"/>
  <c r="G91" i="19"/>
  <c r="H90" i="19"/>
  <c r="G197" i="19"/>
  <c r="H196" i="19"/>
  <c r="M73" i="19"/>
  <c r="D329" i="19" s="1"/>
  <c r="G318" i="19"/>
  <c r="L44" i="64" s="1"/>
  <c r="Q66" i="19"/>
  <c r="Q67" i="19" s="1"/>
  <c r="M74" i="19"/>
  <c r="D330" i="19" s="1"/>
  <c r="E55" i="64" s="1"/>
  <c r="G319" i="19"/>
  <c r="L45" i="64" s="1"/>
  <c r="E75" i="19"/>
  <c r="D319" i="19"/>
  <c r="E45" i="64" s="1"/>
  <c r="G72" i="19"/>
  <c r="G73" i="19" s="1"/>
  <c r="J43" i="19"/>
  <c r="J44" i="19" s="1"/>
  <c r="F167" i="20" l="1" a="1"/>
  <c r="F167" i="20" s="1"/>
  <c r="D167" i="20"/>
  <c r="G167" i="20" a="1"/>
  <c r="G167" i="20" s="1"/>
  <c r="E167" i="20"/>
  <c r="E54" i="64"/>
  <c r="J149" i="19"/>
  <c r="J155" i="19" s="1"/>
  <c r="V54" i="56"/>
  <c r="G92" i="19"/>
  <c r="H91" i="19"/>
  <c r="J86" i="19"/>
  <c r="J87" i="19"/>
  <c r="G176" i="19"/>
  <c r="J171" i="19" s="1"/>
  <c r="H175" i="19"/>
  <c r="J154" i="19"/>
  <c r="G132" i="19"/>
  <c r="H131" i="19"/>
  <c r="G112" i="19"/>
  <c r="J108" i="19" s="1"/>
  <c r="H111" i="19"/>
  <c r="G198" i="19"/>
  <c r="H197" i="19"/>
  <c r="G155" i="19"/>
  <c r="H154" i="19"/>
  <c r="H73" i="19"/>
  <c r="C329" i="19" s="1"/>
  <c r="F318" i="19"/>
  <c r="I44" i="64" s="1"/>
  <c r="M318" i="19"/>
  <c r="E221" i="19"/>
  <c r="D320" i="19"/>
  <c r="E46" i="64" s="1"/>
  <c r="E76" i="19"/>
  <c r="E77" i="19" s="1"/>
  <c r="D322" i="19" s="1"/>
  <c r="E48" i="64" s="1"/>
  <c r="I75" i="19"/>
  <c r="G79" i="19"/>
  <c r="G80" i="19"/>
  <c r="G77" i="19"/>
  <c r="G74" i="19"/>
  <c r="G78" i="19"/>
  <c r="G75" i="19"/>
  <c r="G76" i="19"/>
  <c r="K44" i="19"/>
  <c r="F219" i="19"/>
  <c r="E257" i="19" s="1"/>
  <c r="C54" i="64" l="1"/>
  <c r="J107" i="19"/>
  <c r="J172" i="19"/>
  <c r="J193" i="19"/>
  <c r="J194" i="19"/>
  <c r="G133" i="19"/>
  <c r="J129" i="19" s="1"/>
  <c r="H132" i="19"/>
  <c r="J159" i="19"/>
  <c r="K159" i="19" s="1"/>
  <c r="K154" i="19"/>
  <c r="G177" i="19"/>
  <c r="H176" i="19"/>
  <c r="G156" i="19"/>
  <c r="H155" i="19"/>
  <c r="G199" i="19"/>
  <c r="H198" i="19"/>
  <c r="J160" i="19"/>
  <c r="K155" i="19"/>
  <c r="J91" i="19"/>
  <c r="J92" i="19"/>
  <c r="J177" i="19"/>
  <c r="J176" i="19"/>
  <c r="G113" i="19"/>
  <c r="H112" i="19"/>
  <c r="J112" i="19"/>
  <c r="J113" i="19"/>
  <c r="N73" i="19"/>
  <c r="E329" i="19" s="1"/>
  <c r="G93" i="19"/>
  <c r="H92" i="19"/>
  <c r="E238" i="19"/>
  <c r="M325" i="19"/>
  <c r="D321" i="19"/>
  <c r="E47" i="64" s="1"/>
  <c r="E222" i="19"/>
  <c r="I76" i="19"/>
  <c r="F220" i="19"/>
  <c r="M319" i="19"/>
  <c r="F319" i="19"/>
  <c r="I45" i="64" s="1"/>
  <c r="E237" i="19"/>
  <c r="M324" i="19"/>
  <c r="H78" i="19"/>
  <c r="C334" i="19" s="1"/>
  <c r="C59" i="64" s="1"/>
  <c r="M323" i="19"/>
  <c r="F323" i="19"/>
  <c r="I49" i="64" s="1"/>
  <c r="M322" i="19"/>
  <c r="F322" i="19"/>
  <c r="I48" i="64" s="1"/>
  <c r="M75" i="19"/>
  <c r="D331" i="19" s="1"/>
  <c r="G320" i="19"/>
  <c r="L46" i="64" s="1"/>
  <c r="F222" i="19"/>
  <c r="E229" i="19" s="1"/>
  <c r="M321" i="19"/>
  <c r="F321" i="19"/>
  <c r="I47" i="64" s="1"/>
  <c r="F221" i="19"/>
  <c r="E259" i="19" s="1"/>
  <c r="F320" i="19"/>
  <c r="I46" i="64" s="1"/>
  <c r="M320" i="19"/>
  <c r="E236" i="19"/>
  <c r="F224" i="19"/>
  <c r="E262" i="19" s="1"/>
  <c r="F223" i="19"/>
  <c r="H77" i="19"/>
  <c r="C333" i="19" s="1"/>
  <c r="C58" i="64" s="1"/>
  <c r="H74" i="19"/>
  <c r="C330" i="19" s="1"/>
  <c r="C55" i="64" s="1"/>
  <c r="H76" i="19"/>
  <c r="H75" i="19"/>
  <c r="I77" i="19"/>
  <c r="E223" i="19"/>
  <c r="E78" i="19"/>
  <c r="D323" i="19" s="1"/>
  <c r="E49" i="64" s="1"/>
  <c r="E258" i="19" l="1"/>
  <c r="T301" i="19"/>
  <c r="G54" i="64"/>
  <c r="E56" i="64"/>
  <c r="T244" i="19"/>
  <c r="T304" i="19" s="1"/>
  <c r="T243" i="19"/>
  <c r="J128" i="19"/>
  <c r="J133" i="19" s="1"/>
  <c r="J138" i="19" s="1"/>
  <c r="K138" i="19" s="1"/>
  <c r="J199" i="19"/>
  <c r="J210" i="19" s="1"/>
  <c r="K210" i="19" s="1"/>
  <c r="J117" i="19"/>
  <c r="K117" i="19" s="1"/>
  <c r="K112" i="19"/>
  <c r="G200" i="19"/>
  <c r="H199" i="19"/>
  <c r="K176" i="19"/>
  <c r="J181" i="19"/>
  <c r="K181" i="19" s="1"/>
  <c r="G157" i="19"/>
  <c r="H156" i="19"/>
  <c r="J118" i="19"/>
  <c r="K118" i="19" s="1"/>
  <c r="K113" i="19"/>
  <c r="G178" i="19"/>
  <c r="H177" i="19"/>
  <c r="J97" i="19"/>
  <c r="K92" i="19"/>
  <c r="G114" i="19"/>
  <c r="H113" i="19"/>
  <c r="J182" i="19"/>
  <c r="K177" i="19"/>
  <c r="J96" i="19"/>
  <c r="K96" i="19" s="1"/>
  <c r="K91" i="19"/>
  <c r="G94" i="19"/>
  <c r="H93" i="19"/>
  <c r="K133" i="19"/>
  <c r="J166" i="19"/>
  <c r="K166" i="19" s="1"/>
  <c r="K160" i="19"/>
  <c r="J198" i="19"/>
  <c r="J203" i="19" s="1"/>
  <c r="G134" i="19"/>
  <c r="H133" i="19"/>
  <c r="E246" i="19"/>
  <c r="E260" i="19"/>
  <c r="G262" i="19" s="1"/>
  <c r="N75" i="19"/>
  <c r="E331" i="19" s="1"/>
  <c r="C331" i="19"/>
  <c r="C56" i="64" s="1"/>
  <c r="C332" i="19"/>
  <c r="C57" i="64" s="1"/>
  <c r="M76" i="19"/>
  <c r="D332" i="19" s="1"/>
  <c r="E57" i="64" s="1"/>
  <c r="G321" i="19"/>
  <c r="L47" i="64" s="1"/>
  <c r="M77" i="19"/>
  <c r="D333" i="19" s="1"/>
  <c r="G322" i="19"/>
  <c r="L48" i="64" s="1"/>
  <c r="N74" i="19"/>
  <c r="E330" i="19" s="1"/>
  <c r="G55" i="64" s="1"/>
  <c r="E231" i="19"/>
  <c r="E261" i="19"/>
  <c r="H245" i="19" s="1"/>
  <c r="H247" i="19" s="1"/>
  <c r="E230" i="19"/>
  <c r="F229" i="19" s="1"/>
  <c r="F332" i="19" s="1"/>
  <c r="E224" i="19"/>
  <c r="E79" i="19"/>
  <c r="I78" i="19"/>
  <c r="G56" i="64" l="1"/>
  <c r="D400" i="19"/>
  <c r="B400" i="19"/>
  <c r="E58" i="64"/>
  <c r="C400" i="19"/>
  <c r="K55" i="64"/>
  <c r="B390" i="19"/>
  <c r="T303" i="19"/>
  <c r="T307" i="19"/>
  <c r="J204" i="19"/>
  <c r="K204" i="19" s="1"/>
  <c r="N77" i="19"/>
  <c r="E333" i="19" s="1"/>
  <c r="K199" i="19"/>
  <c r="J134" i="19"/>
  <c r="H257" i="19"/>
  <c r="G158" i="19"/>
  <c r="H157" i="19"/>
  <c r="G95" i="19"/>
  <c r="H94" i="19"/>
  <c r="N259" i="19"/>
  <c r="G135" i="19"/>
  <c r="H134" i="19"/>
  <c r="G115" i="19"/>
  <c r="H114" i="19"/>
  <c r="J188" i="19"/>
  <c r="K188" i="19" s="1"/>
  <c r="K182" i="19"/>
  <c r="N255" i="19"/>
  <c r="G259" i="19"/>
  <c r="J103" i="19"/>
  <c r="K103" i="19" s="1"/>
  <c r="K97" i="19"/>
  <c r="G201" i="19"/>
  <c r="H200" i="19"/>
  <c r="N263" i="19"/>
  <c r="G260" i="19"/>
  <c r="K198" i="19"/>
  <c r="K203" i="19"/>
  <c r="G258" i="19"/>
  <c r="N256" i="19"/>
  <c r="N262" i="19"/>
  <c r="N257" i="19"/>
  <c r="N260" i="19"/>
  <c r="G179" i="19"/>
  <c r="H178" i="19"/>
  <c r="N258" i="19"/>
  <c r="G257" i="19"/>
  <c r="N261" i="19"/>
  <c r="G261" i="19"/>
  <c r="M78" i="19"/>
  <c r="G323" i="19"/>
  <c r="L49" i="64" s="1"/>
  <c r="N76" i="19"/>
  <c r="E332" i="19" s="1"/>
  <c r="G57" i="64" s="1"/>
  <c r="M259" i="19"/>
  <c r="H259" i="19"/>
  <c r="O263" i="19"/>
  <c r="Q326" i="19" s="1"/>
  <c r="R326" i="19" s="1"/>
  <c r="F258" i="19"/>
  <c r="O261" i="19"/>
  <c r="Q324" i="19" s="1"/>
  <c r="R324" i="19" s="1"/>
  <c r="M262" i="19"/>
  <c r="H258" i="19"/>
  <c r="O256" i="19"/>
  <c r="Q319" i="19" s="1"/>
  <c r="R319" i="19" s="1"/>
  <c r="F260" i="19"/>
  <c r="M263" i="19"/>
  <c r="O258" i="19"/>
  <c r="Q321" i="19" s="1"/>
  <c r="R321" i="19" s="1"/>
  <c r="M256" i="19"/>
  <c r="H261" i="19"/>
  <c r="O260" i="19"/>
  <c r="Q323" i="19" s="1"/>
  <c r="R323" i="19" s="1"/>
  <c r="O257" i="19"/>
  <c r="Q320" i="19" s="1"/>
  <c r="R320" i="19" s="1"/>
  <c r="F257" i="19"/>
  <c r="M261" i="19"/>
  <c r="O255" i="19"/>
  <c r="Q318" i="19" s="1"/>
  <c r="R318" i="19" s="1"/>
  <c r="M244" i="19"/>
  <c r="F261" i="19"/>
  <c r="F230" i="19"/>
  <c r="M257" i="19"/>
  <c r="F259" i="19"/>
  <c r="F262" i="19"/>
  <c r="M260" i="19"/>
  <c r="H249" i="19"/>
  <c r="O262" i="19"/>
  <c r="Q325" i="19" s="1"/>
  <c r="R325" i="19" s="1"/>
  <c r="H260" i="19"/>
  <c r="H262" i="19"/>
  <c r="O259" i="19"/>
  <c r="Q322" i="19" s="1"/>
  <c r="R322" i="19" s="1"/>
  <c r="M255" i="19"/>
  <c r="M258" i="19"/>
  <c r="H251" i="19"/>
  <c r="E80" i="19"/>
  <c r="L145" i="18"/>
  <c r="P145" i="18"/>
  <c r="H142" i="18"/>
  <c r="P146" i="18"/>
  <c r="L146" i="18"/>
  <c r="H146" i="18"/>
  <c r="G58" i="64" l="1"/>
  <c r="F333" i="19"/>
  <c r="K54" i="64" s="1"/>
  <c r="B388" i="19"/>
  <c r="T302" i="19"/>
  <c r="J139" i="19"/>
  <c r="K134" i="19"/>
  <c r="G136" i="19"/>
  <c r="H135" i="19"/>
  <c r="G180" i="19"/>
  <c r="H179" i="19"/>
  <c r="G202" i="19"/>
  <c r="H201" i="19"/>
  <c r="G96" i="19"/>
  <c r="H95" i="19"/>
  <c r="G159" i="19"/>
  <c r="H158" i="19"/>
  <c r="G116" i="19"/>
  <c r="H115" i="19"/>
  <c r="P256" i="19"/>
  <c r="S319" i="19" s="1"/>
  <c r="T319" i="19" s="1"/>
  <c r="N78" i="19"/>
  <c r="E334" i="19" s="1"/>
  <c r="G59" i="64" s="1"/>
  <c r="D334" i="19"/>
  <c r="P258" i="19"/>
  <c r="M246" i="19"/>
  <c r="I262" i="19"/>
  <c r="J262" i="19" s="1"/>
  <c r="P259" i="19"/>
  <c r="P257" i="19"/>
  <c r="P255" i="19"/>
  <c r="P260" i="19"/>
  <c r="P263" i="19"/>
  <c r="P262" i="19"/>
  <c r="I260" i="19"/>
  <c r="J260" i="19" s="1"/>
  <c r="I258" i="19"/>
  <c r="J258" i="19" s="1"/>
  <c r="P261" i="19"/>
  <c r="I261" i="19"/>
  <c r="J261" i="19" s="1"/>
  <c r="I259" i="19"/>
  <c r="J259" i="19" s="1"/>
  <c r="I257" i="19"/>
  <c r="J257" i="19" s="1"/>
  <c r="T149" i="18"/>
  <c r="O75" i="15"/>
  <c r="G107" i="15" s="1"/>
  <c r="G123" i="15"/>
  <c r="C123" i="15"/>
  <c r="C124" i="15" s="1"/>
  <c r="D84" i="15"/>
  <c r="E84" i="15" s="1"/>
  <c r="J84" i="15" s="1"/>
  <c r="F74" i="15"/>
  <c r="I73" i="15"/>
  <c r="I75" i="15" s="1"/>
  <c r="E169" i="15" s="1"/>
  <c r="F32"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D44" i="15"/>
  <c r="E44" i="15" s="1"/>
  <c r="J44" i="15" s="1"/>
  <c r="C45" i="15"/>
  <c r="C46" i="15" s="1"/>
  <c r="I31" i="15"/>
  <c r="I34" i="15" s="1"/>
  <c r="G101" i="15" l="1"/>
  <c r="G108" i="15"/>
  <c r="G100" i="15"/>
  <c r="F35" i="15"/>
  <c r="D168" i="15"/>
  <c r="H34" i="55" s="1"/>
  <c r="F76" i="15"/>
  <c r="E168" i="15"/>
  <c r="K34" i="55" s="1"/>
  <c r="D402" i="19"/>
  <c r="E400" i="19"/>
  <c r="E402" i="19"/>
  <c r="E398" i="19"/>
  <c r="C402" i="19"/>
  <c r="F402" i="19"/>
  <c r="F400" i="19"/>
  <c r="B402" i="19"/>
  <c r="F398" i="19"/>
  <c r="E59" i="64"/>
  <c r="B398" i="19"/>
  <c r="C398" i="19"/>
  <c r="T306" i="19"/>
  <c r="D398" i="19"/>
  <c r="Q256" i="19"/>
  <c r="T308" i="19"/>
  <c r="T310" i="19"/>
  <c r="K139" i="19"/>
  <c r="J145" i="19"/>
  <c r="K145" i="19" s="1"/>
  <c r="G117" i="19"/>
  <c r="H116" i="19"/>
  <c r="G97" i="19"/>
  <c r="H96" i="19"/>
  <c r="G203" i="19"/>
  <c r="H202" i="19"/>
  <c r="G160" i="19"/>
  <c r="H159" i="19"/>
  <c r="G181" i="19"/>
  <c r="H180" i="19"/>
  <c r="G137" i="19"/>
  <c r="H136" i="19"/>
  <c r="Q260" i="19"/>
  <c r="S323" i="19"/>
  <c r="T323" i="19" s="1"/>
  <c r="Q263" i="19"/>
  <c r="S326" i="19"/>
  <c r="T326" i="19" s="1"/>
  <c r="Q259" i="19"/>
  <c r="S322" i="19"/>
  <c r="T322" i="19" s="1"/>
  <c r="Q258" i="19"/>
  <c r="S321" i="19"/>
  <c r="T321" i="19" s="1"/>
  <c r="Q255" i="19"/>
  <c r="S318" i="19"/>
  <c r="T318" i="19" s="1"/>
  <c r="J244" i="19"/>
  <c r="J248" i="19" s="1"/>
  <c r="Q257" i="19"/>
  <c r="S320" i="19"/>
  <c r="T320" i="19" s="1"/>
  <c r="Q261" i="19"/>
  <c r="S324" i="19"/>
  <c r="T324" i="19" s="1"/>
  <c r="Q262" i="19"/>
  <c r="S325" i="19"/>
  <c r="T325" i="19" s="1"/>
  <c r="D169" i="15"/>
  <c r="H35" i="55" s="1"/>
  <c r="K35" i="55"/>
  <c r="G84" i="15"/>
  <c r="G85" i="15"/>
  <c r="G86" i="15"/>
  <c r="G87" i="15"/>
  <c r="H84" i="15"/>
  <c r="G88" i="15"/>
  <c r="G89" i="15"/>
  <c r="G96" i="15"/>
  <c r="G97" i="15"/>
  <c r="G98" i="15"/>
  <c r="G99" i="15"/>
  <c r="N246" i="19"/>
  <c r="M249" i="19"/>
  <c r="G90" i="15"/>
  <c r="G102" i="15"/>
  <c r="G91" i="15"/>
  <c r="G103" i="15"/>
  <c r="G92" i="15"/>
  <c r="G104" i="15"/>
  <c r="G93" i="15"/>
  <c r="G105" i="15"/>
  <c r="G94" i="15"/>
  <c r="G106" i="15"/>
  <c r="G95" i="15"/>
  <c r="G124" i="15"/>
  <c r="C125" i="15"/>
  <c r="C47" i="15"/>
  <c r="D46" i="15"/>
  <c r="E46" i="15" s="1"/>
  <c r="J46" i="15" s="1"/>
  <c r="D45" i="15"/>
  <c r="E45" i="15" s="1"/>
  <c r="J45" i="15" s="1"/>
  <c r="H44" i="15"/>
  <c r="I44" i="15" s="1"/>
  <c r="I84" i="15" l="1"/>
  <c r="F79" i="15"/>
  <c r="E171" i="15" s="1"/>
  <c r="K37" i="55" s="1"/>
  <c r="F78" i="15"/>
  <c r="E170" i="15" s="1"/>
  <c r="K36" i="55" s="1"/>
  <c r="F37" i="15"/>
  <c r="D170" i="15" s="1"/>
  <c r="H36" i="55" s="1"/>
  <c r="F38" i="15"/>
  <c r="D171" i="15" s="1"/>
  <c r="H37" i="55" s="1"/>
  <c r="G98" i="19"/>
  <c r="H97" i="19"/>
  <c r="G138" i="19"/>
  <c r="H137" i="19"/>
  <c r="G204" i="19"/>
  <c r="H203" i="19"/>
  <c r="G182" i="19"/>
  <c r="H181" i="19"/>
  <c r="G161" i="19"/>
  <c r="H160" i="19"/>
  <c r="G118" i="19"/>
  <c r="H117" i="19"/>
  <c r="J250" i="19"/>
  <c r="J252" i="19" s="1"/>
  <c r="J246" i="19"/>
  <c r="G125" i="15"/>
  <c r="C126" i="15"/>
  <c r="C85" i="15"/>
  <c r="H45" i="15"/>
  <c r="I45" i="15" s="1"/>
  <c r="H46" i="15"/>
  <c r="I46" i="15" s="1"/>
  <c r="C48" i="15"/>
  <c r="D47" i="15"/>
  <c r="E47" i="15" s="1"/>
  <c r="G162" i="19" l="1"/>
  <c r="H162" i="19" s="1"/>
  <c r="H161" i="19"/>
  <c r="G183" i="19"/>
  <c r="H182" i="19"/>
  <c r="G205" i="19"/>
  <c r="H204" i="19"/>
  <c r="G139" i="19"/>
  <c r="H138" i="19"/>
  <c r="G119" i="19"/>
  <c r="H118" i="19"/>
  <c r="G99" i="19"/>
  <c r="H98" i="19"/>
  <c r="H47" i="15"/>
  <c r="I47" i="15" s="1"/>
  <c r="J47" i="15"/>
  <c r="G126" i="15"/>
  <c r="C127" i="15"/>
  <c r="C86" i="15"/>
  <c r="D85" i="15"/>
  <c r="E85" i="15" s="1"/>
  <c r="C49" i="15"/>
  <c r="D48" i="15"/>
  <c r="E48" i="15" s="1"/>
  <c r="G100" i="19" l="1"/>
  <c r="H100" i="19" s="1"/>
  <c r="H99" i="19"/>
  <c r="G120" i="19"/>
  <c r="H120" i="19" s="1"/>
  <c r="H119" i="19"/>
  <c r="G140" i="19"/>
  <c r="H139" i="19"/>
  <c r="G184" i="19"/>
  <c r="H184" i="19" s="1"/>
  <c r="H183" i="19"/>
  <c r="H205" i="19"/>
  <c r="G206" i="19"/>
  <c r="H206" i="19" s="1"/>
  <c r="H48" i="15"/>
  <c r="I48" i="15" s="1"/>
  <c r="J48" i="15"/>
  <c r="H85" i="15"/>
  <c r="I85" i="15" s="1"/>
  <c r="J85" i="15"/>
  <c r="G127" i="15"/>
  <c r="C128" i="15"/>
  <c r="D86" i="15"/>
  <c r="E86" i="15" s="1"/>
  <c r="J86" i="15" s="1"/>
  <c r="C87" i="15"/>
  <c r="C50" i="15"/>
  <c r="D49" i="15"/>
  <c r="E49" i="15" s="1"/>
  <c r="G141" i="19" l="1"/>
  <c r="H141" i="19" s="1"/>
  <c r="H140" i="19"/>
  <c r="H49" i="15"/>
  <c r="I49" i="15" s="1"/>
  <c r="J49" i="15"/>
  <c r="H86" i="15"/>
  <c r="I86" i="15" s="1"/>
  <c r="G128" i="15"/>
  <c r="C129" i="15"/>
  <c r="D87" i="15"/>
  <c r="E87" i="15" s="1"/>
  <c r="J87" i="15" s="1"/>
  <c r="C88" i="15"/>
  <c r="C51" i="15"/>
  <c r="D50" i="15"/>
  <c r="E50" i="15" s="1"/>
  <c r="H50" i="15" l="1"/>
  <c r="I50" i="15" s="1"/>
  <c r="J50" i="15"/>
  <c r="H87" i="15"/>
  <c r="I87" i="15" s="1"/>
  <c r="G129" i="15"/>
  <c r="C130" i="15"/>
  <c r="D88" i="15"/>
  <c r="E88" i="15" s="1"/>
  <c r="J88" i="15" s="1"/>
  <c r="C89" i="15"/>
  <c r="C52" i="15"/>
  <c r="D51" i="15"/>
  <c r="E51" i="15" s="1"/>
  <c r="H51" i="15" l="1"/>
  <c r="I51" i="15" s="1"/>
  <c r="J51" i="15"/>
  <c r="H88" i="15"/>
  <c r="I88" i="15" s="1"/>
  <c r="G130" i="15"/>
  <c r="C131" i="15"/>
  <c r="C90" i="15"/>
  <c r="D89" i="15"/>
  <c r="E89" i="15" s="1"/>
  <c r="J89" i="15" s="1"/>
  <c r="C53" i="15"/>
  <c r="D52" i="15"/>
  <c r="E52" i="15" s="1"/>
  <c r="H52" i="15" l="1"/>
  <c r="I52" i="15" s="1"/>
  <c r="J52" i="15"/>
  <c r="H89" i="15"/>
  <c r="I89" i="15" s="1"/>
  <c r="G131" i="15"/>
  <c r="C132" i="15"/>
  <c r="D90" i="15"/>
  <c r="E90" i="15" s="1"/>
  <c r="J90" i="15" s="1"/>
  <c r="C91" i="15"/>
  <c r="C54" i="15"/>
  <c r="D53" i="15"/>
  <c r="E53" i="15" s="1"/>
  <c r="H53" i="15" l="1"/>
  <c r="I53" i="15" s="1"/>
  <c r="J53" i="15"/>
  <c r="H90" i="15"/>
  <c r="I90" i="15" s="1"/>
  <c r="G132" i="15"/>
  <c r="C133" i="15"/>
  <c r="C92" i="15"/>
  <c r="D91" i="15"/>
  <c r="E91" i="15" s="1"/>
  <c r="J91" i="15" s="1"/>
  <c r="C55" i="15"/>
  <c r="D54" i="15"/>
  <c r="E54" i="15" s="1"/>
  <c r="H54" i="15" l="1"/>
  <c r="I54" i="15" s="1"/>
  <c r="J54" i="15"/>
  <c r="H91" i="15"/>
  <c r="I91" i="15" s="1"/>
  <c r="G133" i="15"/>
  <c r="C134" i="15"/>
  <c r="D92" i="15"/>
  <c r="E92" i="15" s="1"/>
  <c r="J92" i="15" s="1"/>
  <c r="C93" i="15"/>
  <c r="C56" i="15"/>
  <c r="D55" i="15"/>
  <c r="E55" i="15" s="1"/>
  <c r="H55" i="15" l="1"/>
  <c r="I55" i="15" s="1"/>
  <c r="J55" i="15"/>
  <c r="H92" i="15"/>
  <c r="I92" i="15" s="1"/>
  <c r="G134" i="15"/>
  <c r="C135" i="15"/>
  <c r="C94" i="15"/>
  <c r="D93" i="15"/>
  <c r="E93" i="15" s="1"/>
  <c r="J93" i="15" s="1"/>
  <c r="C57" i="15"/>
  <c r="D56" i="15"/>
  <c r="E56" i="15" s="1"/>
  <c r="H56" i="15" l="1"/>
  <c r="I56" i="15" s="1"/>
  <c r="J56" i="15"/>
  <c r="H93" i="15"/>
  <c r="I93" i="15" s="1"/>
  <c r="G135" i="15"/>
  <c r="C136" i="15"/>
  <c r="D94" i="15"/>
  <c r="E94" i="15" s="1"/>
  <c r="J94" i="15" s="1"/>
  <c r="C95" i="15"/>
  <c r="C58" i="15"/>
  <c r="D57" i="15"/>
  <c r="E57" i="15" s="1"/>
  <c r="H57" i="15" l="1"/>
  <c r="I57" i="15" s="1"/>
  <c r="J57" i="15"/>
  <c r="H94" i="15"/>
  <c r="I94" i="15" s="1"/>
  <c r="G136" i="15"/>
  <c r="C137" i="15"/>
  <c r="C96" i="15"/>
  <c r="D95" i="15"/>
  <c r="E95" i="15" s="1"/>
  <c r="J95" i="15" s="1"/>
  <c r="C59" i="15"/>
  <c r="D58" i="15"/>
  <c r="E58" i="15" s="1"/>
  <c r="H58" i="15" l="1"/>
  <c r="I58" i="15" s="1"/>
  <c r="J58" i="15"/>
  <c r="H95" i="15"/>
  <c r="I95" i="15" s="1"/>
  <c r="G137" i="15"/>
  <c r="C138" i="15"/>
  <c r="D96" i="15"/>
  <c r="E96" i="15" s="1"/>
  <c r="J96" i="15" s="1"/>
  <c r="C97" i="15"/>
  <c r="C60" i="15"/>
  <c r="D59" i="15"/>
  <c r="E59" i="15" s="1"/>
  <c r="H59" i="15" l="1"/>
  <c r="I59" i="15" s="1"/>
  <c r="J59" i="15"/>
  <c r="H96" i="15"/>
  <c r="I96" i="15" s="1"/>
  <c r="G138" i="15"/>
  <c r="C139" i="15"/>
  <c r="C98" i="15"/>
  <c r="D97" i="15"/>
  <c r="E97" i="15" s="1"/>
  <c r="J97" i="15" s="1"/>
  <c r="C61" i="15"/>
  <c r="D60" i="15"/>
  <c r="E60" i="15" s="1"/>
  <c r="H60" i="15" l="1"/>
  <c r="I60" i="15" s="1"/>
  <c r="J60" i="15"/>
  <c r="H97" i="15"/>
  <c r="I97" i="15" s="1"/>
  <c r="G139" i="15"/>
  <c r="C140" i="15"/>
  <c r="D98" i="15"/>
  <c r="E98" i="15" s="1"/>
  <c r="J98" i="15" s="1"/>
  <c r="C99" i="15"/>
  <c r="C62" i="15"/>
  <c r="D61" i="15"/>
  <c r="E61" i="15" s="1"/>
  <c r="H61" i="15" l="1"/>
  <c r="I61" i="15" s="1"/>
  <c r="J61" i="15"/>
  <c r="H98" i="15"/>
  <c r="I98" i="15" s="1"/>
  <c r="G140" i="15"/>
  <c r="C141" i="15"/>
  <c r="D99" i="15"/>
  <c r="E99" i="15" s="1"/>
  <c r="J99" i="15" s="1"/>
  <c r="C100" i="15"/>
  <c r="C63" i="15"/>
  <c r="D62" i="15"/>
  <c r="E62" i="15" s="1"/>
  <c r="H62" i="15" l="1"/>
  <c r="I62" i="15" s="1"/>
  <c r="J62" i="15"/>
  <c r="H99" i="15"/>
  <c r="I99" i="15" s="1"/>
  <c r="G141" i="15"/>
  <c r="C142" i="15"/>
  <c r="D100" i="15"/>
  <c r="E100" i="15" s="1"/>
  <c r="J100" i="15" s="1"/>
  <c r="C101" i="15"/>
  <c r="C64" i="15"/>
  <c r="D63" i="15"/>
  <c r="E63" i="15" s="1"/>
  <c r="H63" i="15" l="1"/>
  <c r="I63" i="15" s="1"/>
  <c r="J63" i="15"/>
  <c r="H100" i="15"/>
  <c r="I100" i="15" s="1"/>
  <c r="G142" i="15"/>
  <c r="C143" i="15"/>
  <c r="D101" i="15"/>
  <c r="E101" i="15" s="1"/>
  <c r="J101" i="15" s="1"/>
  <c r="C102" i="15"/>
  <c r="C65" i="15"/>
  <c r="D64" i="15"/>
  <c r="E64" i="15" s="1"/>
  <c r="H64" i="15" l="1"/>
  <c r="I64" i="15" s="1"/>
  <c r="J64" i="15"/>
  <c r="H101" i="15"/>
  <c r="I101" i="15" s="1"/>
  <c r="G143" i="15"/>
  <c r="C144" i="15"/>
  <c r="D102" i="15"/>
  <c r="E102" i="15" s="1"/>
  <c r="J102" i="15" s="1"/>
  <c r="C103" i="15"/>
  <c r="C66" i="15"/>
  <c r="D65" i="15"/>
  <c r="E65" i="15" s="1"/>
  <c r="H65" i="15" l="1"/>
  <c r="I65" i="15" s="1"/>
  <c r="J65" i="15"/>
  <c r="H102" i="15"/>
  <c r="I102" i="15" s="1"/>
  <c r="G144" i="15"/>
  <c r="C145" i="15"/>
  <c r="D103" i="15"/>
  <c r="E103" i="15" s="1"/>
  <c r="J103" i="15" s="1"/>
  <c r="C104" i="15"/>
  <c r="C67" i="15"/>
  <c r="D66" i="15"/>
  <c r="E66" i="15" s="1"/>
  <c r="H66" i="15" l="1"/>
  <c r="I66" i="15" s="1"/>
  <c r="J66" i="15"/>
  <c r="H103" i="15"/>
  <c r="I103" i="15" s="1"/>
  <c r="G145" i="15"/>
  <c r="C146" i="15"/>
  <c r="D104" i="15"/>
  <c r="E104" i="15" s="1"/>
  <c r="J104" i="15" s="1"/>
  <c r="C105" i="15"/>
  <c r="C68" i="15"/>
  <c r="D68" i="15" s="1"/>
  <c r="E68" i="15" s="1"/>
  <c r="D67" i="15"/>
  <c r="E67" i="15" s="1"/>
  <c r="H68" i="15" l="1"/>
  <c r="I68" i="15" s="1"/>
  <c r="J68" i="15"/>
  <c r="H67" i="15"/>
  <c r="I67" i="15" s="1"/>
  <c r="J67" i="15"/>
  <c r="H104" i="15"/>
  <c r="I104" i="15" s="1"/>
  <c r="G146" i="15"/>
  <c r="C147" i="15"/>
  <c r="C106" i="15"/>
  <c r="D105" i="15"/>
  <c r="E105" i="15" s="1"/>
  <c r="J105" i="15" s="1"/>
  <c r="D115" i="15" l="1"/>
  <c r="D175" i="15" s="1"/>
  <c r="D190" i="15" s="1"/>
  <c r="E190" i="15" s="1"/>
  <c r="H105" i="15"/>
  <c r="I105" i="15" s="1"/>
  <c r="G147" i="15"/>
  <c r="C148" i="15"/>
  <c r="D106" i="15"/>
  <c r="E106" i="15" s="1"/>
  <c r="J106" i="15" s="1"/>
  <c r="C107" i="15"/>
  <c r="D116" i="15" l="1"/>
  <c r="L25" i="15"/>
  <c r="D117" i="15"/>
  <c r="D128" i="15" s="1"/>
  <c r="D142" i="15"/>
  <c r="D146" i="15"/>
  <c r="D147" i="15"/>
  <c r="D138" i="15"/>
  <c r="D140" i="15"/>
  <c r="D145" i="15"/>
  <c r="D129" i="15"/>
  <c r="E131" i="15"/>
  <c r="E146" i="15"/>
  <c r="E126" i="15"/>
  <c r="D124" i="15"/>
  <c r="E137" i="15"/>
  <c r="D122" i="15"/>
  <c r="D130" i="15"/>
  <c r="V56" i="15"/>
  <c r="H42" i="55"/>
  <c r="D136" i="15"/>
  <c r="D176" i="15"/>
  <c r="E138" i="15"/>
  <c r="D127" i="15"/>
  <c r="D148" i="15"/>
  <c r="E144" i="15"/>
  <c r="E147" i="15"/>
  <c r="D134" i="15"/>
  <c r="D177" i="15"/>
  <c r="D194" i="15" s="1"/>
  <c r="E194" i="15" s="1"/>
  <c r="D133" i="15"/>
  <c r="E141" i="15"/>
  <c r="E130" i="15"/>
  <c r="D125" i="15"/>
  <c r="D139" i="15"/>
  <c r="E132" i="15"/>
  <c r="D123" i="15"/>
  <c r="E148" i="15"/>
  <c r="H106" i="15"/>
  <c r="I106" i="15" s="1"/>
  <c r="G148" i="15"/>
  <c r="C149" i="15"/>
  <c r="C108" i="15"/>
  <c r="D108" i="15" s="1"/>
  <c r="E108" i="15" s="1"/>
  <c r="J108" i="15" s="1"/>
  <c r="D107" i="15"/>
  <c r="E107" i="15" s="1"/>
  <c r="J107" i="15" s="1"/>
  <c r="H44" i="55" l="1"/>
  <c r="D192" i="15"/>
  <c r="E192" i="15" s="1"/>
  <c r="D132" i="15"/>
  <c r="D137" i="15"/>
  <c r="E145" i="15"/>
  <c r="E139" i="15"/>
  <c r="E133" i="15"/>
  <c r="D126" i="15"/>
  <c r="D143" i="15"/>
  <c r="D131" i="15"/>
  <c r="D141" i="15"/>
  <c r="E136" i="15"/>
  <c r="E124" i="15"/>
  <c r="E128" i="15"/>
  <c r="E140" i="15"/>
  <c r="E142" i="15"/>
  <c r="E122" i="15"/>
  <c r="E129" i="15"/>
  <c r="E125" i="15"/>
  <c r="E134" i="15"/>
  <c r="E135" i="15"/>
  <c r="E143" i="15"/>
  <c r="E127" i="15"/>
  <c r="E123" i="15"/>
  <c r="D144" i="15"/>
  <c r="D135" i="15"/>
  <c r="R75" i="15"/>
  <c r="S66" i="15"/>
  <c r="S65" i="15"/>
  <c r="H46" i="55"/>
  <c r="U56" i="15"/>
  <c r="R66" i="15" s="1"/>
  <c r="R67" i="15" s="1"/>
  <c r="H107" i="15"/>
  <c r="I107" i="15" s="1"/>
  <c r="H108" i="15"/>
  <c r="E149" i="15"/>
  <c r="D149" i="15"/>
  <c r="G149" i="15"/>
  <c r="C150" i="15"/>
  <c r="I108" i="15" l="1"/>
  <c r="H115" i="15" s="1"/>
  <c r="E175" i="15" s="1"/>
  <c r="D191" i="15" s="1"/>
  <c r="E191" i="15" s="1"/>
  <c r="E150" i="15"/>
  <c r="D150" i="15"/>
  <c r="G150" i="15"/>
  <c r="C151" i="15"/>
  <c r="K42" i="55" l="1"/>
  <c r="V59" i="15"/>
  <c r="E177" i="15"/>
  <c r="D195" i="15" s="1"/>
  <c r="E195" i="15" s="1"/>
  <c r="L26" i="15"/>
  <c r="L27" i="15" s="1"/>
  <c r="H116" i="15"/>
  <c r="H117" i="15"/>
  <c r="I132" i="15" s="1"/>
  <c r="E151" i="15"/>
  <c r="D151" i="15"/>
  <c r="G151" i="15"/>
  <c r="C152" i="15"/>
  <c r="I139" i="15" l="1"/>
  <c r="H48" i="55"/>
  <c r="E196" i="15"/>
  <c r="D202" i="15"/>
  <c r="I142" i="15"/>
  <c r="H124" i="15"/>
  <c r="H137" i="15"/>
  <c r="I130" i="15"/>
  <c r="H149" i="15"/>
  <c r="I125" i="15"/>
  <c r="I122" i="15"/>
  <c r="E176" i="15"/>
  <c r="H122" i="15"/>
  <c r="U59" i="15"/>
  <c r="K46" i="55"/>
  <c r="I148" i="15"/>
  <c r="R76" i="15"/>
  <c r="S69" i="15"/>
  <c r="S70" i="15"/>
  <c r="H131" i="15"/>
  <c r="I124" i="15"/>
  <c r="H141" i="15"/>
  <c r="I131" i="15"/>
  <c r="H144" i="15"/>
  <c r="I145" i="15"/>
  <c r="H151" i="15"/>
  <c r="I141" i="15"/>
  <c r="H128" i="15"/>
  <c r="I147" i="15"/>
  <c r="H136" i="15"/>
  <c r="I129" i="15"/>
  <c r="H134" i="15"/>
  <c r="I126" i="15"/>
  <c r="H145" i="15"/>
  <c r="I143" i="15"/>
  <c r="H146" i="15"/>
  <c r="I150" i="15"/>
  <c r="H150" i="15"/>
  <c r="I146" i="15"/>
  <c r="H143" i="15"/>
  <c r="H138" i="15"/>
  <c r="I134" i="15"/>
  <c r="H126" i="15"/>
  <c r="I137" i="15"/>
  <c r="H142" i="15"/>
  <c r="I144" i="15"/>
  <c r="H148" i="15"/>
  <c r="I151" i="15"/>
  <c r="H147" i="15"/>
  <c r="H127" i="15"/>
  <c r="I135" i="15"/>
  <c r="I140" i="15"/>
  <c r="H123" i="15"/>
  <c r="H130" i="15"/>
  <c r="I123" i="15"/>
  <c r="I133" i="15"/>
  <c r="I128" i="15"/>
  <c r="H125" i="15"/>
  <c r="H133" i="15"/>
  <c r="I127" i="15"/>
  <c r="I138" i="15"/>
  <c r="H135" i="15"/>
  <c r="H132" i="15"/>
  <c r="H140" i="15"/>
  <c r="I149" i="15"/>
  <c r="H129" i="15"/>
  <c r="H139" i="15"/>
  <c r="I136" i="15"/>
  <c r="M26" i="15"/>
  <c r="E152" i="15"/>
  <c r="D152" i="15"/>
  <c r="G152" i="15"/>
  <c r="C153" i="15"/>
  <c r="K44" i="55" l="1"/>
  <c r="D193" i="15"/>
  <c r="E193" i="15" s="1"/>
  <c r="R70" i="15"/>
  <c r="R71" i="15"/>
  <c r="E153" i="15"/>
  <c r="D153" i="15"/>
  <c r="H152" i="15"/>
  <c r="I152" i="15"/>
  <c r="G153" i="15"/>
  <c r="C154" i="15"/>
  <c r="I153" i="15" l="1"/>
  <c r="H153" i="15"/>
  <c r="E154" i="15"/>
  <c r="D154" i="15"/>
  <c r="G154" i="15"/>
  <c r="C155" i="15"/>
  <c r="D155" i="15" l="1"/>
  <c r="E155" i="15"/>
  <c r="I154" i="15"/>
  <c r="H154" i="15"/>
  <c r="G155" i="15"/>
  <c r="C156" i="15"/>
  <c r="E156" i="15" l="1"/>
  <c r="D156" i="15"/>
  <c r="I155" i="15"/>
  <c r="H155" i="15"/>
  <c r="G156" i="15"/>
  <c r="C157" i="15"/>
  <c r="E157" i="15" l="1"/>
  <c r="D157" i="15"/>
  <c r="I156" i="15"/>
  <c r="H156" i="15"/>
  <c r="G157" i="15"/>
  <c r="C158" i="15"/>
  <c r="E158" i="15" l="1"/>
  <c r="D158" i="15"/>
  <c r="I157" i="15"/>
  <c r="H157" i="15"/>
  <c r="G158" i="15"/>
  <c r="H158" i="15" l="1"/>
  <c r="I158" i="15"/>
  <c r="AJ158" i="11" l="1"/>
  <c r="AJ157" i="11"/>
  <c r="AJ156" i="11"/>
  <c r="AJ155" i="11"/>
  <c r="V160" i="11"/>
  <c r="V159" i="11"/>
  <c r="V158" i="11"/>
  <c r="V157" i="11"/>
  <c r="V156" i="11"/>
  <c r="V155" i="11"/>
  <c r="S160" i="11"/>
  <c r="S159" i="11"/>
  <c r="S158" i="11"/>
  <c r="S157" i="11"/>
  <c r="S156" i="11"/>
  <c r="S155" i="11"/>
  <c r="F159" i="11"/>
  <c r="F158" i="11"/>
  <c r="F157" i="11"/>
  <c r="F156" i="11"/>
  <c r="F155" i="11"/>
  <c r="C159" i="11"/>
  <c r="C158" i="11"/>
  <c r="C157" i="11"/>
  <c r="C156" i="11"/>
  <c r="C155" i="11"/>
  <c r="AK94" i="11"/>
  <c r="T94" i="11"/>
  <c r="F93" i="11"/>
  <c r="AP61" i="11"/>
  <c r="AM65" i="11"/>
  <c r="AN65" i="11" s="1"/>
  <c r="AC64" i="11"/>
  <c r="AD64" i="11" s="1"/>
  <c r="AC62" i="11"/>
  <c r="AD62" i="11" s="1"/>
  <c r="AC60" i="11"/>
  <c r="AD60" i="11" s="1"/>
  <c r="AC58" i="11"/>
  <c r="AD58" i="11" s="1"/>
  <c r="AC56" i="11"/>
  <c r="AD56" i="11" s="1"/>
  <c r="Y61" i="11"/>
  <c r="AJ78" i="11" l="1"/>
  <c r="M91" i="14"/>
  <c r="M92" i="14" s="1"/>
  <c r="H91" i="14"/>
  <c r="J46" i="14"/>
  <c r="B91" i="14"/>
  <c r="B92" i="14" s="1"/>
  <c r="G31" i="14"/>
  <c r="H31" i="14" s="1"/>
  <c r="H76" i="14"/>
  <c r="J76" i="14" s="1"/>
  <c r="K76" i="14" s="1"/>
  <c r="L76" i="14" s="1"/>
  <c r="B47" i="14"/>
  <c r="B48" i="14" s="1"/>
  <c r="D48" i="14" s="1"/>
  <c r="B74" i="14"/>
  <c r="D74" i="14" s="1"/>
  <c r="E74" i="14" s="1"/>
  <c r="F74" i="14" s="1"/>
  <c r="O79" i="14"/>
  <c r="N79" i="14"/>
  <c r="P79" i="14" s="1"/>
  <c r="Q79" i="14" s="1"/>
  <c r="R79" i="14" s="1"/>
  <c r="I79" i="14"/>
  <c r="C79" i="14"/>
  <c r="O78" i="14"/>
  <c r="N78" i="14"/>
  <c r="P78" i="14" s="1"/>
  <c r="Q78" i="14" s="1"/>
  <c r="R78" i="14" s="1"/>
  <c r="I78" i="14"/>
  <c r="H79" i="14" s="1"/>
  <c r="J79" i="14" s="1"/>
  <c r="K79" i="14" s="1"/>
  <c r="L79" i="14" s="1"/>
  <c r="C78" i="14"/>
  <c r="O77" i="14"/>
  <c r="N77" i="14"/>
  <c r="P77" i="14" s="1"/>
  <c r="Q77" i="14" s="1"/>
  <c r="R77" i="14" s="1"/>
  <c r="I77" i="14"/>
  <c r="H78" i="14" s="1"/>
  <c r="J78" i="14" s="1"/>
  <c r="K78" i="14" s="1"/>
  <c r="L78" i="14" s="1"/>
  <c r="C77" i="14"/>
  <c r="I76" i="14"/>
  <c r="H77" i="14" s="1"/>
  <c r="J77" i="14" s="1"/>
  <c r="K77" i="14" s="1"/>
  <c r="L77" i="14" s="1"/>
  <c r="C76" i="14"/>
  <c r="C75" i="14"/>
  <c r="C74" i="14"/>
  <c r="B75" i="14" s="1"/>
  <c r="D75" i="14" s="1"/>
  <c r="E75" i="14" s="1"/>
  <c r="F75" i="14" s="1"/>
  <c r="O46" i="14"/>
  <c r="I46" i="14"/>
  <c r="B76" i="14" l="1"/>
  <c r="D76" i="14" s="1"/>
  <c r="E76" i="14" s="1"/>
  <c r="F76" i="14" s="1"/>
  <c r="M93" i="14"/>
  <c r="H92" i="14"/>
  <c r="B93" i="14"/>
  <c r="B49" i="14"/>
  <c r="D49" i="14" s="1"/>
  <c r="H47" i="14"/>
  <c r="J47" i="14" s="1"/>
  <c r="N47" i="14"/>
  <c r="B77" i="14" l="1"/>
  <c r="M94" i="14"/>
  <c r="H93" i="14"/>
  <c r="B94" i="14"/>
  <c r="B50" i="14"/>
  <c r="D50" i="14" s="1"/>
  <c r="N48" i="14"/>
  <c r="H48" i="14"/>
  <c r="J48" i="14" s="1"/>
  <c r="D77" i="14" l="1"/>
  <c r="E77" i="14" s="1"/>
  <c r="F77" i="14" s="1"/>
  <c r="B78" i="14"/>
  <c r="B51" i="14"/>
  <c r="D51" i="14" s="1"/>
  <c r="M95" i="14"/>
  <c r="H94" i="14"/>
  <c r="B95" i="14"/>
  <c r="H49" i="14"/>
  <c r="J49" i="14" s="1"/>
  <c r="N49" i="14"/>
  <c r="B52" i="14"/>
  <c r="D52" i="14" s="1"/>
  <c r="D78" i="14" l="1"/>
  <c r="E78" i="14" s="1"/>
  <c r="F78" i="14" s="1"/>
  <c r="B79" i="14"/>
  <c r="D79" i="14" s="1"/>
  <c r="E79" i="14" s="1"/>
  <c r="F79" i="14" s="1"/>
  <c r="M96" i="14"/>
  <c r="H95" i="14"/>
  <c r="B96" i="14"/>
  <c r="N50" i="14"/>
  <c r="H50" i="14"/>
  <c r="J50" i="14" s="1"/>
  <c r="B53" i="14"/>
  <c r="D53" i="14" s="1"/>
  <c r="M97" i="14" l="1"/>
  <c r="H96" i="14"/>
  <c r="B97" i="14"/>
  <c r="H51" i="14"/>
  <c r="J51" i="14" s="1"/>
  <c r="N51" i="14"/>
  <c r="B54" i="14"/>
  <c r="D54" i="14" s="1"/>
  <c r="M98" i="14" l="1"/>
  <c r="H97" i="14"/>
  <c r="B98" i="14"/>
  <c r="N52" i="14"/>
  <c r="H52" i="14"/>
  <c r="J52" i="14" s="1"/>
  <c r="B55" i="14"/>
  <c r="D55" i="14" s="1"/>
  <c r="M99" i="14" l="1"/>
  <c r="H98" i="14"/>
  <c r="B99" i="14"/>
  <c r="H53" i="14"/>
  <c r="J53" i="14" s="1"/>
  <c r="N53" i="14"/>
  <c r="B56" i="14"/>
  <c r="D56" i="14" s="1"/>
  <c r="M100" i="14" l="1"/>
  <c r="H99" i="14"/>
  <c r="B100" i="14"/>
  <c r="N54" i="14"/>
  <c r="H54" i="14"/>
  <c r="J54" i="14" s="1"/>
  <c r="B57" i="14"/>
  <c r="D57" i="14" s="1"/>
  <c r="M101" i="14" l="1"/>
  <c r="H100" i="14"/>
  <c r="B101" i="14"/>
  <c r="H55" i="14"/>
  <c r="J55" i="14" s="1"/>
  <c r="N55" i="14"/>
  <c r="B58" i="14"/>
  <c r="D58" i="14" s="1"/>
  <c r="M102" i="14" l="1"/>
  <c r="H101" i="14"/>
  <c r="B102" i="14"/>
  <c r="N56" i="14"/>
  <c r="H56" i="14"/>
  <c r="J56" i="14" s="1"/>
  <c r="B59" i="14"/>
  <c r="D59" i="14" s="1"/>
  <c r="M103" i="14" l="1"/>
  <c r="H102" i="14"/>
  <c r="B103" i="14"/>
  <c r="H57" i="14"/>
  <c r="J57" i="14" s="1"/>
  <c r="N57" i="14"/>
  <c r="B60" i="14"/>
  <c r="D60" i="14" s="1"/>
  <c r="M104" i="14" l="1"/>
  <c r="H103" i="14"/>
  <c r="B104" i="14"/>
  <c r="N58" i="14"/>
  <c r="H58" i="14"/>
  <c r="J58" i="14" s="1"/>
  <c r="B61" i="14"/>
  <c r="D61" i="14" s="1"/>
  <c r="M105" i="14" l="1"/>
  <c r="H104" i="14"/>
  <c r="B105" i="14"/>
  <c r="H59" i="14"/>
  <c r="J59" i="14" s="1"/>
  <c r="N59" i="14"/>
  <c r="B62" i="14"/>
  <c r="D62" i="14" s="1"/>
  <c r="M106" i="14" l="1"/>
  <c r="H105" i="14"/>
  <c r="B106" i="14"/>
  <c r="N60" i="14"/>
  <c r="H60" i="14"/>
  <c r="J60" i="14" s="1"/>
  <c r="B63" i="14"/>
  <c r="D63" i="14" s="1"/>
  <c r="M107" i="14" l="1"/>
  <c r="H106" i="14"/>
  <c r="B107" i="14"/>
  <c r="H61" i="14"/>
  <c r="J61" i="14" s="1"/>
  <c r="N61" i="14"/>
  <c r="B64" i="14"/>
  <c r="D64" i="14" s="1"/>
  <c r="M108" i="14" l="1"/>
  <c r="H107" i="14"/>
  <c r="B108" i="14"/>
  <c r="H62" i="14"/>
  <c r="J62" i="14" s="1"/>
  <c r="N62" i="14"/>
  <c r="B65" i="14"/>
  <c r="D65" i="14" s="1"/>
  <c r="M109" i="14" l="1"/>
  <c r="H108" i="14"/>
  <c r="B109" i="14"/>
  <c r="N63" i="14"/>
  <c r="H63" i="14"/>
  <c r="J63" i="14" s="1"/>
  <c r="B66" i="14"/>
  <c r="D66" i="14" s="1"/>
  <c r="M110" i="14" l="1"/>
  <c r="H109" i="14"/>
  <c r="B110" i="14"/>
  <c r="H64" i="14"/>
  <c r="J64" i="14" s="1"/>
  <c r="N64" i="14"/>
  <c r="B67" i="14"/>
  <c r="D67" i="14" s="1"/>
  <c r="M111" i="14" l="1"/>
  <c r="H110" i="14"/>
  <c r="B111" i="14"/>
  <c r="N65" i="14"/>
  <c r="H65" i="14"/>
  <c r="J65" i="14" s="1"/>
  <c r="B68" i="14"/>
  <c r="D68" i="14" s="1"/>
  <c r="M112" i="14" l="1"/>
  <c r="H111" i="14"/>
  <c r="B112" i="14"/>
  <c r="H66" i="14"/>
  <c r="J66" i="14" s="1"/>
  <c r="N66" i="14"/>
  <c r="B69" i="14"/>
  <c r="D69" i="14" s="1"/>
  <c r="M113" i="14" l="1"/>
  <c r="H112" i="14"/>
  <c r="B113" i="14"/>
  <c r="N67" i="14"/>
  <c r="H67" i="14"/>
  <c r="J67" i="14" s="1"/>
  <c r="B70" i="14"/>
  <c r="D70" i="14" s="1"/>
  <c r="M114" i="14" l="1"/>
  <c r="H113" i="14"/>
  <c r="B114" i="14"/>
  <c r="H68" i="14"/>
  <c r="J68" i="14" s="1"/>
  <c r="N68" i="14"/>
  <c r="B71" i="14"/>
  <c r="D71" i="14" s="1"/>
  <c r="M115" i="14" l="1"/>
  <c r="H114" i="14"/>
  <c r="B115" i="14"/>
  <c r="N69" i="14"/>
  <c r="H69" i="14"/>
  <c r="J69" i="14" s="1"/>
  <c r="B72" i="14"/>
  <c r="D72" i="14" s="1"/>
  <c r="M116" i="14" l="1"/>
  <c r="H115" i="14"/>
  <c r="B116" i="14"/>
  <c r="H70" i="14"/>
  <c r="J70" i="14" s="1"/>
  <c r="N70" i="14"/>
  <c r="M117" i="14" l="1"/>
  <c r="H116" i="14"/>
  <c r="B117" i="14"/>
  <c r="N71" i="14"/>
  <c r="H71" i="14"/>
  <c r="J71" i="14" s="1"/>
  <c r="M118" i="14" l="1"/>
  <c r="H117" i="14"/>
  <c r="B118" i="14"/>
  <c r="H72" i="14"/>
  <c r="J72" i="14" s="1"/>
  <c r="N72" i="14"/>
  <c r="M119" i="14" l="1"/>
  <c r="H118" i="14"/>
  <c r="B119" i="14"/>
  <c r="N73" i="14"/>
  <c r="H73" i="14"/>
  <c r="J73" i="14" s="1"/>
  <c r="M120" i="14" l="1"/>
  <c r="H119" i="14"/>
  <c r="B120" i="14"/>
  <c r="H74" i="14"/>
  <c r="J74" i="14" s="1"/>
  <c r="N74" i="14"/>
  <c r="M121" i="14" l="1"/>
  <c r="H120" i="14"/>
  <c r="B121" i="14"/>
  <c r="N75" i="14"/>
  <c r="M122" i="14" l="1"/>
  <c r="H121" i="14"/>
  <c r="B122" i="14"/>
  <c r="N76" i="14"/>
  <c r="M123" i="14" l="1"/>
  <c r="H122" i="14"/>
  <c r="B123" i="14"/>
  <c r="M124" i="14" l="1"/>
  <c r="H123" i="14"/>
  <c r="B124" i="14"/>
  <c r="M125" i="14" l="1"/>
  <c r="H124" i="14"/>
  <c r="B125" i="14"/>
  <c r="M126" i="14" l="1"/>
  <c r="H125" i="14"/>
  <c r="B126" i="14"/>
  <c r="H126" i="14" l="1"/>
  <c r="F26" i="14" l="1"/>
  <c r="F28" i="14" l="1"/>
  <c r="H34" i="40" s="1"/>
  <c r="F27" i="14"/>
  <c r="H33" i="40"/>
  <c r="E47" i="14"/>
  <c r="F47" i="14" s="1"/>
  <c r="E59" i="14"/>
  <c r="F59" i="14" s="1"/>
  <c r="E71" i="14"/>
  <c r="F71" i="14" s="1"/>
  <c r="E48" i="14"/>
  <c r="F48" i="14" s="1"/>
  <c r="E60" i="14"/>
  <c r="F60" i="14" s="1"/>
  <c r="E72" i="14"/>
  <c r="F72" i="14" s="1"/>
  <c r="E70" i="14"/>
  <c r="F70" i="14" s="1"/>
  <c r="E49" i="14"/>
  <c r="F49" i="14" s="1"/>
  <c r="E61" i="14"/>
  <c r="F61" i="14" s="1"/>
  <c r="E65" i="14"/>
  <c r="F65" i="14" s="1"/>
  <c r="E66" i="14"/>
  <c r="F66" i="14" s="1"/>
  <c r="E57" i="14"/>
  <c r="F57" i="14" s="1"/>
  <c r="E50" i="14"/>
  <c r="F50" i="14" s="1"/>
  <c r="E62" i="14"/>
  <c r="F62" i="14" s="1"/>
  <c r="E51" i="14"/>
  <c r="F51" i="14" s="1"/>
  <c r="E63" i="14"/>
  <c r="F63" i="14" s="1"/>
  <c r="E53" i="14"/>
  <c r="F53" i="14" s="1"/>
  <c r="E68" i="14"/>
  <c r="F68" i="14" s="1"/>
  <c r="E69" i="14"/>
  <c r="F69" i="14" s="1"/>
  <c r="E52" i="14"/>
  <c r="F52" i="14" s="1"/>
  <c r="E64" i="14"/>
  <c r="F64" i="14" s="1"/>
  <c r="E54" i="14"/>
  <c r="F54" i="14" s="1"/>
  <c r="E58" i="14"/>
  <c r="F58" i="14" s="1"/>
  <c r="E56" i="14"/>
  <c r="F56" i="14" s="1"/>
  <c r="E55" i="14"/>
  <c r="F55" i="14" s="1"/>
  <c r="E67" i="14"/>
  <c r="F67" i="14" s="1"/>
  <c r="G32" i="14"/>
  <c r="G30" i="14"/>
  <c r="G25" i="14"/>
  <c r="G24" i="14"/>
  <c r="J31" i="40" s="1"/>
  <c r="F37" i="14" l="1"/>
  <c r="H25" i="14"/>
  <c r="L32" i="40" s="1"/>
  <c r="J32" i="40"/>
  <c r="E82" i="14"/>
  <c r="K132" i="14" s="1"/>
  <c r="G26" i="14"/>
  <c r="H32" i="14"/>
  <c r="H30" i="14"/>
  <c r="P47" i="14" s="1"/>
  <c r="H24" i="14"/>
  <c r="L31" i="40" s="1"/>
  <c r="K46" i="14" l="1"/>
  <c r="L46" i="14" s="1"/>
  <c r="K67" i="14"/>
  <c r="L67" i="14" s="1"/>
  <c r="K62" i="14"/>
  <c r="L62" i="14" s="1"/>
  <c r="K50" i="14"/>
  <c r="L50" i="14" s="1"/>
  <c r="K49" i="14"/>
  <c r="L49" i="14" s="1"/>
  <c r="K48" i="14"/>
  <c r="L48" i="14" s="1"/>
  <c r="K47" i="14"/>
  <c r="L47" i="14" s="1"/>
  <c r="S31" i="40"/>
  <c r="S33" i="40"/>
  <c r="G27" i="14"/>
  <c r="G28" i="14"/>
  <c r="J34" i="40" s="1"/>
  <c r="J33" i="40"/>
  <c r="K69" i="14"/>
  <c r="L69" i="14" s="1"/>
  <c r="K74" i="14"/>
  <c r="L74" i="14" s="1"/>
  <c r="K70" i="14"/>
  <c r="L70" i="14" s="1"/>
  <c r="K68" i="14"/>
  <c r="L68" i="14" s="1"/>
  <c r="K61" i="14"/>
  <c r="L61" i="14" s="1"/>
  <c r="K60" i="14"/>
  <c r="L60" i="14" s="1"/>
  <c r="K59" i="14"/>
  <c r="L59" i="14" s="1"/>
  <c r="K58" i="14"/>
  <c r="L58" i="14" s="1"/>
  <c r="K56" i="14"/>
  <c r="L56" i="14" s="1"/>
  <c r="K73" i="14"/>
  <c r="L73" i="14" s="1"/>
  <c r="K57" i="14"/>
  <c r="L57" i="14" s="1"/>
  <c r="K72" i="14"/>
  <c r="L72" i="14" s="1"/>
  <c r="K71" i="14"/>
  <c r="L71" i="14" s="1"/>
  <c r="K55" i="14"/>
  <c r="L55" i="14" s="1"/>
  <c r="K66" i="14"/>
  <c r="L66" i="14" s="1"/>
  <c r="K52" i="14"/>
  <c r="L52" i="14" s="1"/>
  <c r="K54" i="14"/>
  <c r="L54" i="14" s="1"/>
  <c r="K65" i="14"/>
  <c r="L65" i="14" s="1"/>
  <c r="K53" i="14"/>
  <c r="L53" i="14" s="1"/>
  <c r="K64" i="14"/>
  <c r="L64" i="14" s="1"/>
  <c r="K63" i="14"/>
  <c r="L63" i="14" s="1"/>
  <c r="K51" i="14"/>
  <c r="L51" i="14" s="1"/>
  <c r="H26" i="14"/>
  <c r="I82" i="14"/>
  <c r="P46"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G37" i="14" l="1"/>
  <c r="K133" i="14"/>
  <c r="U31" i="40"/>
  <c r="F38" i="14"/>
  <c r="E83" i="14" s="1"/>
  <c r="S35" i="40" s="1"/>
  <c r="E80" i="14"/>
  <c r="S39" i="40" s="1"/>
  <c r="H27" i="14"/>
  <c r="O82" i="14" s="1"/>
  <c r="H28" i="14"/>
  <c r="L34" i="40" s="1"/>
  <c r="L33" i="40"/>
  <c r="Q53" i="14"/>
  <c r="R53" i="14" s="1"/>
  <c r="Q73" i="14"/>
  <c r="R73" i="14" s="1"/>
  <c r="Q58" i="14"/>
  <c r="R58" i="14" s="1"/>
  <c r="Q59" i="14"/>
  <c r="R59" i="14" s="1"/>
  <c r="Q61" i="14"/>
  <c r="R61" i="14" s="1"/>
  <c r="Q48" i="14"/>
  <c r="R48" i="14" s="1"/>
  <c r="Q71" i="14"/>
  <c r="R71" i="14" s="1"/>
  <c r="Q70" i="14"/>
  <c r="R70" i="14" s="1"/>
  <c r="Q68" i="14"/>
  <c r="R68" i="14" s="1"/>
  <c r="Q56" i="14"/>
  <c r="R56" i="14" s="1"/>
  <c r="Q72" i="14"/>
  <c r="R72" i="14" s="1"/>
  <c r="Q46" i="14"/>
  <c r="R46" i="14" s="1"/>
  <c r="Q57" i="14"/>
  <c r="R57" i="14" s="1"/>
  <c r="Q55" i="14"/>
  <c r="R55" i="14" s="1"/>
  <c r="Q60" i="14"/>
  <c r="R60" i="14" s="1"/>
  <c r="Q47" i="14"/>
  <c r="R47" i="14" s="1"/>
  <c r="Q69" i="14"/>
  <c r="R69" i="14" s="1"/>
  <c r="Q67" i="14"/>
  <c r="R67" i="14" s="1"/>
  <c r="Q66" i="14"/>
  <c r="R66" i="14" s="1"/>
  <c r="Q54" i="14"/>
  <c r="R54" i="14" s="1"/>
  <c r="Q65" i="14"/>
  <c r="R65" i="14" s="1"/>
  <c r="Q76" i="14"/>
  <c r="R76" i="14" s="1"/>
  <c r="Q64" i="14"/>
  <c r="R64" i="14" s="1"/>
  <c r="Q52" i="14"/>
  <c r="R52" i="14" s="1"/>
  <c r="Q75" i="14"/>
  <c r="R75" i="14" s="1"/>
  <c r="Q63" i="14"/>
  <c r="R63" i="14" s="1"/>
  <c r="Q51" i="14"/>
  <c r="R51" i="14" s="1"/>
  <c r="Q74" i="14"/>
  <c r="R74" i="14" s="1"/>
  <c r="Q62" i="14"/>
  <c r="R62" i="14" s="1"/>
  <c r="Q50" i="14"/>
  <c r="R50" i="14" s="1"/>
  <c r="Q49" i="14"/>
  <c r="R49" i="14" s="1"/>
  <c r="E60" i="11"/>
  <c r="E58" i="11"/>
  <c r="E64" i="11"/>
  <c r="E62" i="11"/>
  <c r="E56" i="11"/>
  <c r="L62" i="11"/>
  <c r="L60" i="11"/>
  <c r="L58" i="11"/>
  <c r="L56" i="11"/>
  <c r="L64" i="11"/>
  <c r="H61" i="11"/>
  <c r="AM64" i="11"/>
  <c r="AN64" i="11" s="1"/>
  <c r="AJ77" i="11" s="1"/>
  <c r="AQ63" i="11"/>
  <c r="AM62" i="11"/>
  <c r="AN62" i="11" s="1"/>
  <c r="AJ76" i="11" s="1"/>
  <c r="AQ61" i="11"/>
  <c r="AM60" i="11"/>
  <c r="AN60" i="11" s="1"/>
  <c r="AJ75" i="11" s="1"/>
  <c r="AP59" i="11"/>
  <c r="AQ59" i="11" s="1"/>
  <c r="AM58" i="11"/>
  <c r="AN58" i="11" s="1"/>
  <c r="AJ74" i="11" s="1"/>
  <c r="AP57" i="11"/>
  <c r="AQ57" i="11" s="1"/>
  <c r="AM56" i="11"/>
  <c r="AN56" i="11" s="1"/>
  <c r="V64" i="11"/>
  <c r="W64" i="11" s="1"/>
  <c r="Z63" i="11"/>
  <c r="AE63" i="11" s="1"/>
  <c r="V62" i="11"/>
  <c r="W62" i="11" s="1"/>
  <c r="S76" i="11" s="1"/>
  <c r="Z61" i="11"/>
  <c r="AE61" i="11" s="1"/>
  <c r="V60" i="11"/>
  <c r="W60" i="11" s="1"/>
  <c r="S75" i="11" s="1"/>
  <c r="Y59" i="11"/>
  <c r="Z59" i="11" s="1"/>
  <c r="AE59" i="11" s="1"/>
  <c r="V58" i="11"/>
  <c r="W58" i="11" s="1"/>
  <c r="S74" i="11" s="1"/>
  <c r="Y57" i="11"/>
  <c r="V56" i="11"/>
  <c r="AJ73" i="11" l="1"/>
  <c r="AN68" i="11"/>
  <c r="G336" i="11" s="1"/>
  <c r="L132" i="14"/>
  <c r="K134" i="14"/>
  <c r="W31" i="40"/>
  <c r="G38" i="14"/>
  <c r="I83" i="14" s="1"/>
  <c r="U35" i="40" s="1"/>
  <c r="K80" i="14"/>
  <c r="U39" i="40" s="1"/>
  <c r="U33" i="40"/>
  <c r="E84" i="14"/>
  <c r="E85" i="14"/>
  <c r="S37" i="40" s="1"/>
  <c r="H37" i="14"/>
  <c r="W33" i="40" s="1"/>
  <c r="Z57" i="11"/>
  <c r="AE57" i="11" s="1"/>
  <c r="V100" i="11"/>
  <c r="W103" i="11" s="1"/>
  <c r="S77" i="11"/>
  <c r="W56" i="11"/>
  <c r="AI218" i="11"/>
  <c r="AI219" i="11" s="1"/>
  <c r="AI220" i="11" s="1"/>
  <c r="AI221" i="11" s="1"/>
  <c r="AI222" i="11" s="1"/>
  <c r="AI223" i="11" s="1"/>
  <c r="AI224" i="11" s="1"/>
  <c r="AI225" i="11" s="1"/>
  <c r="AI226" i="11" s="1"/>
  <c r="AI227" i="11" s="1"/>
  <c r="AI228" i="11" s="1"/>
  <c r="AI229" i="11" s="1"/>
  <c r="AI230" i="11" s="1"/>
  <c r="AI231" i="11" s="1"/>
  <c r="AI232" i="11" s="1"/>
  <c r="AI233" i="11" s="1"/>
  <c r="AI234" i="11" s="1"/>
  <c r="AI235" i="11" s="1"/>
  <c r="AI236" i="11" s="1"/>
  <c r="AI237" i="11" s="1"/>
  <c r="AI238" i="11" s="1"/>
  <c r="AI239" i="11" s="1"/>
  <c r="AI240" i="11" s="1"/>
  <c r="AI241" i="11" s="1"/>
  <c r="AI242" i="11" s="1"/>
  <c r="AI243" i="11" s="1"/>
  <c r="AI244" i="11" s="1"/>
  <c r="AI245" i="11" s="1"/>
  <c r="AI246" i="11" s="1"/>
  <c r="AI247" i="11" s="1"/>
  <c r="AI248" i="11" s="1"/>
  <c r="AI249" i="11" s="1"/>
  <c r="AI250" i="11" s="1"/>
  <c r="AI251" i="11" s="1"/>
  <c r="AI252" i="11" s="1"/>
  <c r="AI253" i="11" s="1"/>
  <c r="R218" i="11"/>
  <c r="R219" i="11" s="1"/>
  <c r="R220" i="11" s="1"/>
  <c r="R221" i="11" s="1"/>
  <c r="R222" i="11" s="1"/>
  <c r="R223" i="11" s="1"/>
  <c r="R224" i="11" s="1"/>
  <c r="R225" i="11" s="1"/>
  <c r="R226" i="11" s="1"/>
  <c r="R227" i="11" s="1"/>
  <c r="R228" i="11" s="1"/>
  <c r="R229" i="11" s="1"/>
  <c r="R230" i="11" s="1"/>
  <c r="R231" i="11" s="1"/>
  <c r="R232" i="11" s="1"/>
  <c r="R233" i="11" s="1"/>
  <c r="R234" i="11" s="1"/>
  <c r="R235" i="11" s="1"/>
  <c r="R236" i="11" s="1"/>
  <c r="R237" i="11" s="1"/>
  <c r="R238" i="11" s="1"/>
  <c r="R239" i="11" s="1"/>
  <c r="R240" i="11" s="1"/>
  <c r="R241" i="11" s="1"/>
  <c r="R242" i="11" s="1"/>
  <c r="R243" i="11" s="1"/>
  <c r="R244" i="11" s="1"/>
  <c r="R245" i="11" s="1"/>
  <c r="R246" i="11" s="1"/>
  <c r="R247" i="11" s="1"/>
  <c r="R248" i="11" s="1"/>
  <c r="R249" i="11" s="1"/>
  <c r="R250" i="11" s="1"/>
  <c r="R251" i="11" s="1"/>
  <c r="R252" i="11" s="1"/>
  <c r="R253" i="11" s="1"/>
  <c r="B218" i="11"/>
  <c r="B219" i="11" s="1"/>
  <c r="B220" i="11" s="1"/>
  <c r="B221" i="11" s="1"/>
  <c r="B222" i="11" s="1"/>
  <c r="B223" i="11" s="1"/>
  <c r="B224" i="11" s="1"/>
  <c r="B225" i="11" s="1"/>
  <c r="B226" i="11" s="1"/>
  <c r="B227" i="11" s="1"/>
  <c r="B228" i="11" s="1"/>
  <c r="B229" i="11" s="1"/>
  <c r="B230" i="11" s="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B253" i="11" s="1"/>
  <c r="V154" i="11"/>
  <c r="F154" i="11"/>
  <c r="V153" i="11"/>
  <c r="F153" i="11"/>
  <c r="V152" i="11"/>
  <c r="F152" i="11"/>
  <c r="V151" i="11"/>
  <c r="F151" i="11"/>
  <c r="V150" i="11"/>
  <c r="F150" i="11"/>
  <c r="V149" i="11"/>
  <c r="F149" i="11"/>
  <c r="V148" i="11"/>
  <c r="F148" i="11"/>
  <c r="V147" i="11"/>
  <c r="F147" i="11"/>
  <c r="V146" i="11"/>
  <c r="F146" i="11"/>
  <c r="V145" i="11"/>
  <c r="F145" i="11"/>
  <c r="V144" i="11"/>
  <c r="F144" i="11"/>
  <c r="V143" i="11"/>
  <c r="F143" i="11"/>
  <c r="V142" i="11"/>
  <c r="F142" i="11"/>
  <c r="V141" i="11"/>
  <c r="F141" i="11"/>
  <c r="V140" i="11"/>
  <c r="F140" i="11"/>
  <c r="V139" i="11"/>
  <c r="F139" i="11"/>
  <c r="V138" i="11"/>
  <c r="F138" i="11"/>
  <c r="V137" i="11"/>
  <c r="F137" i="11"/>
  <c r="V136" i="11"/>
  <c r="F136" i="11"/>
  <c r="V135" i="11"/>
  <c r="F135" i="11"/>
  <c r="V134" i="11"/>
  <c r="F134" i="11"/>
  <c r="V133" i="11"/>
  <c r="F133" i="11"/>
  <c r="V132" i="11"/>
  <c r="F132" i="11"/>
  <c r="AJ131" i="11"/>
  <c r="V131" i="11"/>
  <c r="F131" i="11"/>
  <c r="C131" i="11"/>
  <c r="AJ130" i="11"/>
  <c r="V130" i="11"/>
  <c r="F130" i="11"/>
  <c r="AB125" i="11"/>
  <c r="F340" i="11" s="1"/>
  <c r="U56" i="75" s="1"/>
  <c r="B125" i="11"/>
  <c r="B124" i="11"/>
  <c r="B123" i="11"/>
  <c r="B122" i="11"/>
  <c r="AK121" i="11"/>
  <c r="T121" i="11"/>
  <c r="D121" i="11"/>
  <c r="B121" i="11"/>
  <c r="AN113" i="11"/>
  <c r="AL113" i="11"/>
  <c r="AJ113" i="11"/>
  <c r="U113" i="11"/>
  <c r="S113" i="11"/>
  <c r="E112" i="11"/>
  <c r="C112" i="11"/>
  <c r="AN112" i="11"/>
  <c r="AL112" i="11"/>
  <c r="AJ112" i="11"/>
  <c r="U112" i="11"/>
  <c r="S112" i="11"/>
  <c r="E111" i="11"/>
  <c r="C111" i="11"/>
  <c r="AN111" i="11"/>
  <c r="AL111" i="11"/>
  <c r="AJ111" i="11"/>
  <c r="U111" i="11"/>
  <c r="S111" i="11"/>
  <c r="E110" i="11"/>
  <c r="C110" i="11"/>
  <c r="AN110" i="11"/>
  <c r="AL110" i="11"/>
  <c r="AJ110" i="11"/>
  <c r="U110" i="11"/>
  <c r="S110" i="11"/>
  <c r="E109" i="11"/>
  <c r="C109" i="11"/>
  <c r="AN109" i="11"/>
  <c r="AL109" i="11"/>
  <c r="AJ109" i="11"/>
  <c r="U109" i="11"/>
  <c r="S109" i="11"/>
  <c r="E108" i="11"/>
  <c r="C108" i="11"/>
  <c r="AN108" i="11"/>
  <c r="AL108" i="11"/>
  <c r="AJ108" i="11"/>
  <c r="U108" i="11"/>
  <c r="S108" i="11"/>
  <c r="E107" i="11"/>
  <c r="C107" i="11"/>
  <c r="AN107" i="11"/>
  <c r="AL107" i="11"/>
  <c r="AJ107" i="11"/>
  <c r="U107" i="11"/>
  <c r="S107" i="11"/>
  <c r="E106" i="11"/>
  <c r="C106" i="11"/>
  <c r="AN106" i="11"/>
  <c r="AL106" i="11"/>
  <c r="AJ106" i="11"/>
  <c r="U106" i="11"/>
  <c r="S106" i="11"/>
  <c r="E105" i="11"/>
  <c r="C105" i="11"/>
  <c r="AN105" i="11"/>
  <c r="AL105" i="11"/>
  <c r="AJ105" i="11"/>
  <c r="U105" i="11"/>
  <c r="S105" i="11"/>
  <c r="E104" i="11"/>
  <c r="C104" i="11"/>
  <c r="AN104" i="11"/>
  <c r="AL104" i="11"/>
  <c r="AJ104" i="11"/>
  <c r="U104" i="11"/>
  <c r="S104" i="11"/>
  <c r="E103" i="11"/>
  <c r="AN103" i="11"/>
  <c r="AL103" i="11"/>
  <c r="AJ103" i="11"/>
  <c r="U103" i="11"/>
  <c r="E102" i="11"/>
  <c r="AN102" i="11"/>
  <c r="AL102" i="11"/>
  <c r="AJ102" i="11"/>
  <c r="U102" i="11"/>
  <c r="E101" i="11"/>
  <c r="AN101" i="11"/>
  <c r="AL101" i="11"/>
  <c r="AJ101" i="11"/>
  <c r="U101" i="11"/>
  <c r="E100" i="11"/>
  <c r="C100" i="11"/>
  <c r="AL100" i="11"/>
  <c r="AI100" i="11"/>
  <c r="U100" i="11"/>
  <c r="R100" i="11"/>
  <c r="E99" i="11"/>
  <c r="B99" i="11"/>
  <c r="T124" i="11"/>
  <c r="H99" i="11"/>
  <c r="I102" i="11" s="1"/>
  <c r="AK93" i="11"/>
  <c r="T93" i="11"/>
  <c r="F92" i="11"/>
  <c r="AK92" i="11"/>
  <c r="AK122" i="11" s="1"/>
  <c r="T92" i="11"/>
  <c r="T122" i="11" s="1"/>
  <c r="F91" i="11"/>
  <c r="D122" i="11" s="1"/>
  <c r="F64" i="11"/>
  <c r="I63" i="11"/>
  <c r="F62" i="11"/>
  <c r="C76" i="11" s="1"/>
  <c r="I61" i="11"/>
  <c r="F60" i="11"/>
  <c r="C75" i="11" s="1"/>
  <c r="H59" i="11"/>
  <c r="I59" i="11" s="1"/>
  <c r="F58" i="11"/>
  <c r="C74" i="11" s="1"/>
  <c r="H57" i="11"/>
  <c r="F56" i="11"/>
  <c r="AS43" i="11"/>
  <c r="AB45" i="11"/>
  <c r="L45" i="11"/>
  <c r="AS42" i="11"/>
  <c r="AB44" i="11"/>
  <c r="L44" i="11"/>
  <c r="AK41" i="11"/>
  <c r="T41" i="11"/>
  <c r="T42" i="11" s="1"/>
  <c r="D41" i="11"/>
  <c r="D42" i="11" s="1"/>
  <c r="AM40" i="11"/>
  <c r="V40" i="11"/>
  <c r="F40" i="11"/>
  <c r="AM39" i="11"/>
  <c r="V39" i="11"/>
  <c r="F39" i="11"/>
  <c r="G36" i="10"/>
  <c r="I36" i="10"/>
  <c r="F36" i="10"/>
  <c r="F40" i="10" s="1"/>
  <c r="F42" i="10" s="1"/>
  <c r="C190" i="10" s="1"/>
  <c r="H43" i="58" s="1"/>
  <c r="H36" i="10"/>
  <c r="H40" i="10" s="1"/>
  <c r="J40" i="10"/>
  <c r="E67" i="10"/>
  <c r="F73" i="10"/>
  <c r="L73" i="10"/>
  <c r="F74" i="10"/>
  <c r="L74" i="10"/>
  <c r="M74" i="10" s="1"/>
  <c r="F75" i="10"/>
  <c r="G75" i="10" s="1"/>
  <c r="L75" i="10"/>
  <c r="F76" i="10"/>
  <c r="L76" i="10"/>
  <c r="F77" i="10"/>
  <c r="L77" i="10"/>
  <c r="F78" i="10"/>
  <c r="L78" i="10"/>
  <c r="F79" i="10"/>
  <c r="L79" i="10"/>
  <c r="F80" i="10"/>
  <c r="L80" i="10"/>
  <c r="M80" i="10" s="1"/>
  <c r="J112" i="10" s="1"/>
  <c r="K120" i="10" s="1"/>
  <c r="M120" i="10" s="1"/>
  <c r="D193" i="10" s="1"/>
  <c r="J46" i="58" s="1"/>
  <c r="F81" i="10"/>
  <c r="G81" i="10" s="1"/>
  <c r="L81" i="10"/>
  <c r="F82" i="10"/>
  <c r="L82" i="10"/>
  <c r="F83" i="10"/>
  <c r="L83" i="10"/>
  <c r="R73" i="10"/>
  <c r="R74" i="10"/>
  <c r="R75" i="10"/>
  <c r="R76" i="10"/>
  <c r="R77" i="10"/>
  <c r="R78" i="10"/>
  <c r="S78" i="10" s="1"/>
  <c r="P108" i="10" s="1"/>
  <c r="Q119" i="10" s="1"/>
  <c r="S119" i="10" s="1"/>
  <c r="E192" i="10" s="1"/>
  <c r="L45" i="58" s="1"/>
  <c r="R79" i="10"/>
  <c r="S79" i="10" s="1"/>
  <c r="R80" i="10"/>
  <c r="R81" i="10"/>
  <c r="R82" i="10"/>
  <c r="R83" i="10"/>
  <c r="J46" i="9"/>
  <c r="I46" i="9"/>
  <c r="H46" i="9"/>
  <c r="G46" i="9"/>
  <c r="F46" i="9"/>
  <c r="J45" i="9"/>
  <c r="I45" i="9"/>
  <c r="H45" i="9"/>
  <c r="G45" i="9"/>
  <c r="F45" i="9"/>
  <c r="J34" i="9"/>
  <c r="I34" i="9"/>
  <c r="H34" i="9"/>
  <c r="G34" i="9"/>
  <c r="F35" i="9"/>
  <c r="C125" i="9" s="1"/>
  <c r="O41" i="62" s="1"/>
  <c r="P188" i="8"/>
  <c r="AB121" i="8"/>
  <c r="AB122" i="8" s="1"/>
  <c r="AC120" i="8"/>
  <c r="AD111" i="8"/>
  <c r="AD115" i="8"/>
  <c r="I188" i="8"/>
  <c r="S148" i="8"/>
  <c r="S147" i="8"/>
  <c r="S146" i="8"/>
  <c r="S145" i="8"/>
  <c r="S144" i="8"/>
  <c r="S143" i="8"/>
  <c r="S142" i="8"/>
  <c r="S141" i="8"/>
  <c r="S140" i="8"/>
  <c r="S139" i="8"/>
  <c r="S138" i="8"/>
  <c r="S137" i="8"/>
  <c r="S136" i="8"/>
  <c r="S135" i="8"/>
  <c r="S134" i="8"/>
  <c r="S133" i="8"/>
  <c r="S132" i="8"/>
  <c r="S131" i="8"/>
  <c r="S130" i="8"/>
  <c r="S129" i="8"/>
  <c r="S128" i="8"/>
  <c r="S127" i="8"/>
  <c r="S126" i="8"/>
  <c r="S125" i="8"/>
  <c r="S124" i="8"/>
  <c r="S123" i="8"/>
  <c r="S122" i="8"/>
  <c r="S121" i="8"/>
  <c r="X115" i="8"/>
  <c r="F310" i="8" s="1"/>
  <c r="U56" i="66" s="1"/>
  <c r="Q111" i="8"/>
  <c r="B188" i="8"/>
  <c r="B189" i="8" s="1"/>
  <c r="B190" i="8" s="1"/>
  <c r="B191" i="8" s="1"/>
  <c r="B192" i="8" s="1"/>
  <c r="B193" i="8" s="1"/>
  <c r="B194" i="8" s="1"/>
  <c r="B195" i="8" s="1"/>
  <c r="B196" i="8" s="1"/>
  <c r="B197" i="8" s="1"/>
  <c r="B198" i="8" s="1"/>
  <c r="B199" i="8" s="1"/>
  <c r="B200" i="8" s="1"/>
  <c r="B201" i="8" s="1"/>
  <c r="B202" i="8" s="1"/>
  <c r="B203" i="8" s="1"/>
  <c r="B204" i="8" s="1"/>
  <c r="B205" i="8" s="1"/>
  <c r="B206" i="8" s="1"/>
  <c r="B207" i="8" s="1"/>
  <c r="B208" i="8" s="1"/>
  <c r="B209" i="8" s="1"/>
  <c r="B210" i="8" s="1"/>
  <c r="B211" i="8" s="1"/>
  <c r="B212" i="8" s="1"/>
  <c r="B213" i="8" s="1"/>
  <c r="B214" i="8" s="1"/>
  <c r="B215" i="8" s="1"/>
  <c r="B216" i="8" s="1"/>
  <c r="B217" i="8" s="1"/>
  <c r="B218" i="8" s="1"/>
  <c r="B219" i="8" s="1"/>
  <c r="B220" i="8" s="1"/>
  <c r="B221" i="8" s="1"/>
  <c r="B222" i="8" s="1"/>
  <c r="B223" i="8" s="1"/>
  <c r="W48" i="65" l="1"/>
  <c r="W48" i="75"/>
  <c r="C73" i="11"/>
  <c r="F68" i="11"/>
  <c r="E336" i="11" s="1"/>
  <c r="S73" i="11"/>
  <c r="W68" i="11"/>
  <c r="F336" i="11" s="1"/>
  <c r="G80" i="10"/>
  <c r="G74" i="10"/>
  <c r="M73" i="10"/>
  <c r="G73" i="10"/>
  <c r="S77" i="10"/>
  <c r="G79" i="10"/>
  <c r="S73" i="10"/>
  <c r="M83" i="10"/>
  <c r="G83" i="10"/>
  <c r="S82" i="10"/>
  <c r="M82" i="10"/>
  <c r="M76" i="10"/>
  <c r="S76" i="10"/>
  <c r="S75" i="10"/>
  <c r="M78" i="10"/>
  <c r="J108" i="10" s="1"/>
  <c r="K119" i="10" s="1"/>
  <c r="M119" i="10" s="1"/>
  <c r="D192" i="10" s="1"/>
  <c r="J45" i="58" s="1"/>
  <c r="M77" i="10"/>
  <c r="S81" i="10"/>
  <c r="G76" i="10"/>
  <c r="M79" i="10"/>
  <c r="S74" i="10"/>
  <c r="G78" i="10"/>
  <c r="D108" i="10" s="1"/>
  <c r="S83" i="10"/>
  <c r="G77" i="10"/>
  <c r="G82" i="10"/>
  <c r="S80" i="10"/>
  <c r="P112" i="10" s="1"/>
  <c r="Q120" i="10" s="1"/>
  <c r="S120" i="10" s="1"/>
  <c r="E193" i="10" s="1"/>
  <c r="L46" i="58" s="1"/>
  <c r="M81" i="10"/>
  <c r="M75" i="10"/>
  <c r="D109" i="14"/>
  <c r="D116" i="14"/>
  <c r="D113" i="14"/>
  <c r="D97" i="14"/>
  <c r="D115" i="14"/>
  <c r="D112" i="14"/>
  <c r="D114" i="14"/>
  <c r="D120" i="14"/>
  <c r="D104" i="14"/>
  <c r="D108" i="14"/>
  <c r="D101" i="14"/>
  <c r="D123" i="14"/>
  <c r="D102" i="14"/>
  <c r="D92" i="14"/>
  <c r="D96" i="14"/>
  <c r="D90" i="14"/>
  <c r="D124" i="14"/>
  <c r="D126" i="14"/>
  <c r="D103" i="14"/>
  <c r="D122" i="14"/>
  <c r="D100" i="14"/>
  <c r="D111" i="14"/>
  <c r="D95" i="14"/>
  <c r="D93" i="14"/>
  <c r="D91" i="14"/>
  <c r="D110" i="14"/>
  <c r="D99" i="14"/>
  <c r="D105" i="14"/>
  <c r="D125" i="14"/>
  <c r="D118" i="14"/>
  <c r="D98" i="14"/>
  <c r="D119" i="14"/>
  <c r="D106" i="14"/>
  <c r="D121" i="14"/>
  <c r="D107" i="14"/>
  <c r="D94" i="14"/>
  <c r="D117" i="14"/>
  <c r="C100" i="14"/>
  <c r="A123" i="10"/>
  <c r="J42" i="10"/>
  <c r="E190" i="10" s="1"/>
  <c r="L43" i="58" s="1"/>
  <c r="H42" i="10"/>
  <c r="D190" i="10" s="1"/>
  <c r="J43" i="58" s="1"/>
  <c r="I40" i="10"/>
  <c r="J35" i="9"/>
  <c r="G125" i="9" s="1"/>
  <c r="W41" i="62" s="1"/>
  <c r="G122" i="9"/>
  <c r="W35" i="62" s="1"/>
  <c r="G35" i="9"/>
  <c r="D125" i="9" s="1"/>
  <c r="Q41" i="62" s="1"/>
  <c r="D122" i="9"/>
  <c r="Q35" i="62" s="1"/>
  <c r="H35" i="9"/>
  <c r="E125" i="9" s="1"/>
  <c r="S41" i="62" s="1"/>
  <c r="E122" i="9"/>
  <c r="S35" i="62" s="1"/>
  <c r="I35" i="9"/>
  <c r="F125" i="9" s="1"/>
  <c r="U41" i="62" s="1"/>
  <c r="F122" i="9"/>
  <c r="U35" i="62" s="1"/>
  <c r="I85" i="14"/>
  <c r="L133" i="14"/>
  <c r="I84" i="14"/>
  <c r="C111" i="14"/>
  <c r="C92" i="14"/>
  <c r="C94" i="14"/>
  <c r="C109" i="14"/>
  <c r="C93" i="14"/>
  <c r="C104" i="14"/>
  <c r="C103" i="14"/>
  <c r="C120" i="14"/>
  <c r="C124" i="14"/>
  <c r="C107" i="14"/>
  <c r="C118" i="14"/>
  <c r="C119" i="14"/>
  <c r="C112" i="14"/>
  <c r="C116" i="14"/>
  <c r="C125" i="14"/>
  <c r="C121" i="14"/>
  <c r="C101" i="14"/>
  <c r="C122" i="14"/>
  <c r="C105" i="14"/>
  <c r="C96" i="14"/>
  <c r="C98" i="14"/>
  <c r="C110" i="14"/>
  <c r="C115" i="14"/>
  <c r="C113" i="14"/>
  <c r="C108" i="14"/>
  <c r="C90" i="14"/>
  <c r="C95" i="14"/>
  <c r="C126" i="14"/>
  <c r="C97" i="14"/>
  <c r="C123" i="14"/>
  <c r="C117" i="14"/>
  <c r="C91" i="14"/>
  <c r="C99" i="14"/>
  <c r="C114" i="14"/>
  <c r="C106" i="14"/>
  <c r="C102" i="14"/>
  <c r="Q80" i="14"/>
  <c r="W39" i="40" s="1"/>
  <c r="H38" i="14"/>
  <c r="O83" i="14" s="1"/>
  <c r="W35" i="40" s="1"/>
  <c r="F335" i="11"/>
  <c r="F322" i="11"/>
  <c r="D321" i="11"/>
  <c r="AS125" i="11"/>
  <c r="AM41" i="11"/>
  <c r="F321" i="11"/>
  <c r="C77" i="11"/>
  <c r="E322" i="11"/>
  <c r="E332" i="11"/>
  <c r="F332" i="11"/>
  <c r="G332" i="11"/>
  <c r="E334" i="11"/>
  <c r="S202" i="11"/>
  <c r="M264" i="11" s="1"/>
  <c r="S271" i="11" s="1"/>
  <c r="F334" i="11"/>
  <c r="G334" i="11"/>
  <c r="V41" i="11"/>
  <c r="E321" i="11"/>
  <c r="D322" i="11"/>
  <c r="AC172" i="8"/>
  <c r="N231" i="8" s="1"/>
  <c r="R238" i="8" s="1"/>
  <c r="G304" i="8"/>
  <c r="W44" i="66" s="1"/>
  <c r="P172" i="8"/>
  <c r="N230" i="8" s="1"/>
  <c r="R237" i="8" s="1"/>
  <c r="F304" i="8"/>
  <c r="U44" i="66" s="1"/>
  <c r="AK115" i="8"/>
  <c r="G310" i="8" s="1"/>
  <c r="W56" i="66" s="1"/>
  <c r="W111" i="11"/>
  <c r="K40" i="10"/>
  <c r="K42" i="10" s="1"/>
  <c r="W105" i="11"/>
  <c r="W108" i="11"/>
  <c r="W110" i="11"/>
  <c r="W107" i="11"/>
  <c r="C202" i="11"/>
  <c r="M263" i="11" s="1"/>
  <c r="S270" i="11" s="1"/>
  <c r="W104" i="11"/>
  <c r="AJ202" i="11"/>
  <c r="M265" i="11" s="1"/>
  <c r="S272" i="11" s="1"/>
  <c r="AM156" i="11"/>
  <c r="AM155" i="11"/>
  <c r="W102" i="11"/>
  <c r="W113" i="11"/>
  <c r="W106" i="11"/>
  <c r="W109" i="11"/>
  <c r="W112" i="11"/>
  <c r="L157" i="11"/>
  <c r="L156" i="11"/>
  <c r="L158" i="11"/>
  <c r="L155" i="11"/>
  <c r="L159" i="11"/>
  <c r="W101" i="11"/>
  <c r="AB158" i="11"/>
  <c r="AB155" i="11"/>
  <c r="AB160" i="11"/>
  <c r="AB159" i="11"/>
  <c r="AB157" i="11"/>
  <c r="AB156" i="11"/>
  <c r="AS158" i="11"/>
  <c r="AS157" i="11"/>
  <c r="AS155" i="11"/>
  <c r="AS156" i="11"/>
  <c r="AB123" i="8"/>
  <c r="AC123" i="8" s="1"/>
  <c r="AC122" i="8"/>
  <c r="AC121" i="8"/>
  <c r="AM42" i="11"/>
  <c r="D123" i="11"/>
  <c r="F94" i="11"/>
  <c r="I57" i="11"/>
  <c r="F99" i="11"/>
  <c r="T123" i="11"/>
  <c r="T95" i="11"/>
  <c r="T125" i="11" s="1"/>
  <c r="AK123" i="11"/>
  <c r="AK95" i="11"/>
  <c r="V42" i="11"/>
  <c r="AM150" i="11"/>
  <c r="AS134" i="11"/>
  <c r="AS142" i="11"/>
  <c r="AS138" i="11"/>
  <c r="AS132" i="11"/>
  <c r="AS140" i="11"/>
  <c r="AS136" i="11"/>
  <c r="F41" i="11"/>
  <c r="Z100" i="11"/>
  <c r="C78" i="11"/>
  <c r="L154" i="11"/>
  <c r="L152" i="11"/>
  <c r="L150" i="11"/>
  <c r="L148" i="11"/>
  <c r="L146" i="11"/>
  <c r="L151" i="11"/>
  <c r="L143" i="11"/>
  <c r="L141" i="11"/>
  <c r="L139" i="11"/>
  <c r="L137" i="11"/>
  <c r="L135" i="11"/>
  <c r="L133" i="11"/>
  <c r="L131" i="11"/>
  <c r="L153" i="11"/>
  <c r="L147" i="11"/>
  <c r="L145" i="11"/>
  <c r="J130" i="11"/>
  <c r="L144" i="11"/>
  <c r="L142" i="11"/>
  <c r="L140" i="11"/>
  <c r="L138" i="11"/>
  <c r="L136" i="11"/>
  <c r="L134" i="11"/>
  <c r="L132" i="11"/>
  <c r="L149" i="11"/>
  <c r="AB154" i="11"/>
  <c r="AB152" i="11"/>
  <c r="AB150" i="11"/>
  <c r="AB148" i="11"/>
  <c r="AB146" i="11"/>
  <c r="AB153" i="11"/>
  <c r="AB147" i="11"/>
  <c r="AB143" i="11"/>
  <c r="AB141" i="11"/>
  <c r="AB139" i="11"/>
  <c r="AB137" i="11"/>
  <c r="AB135" i="11"/>
  <c r="AB133" i="11"/>
  <c r="AB131" i="11"/>
  <c r="AB149" i="11"/>
  <c r="AB151" i="11"/>
  <c r="AB142" i="11"/>
  <c r="AB140" i="11"/>
  <c r="AB138" i="11"/>
  <c r="AB136" i="11"/>
  <c r="AB134" i="11"/>
  <c r="AB132" i="11"/>
  <c r="Z130" i="11"/>
  <c r="AB145" i="11"/>
  <c r="AB144" i="11"/>
  <c r="AJ133" i="11"/>
  <c r="I101" i="11"/>
  <c r="I110" i="11"/>
  <c r="I106" i="11"/>
  <c r="I100" i="11"/>
  <c r="I104" i="11"/>
  <c r="I109" i="11"/>
  <c r="I105" i="11"/>
  <c r="I108" i="11"/>
  <c r="I112" i="11"/>
  <c r="I111" i="11"/>
  <c r="I107" i="11"/>
  <c r="I103" i="11"/>
  <c r="X100" i="11"/>
  <c r="AM154" i="11"/>
  <c r="AM153" i="11"/>
  <c r="AM151" i="11"/>
  <c r="AM149" i="11"/>
  <c r="AM147" i="11"/>
  <c r="AM131" i="11"/>
  <c r="AM133" i="11"/>
  <c r="AM135" i="11"/>
  <c r="AM137" i="11"/>
  <c r="AM143" i="11"/>
  <c r="AS154" i="11"/>
  <c r="AS152" i="11"/>
  <c r="AS150" i="11"/>
  <c r="AS148" i="11"/>
  <c r="AS146" i="11"/>
  <c r="AS147" i="11"/>
  <c r="AS153" i="11"/>
  <c r="AM144" i="11"/>
  <c r="AM148" i="11"/>
  <c r="D124" i="11"/>
  <c r="AJ132" i="11"/>
  <c r="AM145" i="11"/>
  <c r="L46" i="11"/>
  <c r="L47" i="11" s="1"/>
  <c r="D44" i="11" s="1"/>
  <c r="AS131" i="11"/>
  <c r="AS133" i="11"/>
  <c r="AS135" i="11"/>
  <c r="AS137" i="11"/>
  <c r="AS139" i="11"/>
  <c r="AS141" i="11"/>
  <c r="AS143" i="11"/>
  <c r="AK42" i="11"/>
  <c r="AM132" i="11"/>
  <c r="AM134" i="11"/>
  <c r="AM136" i="11"/>
  <c r="AM138" i="11"/>
  <c r="AM140" i="11"/>
  <c r="AM142" i="11"/>
  <c r="AS145" i="11"/>
  <c r="AS151" i="11"/>
  <c r="AB46" i="11"/>
  <c r="AB47" i="11" s="1"/>
  <c r="T44" i="11" s="1"/>
  <c r="AM130" i="11"/>
  <c r="AM146" i="11"/>
  <c r="AS144" i="11"/>
  <c r="AS44" i="11"/>
  <c r="AS45" i="11" s="1"/>
  <c r="AK44" i="11" s="1"/>
  <c r="AQ130" i="11"/>
  <c r="AS149" i="11"/>
  <c r="G40" i="10"/>
  <c r="G42" i="10" s="1"/>
  <c r="F47" i="9"/>
  <c r="F48" i="9" s="1"/>
  <c r="F60" i="9" s="1"/>
  <c r="G47" i="9"/>
  <c r="G48" i="9" s="1"/>
  <c r="F61" i="9" s="1"/>
  <c r="H47" i="9"/>
  <c r="H48" i="9" s="1"/>
  <c r="F62" i="9" s="1"/>
  <c r="I47" i="9"/>
  <c r="I48" i="9" s="1"/>
  <c r="F63" i="9" s="1"/>
  <c r="J47" i="9"/>
  <c r="J48" i="9" s="1"/>
  <c r="F64" i="9" s="1"/>
  <c r="P189" i="8"/>
  <c r="AB124" i="8"/>
  <c r="AC124" i="8" s="1"/>
  <c r="I189" i="8"/>
  <c r="E194" i="10" l="1"/>
  <c r="L47" i="58" s="1"/>
  <c r="H33" i="65"/>
  <c r="H33" i="75"/>
  <c r="U44" i="65"/>
  <c r="U44" i="75"/>
  <c r="U40" i="65"/>
  <c r="U40" i="75"/>
  <c r="L32" i="65"/>
  <c r="L32" i="75"/>
  <c r="L33" i="65"/>
  <c r="L33" i="75"/>
  <c r="W44" i="65"/>
  <c r="W44" i="75"/>
  <c r="H32" i="65"/>
  <c r="H32" i="75"/>
  <c r="S48" i="65"/>
  <c r="S48" i="75"/>
  <c r="J32" i="65"/>
  <c r="J32" i="75"/>
  <c r="S40" i="65"/>
  <c r="S40" i="75"/>
  <c r="U46" i="65"/>
  <c r="U46" i="75"/>
  <c r="U48" i="65"/>
  <c r="U48" i="75"/>
  <c r="W40" i="65"/>
  <c r="W40" i="75"/>
  <c r="S44" i="65"/>
  <c r="S44" i="75"/>
  <c r="J33" i="65"/>
  <c r="J33" i="75"/>
  <c r="I90" i="14"/>
  <c r="D194" i="10"/>
  <c r="J47" i="58" s="1"/>
  <c r="AM141" i="11"/>
  <c r="G340" i="11"/>
  <c r="W56" i="75" s="1"/>
  <c r="AF125" i="8"/>
  <c r="AF142" i="8"/>
  <c r="AF139" i="8"/>
  <c r="AF132" i="8"/>
  <c r="AF122" i="8"/>
  <c r="AF147" i="8"/>
  <c r="AF144" i="8"/>
  <c r="AF124" i="8"/>
  <c r="AF137" i="8"/>
  <c r="AF141" i="8"/>
  <c r="AF143" i="8"/>
  <c r="AF121" i="8"/>
  <c r="AF123" i="8"/>
  <c r="AF136" i="8"/>
  <c r="AF128" i="8"/>
  <c r="AF131" i="8"/>
  <c r="AF146" i="8"/>
  <c r="AF130" i="8"/>
  <c r="AF120" i="8"/>
  <c r="AF133" i="8"/>
  <c r="AF135" i="8"/>
  <c r="AF148" i="8"/>
  <c r="AF127" i="8"/>
  <c r="AF140" i="8"/>
  <c r="I108" i="14"/>
  <c r="U56" i="65"/>
  <c r="AM157" i="11"/>
  <c r="AM158" i="11"/>
  <c r="I110" i="14"/>
  <c r="I125" i="14"/>
  <c r="I99" i="14"/>
  <c r="I109" i="14"/>
  <c r="I121" i="14"/>
  <c r="I94" i="14"/>
  <c r="I103" i="14"/>
  <c r="I92" i="14"/>
  <c r="I119" i="14"/>
  <c r="I120" i="14"/>
  <c r="I104" i="14"/>
  <c r="I126" i="14"/>
  <c r="I122" i="14"/>
  <c r="I97" i="14"/>
  <c r="I91" i="14"/>
  <c r="I124" i="14"/>
  <c r="I115" i="14"/>
  <c r="I117" i="14"/>
  <c r="I116" i="14"/>
  <c r="I101" i="14"/>
  <c r="I123" i="14"/>
  <c r="I98" i="14"/>
  <c r="I95" i="14"/>
  <c r="I113" i="14"/>
  <c r="I96" i="14"/>
  <c r="I106" i="14"/>
  <c r="I107" i="14"/>
  <c r="I114" i="14"/>
  <c r="I93" i="14"/>
  <c r="I102" i="14"/>
  <c r="I100" i="14"/>
  <c r="I118" i="14"/>
  <c r="I112" i="14"/>
  <c r="U37" i="40"/>
  <c r="J125" i="14"/>
  <c r="J94" i="14"/>
  <c r="J122" i="14"/>
  <c r="J112" i="14"/>
  <c r="J113" i="14"/>
  <c r="J110" i="14"/>
  <c r="J121" i="14"/>
  <c r="J90" i="14"/>
  <c r="J101" i="14"/>
  <c r="J98" i="14"/>
  <c r="J109" i="14"/>
  <c r="J106" i="14"/>
  <c r="J107" i="14"/>
  <c r="J120" i="14"/>
  <c r="J97" i="14"/>
  <c r="J116" i="14"/>
  <c r="J96" i="14"/>
  <c r="J100" i="14"/>
  <c r="J117" i="14"/>
  <c r="J104" i="14"/>
  <c r="J118" i="14"/>
  <c r="J99" i="14"/>
  <c r="J105" i="14"/>
  <c r="J92" i="14"/>
  <c r="J115" i="14"/>
  <c r="J119" i="14"/>
  <c r="J93" i="14"/>
  <c r="J103" i="14"/>
  <c r="J95" i="14"/>
  <c r="J102" i="14"/>
  <c r="J91" i="14"/>
  <c r="J126" i="14"/>
  <c r="J123" i="14"/>
  <c r="J114" i="14"/>
  <c r="J111" i="14"/>
  <c r="J108" i="14"/>
  <c r="J124" i="14"/>
  <c r="I105" i="14"/>
  <c r="B124" i="10"/>
  <c r="B125" i="10"/>
  <c r="A124" i="10"/>
  <c r="A125" i="10"/>
  <c r="P109" i="10"/>
  <c r="D112" i="10"/>
  <c r="J109" i="10"/>
  <c r="P113" i="10"/>
  <c r="J113" i="10"/>
  <c r="I42" i="10"/>
  <c r="J36" i="9"/>
  <c r="G126" i="9" s="1"/>
  <c r="W43" i="62" s="1"/>
  <c r="G124" i="9"/>
  <c r="W39" i="62" s="1"/>
  <c r="I36" i="9"/>
  <c r="F126" i="9" s="1"/>
  <c r="U43" i="62" s="1"/>
  <c r="F124" i="9"/>
  <c r="U39" i="62" s="1"/>
  <c r="H36" i="9"/>
  <c r="E126" i="9" s="1"/>
  <c r="S43" i="62" s="1"/>
  <c r="E124" i="9"/>
  <c r="S39" i="62" s="1"/>
  <c r="G36" i="9"/>
  <c r="D126" i="9" s="1"/>
  <c r="Q43" i="62" s="1"/>
  <c r="D124" i="9"/>
  <c r="Q39" i="62" s="1"/>
  <c r="F36" i="9"/>
  <c r="C126" i="9" s="1"/>
  <c r="O43" i="62" s="1"/>
  <c r="C124" i="9"/>
  <c r="O39" i="62" s="1"/>
  <c r="I111" i="14"/>
  <c r="O85" i="14"/>
  <c r="O84" i="14"/>
  <c r="L134" i="14"/>
  <c r="L136" i="14" s="1"/>
  <c r="L139" i="14" s="1"/>
  <c r="AM152" i="11"/>
  <c r="F327" i="11"/>
  <c r="F323" i="11"/>
  <c r="E324" i="11"/>
  <c r="AK43" i="11"/>
  <c r="AK45" i="11" s="1"/>
  <c r="F324" i="11"/>
  <c r="F42" i="11"/>
  <c r="D323" i="11"/>
  <c r="E325" i="11"/>
  <c r="E323" i="11"/>
  <c r="D325" i="11"/>
  <c r="W130" i="11"/>
  <c r="F333" i="11"/>
  <c r="F325" i="11"/>
  <c r="E335" i="11"/>
  <c r="AM139" i="11"/>
  <c r="G333" i="11"/>
  <c r="G130" i="11"/>
  <c r="H136" i="11" s="1"/>
  <c r="E333" i="11"/>
  <c r="AF129" i="8"/>
  <c r="AF145" i="8"/>
  <c r="AF149" i="8"/>
  <c r="AF126" i="8"/>
  <c r="AF134" i="8"/>
  <c r="AF138" i="8"/>
  <c r="X160" i="11"/>
  <c r="T43" i="11"/>
  <c r="T45" i="11" s="1"/>
  <c r="G109" i="11"/>
  <c r="G105" i="11"/>
  <c r="G102" i="11"/>
  <c r="G110" i="11"/>
  <c r="G106" i="11"/>
  <c r="G100" i="11"/>
  <c r="G108" i="11"/>
  <c r="G112" i="11"/>
  <c r="G111" i="11"/>
  <c r="G107" i="11"/>
  <c r="G103" i="11"/>
  <c r="G104" i="11"/>
  <c r="G101" i="11"/>
  <c r="X151" i="11"/>
  <c r="J111" i="11"/>
  <c r="J112" i="11"/>
  <c r="J108" i="11"/>
  <c r="J105" i="11"/>
  <c r="J109" i="11"/>
  <c r="AJ134" i="11"/>
  <c r="J99" i="11"/>
  <c r="D125" i="11"/>
  <c r="J104" i="11"/>
  <c r="Y113" i="11"/>
  <c r="Z113" i="11" s="1"/>
  <c r="Y109" i="11"/>
  <c r="Z109" i="11" s="1"/>
  <c r="Y105" i="11"/>
  <c r="Z105" i="11" s="1"/>
  <c r="Y112" i="11"/>
  <c r="Z112" i="11" s="1"/>
  <c r="Y108" i="11"/>
  <c r="Z108" i="11" s="1"/>
  <c r="Y104" i="11"/>
  <c r="Z104" i="11" s="1"/>
  <c r="Y103" i="11"/>
  <c r="Z103" i="11" s="1"/>
  <c r="Y111" i="11"/>
  <c r="Z111" i="11" s="1"/>
  <c r="Y107" i="11"/>
  <c r="Z107" i="11" s="1"/>
  <c r="Y102" i="11"/>
  <c r="Z102" i="11" s="1"/>
  <c r="Y101" i="11"/>
  <c r="Z101" i="11" s="1"/>
  <c r="Y110" i="11"/>
  <c r="Z110" i="11" s="1"/>
  <c r="Y106" i="11"/>
  <c r="Z106" i="11" s="1"/>
  <c r="C132" i="11"/>
  <c r="J100" i="11"/>
  <c r="J106" i="11"/>
  <c r="J110" i="11"/>
  <c r="J101" i="11"/>
  <c r="J103" i="11"/>
  <c r="J107" i="11"/>
  <c r="J102" i="11"/>
  <c r="P190" i="8"/>
  <c r="AB125" i="8"/>
  <c r="AC125" i="8" s="1"/>
  <c r="I190" i="8"/>
  <c r="M58" i="40" l="1"/>
  <c r="D170" i="14"/>
  <c r="S42" i="65"/>
  <c r="S42" i="75"/>
  <c r="S46" i="65"/>
  <c r="S46" i="75"/>
  <c r="H36" i="65"/>
  <c r="H36" i="75"/>
  <c r="L34" i="65"/>
  <c r="L34" i="75"/>
  <c r="H34" i="65"/>
  <c r="H34" i="75"/>
  <c r="J35" i="65"/>
  <c r="J35" i="75"/>
  <c r="L36" i="65"/>
  <c r="L36" i="75"/>
  <c r="J34" i="65"/>
  <c r="J34" i="75"/>
  <c r="L35" i="65"/>
  <c r="L35" i="75"/>
  <c r="L38" i="65"/>
  <c r="L38" i="75"/>
  <c r="W42" i="65"/>
  <c r="W42" i="75"/>
  <c r="U42" i="65"/>
  <c r="U42" i="75"/>
  <c r="J36" i="65"/>
  <c r="J36" i="75"/>
  <c r="D147" i="10"/>
  <c r="D97" i="58" s="1"/>
  <c r="H159" i="11"/>
  <c r="X159" i="11"/>
  <c r="AO288" i="11"/>
  <c r="AP288" i="11" s="1"/>
  <c r="L130" i="11"/>
  <c r="AJ288" i="11"/>
  <c r="AK288" i="11" s="1"/>
  <c r="D146" i="10"/>
  <c r="D96" i="58" s="1"/>
  <c r="D148" i="10"/>
  <c r="D98" i="58" s="1"/>
  <c r="L123" i="10"/>
  <c r="W56" i="65"/>
  <c r="F135" i="10"/>
  <c r="F133" i="10"/>
  <c r="F134" i="10"/>
  <c r="N106" i="14"/>
  <c r="L137" i="14"/>
  <c r="L140" i="14" s="1"/>
  <c r="N103" i="14"/>
  <c r="N116" i="14"/>
  <c r="N122" i="14"/>
  <c r="N110" i="14"/>
  <c r="N119" i="14"/>
  <c r="N113" i="14"/>
  <c r="N111" i="14"/>
  <c r="N100" i="14"/>
  <c r="W37" i="40"/>
  <c r="O118" i="14"/>
  <c r="O123" i="14"/>
  <c r="O96" i="14"/>
  <c r="O102" i="14"/>
  <c r="O97" i="14"/>
  <c r="O115" i="14"/>
  <c r="O117" i="14"/>
  <c r="O108" i="14"/>
  <c r="O116" i="14"/>
  <c r="O103" i="14"/>
  <c r="O126" i="14"/>
  <c r="O107" i="14"/>
  <c r="O99" i="14"/>
  <c r="O104" i="14"/>
  <c r="O91" i="14"/>
  <c r="O114" i="14"/>
  <c r="O111" i="14"/>
  <c r="O92" i="14"/>
  <c r="O90" i="14"/>
  <c r="O125" i="14"/>
  <c r="O122" i="14"/>
  <c r="O109" i="14"/>
  <c r="O120" i="14"/>
  <c r="O94" i="14"/>
  <c r="O113" i="14"/>
  <c r="O110" i="14"/>
  <c r="O119" i="14"/>
  <c r="O101" i="14"/>
  <c r="O105" i="14"/>
  <c r="O98" i="14"/>
  <c r="O106" i="14"/>
  <c r="O95" i="14"/>
  <c r="O112" i="14"/>
  <c r="O124" i="14"/>
  <c r="O93" i="14"/>
  <c r="O121" i="14"/>
  <c r="O100" i="14"/>
  <c r="N94" i="14"/>
  <c r="N97" i="14"/>
  <c r="N117" i="14"/>
  <c r="N125" i="14"/>
  <c r="N96" i="14"/>
  <c r="N126" i="14"/>
  <c r="N95" i="14"/>
  <c r="N107" i="14"/>
  <c r="N112" i="14"/>
  <c r="N109" i="14"/>
  <c r="N118" i="14"/>
  <c r="N93" i="14"/>
  <c r="N99" i="14"/>
  <c r="N124" i="14"/>
  <c r="N91" i="14"/>
  <c r="N102" i="14"/>
  <c r="N90" i="14"/>
  <c r="N114" i="14"/>
  <c r="N115" i="14"/>
  <c r="N104" i="14"/>
  <c r="N123" i="14"/>
  <c r="N121" i="14"/>
  <c r="N101" i="14"/>
  <c r="N98" i="14"/>
  <c r="N92" i="14"/>
  <c r="N105" i="14"/>
  <c r="N108" i="14"/>
  <c r="N120" i="14"/>
  <c r="J123" i="10"/>
  <c r="D113" i="10"/>
  <c r="E120" i="10"/>
  <c r="G120" i="10" s="1"/>
  <c r="D109" i="10"/>
  <c r="E119" i="10"/>
  <c r="G119" i="10" s="1"/>
  <c r="C192" i="10" s="1"/>
  <c r="H45" i="58" s="1"/>
  <c r="C61" i="9"/>
  <c r="C62" i="9"/>
  <c r="C63" i="9"/>
  <c r="C64" i="9"/>
  <c r="D61" i="9"/>
  <c r="D62" i="9"/>
  <c r="D64" i="9"/>
  <c r="C60" i="9"/>
  <c r="D63" i="9"/>
  <c r="D60" i="9"/>
  <c r="H142" i="11"/>
  <c r="X137" i="11"/>
  <c r="H156" i="11"/>
  <c r="X144" i="11"/>
  <c r="H155" i="11"/>
  <c r="X145" i="11"/>
  <c r="X139" i="11"/>
  <c r="X152" i="11"/>
  <c r="X157" i="11"/>
  <c r="H138" i="11"/>
  <c r="H146" i="11"/>
  <c r="H145" i="11"/>
  <c r="H158" i="11"/>
  <c r="H141" i="11"/>
  <c r="X153" i="11"/>
  <c r="X131" i="11"/>
  <c r="X156" i="11"/>
  <c r="H152" i="11"/>
  <c r="D324" i="11"/>
  <c r="X155" i="11"/>
  <c r="X158" i="11"/>
  <c r="X135" i="11"/>
  <c r="H150" i="11"/>
  <c r="AA130" i="11"/>
  <c r="X134" i="11"/>
  <c r="H157" i="11"/>
  <c r="X140" i="11"/>
  <c r="H139" i="11"/>
  <c r="H143" i="11"/>
  <c r="H148" i="11"/>
  <c r="X142" i="11"/>
  <c r="H140" i="11"/>
  <c r="H132" i="11"/>
  <c r="H144" i="11"/>
  <c r="K130" i="11"/>
  <c r="M130" i="11" s="1"/>
  <c r="H137" i="11"/>
  <c r="E327" i="11"/>
  <c r="X146" i="11"/>
  <c r="X154" i="11"/>
  <c r="H134" i="11"/>
  <c r="X149" i="11"/>
  <c r="H149" i="11"/>
  <c r="H135" i="11"/>
  <c r="H133" i="11"/>
  <c r="X150" i="11"/>
  <c r="X143" i="11"/>
  <c r="X138" i="11"/>
  <c r="H131" i="11"/>
  <c r="X133" i="11"/>
  <c r="X147" i="11"/>
  <c r="H151" i="11"/>
  <c r="F326" i="11"/>
  <c r="E326" i="11"/>
  <c r="H153" i="11"/>
  <c r="X148" i="11"/>
  <c r="D43" i="11"/>
  <c r="D45" i="11" s="1"/>
  <c r="X132" i="11"/>
  <c r="AB130" i="11"/>
  <c r="X141" i="11"/>
  <c r="X136" i="11"/>
  <c r="H147" i="11"/>
  <c r="H154" i="11"/>
  <c r="L143" i="14"/>
  <c r="C133" i="11"/>
  <c r="AJ135" i="11"/>
  <c r="P191" i="8"/>
  <c r="AB126" i="8"/>
  <c r="AC126" i="8" s="1"/>
  <c r="I191" i="8"/>
  <c r="E170" i="14" l="1"/>
  <c r="G170" i="14" a="1"/>
  <c r="G170" i="14" s="1"/>
  <c r="H170" i="14" a="1"/>
  <c r="H170" i="14" s="1"/>
  <c r="L170" i="14" s="1"/>
  <c r="M57" i="40"/>
  <c r="D169" i="14"/>
  <c r="J37" i="65"/>
  <c r="J37" i="75"/>
  <c r="J38" i="65"/>
  <c r="J38" i="75"/>
  <c r="L37" i="65"/>
  <c r="L37" i="75"/>
  <c r="H35" i="65"/>
  <c r="H35" i="75"/>
  <c r="AC130" i="11"/>
  <c r="E66" i="9"/>
  <c r="J124" i="10"/>
  <c r="J125" i="10" s="1"/>
  <c r="J126" i="10" s="1"/>
  <c r="J127" i="10" s="1"/>
  <c r="J128" i="10" s="1"/>
  <c r="J129" i="10" s="1"/>
  <c r="J130" i="10" s="1"/>
  <c r="J131" i="10" s="1"/>
  <c r="J132" i="10" s="1"/>
  <c r="J133" i="10" s="1"/>
  <c r="J134" i="10" s="1"/>
  <c r="J135" i="10" s="1"/>
  <c r="C193" i="10"/>
  <c r="H46" i="58" s="1"/>
  <c r="D326" i="11"/>
  <c r="D327" i="11"/>
  <c r="L142" i="14"/>
  <c r="L146" i="14" s="1"/>
  <c r="AJ136" i="11"/>
  <c r="C134" i="11"/>
  <c r="P192" i="8"/>
  <c r="AB127" i="8"/>
  <c r="AC127" i="8" s="1"/>
  <c r="I192" i="8"/>
  <c r="E67" i="9" l="1"/>
  <c r="D160" i="9"/>
  <c r="H169" i="14" a="1"/>
  <c r="H169" i="14" s="1"/>
  <c r="L169" i="14" s="1"/>
  <c r="D177" i="14" s="1"/>
  <c r="G169" i="14" a="1"/>
  <c r="G169" i="14" s="1"/>
  <c r="E169" i="14"/>
  <c r="D176" i="14" s="1"/>
  <c r="H38" i="65"/>
  <c r="H38" i="75"/>
  <c r="H37" i="65"/>
  <c r="H37" i="75"/>
  <c r="E73" i="9"/>
  <c r="E75" i="9"/>
  <c r="C194" i="10"/>
  <c r="H47" i="58" s="1"/>
  <c r="E76" i="9"/>
  <c r="H66" i="9"/>
  <c r="U47" i="62"/>
  <c r="L151" i="14"/>
  <c r="L154" i="14"/>
  <c r="L152" i="14"/>
  <c r="L147" i="14"/>
  <c r="L153" i="14"/>
  <c r="L150" i="14"/>
  <c r="L148" i="14"/>
  <c r="L149" i="14"/>
  <c r="H67" i="9"/>
  <c r="D73" i="9"/>
  <c r="D72" i="9"/>
  <c r="D76" i="9"/>
  <c r="C135" i="11"/>
  <c r="AJ137" i="11"/>
  <c r="P193" i="8"/>
  <c r="AB128" i="8"/>
  <c r="AC128" i="8" s="1"/>
  <c r="I193" i="8"/>
  <c r="H160" i="9" l="1" a="1"/>
  <c r="H160" i="9" s="1"/>
  <c r="G160" i="9" a="1"/>
  <c r="G160" i="9" s="1"/>
  <c r="E160" i="9"/>
  <c r="M189" i="45"/>
  <c r="L160" i="9"/>
  <c r="B181" i="14" a="1"/>
  <c r="B181" i="14" s="1"/>
  <c r="U48" i="62"/>
  <c r="D159" i="9"/>
  <c r="B123" i="10"/>
  <c r="D178" i="14"/>
  <c r="AK137" i="11"/>
  <c r="AS295" i="11" s="1"/>
  <c r="E338" i="11"/>
  <c r="D135" i="11"/>
  <c r="AI293" i="11" s="1"/>
  <c r="F338" i="11"/>
  <c r="T158" i="11"/>
  <c r="AN316" i="11" s="1"/>
  <c r="T156" i="11"/>
  <c r="AN314" i="11" s="1"/>
  <c r="T157" i="11"/>
  <c r="AN315" i="11" s="1"/>
  <c r="T159" i="11"/>
  <c r="AN317" i="11" s="1"/>
  <c r="T155" i="11"/>
  <c r="AN313" i="11" s="1"/>
  <c r="T160" i="11"/>
  <c r="AN318" i="11" s="1"/>
  <c r="G338" i="11"/>
  <c r="AK130" i="11"/>
  <c r="AS288" i="11" s="1"/>
  <c r="AK134" i="11"/>
  <c r="AS292" i="11" s="1"/>
  <c r="AK156" i="11"/>
  <c r="AS314" i="11" s="1"/>
  <c r="AK158" i="11"/>
  <c r="AS316" i="11" s="1"/>
  <c r="AK131" i="11"/>
  <c r="AS289" i="11" s="1"/>
  <c r="AK157" i="11"/>
  <c r="AS315" i="11" s="1"/>
  <c r="AK135" i="11"/>
  <c r="AS293" i="11" s="1"/>
  <c r="AK132" i="11"/>
  <c r="AS290" i="11" s="1"/>
  <c r="AK155" i="11"/>
  <c r="AS313" i="11" s="1"/>
  <c r="AK133" i="11"/>
  <c r="AS291" i="11" s="1"/>
  <c r="AK136" i="11"/>
  <c r="AS294" i="11" s="1"/>
  <c r="D159" i="11"/>
  <c r="AI317" i="11" s="1"/>
  <c r="D158" i="11"/>
  <c r="AI316" i="11" s="1"/>
  <c r="D156" i="11"/>
  <c r="AI314" i="11" s="1"/>
  <c r="D155" i="11"/>
  <c r="AI313" i="11" s="1"/>
  <c r="D157" i="11"/>
  <c r="AI315" i="11" s="1"/>
  <c r="D132" i="11"/>
  <c r="AI290" i="11" s="1"/>
  <c r="D130" i="11"/>
  <c r="AI288" i="11" s="1"/>
  <c r="D131" i="11"/>
  <c r="AI289" i="11" s="1"/>
  <c r="D133" i="11"/>
  <c r="AI291" i="11" s="1"/>
  <c r="D134" i="11"/>
  <c r="AI292" i="11" s="1"/>
  <c r="C136" i="11"/>
  <c r="D136" i="11" s="1"/>
  <c r="AI294" i="11" s="1"/>
  <c r="AJ138" i="11"/>
  <c r="AK138" i="11" s="1"/>
  <c r="AS296" i="11" s="1"/>
  <c r="P194" i="8"/>
  <c r="AB129" i="8"/>
  <c r="AC129" i="8" s="1"/>
  <c r="I194" i="8"/>
  <c r="F196" i="45" l="1"/>
  <c r="F195" i="45"/>
  <c r="F194" i="45"/>
  <c r="M192" i="45"/>
  <c r="E159" i="9"/>
  <c r="D171" i="9" s="1"/>
  <c r="H159" i="9" a="1"/>
  <c r="H159" i="9" s="1"/>
  <c r="G159" i="9" a="1"/>
  <c r="G159" i="9" s="1"/>
  <c r="L159" i="9"/>
  <c r="D172" i="9" s="1"/>
  <c r="F209" i="45"/>
  <c r="I209" i="45"/>
  <c r="W52" i="65"/>
  <c r="W52" i="75"/>
  <c r="U52" i="65"/>
  <c r="U52" i="75"/>
  <c r="S52" i="65"/>
  <c r="S52" i="75"/>
  <c r="AP156" i="11"/>
  <c r="AP136" i="11"/>
  <c r="AP132" i="11"/>
  <c r="AP155" i="11"/>
  <c r="AP135" i="11"/>
  <c r="AP131" i="11"/>
  <c r="AV289" i="11" s="1"/>
  <c r="AW289" i="11" s="1"/>
  <c r="AP158" i="11"/>
  <c r="AP138" i="11"/>
  <c r="AQ138" i="11" s="1"/>
  <c r="AR138" i="11" s="1"/>
  <c r="AT138" i="11" s="1"/>
  <c r="AP134" i="11"/>
  <c r="AP157" i="11"/>
  <c r="AP137" i="11"/>
  <c r="AP133" i="11"/>
  <c r="Y158" i="11"/>
  <c r="Y157" i="11"/>
  <c r="Y160" i="11"/>
  <c r="Y156" i="11"/>
  <c r="Y159" i="11"/>
  <c r="Y155" i="11"/>
  <c r="I156" i="11"/>
  <c r="I136" i="11"/>
  <c r="I132" i="11"/>
  <c r="I159" i="11"/>
  <c r="I155" i="11"/>
  <c r="I135" i="11"/>
  <c r="I131" i="11"/>
  <c r="J131" i="11" s="1"/>
  <c r="I158" i="11"/>
  <c r="I134" i="11"/>
  <c r="AL292" i="11" s="1"/>
  <c r="AM292" i="11" s="1"/>
  <c r="I157" i="11"/>
  <c r="I133" i="11"/>
  <c r="J136" i="10"/>
  <c r="J137" i="10" s="1"/>
  <c r="J138" i="10" s="1"/>
  <c r="J139" i="10" s="1"/>
  <c r="J140" i="10" s="1"/>
  <c r="J141" i="10" s="1"/>
  <c r="J142" i="10" s="1"/>
  <c r="J143" i="10" s="1"/>
  <c r="J144" i="10" s="1"/>
  <c r="J145" i="10" s="1"/>
  <c r="J146" i="10" s="1"/>
  <c r="J147" i="10" s="1"/>
  <c r="J148" i="10" s="1"/>
  <c r="J149" i="10" s="1"/>
  <c r="J150" i="10" s="1"/>
  <c r="J151" i="10" s="1"/>
  <c r="J152" i="10" s="1"/>
  <c r="J153" i="10" s="1"/>
  <c r="J154" i="10" s="1"/>
  <c r="J155" i="10" s="1"/>
  <c r="J156" i="10" s="1"/>
  <c r="J157" i="10" s="1"/>
  <c r="J158" i="10" s="1"/>
  <c r="J159" i="10" s="1"/>
  <c r="J160" i="10" s="1"/>
  <c r="J161" i="10" s="1"/>
  <c r="J162" i="10" s="1"/>
  <c r="J163" i="10" s="1"/>
  <c r="J164" i="10" s="1"/>
  <c r="J165" i="10" s="1"/>
  <c r="J166" i="10" s="1"/>
  <c r="J167" i="10" s="1"/>
  <c r="J168" i="10" s="1"/>
  <c r="J169" i="10" s="1"/>
  <c r="J170" i="10" s="1"/>
  <c r="G337" i="11"/>
  <c r="E337" i="11"/>
  <c r="F337" i="11"/>
  <c r="C137" i="11"/>
  <c r="D137" i="11" s="1"/>
  <c r="I137" i="11" s="1"/>
  <c r="AJ139" i="11"/>
  <c r="AK139" i="11" s="1"/>
  <c r="P195" i="8"/>
  <c r="AB130" i="8"/>
  <c r="AC130" i="8" s="1"/>
  <c r="I195" i="8"/>
  <c r="F241" i="45" l="1"/>
  <c r="F232" i="45"/>
  <c r="F203" i="45"/>
  <c r="F230" i="45" s="1"/>
  <c r="F205" i="45"/>
  <c r="F204" i="45"/>
  <c r="F231" i="45" s="1"/>
  <c r="F215" i="45"/>
  <c r="F213" i="45"/>
  <c r="F243" i="45" s="1"/>
  <c r="F214" i="45"/>
  <c r="D173" i="9"/>
  <c r="B176" i="9" a="1"/>
  <c r="B176" i="9" s="1"/>
  <c r="F219" i="45"/>
  <c r="I219" i="45"/>
  <c r="U50" i="65"/>
  <c r="U50" i="75"/>
  <c r="S50" i="65"/>
  <c r="S50" i="75"/>
  <c r="W50" i="65"/>
  <c r="W50" i="75"/>
  <c r="AV296" i="11"/>
  <c r="AW296" i="11" s="1"/>
  <c r="AS297" i="11"/>
  <c r="AP139" i="11"/>
  <c r="AV297" i="11" s="1"/>
  <c r="AW297" i="11" s="1"/>
  <c r="AL289" i="11"/>
  <c r="AM289" i="11" s="1"/>
  <c r="AL295" i="11"/>
  <c r="AM295" i="11" s="1"/>
  <c r="AI295" i="11"/>
  <c r="J135" i="11"/>
  <c r="K135" i="11" s="1"/>
  <c r="M135" i="11" s="1"/>
  <c r="AL293" i="11"/>
  <c r="AM293" i="11" s="1"/>
  <c r="AQ156" i="11"/>
  <c r="AR156" i="11" s="1"/>
  <c r="AT156" i="11" s="1"/>
  <c r="AV314" i="11"/>
  <c r="AW314" i="11" s="1"/>
  <c r="Z159" i="11"/>
  <c r="AA159" i="11" s="1"/>
  <c r="AC159" i="11" s="1"/>
  <c r="AQ317" i="11"/>
  <c r="AR317" i="11" s="1"/>
  <c r="Z155" i="11"/>
  <c r="AA155" i="11" s="1"/>
  <c r="AC155" i="11" s="1"/>
  <c r="AQ313" i="11"/>
  <c r="AR313" i="11" s="1"/>
  <c r="J158" i="11"/>
  <c r="K158" i="11" s="1"/>
  <c r="M158" i="11" s="1"/>
  <c r="AL316" i="11"/>
  <c r="AM316" i="11" s="1"/>
  <c r="J155" i="11"/>
  <c r="K155" i="11" s="1"/>
  <c r="M155" i="11" s="1"/>
  <c r="AL313" i="11"/>
  <c r="AM313" i="11" s="1"/>
  <c r="AQ134" i="11"/>
  <c r="AR134" i="11" s="1"/>
  <c r="AT134" i="11" s="1"/>
  <c r="AV292" i="11"/>
  <c r="AW292" i="11" s="1"/>
  <c r="AQ157" i="11"/>
  <c r="AR157" i="11" s="1"/>
  <c r="AT157" i="11" s="1"/>
  <c r="AV315" i="11"/>
  <c r="AW315" i="11" s="1"/>
  <c r="Z156" i="11"/>
  <c r="AA156" i="11" s="1"/>
  <c r="AC156" i="11" s="1"/>
  <c r="AQ314" i="11"/>
  <c r="AR314" i="11" s="1"/>
  <c r="Z157" i="11"/>
  <c r="AA157" i="11" s="1"/>
  <c r="AC157" i="11" s="1"/>
  <c r="AQ315" i="11"/>
  <c r="AR315" i="11" s="1"/>
  <c r="J156" i="11"/>
  <c r="K156" i="11" s="1"/>
  <c r="M156" i="11" s="1"/>
  <c r="AL314" i="11"/>
  <c r="AM314" i="11" s="1"/>
  <c r="J133" i="11"/>
  <c r="K133" i="11" s="1"/>
  <c r="M133" i="11" s="1"/>
  <c r="AL291" i="11"/>
  <c r="AM291" i="11" s="1"/>
  <c r="AQ137" i="11"/>
  <c r="AR137" i="11" s="1"/>
  <c r="AT137" i="11" s="1"/>
  <c r="AV295" i="11"/>
  <c r="AW295" i="11" s="1"/>
  <c r="J132" i="11"/>
  <c r="K132" i="11" s="1"/>
  <c r="M132" i="11" s="1"/>
  <c r="AL290" i="11"/>
  <c r="AM290" i="11" s="1"/>
  <c r="AQ132" i="11"/>
  <c r="AR132" i="11" s="1"/>
  <c r="AT132" i="11" s="1"/>
  <c r="AV290" i="11"/>
  <c r="AW290" i="11" s="1"/>
  <c r="AQ135" i="11"/>
  <c r="AR135" i="11" s="1"/>
  <c r="AT135" i="11" s="1"/>
  <c r="AV293" i="11"/>
  <c r="AW293" i="11" s="1"/>
  <c r="AQ155" i="11"/>
  <c r="AR155" i="11" s="1"/>
  <c r="AT155" i="11" s="1"/>
  <c r="AV313" i="11"/>
  <c r="AW313" i="11" s="1"/>
  <c r="Z160" i="11"/>
  <c r="AA160" i="11" s="1"/>
  <c r="AC160" i="11" s="1"/>
  <c r="AQ318" i="11"/>
  <c r="AR318" i="11" s="1"/>
  <c r="J159" i="11"/>
  <c r="K159" i="11" s="1"/>
  <c r="M159" i="11" s="1"/>
  <c r="AL317" i="11"/>
  <c r="AM317" i="11" s="1"/>
  <c r="AQ133" i="11"/>
  <c r="AR133" i="11" s="1"/>
  <c r="AT133" i="11" s="1"/>
  <c r="AV291" i="11"/>
  <c r="AW291" i="11" s="1"/>
  <c r="AQ136" i="11"/>
  <c r="AR136" i="11" s="1"/>
  <c r="AT136" i="11" s="1"/>
  <c r="AV294" i="11"/>
  <c r="AW294" i="11" s="1"/>
  <c r="AQ158" i="11"/>
  <c r="AR158" i="11" s="1"/>
  <c r="AT158" i="11" s="1"/>
  <c r="AV316" i="11"/>
  <c r="AW316" i="11" s="1"/>
  <c r="Z158" i="11"/>
  <c r="AA158" i="11" s="1"/>
  <c r="AC158" i="11" s="1"/>
  <c r="AQ316" i="11"/>
  <c r="AR316" i="11" s="1"/>
  <c r="J136" i="11"/>
  <c r="K136" i="11" s="1"/>
  <c r="M136" i="11" s="1"/>
  <c r="AL294" i="11"/>
  <c r="AM294" i="11" s="1"/>
  <c r="J157" i="11"/>
  <c r="K157" i="11" s="1"/>
  <c r="M157" i="11" s="1"/>
  <c r="AL315" i="11"/>
  <c r="AM315" i="11" s="1"/>
  <c r="G339" i="11"/>
  <c r="E339" i="11"/>
  <c r="F339" i="11"/>
  <c r="AQ131" i="11"/>
  <c r="AR131" i="11" s="1"/>
  <c r="AT131" i="11" s="1"/>
  <c r="K131" i="11"/>
  <c r="M131" i="11" s="1"/>
  <c r="J134" i="11"/>
  <c r="K134" i="11" s="1"/>
  <c r="M134" i="11" s="1"/>
  <c r="J137" i="11"/>
  <c r="K137" i="11" s="1"/>
  <c r="M137" i="11" s="1"/>
  <c r="AJ140" i="11"/>
  <c r="AK140" i="11" s="1"/>
  <c r="C138" i="11"/>
  <c r="D138" i="11" s="1"/>
  <c r="P196" i="8"/>
  <c r="AB131" i="8"/>
  <c r="AC131" i="8" s="1"/>
  <c r="I196" i="8"/>
  <c r="F242" i="45" l="1"/>
  <c r="F229" i="45"/>
  <c r="F245" i="45" s="1"/>
  <c r="F224" i="45"/>
  <c r="F223" i="45"/>
  <c r="F244" i="45" s="1"/>
  <c r="F222" i="45"/>
  <c r="W54" i="65"/>
  <c r="W54" i="75"/>
  <c r="S54" i="65"/>
  <c r="S54" i="75"/>
  <c r="U54" i="65"/>
  <c r="U54" i="75"/>
  <c r="AQ139" i="11"/>
  <c r="AR139" i="11" s="1"/>
  <c r="AT139" i="11" s="1"/>
  <c r="AS298" i="11"/>
  <c r="AP140" i="11"/>
  <c r="AV298" i="11" s="1"/>
  <c r="AW298" i="11" s="1"/>
  <c r="AI296" i="11"/>
  <c r="I138" i="11"/>
  <c r="J138" i="11" s="1"/>
  <c r="K138" i="11" s="1"/>
  <c r="M138" i="11" s="1"/>
  <c r="AJ141" i="11"/>
  <c r="AK141" i="11" s="1"/>
  <c r="C139" i="11"/>
  <c r="D139" i="11" s="1"/>
  <c r="P197" i="8"/>
  <c r="AB132" i="8"/>
  <c r="AC132" i="8" s="1"/>
  <c r="I197" i="8"/>
  <c r="AL296" i="11" l="1"/>
  <c r="AM296" i="11" s="1"/>
  <c r="AQ140" i="11"/>
  <c r="AR140" i="11" s="1"/>
  <c r="AT140" i="11" s="1"/>
  <c r="AS299" i="11"/>
  <c r="AP141" i="11"/>
  <c r="AV299" i="11" s="1"/>
  <c r="AW299" i="11" s="1"/>
  <c r="AI297" i="11"/>
  <c r="I139" i="11"/>
  <c r="AL297" i="11" s="1"/>
  <c r="AM297" i="11" s="1"/>
  <c r="C140" i="11"/>
  <c r="D140" i="11" s="1"/>
  <c r="B141" i="11"/>
  <c r="AJ142" i="11"/>
  <c r="AK142" i="11" s="1"/>
  <c r="P198" i="8"/>
  <c r="AB133" i="8"/>
  <c r="AC133" i="8" s="1"/>
  <c r="I198" i="8"/>
  <c r="AQ141" i="11" l="1"/>
  <c r="AR141" i="11" s="1"/>
  <c r="AT141" i="11" s="1"/>
  <c r="AS300" i="11"/>
  <c r="AP142" i="11"/>
  <c r="AV300" i="11" s="1"/>
  <c r="AW300" i="11" s="1"/>
  <c r="AI298" i="11"/>
  <c r="I140" i="11"/>
  <c r="AL298" i="11" s="1"/>
  <c r="AM298" i="11" s="1"/>
  <c r="J139" i="11"/>
  <c r="K139" i="11" s="1"/>
  <c r="M139" i="11" s="1"/>
  <c r="AJ143" i="11"/>
  <c r="AK143" i="11" s="1"/>
  <c r="B142" i="11"/>
  <c r="C141" i="11"/>
  <c r="D141" i="11" s="1"/>
  <c r="P199" i="8"/>
  <c r="AB134" i="8"/>
  <c r="AC134" i="8" s="1"/>
  <c r="I199" i="8"/>
  <c r="J140" i="11" l="1"/>
  <c r="K140" i="11" s="1"/>
  <c r="M140" i="11" s="1"/>
  <c r="AS301" i="11"/>
  <c r="AP143" i="11"/>
  <c r="AV301" i="11" s="1"/>
  <c r="AW301" i="11" s="1"/>
  <c r="AQ142" i="11"/>
  <c r="AR142" i="11" s="1"/>
  <c r="AT142" i="11" s="1"/>
  <c r="AI299" i="11"/>
  <c r="I141" i="11"/>
  <c r="J141" i="11" s="1"/>
  <c r="K141" i="11" s="1"/>
  <c r="M141" i="11" s="1"/>
  <c r="AQ143" i="11"/>
  <c r="AR143" i="11" s="1"/>
  <c r="AT143" i="11" s="1"/>
  <c r="C142" i="11"/>
  <c r="D142" i="11" s="1"/>
  <c r="B143" i="11"/>
  <c r="AJ144" i="11"/>
  <c r="AK144" i="11" s="1"/>
  <c r="P200" i="8"/>
  <c r="AB135" i="8"/>
  <c r="AC135" i="8" s="1"/>
  <c r="I200" i="8"/>
  <c r="AS302" i="11" l="1"/>
  <c r="AP144" i="11"/>
  <c r="AV302" i="11" s="1"/>
  <c r="AW302" i="11" s="1"/>
  <c r="AI300" i="11"/>
  <c r="I142" i="11"/>
  <c r="AL300" i="11" s="1"/>
  <c r="AM300" i="11" s="1"/>
  <c r="AL299" i="11"/>
  <c r="AM299" i="11" s="1"/>
  <c r="B144" i="11"/>
  <c r="C143" i="11"/>
  <c r="D143" i="11" s="1"/>
  <c r="AJ145" i="11"/>
  <c r="AK145" i="11" s="1"/>
  <c r="P201" i="8"/>
  <c r="AB136" i="8"/>
  <c r="AC136" i="8" s="1"/>
  <c r="I201" i="8"/>
  <c r="J142" i="11" l="1"/>
  <c r="K142" i="11" s="1"/>
  <c r="M142" i="11" s="1"/>
  <c r="AS303" i="11"/>
  <c r="AP145" i="11"/>
  <c r="AV303" i="11" s="1"/>
  <c r="AW303" i="11" s="1"/>
  <c r="AQ144" i="11"/>
  <c r="AR144" i="11" s="1"/>
  <c r="AT144" i="11" s="1"/>
  <c r="AI301" i="11"/>
  <c r="I143" i="11"/>
  <c r="J143" i="11" s="1"/>
  <c r="K143" i="11" s="1"/>
  <c r="M143" i="11" s="1"/>
  <c r="AJ146" i="11"/>
  <c r="AK146" i="11" s="1"/>
  <c r="B145" i="11"/>
  <c r="C144" i="11"/>
  <c r="D144" i="11" s="1"/>
  <c r="P202" i="8"/>
  <c r="AB137" i="8"/>
  <c r="AC137" i="8" s="1"/>
  <c r="I202" i="8"/>
  <c r="AL301" i="11" l="1"/>
  <c r="AM301" i="11" s="1"/>
  <c r="AQ145" i="11"/>
  <c r="AR145" i="11" s="1"/>
  <c r="AT145" i="11" s="1"/>
  <c r="AS304" i="11"/>
  <c r="AP146" i="11"/>
  <c r="AV304" i="11" s="1"/>
  <c r="AW304" i="11" s="1"/>
  <c r="AI302" i="11"/>
  <c r="I144" i="11"/>
  <c r="AL302" i="11" s="1"/>
  <c r="AM302" i="11" s="1"/>
  <c r="AJ147" i="11"/>
  <c r="AK147" i="11" s="1"/>
  <c r="C145" i="11"/>
  <c r="D145" i="11" s="1"/>
  <c r="B146" i="11"/>
  <c r="P203" i="8"/>
  <c r="AB138" i="8"/>
  <c r="AC138" i="8" s="1"/>
  <c r="I203" i="8"/>
  <c r="J144" i="11" l="1"/>
  <c r="K144" i="11" s="1"/>
  <c r="M144" i="11" s="1"/>
  <c r="AQ146" i="11"/>
  <c r="AR146" i="11" s="1"/>
  <c r="AT146" i="11" s="1"/>
  <c r="AS305" i="11"/>
  <c r="AP147" i="11"/>
  <c r="AQ147" i="11" s="1"/>
  <c r="AR147" i="11" s="1"/>
  <c r="AT147" i="11" s="1"/>
  <c r="AI303" i="11"/>
  <c r="I145" i="11"/>
  <c r="J145" i="11" s="1"/>
  <c r="K145" i="11" s="1"/>
  <c r="M145" i="11" s="1"/>
  <c r="C146" i="11"/>
  <c r="D146" i="11" s="1"/>
  <c r="AJ148" i="11"/>
  <c r="AK148" i="11" s="1"/>
  <c r="P204" i="8"/>
  <c r="AB139" i="8"/>
  <c r="AC139" i="8" s="1"/>
  <c r="I204" i="8"/>
  <c r="AV305" i="11" l="1"/>
  <c r="AW305" i="11" s="1"/>
  <c r="AS306" i="11"/>
  <c r="AP148" i="11"/>
  <c r="AV306" i="11" s="1"/>
  <c r="AW306" i="11" s="1"/>
  <c r="AL303" i="11"/>
  <c r="AM303" i="11" s="1"/>
  <c r="AI304" i="11"/>
  <c r="I146" i="11"/>
  <c r="J146" i="11" s="1"/>
  <c r="K146" i="11" s="1"/>
  <c r="M146" i="11" s="1"/>
  <c r="AJ149" i="11"/>
  <c r="AK149" i="11" s="1"/>
  <c r="C147" i="11"/>
  <c r="D147" i="11" s="1"/>
  <c r="P205" i="8"/>
  <c r="AB140" i="8"/>
  <c r="AC140" i="8" s="1"/>
  <c r="I205" i="8"/>
  <c r="AQ148" i="11" l="1"/>
  <c r="AR148" i="11" s="1"/>
  <c r="AT148" i="11" s="1"/>
  <c r="AS307" i="11"/>
  <c r="AP149" i="11"/>
  <c r="AV307" i="11" s="1"/>
  <c r="AW307" i="11" s="1"/>
  <c r="AL304" i="11"/>
  <c r="AM304" i="11" s="1"/>
  <c r="AI305" i="11"/>
  <c r="I147" i="11"/>
  <c r="AL305" i="11" s="1"/>
  <c r="AM305" i="11" s="1"/>
  <c r="C148" i="11"/>
  <c r="D148" i="11" s="1"/>
  <c r="AJ150" i="11"/>
  <c r="AK150" i="11" s="1"/>
  <c r="P206" i="8"/>
  <c r="AB141" i="8"/>
  <c r="AC141" i="8" s="1"/>
  <c r="I206" i="8"/>
  <c r="J147" i="11" l="1"/>
  <c r="K147" i="11" s="1"/>
  <c r="M147" i="11" s="1"/>
  <c r="AQ149" i="11"/>
  <c r="AR149" i="11" s="1"/>
  <c r="AT149" i="11" s="1"/>
  <c r="AS308" i="11"/>
  <c r="AP150" i="11"/>
  <c r="AQ150" i="11" s="1"/>
  <c r="AR150" i="11" s="1"/>
  <c r="AT150" i="11" s="1"/>
  <c r="AI306" i="11"/>
  <c r="I148" i="11"/>
  <c r="J148" i="11" s="1"/>
  <c r="K148" i="11" s="1"/>
  <c r="M148" i="11" s="1"/>
  <c r="AJ151" i="11"/>
  <c r="AK151" i="11" s="1"/>
  <c r="C149" i="11"/>
  <c r="D149" i="11" s="1"/>
  <c r="P207" i="8"/>
  <c r="AB142" i="8"/>
  <c r="AC142" i="8" s="1"/>
  <c r="I207" i="8"/>
  <c r="AV308" i="11" l="1"/>
  <c r="AW308" i="11" s="1"/>
  <c r="AS309" i="11"/>
  <c r="AP151" i="11"/>
  <c r="AV309" i="11" s="1"/>
  <c r="AW309" i="11" s="1"/>
  <c r="AL306" i="11"/>
  <c r="AM306" i="11" s="1"/>
  <c r="AI307" i="11"/>
  <c r="I149" i="11"/>
  <c r="AL307" i="11" s="1"/>
  <c r="AM307" i="11" s="1"/>
  <c r="C150" i="11"/>
  <c r="D150" i="11" s="1"/>
  <c r="AJ152" i="11"/>
  <c r="AK152" i="11" s="1"/>
  <c r="P208" i="8"/>
  <c r="AB143" i="8"/>
  <c r="AC143" i="8" s="1"/>
  <c r="I208" i="8"/>
  <c r="J149" i="11" l="1"/>
  <c r="K149" i="11" s="1"/>
  <c r="M149" i="11" s="1"/>
  <c r="AQ151" i="11"/>
  <c r="AR151" i="11" s="1"/>
  <c r="AT151" i="11" s="1"/>
  <c r="AS310" i="11"/>
  <c r="AP152" i="11"/>
  <c r="AQ152" i="11" s="1"/>
  <c r="AR152" i="11" s="1"/>
  <c r="AT152" i="11" s="1"/>
  <c r="AI308" i="11"/>
  <c r="I150" i="11"/>
  <c r="J150" i="11" s="1"/>
  <c r="K150" i="11" s="1"/>
  <c r="M150" i="11" s="1"/>
  <c r="AJ153" i="11"/>
  <c r="AK153" i="11" s="1"/>
  <c r="C151" i="11"/>
  <c r="D151" i="11" s="1"/>
  <c r="P209" i="8"/>
  <c r="AB144" i="8"/>
  <c r="AC144" i="8" s="1"/>
  <c r="I209" i="8"/>
  <c r="AV310" i="11" l="1"/>
  <c r="AW310" i="11" s="1"/>
  <c r="AS311" i="11"/>
  <c r="AP153" i="11"/>
  <c r="AQ153" i="11" s="1"/>
  <c r="AR153" i="11" s="1"/>
  <c r="AT153" i="11" s="1"/>
  <c r="AI309" i="11"/>
  <c r="I151" i="11"/>
  <c r="AL309" i="11" s="1"/>
  <c r="AM309" i="11" s="1"/>
  <c r="AL308" i="11"/>
  <c r="AM308" i="11" s="1"/>
  <c r="C152" i="11"/>
  <c r="D152" i="11" s="1"/>
  <c r="AJ154" i="11"/>
  <c r="AK154" i="11" s="1"/>
  <c r="P210" i="8"/>
  <c r="AB145" i="8"/>
  <c r="AC145" i="8" s="1"/>
  <c r="I210" i="8"/>
  <c r="J151" i="11" l="1"/>
  <c r="K151" i="11" s="1"/>
  <c r="M151" i="11" s="1"/>
  <c r="AS312" i="11"/>
  <c r="AP154" i="11"/>
  <c r="AV312" i="11" s="1"/>
  <c r="AW312" i="11" s="1"/>
  <c r="AV311" i="11"/>
  <c r="AW311" i="11" s="1"/>
  <c r="AI310" i="11"/>
  <c r="I152" i="11"/>
  <c r="J152" i="11" s="1"/>
  <c r="K152" i="11" s="1"/>
  <c r="M152" i="11" s="1"/>
  <c r="AP169" i="11"/>
  <c r="F346" i="11" s="1"/>
  <c r="L44" i="75" s="1"/>
  <c r="AJ191" i="11"/>
  <c r="AJ201" i="11" s="1"/>
  <c r="N265" i="11" s="1"/>
  <c r="AJ194" i="11"/>
  <c r="AJ203" i="11" s="1"/>
  <c r="N294" i="11" s="1"/>
  <c r="AJ190" i="11"/>
  <c r="C153" i="11"/>
  <c r="D153" i="11" s="1"/>
  <c r="P211" i="8"/>
  <c r="AB146" i="8"/>
  <c r="AC146" i="8" s="1"/>
  <c r="I211" i="8"/>
  <c r="AJ193" i="11" l="1"/>
  <c r="AJ196" i="11"/>
  <c r="AJ195" i="11"/>
  <c r="AJ192" i="11"/>
  <c r="AQ154" i="11"/>
  <c r="AR154" i="11" s="1"/>
  <c r="AT154" i="11" s="1"/>
  <c r="AL310" i="11"/>
  <c r="AM310" i="11" s="1"/>
  <c r="AI311" i="11"/>
  <c r="I153" i="11"/>
  <c r="AL311" i="11" s="1"/>
  <c r="AM311" i="11" s="1"/>
  <c r="AR169" i="11"/>
  <c r="F348" i="11" s="1"/>
  <c r="AN169" i="11"/>
  <c r="F350" i="11" s="1"/>
  <c r="AT169" i="11"/>
  <c r="F352" i="11" s="1"/>
  <c r="L56" i="75" s="1"/>
  <c r="AQ169" i="11"/>
  <c r="F347" i="11" s="1"/>
  <c r="L46" i="75" s="1"/>
  <c r="AS169" i="11"/>
  <c r="F349" i="11" s="1"/>
  <c r="J153" i="11"/>
  <c r="K153" i="11" s="1"/>
  <c r="M153" i="11" s="1"/>
  <c r="AK169" i="11"/>
  <c r="F351" i="11" s="1"/>
  <c r="L54" i="75" s="1"/>
  <c r="L44" i="65"/>
  <c r="C154" i="11"/>
  <c r="D154" i="11" s="1"/>
  <c r="P212" i="8"/>
  <c r="AB147" i="8"/>
  <c r="AC147" i="8" s="1"/>
  <c r="I212" i="8"/>
  <c r="L52" i="65" l="1"/>
  <c r="L52" i="75"/>
  <c r="L50" i="65"/>
  <c r="L50" i="75"/>
  <c r="L48" i="65"/>
  <c r="L48" i="75"/>
  <c r="AI312" i="11"/>
  <c r="I154" i="11"/>
  <c r="AL312" i="11" s="1"/>
  <c r="AM312" i="11" s="1"/>
  <c r="L46" i="65"/>
  <c r="L56" i="65"/>
  <c r="L54" i="65"/>
  <c r="C190" i="11"/>
  <c r="I169" i="11"/>
  <c r="D346" i="11" s="1"/>
  <c r="H44" i="75" s="1"/>
  <c r="C194" i="11"/>
  <c r="C203" i="11" s="1"/>
  <c r="C192" i="11"/>
  <c r="C196" i="11"/>
  <c r="C193" i="11"/>
  <c r="C204" i="11" s="1"/>
  <c r="M292" i="11" s="1"/>
  <c r="S274" i="11" s="1"/>
  <c r="C191" i="11"/>
  <c r="C201" i="11" s="1"/>
  <c r="C195" i="11"/>
  <c r="S130" i="11"/>
  <c r="T130" i="11" s="1"/>
  <c r="AN288" i="11" s="1"/>
  <c r="J154" i="11"/>
  <c r="K154" i="11" s="1"/>
  <c r="M154" i="11" s="1"/>
  <c r="P213" i="8"/>
  <c r="AB148" i="8"/>
  <c r="I213" i="8"/>
  <c r="H44" i="65" l="1"/>
  <c r="D169" i="11"/>
  <c r="D351" i="11" s="1"/>
  <c r="H54" i="75" s="1"/>
  <c r="J169" i="11"/>
  <c r="D347" i="11" s="1"/>
  <c r="H46" i="75" s="1"/>
  <c r="K169" i="11"/>
  <c r="D348" i="11" s="1"/>
  <c r="H48" i="75" s="1"/>
  <c r="G169" i="11"/>
  <c r="D350" i="11" s="1"/>
  <c r="H52" i="75" s="1"/>
  <c r="M169" i="11"/>
  <c r="D352" i="11" s="1"/>
  <c r="H56" i="75" s="1"/>
  <c r="L169" i="11"/>
  <c r="D349" i="11" s="1"/>
  <c r="H50" i="75" s="1"/>
  <c r="N263" i="11"/>
  <c r="E207" i="11"/>
  <c r="E208" i="11"/>
  <c r="N292" i="11"/>
  <c r="E211" i="11"/>
  <c r="E212" i="11"/>
  <c r="H218" i="11" s="1"/>
  <c r="AC148" i="8"/>
  <c r="AB149" i="8"/>
  <c r="S131" i="11"/>
  <c r="T131" i="11" s="1"/>
  <c r="P214" i="8"/>
  <c r="I214" i="8"/>
  <c r="G218" i="11" l="1"/>
  <c r="AN289" i="11"/>
  <c r="Y131" i="11"/>
  <c r="AQ289" i="11" s="1"/>
  <c r="AR289" i="11" s="1"/>
  <c r="C217" i="11"/>
  <c r="H229" i="11"/>
  <c r="H240" i="11"/>
  <c r="H227" i="11"/>
  <c r="H232" i="11"/>
  <c r="H245" i="11"/>
  <c r="H230" i="11"/>
  <c r="H242" i="11"/>
  <c r="H231" i="11"/>
  <c r="H217" i="11"/>
  <c r="H220" i="11"/>
  <c r="H228" i="11"/>
  <c r="H222" i="11"/>
  <c r="H243" i="11"/>
  <c r="H235" i="11"/>
  <c r="H250" i="11"/>
  <c r="H249" i="11"/>
  <c r="H248" i="11"/>
  <c r="H241" i="11"/>
  <c r="H234" i="11"/>
  <c r="H226" i="11"/>
  <c r="H224" i="11"/>
  <c r="H221" i="11"/>
  <c r="H252" i="11"/>
  <c r="H219" i="11"/>
  <c r="H233" i="11"/>
  <c r="H247" i="11"/>
  <c r="H251" i="11"/>
  <c r="H223" i="11"/>
  <c r="H237" i="11"/>
  <c r="H246" i="11"/>
  <c r="H239" i="11"/>
  <c r="H225" i="11"/>
  <c r="H253" i="11"/>
  <c r="H238" i="11"/>
  <c r="H244" i="11"/>
  <c r="H236" i="11"/>
  <c r="H52" i="65"/>
  <c r="H48" i="65"/>
  <c r="H50" i="65"/>
  <c r="H46" i="65"/>
  <c r="D243" i="11"/>
  <c r="D217" i="11"/>
  <c r="D246" i="11"/>
  <c r="D218" i="11"/>
  <c r="D235" i="11"/>
  <c r="D220" i="11"/>
  <c r="D247" i="11"/>
  <c r="D251" i="11"/>
  <c r="D232" i="11"/>
  <c r="D250" i="11"/>
  <c r="D248" i="11"/>
  <c r="D249" i="11"/>
  <c r="D231" i="11"/>
  <c r="D227" i="11"/>
  <c r="D222" i="11"/>
  <c r="D245" i="11"/>
  <c r="D252" i="11"/>
  <c r="D238" i="11"/>
  <c r="D237" i="11"/>
  <c r="D239" i="11"/>
  <c r="D241" i="11"/>
  <c r="D228" i="11"/>
  <c r="D223" i="11"/>
  <c r="D244" i="11"/>
  <c r="D230" i="11"/>
  <c r="D229" i="11"/>
  <c r="D226" i="11"/>
  <c r="D219" i="11"/>
  <c r="D242" i="11"/>
  <c r="D236" i="11"/>
  <c r="D233" i="11"/>
  <c r="D225" i="11"/>
  <c r="D234" i="11"/>
  <c r="D224" i="11"/>
  <c r="D221" i="11"/>
  <c r="D253" i="11"/>
  <c r="D240" i="11"/>
  <c r="H56" i="65"/>
  <c r="H54" i="65"/>
  <c r="C251" i="11"/>
  <c r="C235" i="11"/>
  <c r="C232" i="11"/>
  <c r="C236" i="11"/>
  <c r="C241" i="11"/>
  <c r="C238" i="11"/>
  <c r="C239" i="11"/>
  <c r="C222" i="11"/>
  <c r="C244" i="11"/>
  <c r="C247" i="11"/>
  <c r="C242" i="11"/>
  <c r="C250" i="11"/>
  <c r="C219" i="11"/>
  <c r="C240" i="11"/>
  <c r="C243" i="11"/>
  <c r="C228" i="11"/>
  <c r="C218" i="11"/>
  <c r="C237" i="11"/>
  <c r="C225" i="11"/>
  <c r="C227" i="11"/>
  <c r="C249" i="11"/>
  <c r="C230" i="11"/>
  <c r="C233" i="11"/>
  <c r="C234" i="11"/>
  <c r="C245" i="11"/>
  <c r="C246" i="11"/>
  <c r="C253" i="11"/>
  <c r="C248" i="11"/>
  <c r="C252" i="11"/>
  <c r="C231" i="11"/>
  <c r="C221" i="11"/>
  <c r="C224" i="11"/>
  <c r="C223" i="11"/>
  <c r="C220" i="11"/>
  <c r="C229" i="11"/>
  <c r="C226" i="11"/>
  <c r="G248" i="11"/>
  <c r="G229" i="11"/>
  <c r="G242" i="11"/>
  <c r="G250" i="11"/>
  <c r="G236" i="11"/>
  <c r="G227" i="11"/>
  <c r="G245" i="11"/>
  <c r="G225" i="11"/>
  <c r="G221" i="11"/>
  <c r="G238" i="11"/>
  <c r="G234" i="11"/>
  <c r="G241" i="11"/>
  <c r="G243" i="11"/>
  <c r="G246" i="11"/>
  <c r="G251" i="11"/>
  <c r="G217" i="11"/>
  <c r="G253" i="11"/>
  <c r="G249" i="11"/>
  <c r="G235" i="11"/>
  <c r="G252" i="11"/>
  <c r="G232" i="11"/>
  <c r="G222" i="11"/>
  <c r="G224" i="11"/>
  <c r="G219" i="11"/>
  <c r="G237" i="11"/>
  <c r="G226" i="11"/>
  <c r="G247" i="11"/>
  <c r="G233" i="11"/>
  <c r="G240" i="11"/>
  <c r="G231" i="11"/>
  <c r="G244" i="11"/>
  <c r="G228" i="11"/>
  <c r="G230" i="11"/>
  <c r="G223" i="11"/>
  <c r="G239" i="11"/>
  <c r="G220" i="11"/>
  <c r="AC149" i="8"/>
  <c r="S132" i="11"/>
  <c r="T132" i="11" s="1"/>
  <c r="P215" i="8"/>
  <c r="I215" i="8"/>
  <c r="Z131" i="11" l="1"/>
  <c r="AA131" i="11" s="1"/>
  <c r="AC131" i="11" s="1"/>
  <c r="AN290" i="11"/>
  <c r="Y132" i="11"/>
  <c r="Z132" i="11" s="1"/>
  <c r="AA132" i="11" s="1"/>
  <c r="AC132" i="11" s="1"/>
  <c r="S133" i="11"/>
  <c r="T133" i="11" s="1"/>
  <c r="P216" i="8"/>
  <c r="I216" i="8"/>
  <c r="AQ290" i="11" l="1"/>
  <c r="AR290" i="11" s="1"/>
  <c r="AN291" i="11"/>
  <c r="Y133" i="11"/>
  <c r="AQ291" i="11" s="1"/>
  <c r="AR291" i="11" s="1"/>
  <c r="S134" i="11"/>
  <c r="T134" i="11" s="1"/>
  <c r="P217" i="8"/>
  <c r="I217" i="8"/>
  <c r="AN292" i="11" l="1"/>
  <c r="Y134" i="11"/>
  <c r="AQ292" i="11" s="1"/>
  <c r="AR292" i="11" s="1"/>
  <c r="Z133" i="11"/>
  <c r="AA133" i="11" s="1"/>
  <c r="AC133" i="11" s="1"/>
  <c r="S135" i="11"/>
  <c r="T135" i="11" s="1"/>
  <c r="P218" i="8"/>
  <c r="I218" i="8"/>
  <c r="Z134" i="11" l="1"/>
  <c r="AA134" i="11" s="1"/>
  <c r="AC134" i="11" s="1"/>
  <c r="AN293" i="11"/>
  <c r="Y135" i="11"/>
  <c r="AQ293" i="11" s="1"/>
  <c r="AR293" i="11" s="1"/>
  <c r="S136" i="11"/>
  <c r="T136" i="11" s="1"/>
  <c r="AJ204" i="11"/>
  <c r="M294" i="11" s="1"/>
  <c r="S276" i="11" s="1"/>
  <c r="P219" i="8"/>
  <c r="I219" i="8"/>
  <c r="Z135" i="11" l="1"/>
  <c r="AA135" i="11" s="1"/>
  <c r="AC135" i="11" s="1"/>
  <c r="AN294" i="11"/>
  <c r="Y136" i="11"/>
  <c r="Z136" i="11" s="1"/>
  <c r="AA136" i="11" s="1"/>
  <c r="AC136" i="11" s="1"/>
  <c r="AL208" i="11"/>
  <c r="AL207" i="11"/>
  <c r="AL212" i="11"/>
  <c r="AL211" i="11"/>
  <c r="S137" i="11"/>
  <c r="T137" i="11" s="1"/>
  <c r="P220" i="8"/>
  <c r="I220" i="8"/>
  <c r="AQ294" i="11" l="1"/>
  <c r="AR294" i="11" s="1"/>
  <c r="AJ217" i="11"/>
  <c r="AN295" i="11"/>
  <c r="Y137" i="11"/>
  <c r="AQ295" i="11" s="1"/>
  <c r="AR295" i="11" s="1"/>
  <c r="AO250" i="11"/>
  <c r="AO225" i="11"/>
  <c r="AO252" i="11"/>
  <c r="AO223" i="11"/>
  <c r="AO243" i="11"/>
  <c r="AO240" i="11"/>
  <c r="AO217" i="11"/>
  <c r="AO226" i="11"/>
  <c r="AO238" i="11"/>
  <c r="AO248" i="11"/>
  <c r="AO246" i="11"/>
  <c r="AO219" i="11"/>
  <c r="AO253" i="11"/>
  <c r="AO245" i="11"/>
  <c r="AO218" i="11"/>
  <c r="AO244" i="11"/>
  <c r="AO235" i="11"/>
  <c r="AO239" i="11"/>
  <c r="AO221" i="11"/>
  <c r="AO231" i="11"/>
  <c r="AO227" i="11"/>
  <c r="AO237" i="11"/>
  <c r="AO242" i="11"/>
  <c r="AO241" i="11"/>
  <c r="AO220" i="11"/>
  <c r="AO251" i="11"/>
  <c r="AO229" i="11"/>
  <c r="AO230" i="11"/>
  <c r="AO249" i="11"/>
  <c r="AO236" i="11"/>
  <c r="AO234" i="11"/>
  <c r="AO232" i="11"/>
  <c r="AO224" i="11"/>
  <c r="AO222" i="11"/>
  <c r="AO228" i="11"/>
  <c r="AO247" i="11"/>
  <c r="AO233" i="11"/>
  <c r="AK239" i="11"/>
  <c r="AK220" i="11"/>
  <c r="AK249" i="11"/>
  <c r="AK253" i="11"/>
  <c r="AK247" i="11"/>
  <c r="AK246" i="11"/>
  <c r="AK245" i="11"/>
  <c r="AK231" i="11"/>
  <c r="AK227" i="11"/>
  <c r="AK250" i="11"/>
  <c r="AK219" i="11"/>
  <c r="AK218" i="11"/>
  <c r="AK237" i="11"/>
  <c r="AK248" i="11"/>
  <c r="AK232" i="11"/>
  <c r="AK242" i="11"/>
  <c r="AK235" i="11"/>
  <c r="AK240" i="11"/>
  <c r="AK234" i="11"/>
  <c r="AK229" i="11"/>
  <c r="AK233" i="11"/>
  <c r="AK252" i="11"/>
  <c r="AK251" i="11"/>
  <c r="AK226" i="11"/>
  <c r="AK241" i="11"/>
  <c r="AK224" i="11"/>
  <c r="AK244" i="11"/>
  <c r="AK238" i="11"/>
  <c r="AK225" i="11"/>
  <c r="AK223" i="11"/>
  <c r="AK221" i="11"/>
  <c r="AK217" i="11"/>
  <c r="AK236" i="11"/>
  <c r="AK222" i="11"/>
  <c r="AK228" i="11"/>
  <c r="AK243" i="11"/>
  <c r="AK230" i="11"/>
  <c r="AN217" i="11"/>
  <c r="AJ250" i="11"/>
  <c r="AJ246" i="11"/>
  <c r="AJ242" i="11"/>
  <c r="AJ238" i="11"/>
  <c r="AJ234" i="11"/>
  <c r="AJ230" i="11"/>
  <c r="AJ226" i="11"/>
  <c r="AJ222" i="11"/>
  <c r="AJ218" i="11"/>
  <c r="AJ253" i="11"/>
  <c r="AJ249" i="11"/>
  <c r="AJ245" i="11"/>
  <c r="AJ241" i="11"/>
  <c r="AJ237" i="11"/>
  <c r="AJ233" i="11"/>
  <c r="AJ229" i="11"/>
  <c r="AJ225" i="11"/>
  <c r="AJ221" i="11"/>
  <c r="AJ252" i="11"/>
  <c r="AJ248" i="11"/>
  <c r="AJ244" i="11"/>
  <c r="AJ240" i="11"/>
  <c r="AJ236" i="11"/>
  <c r="AJ232" i="11"/>
  <c r="AJ228" i="11"/>
  <c r="AJ224" i="11"/>
  <c r="AJ220" i="11"/>
  <c r="AJ251" i="11"/>
  <c r="AJ247" i="11"/>
  <c r="AJ243" i="11"/>
  <c r="AJ231" i="11"/>
  <c r="AJ227" i="11"/>
  <c r="AJ223" i="11"/>
  <c r="AJ239" i="11"/>
  <c r="AJ235" i="11"/>
  <c r="AJ219" i="11"/>
  <c r="Z137" i="11"/>
  <c r="AA137" i="11" s="1"/>
  <c r="AC137" i="11" s="1"/>
  <c r="S138" i="11"/>
  <c r="T138" i="11" s="1"/>
  <c r="AN253" i="11"/>
  <c r="AN249" i="11"/>
  <c r="AN245" i="11"/>
  <c r="AN241" i="11"/>
  <c r="AN237" i="11"/>
  <c r="AN233" i="11"/>
  <c r="AN229" i="11"/>
  <c r="AN225" i="11"/>
  <c r="AN221" i="11"/>
  <c r="AN252" i="11"/>
  <c r="AN248" i="11"/>
  <c r="AN244" i="11"/>
  <c r="AN240" i="11"/>
  <c r="AN236" i="11"/>
  <c r="AN232" i="11"/>
  <c r="AN228" i="11"/>
  <c r="AN224" i="11"/>
  <c r="AN220" i="11"/>
  <c r="AN251" i="11"/>
  <c r="AN247" i="11"/>
  <c r="AN243" i="11"/>
  <c r="AN239" i="11"/>
  <c r="AN235" i="11"/>
  <c r="AN231" i="11"/>
  <c r="AN227" i="11"/>
  <c r="AN223" i="11"/>
  <c r="AN219" i="11"/>
  <c r="AN250" i="11"/>
  <c r="AN246" i="11"/>
  <c r="AN242" i="11"/>
  <c r="AN238" i="11"/>
  <c r="AN234" i="11"/>
  <c r="AN218" i="11"/>
  <c r="AN230" i="11"/>
  <c r="AN226" i="11"/>
  <c r="AN222" i="11"/>
  <c r="P221" i="8"/>
  <c r="I221" i="8"/>
  <c r="AN296" i="11" l="1"/>
  <c r="Y138" i="11"/>
  <c r="AQ296" i="11" s="1"/>
  <c r="AR296" i="11" s="1"/>
  <c r="S139" i="11"/>
  <c r="T139" i="11" s="1"/>
  <c r="P222" i="8"/>
  <c r="I222" i="8"/>
  <c r="Z138" i="11" l="1"/>
  <c r="AA138" i="11" s="1"/>
  <c r="AC138" i="11" s="1"/>
  <c r="AN297" i="11"/>
  <c r="Y139" i="11"/>
  <c r="AQ297" i="11" s="1"/>
  <c r="AR297" i="11" s="1"/>
  <c r="S140" i="11"/>
  <c r="T140" i="11" s="1"/>
  <c r="P223" i="8"/>
  <c r="I223" i="8"/>
  <c r="Z139" i="11" l="1"/>
  <c r="AA139" i="11" s="1"/>
  <c r="AC139" i="11" s="1"/>
  <c r="AN298" i="11"/>
  <c r="Y140" i="11"/>
  <c r="Z140" i="11" s="1"/>
  <c r="AA140" i="11" s="1"/>
  <c r="AC140" i="11" s="1"/>
  <c r="S141" i="11"/>
  <c r="T141" i="11" s="1"/>
  <c r="B121" i="8"/>
  <c r="C121" i="8" s="1"/>
  <c r="B111" i="8"/>
  <c r="D111" i="8"/>
  <c r="B112" i="8"/>
  <c r="B113" i="8"/>
  <c r="B114" i="8"/>
  <c r="B115" i="8"/>
  <c r="AQ298" i="11" l="1"/>
  <c r="AR298" i="11" s="1"/>
  <c r="AN299" i="11"/>
  <c r="Y141" i="11"/>
  <c r="AQ299" i="11" s="1"/>
  <c r="AR299" i="11" s="1"/>
  <c r="C172" i="8"/>
  <c r="E304" i="8"/>
  <c r="S44" i="66" s="1"/>
  <c r="S142" i="11"/>
  <c r="T142" i="11" s="1"/>
  <c r="B122" i="8"/>
  <c r="C122" i="8" s="1"/>
  <c r="B123" i="8"/>
  <c r="C123" i="8" s="1"/>
  <c r="Z141" i="11" l="1"/>
  <c r="AA141" i="11" s="1"/>
  <c r="AC141" i="11" s="1"/>
  <c r="AN300" i="11"/>
  <c r="Y142" i="11"/>
  <c r="AQ300" i="11" s="1"/>
  <c r="AR300" i="11" s="1"/>
  <c r="S143" i="11"/>
  <c r="T143" i="11" s="1"/>
  <c r="B124" i="8"/>
  <c r="C124" i="8" s="1"/>
  <c r="Z142" i="11" l="1"/>
  <c r="AA142" i="11" s="1"/>
  <c r="AC142" i="11" s="1"/>
  <c r="AN301" i="11"/>
  <c r="Y143" i="11"/>
  <c r="AQ301" i="11" s="1"/>
  <c r="AR301" i="11" s="1"/>
  <c r="S144" i="11"/>
  <c r="T144" i="11" s="1"/>
  <c r="B125" i="8"/>
  <c r="C125" i="8" s="1"/>
  <c r="AN302" i="11" l="1"/>
  <c r="Y144" i="11"/>
  <c r="AQ302" i="11" s="1"/>
  <c r="AR302" i="11" s="1"/>
  <c r="Z143" i="11"/>
  <c r="AA143" i="11" s="1"/>
  <c r="AC143" i="11" s="1"/>
  <c r="S145" i="11"/>
  <c r="T145" i="11" s="1"/>
  <c r="B126" i="8"/>
  <c r="C126" i="8" s="1"/>
  <c r="Z144" i="11" l="1"/>
  <c r="AA144" i="11" s="1"/>
  <c r="AC144" i="11" s="1"/>
  <c r="AN303" i="11"/>
  <c r="Y145" i="11"/>
  <c r="AQ303" i="11" s="1"/>
  <c r="AR303" i="11" s="1"/>
  <c r="S146" i="11"/>
  <c r="T146" i="11" s="1"/>
  <c r="B127" i="8"/>
  <c r="C127" i="8" s="1"/>
  <c r="Z145" i="11" l="1"/>
  <c r="AA145" i="11" s="1"/>
  <c r="AC145" i="11" s="1"/>
  <c r="AN304" i="11"/>
  <c r="Y146" i="11"/>
  <c r="AQ304" i="11" s="1"/>
  <c r="AR304" i="11" s="1"/>
  <c r="S147" i="11"/>
  <c r="T147" i="11" s="1"/>
  <c r="B128" i="8"/>
  <c r="C128" i="8" s="1"/>
  <c r="Z146" i="11" l="1"/>
  <c r="AA146" i="11" s="1"/>
  <c r="AC146" i="11" s="1"/>
  <c r="AN305" i="11"/>
  <c r="Y147" i="11"/>
  <c r="AQ305" i="11" s="1"/>
  <c r="AR305" i="11" s="1"/>
  <c r="S148" i="11"/>
  <c r="T148" i="11" s="1"/>
  <c r="B129" i="8"/>
  <c r="C129" i="8" s="1"/>
  <c r="Z147" i="11" l="1"/>
  <c r="AA147" i="11" s="1"/>
  <c r="AC147" i="11" s="1"/>
  <c r="AN306" i="11"/>
  <c r="Y148" i="11"/>
  <c r="AQ306" i="11" s="1"/>
  <c r="AR306" i="11" s="1"/>
  <c r="S149" i="11"/>
  <c r="T149" i="11" s="1"/>
  <c r="B130" i="8"/>
  <c r="C130" i="8" s="1"/>
  <c r="Z148" i="11" l="1"/>
  <c r="AA148" i="11" s="1"/>
  <c r="AC148" i="11" s="1"/>
  <c r="AN307" i="11"/>
  <c r="Y149" i="11"/>
  <c r="AQ307" i="11" s="1"/>
  <c r="AR307" i="11" s="1"/>
  <c r="S150" i="11"/>
  <c r="T150" i="11" s="1"/>
  <c r="B131" i="8"/>
  <c r="Z149" i="11" l="1"/>
  <c r="AA149" i="11" s="1"/>
  <c r="AC149" i="11" s="1"/>
  <c r="AN308" i="11"/>
  <c r="Y150" i="11"/>
  <c r="AQ308" i="11" s="1"/>
  <c r="AR308" i="11" s="1"/>
  <c r="S151" i="11"/>
  <c r="T151" i="11" s="1"/>
  <c r="B132" i="8"/>
  <c r="C131" i="8"/>
  <c r="Z150" i="11" l="1"/>
  <c r="AA150" i="11" s="1"/>
  <c r="AC150" i="11" s="1"/>
  <c r="AN309" i="11"/>
  <c r="Y151" i="11"/>
  <c r="AQ309" i="11" s="1"/>
  <c r="AR309" i="11" s="1"/>
  <c r="S152" i="11"/>
  <c r="T152" i="11" s="1"/>
  <c r="B133" i="8"/>
  <c r="C132" i="8"/>
  <c r="Z151" i="11" l="1"/>
  <c r="AA151" i="11" s="1"/>
  <c r="AC151" i="11" s="1"/>
  <c r="AN310" i="11"/>
  <c r="Y152" i="11"/>
  <c r="AQ310" i="11" s="1"/>
  <c r="AR310" i="11" s="1"/>
  <c r="S153" i="11"/>
  <c r="T153" i="11" s="1"/>
  <c r="B134" i="8"/>
  <c r="C133" i="8"/>
  <c r="Z152" i="11" l="1"/>
  <c r="AA152" i="11" s="1"/>
  <c r="AC152" i="11" s="1"/>
  <c r="AN311" i="11"/>
  <c r="Y153" i="11"/>
  <c r="Z153" i="11" s="1"/>
  <c r="AA153" i="11" s="1"/>
  <c r="AC153" i="11" s="1"/>
  <c r="S154" i="11"/>
  <c r="T154" i="11" s="1"/>
  <c r="B135" i="8"/>
  <c r="C134" i="8"/>
  <c r="AQ311" i="11" l="1"/>
  <c r="AR311" i="11" s="1"/>
  <c r="AN312" i="11"/>
  <c r="Y154" i="11"/>
  <c r="Z154" i="11" s="1"/>
  <c r="AA154" i="11" s="1"/>
  <c r="AC154" i="11" s="1"/>
  <c r="S190" i="11"/>
  <c r="S192" i="11"/>
  <c r="S193" i="11"/>
  <c r="S195" i="11"/>
  <c r="S196" i="11"/>
  <c r="B136" i="8"/>
  <c r="C135" i="8"/>
  <c r="S194" i="11" l="1"/>
  <c r="S191" i="11"/>
  <c r="S201" i="11" s="1"/>
  <c r="N264" i="11" s="1"/>
  <c r="M268" i="11" s="1"/>
  <c r="Y169" i="11"/>
  <c r="E346" i="11" s="1"/>
  <c r="AQ312" i="11"/>
  <c r="AR312" i="11" s="1"/>
  <c r="AA169" i="11"/>
  <c r="E348" i="11" s="1"/>
  <c r="J48" i="75" s="1"/>
  <c r="B137" i="8"/>
  <c r="C136" i="8"/>
  <c r="J44" i="65" l="1"/>
  <c r="J44" i="75"/>
  <c r="M267" i="11"/>
  <c r="M269" i="11" s="1"/>
  <c r="AB169" i="11"/>
  <c r="E349" i="11" s="1"/>
  <c r="AC169" i="11"/>
  <c r="E352" i="11" s="1"/>
  <c r="J56" i="75" s="1"/>
  <c r="W169" i="11"/>
  <c r="E350" i="11" s="1"/>
  <c r="Z169" i="11"/>
  <c r="E347" i="11" s="1"/>
  <c r="J46" i="75" s="1"/>
  <c r="T169" i="11"/>
  <c r="E351" i="11" s="1"/>
  <c r="J48" i="65"/>
  <c r="J56" i="65"/>
  <c r="B138" i="8"/>
  <c r="C137" i="8"/>
  <c r="J46" i="65" l="1"/>
  <c r="J50" i="65"/>
  <c r="J50" i="75"/>
  <c r="J52" i="65"/>
  <c r="J52" i="75"/>
  <c r="J54" i="65"/>
  <c r="J54" i="75"/>
  <c r="M279" i="11"/>
  <c r="E365" i="11" s="1"/>
  <c r="I126" i="75"/>
  <c r="I126" i="65"/>
  <c r="M270" i="11"/>
  <c r="S203" i="11"/>
  <c r="N293" i="11" s="1"/>
  <c r="S204" i="11"/>
  <c r="M293" i="11" s="1"/>
  <c r="S275" i="11" s="1"/>
  <c r="B139" i="8"/>
  <c r="C138" i="8"/>
  <c r="F365" i="11" l="1"/>
  <c r="H365" i="11" a="1"/>
  <c r="H365" i="11" s="1"/>
  <c r="I365" i="11" a="1"/>
  <c r="I365" i="11" s="1"/>
  <c r="M365" i="11" s="1"/>
  <c r="I125" i="65"/>
  <c r="I125" i="75"/>
  <c r="M278" i="11"/>
  <c r="M297" i="11"/>
  <c r="M296" i="11"/>
  <c r="M298" i="11" s="1"/>
  <c r="I129" i="75" s="1"/>
  <c r="U208" i="11"/>
  <c r="U207" i="11"/>
  <c r="U212" i="11"/>
  <c r="U211" i="11"/>
  <c r="B140" i="8"/>
  <c r="C139" i="8"/>
  <c r="M283" i="11" l="1"/>
  <c r="E364" i="11"/>
  <c r="M284" i="11"/>
  <c r="M286" i="11"/>
  <c r="M287" i="11"/>
  <c r="M288" i="11"/>
  <c r="M285" i="11"/>
  <c r="M282" i="11"/>
  <c r="M299" i="11"/>
  <c r="X228" i="11"/>
  <c r="X253" i="11"/>
  <c r="X251" i="11"/>
  <c r="X226" i="11"/>
  <c r="X233" i="11"/>
  <c r="X232" i="11"/>
  <c r="X241" i="11"/>
  <c r="X249" i="11"/>
  <c r="X236" i="11"/>
  <c r="X235" i="11"/>
  <c r="X234" i="11"/>
  <c r="X239" i="11"/>
  <c r="X238" i="11"/>
  <c r="X218" i="11"/>
  <c r="X237" i="11"/>
  <c r="X242" i="11"/>
  <c r="X224" i="11"/>
  <c r="X223" i="11"/>
  <c r="X222" i="11"/>
  <c r="X244" i="11"/>
  <c r="X219" i="11"/>
  <c r="X252" i="11"/>
  <c r="X250" i="11"/>
  <c r="X248" i="11"/>
  <c r="X246" i="11"/>
  <c r="X221" i="11"/>
  <c r="X247" i="11"/>
  <c r="X225" i="11"/>
  <c r="X217" i="11"/>
  <c r="X240" i="11"/>
  <c r="X227" i="11"/>
  <c r="X231" i="11"/>
  <c r="X245" i="11"/>
  <c r="X243" i="11"/>
  <c r="X229" i="11"/>
  <c r="X230" i="11"/>
  <c r="X220" i="11"/>
  <c r="T217" i="11"/>
  <c r="U217" i="11" s="1"/>
  <c r="T231" i="11"/>
  <c r="U231" i="11" s="1"/>
  <c r="T240" i="11"/>
  <c r="U240" i="11" s="1"/>
  <c r="T238" i="11"/>
  <c r="U238" i="11" s="1"/>
  <c r="T234" i="11"/>
  <c r="U234" i="11" s="1"/>
  <c r="T242" i="11"/>
  <c r="U242" i="11" s="1"/>
  <c r="T225" i="11"/>
  <c r="U225" i="11" s="1"/>
  <c r="T221" i="11"/>
  <c r="U221" i="11" s="1"/>
  <c r="T224" i="11"/>
  <c r="U224" i="11" s="1"/>
  <c r="T218" i="11"/>
  <c r="U218" i="11" s="1"/>
  <c r="T223" i="11"/>
  <c r="U223" i="11" s="1"/>
  <c r="T243" i="11"/>
  <c r="U243" i="11" s="1"/>
  <c r="T253" i="11"/>
  <c r="U253" i="11" s="1"/>
  <c r="T228" i="11"/>
  <c r="U228" i="11" s="1"/>
  <c r="T246" i="11"/>
  <c r="U246" i="11" s="1"/>
  <c r="T239" i="11"/>
  <c r="U239" i="11" s="1"/>
  <c r="T222" i="11"/>
  <c r="U222" i="11" s="1"/>
  <c r="T226" i="11"/>
  <c r="U226" i="11" s="1"/>
  <c r="T232" i="11"/>
  <c r="U232" i="11" s="1"/>
  <c r="T230" i="11"/>
  <c r="U230" i="11" s="1"/>
  <c r="T244" i="11"/>
  <c r="U244" i="11" s="1"/>
  <c r="T250" i="11"/>
  <c r="U250" i="11" s="1"/>
  <c r="T245" i="11"/>
  <c r="U245" i="11" s="1"/>
  <c r="T236" i="11"/>
  <c r="U236" i="11" s="1"/>
  <c r="T241" i="11"/>
  <c r="U241" i="11" s="1"/>
  <c r="T220" i="11"/>
  <c r="U220" i="11" s="1"/>
  <c r="T237" i="11"/>
  <c r="U237" i="11" s="1"/>
  <c r="T229" i="11"/>
  <c r="U229" i="11" s="1"/>
  <c r="T248" i="11"/>
  <c r="U248" i="11" s="1"/>
  <c r="T233" i="11"/>
  <c r="U233" i="11" s="1"/>
  <c r="T227" i="11"/>
  <c r="U227" i="11" s="1"/>
  <c r="T249" i="11"/>
  <c r="U249" i="11" s="1"/>
  <c r="T247" i="11"/>
  <c r="U247" i="11" s="1"/>
  <c r="T251" i="11"/>
  <c r="U251" i="11" s="1"/>
  <c r="T252" i="11"/>
  <c r="U252" i="11" s="1"/>
  <c r="T235" i="11"/>
  <c r="U235" i="11" s="1"/>
  <c r="T219" i="11"/>
  <c r="U219" i="11" s="1"/>
  <c r="I129" i="65"/>
  <c r="M303" i="11"/>
  <c r="E367" i="11" s="1"/>
  <c r="W251" i="11"/>
  <c r="W247" i="11"/>
  <c r="W243" i="11"/>
  <c r="W239" i="11"/>
  <c r="W235" i="11"/>
  <c r="W231" i="11"/>
  <c r="W227" i="11"/>
  <c r="W223" i="11"/>
  <c r="W219" i="11"/>
  <c r="W250" i="11"/>
  <c r="W246" i="11"/>
  <c r="W242" i="11"/>
  <c r="W238" i="11"/>
  <c r="W234" i="11"/>
  <c r="W230" i="11"/>
  <c r="W226" i="11"/>
  <c r="W222" i="11"/>
  <c r="W218" i="11"/>
  <c r="W217" i="11"/>
  <c r="W253" i="11"/>
  <c r="W249" i="11"/>
  <c r="W245" i="11"/>
  <c r="W241" i="11"/>
  <c r="W237" i="11"/>
  <c r="W233" i="11"/>
  <c r="W229" i="11"/>
  <c r="W225" i="11"/>
  <c r="W221" i="11"/>
  <c r="W252" i="11"/>
  <c r="W248" i="11"/>
  <c r="W244" i="11"/>
  <c r="W228" i="11"/>
  <c r="W224" i="11"/>
  <c r="W240" i="11"/>
  <c r="W236" i="11"/>
  <c r="W220" i="11"/>
  <c r="W232" i="11"/>
  <c r="S251" i="11"/>
  <c r="S247" i="11"/>
  <c r="S243" i="11"/>
  <c r="S239" i="11"/>
  <c r="S235" i="11"/>
  <c r="S231" i="11"/>
  <c r="S227" i="11"/>
  <c r="S223" i="11"/>
  <c r="S219" i="11"/>
  <c r="S250" i="11"/>
  <c r="S246" i="11"/>
  <c r="S242" i="11"/>
  <c r="S238" i="11"/>
  <c r="S234" i="11"/>
  <c r="S230" i="11"/>
  <c r="S226" i="11"/>
  <c r="S222" i="11"/>
  <c r="S218" i="11"/>
  <c r="S217" i="11"/>
  <c r="S253" i="11"/>
  <c r="S249" i="11"/>
  <c r="S245" i="11"/>
  <c r="S241" i="11"/>
  <c r="S237" i="11"/>
  <c r="S233" i="11"/>
  <c r="S229" i="11"/>
  <c r="S225" i="11"/>
  <c r="S221" i="11"/>
  <c r="S252" i="11"/>
  <c r="S228" i="11"/>
  <c r="S224" i="11"/>
  <c r="S248" i="11"/>
  <c r="S240" i="11"/>
  <c r="S236" i="11"/>
  <c r="S220" i="11"/>
  <c r="S244" i="11"/>
  <c r="S232" i="11"/>
  <c r="B141" i="8"/>
  <c r="C140" i="8"/>
  <c r="I364" i="11" l="1" a="1"/>
  <c r="I364" i="11" s="1"/>
  <c r="M364" i="11" s="1"/>
  <c r="H364" i="11" a="1"/>
  <c r="H364" i="11" s="1"/>
  <c r="F364" i="11"/>
  <c r="F367" i="11"/>
  <c r="H367" i="11" a="1"/>
  <c r="H367" i="11" s="1"/>
  <c r="I367" i="11" a="1"/>
  <c r="I367" i="11" s="1"/>
  <c r="M367" i="11" s="1"/>
  <c r="I128" i="65"/>
  <c r="I128" i="75"/>
  <c r="M302" i="11"/>
  <c r="E366" i="11" s="1"/>
  <c r="B142" i="8"/>
  <c r="C141" i="8"/>
  <c r="I366" i="11" l="1" a="1"/>
  <c r="I366" i="11" s="1"/>
  <c r="M366" i="11" s="1"/>
  <c r="E373" i="11" s="1"/>
  <c r="C377" i="11" s="1" a="1"/>
  <c r="C377" i="11" s="1"/>
  <c r="H366" i="11" a="1"/>
  <c r="H366" i="11" s="1"/>
  <c r="F366" i="11"/>
  <c r="E372" i="11" s="1"/>
  <c r="M308" i="11"/>
  <c r="M306" i="11"/>
  <c r="M311" i="11"/>
  <c r="M310" i="11"/>
  <c r="M309" i="11"/>
  <c r="M305" i="11"/>
  <c r="M307" i="11"/>
  <c r="B143" i="8"/>
  <c r="C142" i="8"/>
  <c r="E374" i="11" l="1"/>
  <c r="B144" i="8"/>
  <c r="C143" i="8"/>
  <c r="C144" i="8" l="1"/>
  <c r="P120" i="8"/>
  <c r="C90" i="8"/>
  <c r="I48" i="8"/>
  <c r="J48" i="8" s="1"/>
  <c r="I46" i="8"/>
  <c r="J46" i="8" s="1"/>
  <c r="L34" i="8"/>
  <c r="L33" i="8"/>
  <c r="F29" i="8"/>
  <c r="F28" i="8"/>
  <c r="AA102" i="8"/>
  <c r="AA101" i="8"/>
  <c r="AA100" i="8"/>
  <c r="AA99" i="8"/>
  <c r="AA98" i="8"/>
  <c r="AA97" i="8"/>
  <c r="AA96" i="8"/>
  <c r="AA95" i="8"/>
  <c r="AA94" i="8"/>
  <c r="AA93" i="8"/>
  <c r="AA92" i="8"/>
  <c r="AA91" i="8"/>
  <c r="AA90" i="8"/>
  <c r="AA104" i="8" s="1"/>
  <c r="AD89" i="8"/>
  <c r="Q102" i="8"/>
  <c r="Q101" i="8"/>
  <c r="Q100" i="8"/>
  <c r="Q99" i="8"/>
  <c r="Q98" i="8"/>
  <c r="Q97" i="8"/>
  <c r="Q96" i="8"/>
  <c r="Q95" i="8"/>
  <c r="Q94" i="8"/>
  <c r="Q93" i="8"/>
  <c r="Q92" i="8"/>
  <c r="Q91" i="8"/>
  <c r="Q90" i="8"/>
  <c r="G102" i="8"/>
  <c r="G101" i="8"/>
  <c r="G100" i="8"/>
  <c r="G99" i="8"/>
  <c r="G98" i="8"/>
  <c r="G97" i="8"/>
  <c r="G96" i="8"/>
  <c r="G95" i="8"/>
  <c r="G94" i="8"/>
  <c r="G93" i="8"/>
  <c r="G92" i="8"/>
  <c r="G91" i="8"/>
  <c r="G90" i="8"/>
  <c r="X83" i="8"/>
  <c r="X82" i="8"/>
  <c r="AD113" i="8" s="1"/>
  <c r="G303" i="8" s="1"/>
  <c r="W42" i="66" s="1"/>
  <c r="X81" i="8"/>
  <c r="AD112" i="8" s="1"/>
  <c r="G302" i="8" s="1"/>
  <c r="W40" i="66" s="1"/>
  <c r="N83" i="8"/>
  <c r="N81" i="8"/>
  <c r="Q112" i="8" s="1"/>
  <c r="F302" i="8" s="1"/>
  <c r="U40" i="66" s="1"/>
  <c r="N82" i="8"/>
  <c r="Q113" i="8" s="1"/>
  <c r="F82" i="8"/>
  <c r="D113" i="8" s="1"/>
  <c r="F83" i="8"/>
  <c r="D114" i="8" s="1"/>
  <c r="E305" i="8" s="1"/>
  <c r="S46" i="66" s="1"/>
  <c r="F81" i="8"/>
  <c r="D112" i="8" s="1"/>
  <c r="Y102" i="8"/>
  <c r="W102" i="8"/>
  <c r="Y101" i="8"/>
  <c r="W101" i="8"/>
  <c r="Y100" i="8"/>
  <c r="W100" i="8"/>
  <c r="Y99" i="8"/>
  <c r="W99" i="8"/>
  <c r="Y98" i="8"/>
  <c r="W98" i="8"/>
  <c r="Y97" i="8"/>
  <c r="W97" i="8"/>
  <c r="Y96" i="8"/>
  <c r="W96" i="8"/>
  <c r="Y95" i="8"/>
  <c r="W95" i="8"/>
  <c r="Y94" i="8"/>
  <c r="W94" i="8"/>
  <c r="Y93" i="8"/>
  <c r="W93" i="8"/>
  <c r="Y92" i="8"/>
  <c r="W92" i="8"/>
  <c r="Y91" i="8"/>
  <c r="W91" i="8"/>
  <c r="Y90" i="8"/>
  <c r="W90" i="8"/>
  <c r="Y89" i="8"/>
  <c r="V89" i="8"/>
  <c r="O102" i="8"/>
  <c r="M102" i="8"/>
  <c r="O101" i="8"/>
  <c r="M101" i="8"/>
  <c r="O100" i="8"/>
  <c r="M100" i="8"/>
  <c r="O99" i="8"/>
  <c r="M99" i="8"/>
  <c r="O98" i="8"/>
  <c r="M98" i="8"/>
  <c r="O97" i="8"/>
  <c r="M97" i="8"/>
  <c r="O96" i="8"/>
  <c r="M96" i="8"/>
  <c r="O95" i="8"/>
  <c r="M95" i="8"/>
  <c r="O94" i="8"/>
  <c r="M94" i="8"/>
  <c r="O93" i="8"/>
  <c r="M93" i="8"/>
  <c r="O92" i="8"/>
  <c r="O91" i="8"/>
  <c r="O90" i="8"/>
  <c r="O89" i="8"/>
  <c r="L89" i="8"/>
  <c r="E102" i="8"/>
  <c r="C102" i="8"/>
  <c r="E101" i="8"/>
  <c r="C101" i="8"/>
  <c r="E100" i="8"/>
  <c r="C100" i="8"/>
  <c r="E99" i="8"/>
  <c r="C99" i="8"/>
  <c r="E98" i="8"/>
  <c r="C98" i="8"/>
  <c r="E97" i="8"/>
  <c r="C97" i="8"/>
  <c r="E96" i="8"/>
  <c r="C96" i="8"/>
  <c r="E95" i="8"/>
  <c r="C95" i="8"/>
  <c r="E94" i="8"/>
  <c r="C94" i="8"/>
  <c r="E93" i="8"/>
  <c r="E92" i="8"/>
  <c r="E91" i="8"/>
  <c r="E90" i="8"/>
  <c r="E89" i="8"/>
  <c r="B89" i="8"/>
  <c r="F55" i="8"/>
  <c r="G55" i="8" s="1"/>
  <c r="E306" i="8" s="1"/>
  <c r="S48" i="66" s="1"/>
  <c r="F54" i="8"/>
  <c r="G54" i="8" s="1"/>
  <c r="F53" i="8"/>
  <c r="G53" i="8" s="1"/>
  <c r="K65" i="8" s="1"/>
  <c r="J52" i="8"/>
  <c r="F51" i="8"/>
  <c r="G51" i="8" s="1"/>
  <c r="K64" i="8" s="1"/>
  <c r="J50" i="8"/>
  <c r="F49" i="8"/>
  <c r="G49" i="8" s="1"/>
  <c r="K63" i="8" s="1"/>
  <c r="F47" i="8"/>
  <c r="G47" i="8" s="1"/>
  <c r="K62" i="8" s="1"/>
  <c r="F45" i="8"/>
  <c r="G45" i="8" s="1"/>
  <c r="K61" i="8" l="1"/>
  <c r="G57" i="8"/>
  <c r="Q104" i="8"/>
  <c r="G104" i="8"/>
  <c r="J120" i="8"/>
  <c r="E302" i="8"/>
  <c r="S40" i="66" s="1"/>
  <c r="K66" i="8"/>
  <c r="G120" i="8"/>
  <c r="Z285" i="8" s="1"/>
  <c r="AA285" i="8" s="1"/>
  <c r="E303" i="8"/>
  <c r="S42" i="66" s="1"/>
  <c r="F30" i="8"/>
  <c r="T120" i="8"/>
  <c r="U128" i="8" s="1"/>
  <c r="F303" i="8"/>
  <c r="U42" i="66" s="1"/>
  <c r="AL149" i="8"/>
  <c r="AL137" i="8"/>
  <c r="AL125" i="8"/>
  <c r="AJ120" i="8"/>
  <c r="AL148" i="8"/>
  <c r="AL136" i="8"/>
  <c r="AL124" i="8"/>
  <c r="AL147" i="8"/>
  <c r="AL135" i="8"/>
  <c r="AL123" i="8"/>
  <c r="AL146" i="8"/>
  <c r="AL134" i="8"/>
  <c r="AL122" i="8"/>
  <c r="AL145" i="8"/>
  <c r="AL133" i="8"/>
  <c r="AL121" i="8"/>
  <c r="AL144" i="8"/>
  <c r="AL132" i="8"/>
  <c r="AL143" i="8"/>
  <c r="AL131" i="8"/>
  <c r="AL142" i="8"/>
  <c r="AL130" i="8"/>
  <c r="AL141" i="8"/>
  <c r="AL129" i="8"/>
  <c r="AL140" i="8"/>
  <c r="AL128" i="8"/>
  <c r="AL139" i="8"/>
  <c r="AL127" i="8"/>
  <c r="AL138" i="8"/>
  <c r="AL126" i="8"/>
  <c r="AB89" i="8"/>
  <c r="AG120" i="8" s="1"/>
  <c r="AL285" i="8" s="1"/>
  <c r="AM285" i="8" s="1"/>
  <c r="AD114" i="8"/>
  <c r="G305" i="8" s="1"/>
  <c r="W46" i="66" s="1"/>
  <c r="O121" i="8"/>
  <c r="P121" i="8" s="1"/>
  <c r="Y147" i="8"/>
  <c r="Y135" i="8"/>
  <c r="Y123" i="8"/>
  <c r="Y141" i="8"/>
  <c r="Y138" i="8"/>
  <c r="Y124" i="8"/>
  <c r="Y146" i="8"/>
  <c r="Y134" i="8"/>
  <c r="Y122" i="8"/>
  <c r="Y130" i="8"/>
  <c r="Y145" i="8"/>
  <c r="Y133" i="8"/>
  <c r="Y121" i="8"/>
  <c r="Y131" i="8"/>
  <c r="W120" i="8"/>
  <c r="Y129" i="8"/>
  <c r="Y136" i="8"/>
  <c r="Y144" i="8"/>
  <c r="Y132" i="8"/>
  <c r="Y148" i="8"/>
  <c r="Y143" i="8"/>
  <c r="Y125" i="8"/>
  <c r="Y142" i="8"/>
  <c r="Y137" i="8"/>
  <c r="Y140" i="8"/>
  <c r="Y128" i="8"/>
  <c r="Y139" i="8"/>
  <c r="Y127" i="8"/>
  <c r="Y126" i="8"/>
  <c r="R89" i="8"/>
  <c r="S98" i="8" s="1"/>
  <c r="Q114" i="8"/>
  <c r="F305" i="8" s="1"/>
  <c r="U46" i="66" s="1"/>
  <c r="L141" i="8"/>
  <c r="L129" i="8"/>
  <c r="L127" i="8"/>
  <c r="L126" i="8"/>
  <c r="L132" i="8"/>
  <c r="L142" i="8"/>
  <c r="L140" i="8"/>
  <c r="L128" i="8"/>
  <c r="L125" i="8"/>
  <c r="L136" i="8"/>
  <c r="L139" i="8"/>
  <c r="L138" i="8"/>
  <c r="L123" i="8"/>
  <c r="L130" i="8"/>
  <c r="L137" i="8"/>
  <c r="L124" i="8"/>
  <c r="L134" i="8"/>
  <c r="L143" i="8"/>
  <c r="L135" i="8"/>
  <c r="L122" i="8"/>
  <c r="L131" i="8"/>
  <c r="L133" i="8"/>
  <c r="L121" i="8"/>
  <c r="L144" i="8"/>
  <c r="D31" i="8"/>
  <c r="F84" i="8"/>
  <c r="F31" i="8"/>
  <c r="L35" i="8"/>
  <c r="L36" i="8" s="1"/>
  <c r="D33" i="8" s="1"/>
  <c r="D295" i="8" s="1"/>
  <c r="H36" i="66" s="1"/>
  <c r="N84" i="8"/>
  <c r="Q115" i="8" s="1"/>
  <c r="H89" i="8"/>
  <c r="T89" i="8"/>
  <c r="G111" i="8" l="1"/>
  <c r="L111" i="8" s="1"/>
  <c r="H134" i="8"/>
  <c r="AC93" i="8"/>
  <c r="AD93" i="8" s="1"/>
  <c r="AC97" i="8"/>
  <c r="AD97" i="8" s="1"/>
  <c r="U145" i="8"/>
  <c r="AC102" i="8"/>
  <c r="AD102" i="8" s="1"/>
  <c r="U135" i="8"/>
  <c r="H142" i="8"/>
  <c r="AC100" i="8"/>
  <c r="AD100" i="8" s="1"/>
  <c r="U143" i="8"/>
  <c r="AC96" i="8"/>
  <c r="AD96" i="8" s="1"/>
  <c r="AC101" i="8"/>
  <c r="AD101" i="8" s="1"/>
  <c r="U127" i="8"/>
  <c r="U132" i="8"/>
  <c r="H136" i="8"/>
  <c r="AC94" i="8"/>
  <c r="AD94" i="8" s="1"/>
  <c r="AC91" i="8"/>
  <c r="AD91" i="8" s="1"/>
  <c r="U148" i="8"/>
  <c r="H131" i="8"/>
  <c r="AC92" i="8"/>
  <c r="AD92" i="8" s="1"/>
  <c r="AC90" i="8"/>
  <c r="AD90" i="8" s="1"/>
  <c r="U139" i="8"/>
  <c r="H141" i="8"/>
  <c r="H124" i="8"/>
  <c r="AL120" i="8"/>
  <c r="U134" i="8"/>
  <c r="U146" i="8"/>
  <c r="U126" i="8"/>
  <c r="U140" i="8"/>
  <c r="U142" i="8"/>
  <c r="U122" i="8"/>
  <c r="U144" i="8"/>
  <c r="H135" i="8"/>
  <c r="H137" i="8"/>
  <c r="H143" i="8"/>
  <c r="H128" i="8"/>
  <c r="H125" i="8"/>
  <c r="H121" i="8"/>
  <c r="U124" i="8"/>
  <c r="U137" i="8"/>
  <c r="U123" i="8"/>
  <c r="U129" i="8"/>
  <c r="U133" i="8"/>
  <c r="H139" i="8"/>
  <c r="H126" i="8"/>
  <c r="H127" i="8"/>
  <c r="H132" i="8"/>
  <c r="H133" i="8"/>
  <c r="H138" i="8"/>
  <c r="X120" i="8"/>
  <c r="Y120" i="8"/>
  <c r="AF285" i="8"/>
  <c r="AG285" i="8" s="1"/>
  <c r="U136" i="8"/>
  <c r="U147" i="8"/>
  <c r="U138" i="8"/>
  <c r="U141" i="8"/>
  <c r="U131" i="8"/>
  <c r="U121" i="8"/>
  <c r="H140" i="8"/>
  <c r="H130" i="8"/>
  <c r="H129" i="8"/>
  <c r="H144" i="8"/>
  <c r="H123" i="8"/>
  <c r="H122" i="8"/>
  <c r="L120" i="8"/>
  <c r="K120" i="8"/>
  <c r="U48" i="66"/>
  <c r="U125" i="8"/>
  <c r="U130" i="8"/>
  <c r="D32" i="8"/>
  <c r="AK120" i="8"/>
  <c r="AC98" i="8"/>
  <c r="AD98" i="8" s="1"/>
  <c r="AC95" i="8"/>
  <c r="AD95" i="8" s="1"/>
  <c r="AC99" i="8"/>
  <c r="AD99" i="8" s="1"/>
  <c r="S93" i="8"/>
  <c r="T93" i="8" s="1"/>
  <c r="O122" i="8"/>
  <c r="AH142" i="8"/>
  <c r="AH130" i="8"/>
  <c r="AH141" i="8"/>
  <c r="AH129" i="8"/>
  <c r="AH140" i="8"/>
  <c r="AH128" i="8"/>
  <c r="AH139" i="8"/>
  <c r="AH127" i="8"/>
  <c r="AH138" i="8"/>
  <c r="AH126" i="8"/>
  <c r="AH149" i="8"/>
  <c r="AH137" i="8"/>
  <c r="AH125" i="8"/>
  <c r="AH148" i="8"/>
  <c r="AH136" i="8"/>
  <c r="AH124" i="8"/>
  <c r="AH147" i="8"/>
  <c r="AH135" i="8"/>
  <c r="AH123" i="8"/>
  <c r="AH146" i="8"/>
  <c r="AH134" i="8"/>
  <c r="AH122" i="8"/>
  <c r="AH145" i="8"/>
  <c r="AH133" i="8"/>
  <c r="AH121" i="8"/>
  <c r="AH144" i="8"/>
  <c r="AH132" i="8"/>
  <c r="AH143" i="8"/>
  <c r="AH131" i="8"/>
  <c r="S99" i="8"/>
  <c r="T99" i="8" s="1"/>
  <c r="S101" i="8"/>
  <c r="T101" i="8" s="1"/>
  <c r="S90" i="8"/>
  <c r="T90" i="8" s="1"/>
  <c r="S100" i="8"/>
  <c r="T100" i="8" s="1"/>
  <c r="S91" i="8"/>
  <c r="T91" i="8" s="1"/>
  <c r="S102" i="8"/>
  <c r="T102" i="8" s="1"/>
  <c r="S95" i="8"/>
  <c r="T95" i="8" s="1"/>
  <c r="S97" i="8"/>
  <c r="T97" i="8" s="1"/>
  <c r="S92" i="8"/>
  <c r="T92" i="8" s="1"/>
  <c r="J89" i="8"/>
  <c r="D115" i="8"/>
  <c r="S94" i="8"/>
  <c r="T94" i="8" s="1"/>
  <c r="S96" i="8"/>
  <c r="T96" i="8" s="1"/>
  <c r="T98" i="8"/>
  <c r="I96" i="8"/>
  <c r="J96" i="8" s="1"/>
  <c r="I95" i="8"/>
  <c r="J95" i="8" s="1"/>
  <c r="I94" i="8"/>
  <c r="J94" i="8" s="1"/>
  <c r="I93" i="8"/>
  <c r="J93" i="8" s="1"/>
  <c r="I97" i="8"/>
  <c r="J97" i="8" s="1"/>
  <c r="I92" i="8"/>
  <c r="J92" i="8" s="1"/>
  <c r="I99" i="8"/>
  <c r="J99" i="8" s="1"/>
  <c r="I91" i="8"/>
  <c r="J91" i="8" s="1"/>
  <c r="I101" i="8"/>
  <c r="J101" i="8" s="1"/>
  <c r="I102" i="8"/>
  <c r="J102" i="8" s="1"/>
  <c r="I100" i="8"/>
  <c r="J100" i="8" s="1"/>
  <c r="I90" i="8"/>
  <c r="J90" i="8" s="1"/>
  <c r="I98" i="8"/>
  <c r="J98" i="8" s="1"/>
  <c r="D296" i="8" l="1"/>
  <c r="H37" i="66" s="1"/>
  <c r="D34" i="8"/>
  <c r="D297" i="8" s="1"/>
  <c r="H38" i="66" s="1"/>
  <c r="L113" i="8"/>
  <c r="AM120" i="8"/>
  <c r="M120" i="8"/>
  <c r="Z120" i="8"/>
  <c r="G306" i="8"/>
  <c r="W48" i="66" s="1"/>
  <c r="P122" i="8"/>
  <c r="O123" i="8"/>
  <c r="D121" i="8"/>
  <c r="Y286" i="8" s="1"/>
  <c r="L112" i="8" l="1"/>
  <c r="T111" i="8"/>
  <c r="X111" i="8" s="1"/>
  <c r="Q122" i="8" s="1"/>
  <c r="AE287" i="8" s="1"/>
  <c r="D120" i="8"/>
  <c r="Y285" i="8" s="1"/>
  <c r="E308" i="8"/>
  <c r="S52" i="66" s="1"/>
  <c r="P123" i="8"/>
  <c r="O124" i="8"/>
  <c r="D123" i="8"/>
  <c r="Y288" i="8" s="1"/>
  <c r="D122" i="8"/>
  <c r="Y287" i="8" s="1"/>
  <c r="D124" i="8"/>
  <c r="Y289" i="8" s="1"/>
  <c r="D125" i="8"/>
  <c r="Y290" i="8" s="1"/>
  <c r="D126" i="8"/>
  <c r="Y291" i="8" s="1"/>
  <c r="D127" i="8"/>
  <c r="Y292" i="8" s="1"/>
  <c r="D128" i="8"/>
  <c r="Y293" i="8" s="1"/>
  <c r="D129" i="8"/>
  <c r="Y294" i="8" s="1"/>
  <c r="D130" i="8"/>
  <c r="Y295" i="8" s="1"/>
  <c r="D131" i="8"/>
  <c r="Y296" i="8" s="1"/>
  <c r="D132" i="8"/>
  <c r="Y297" i="8" s="1"/>
  <c r="D133" i="8"/>
  <c r="Y298" i="8" s="1"/>
  <c r="D134" i="8"/>
  <c r="Y299" i="8" s="1"/>
  <c r="D135" i="8"/>
  <c r="Y300" i="8" s="1"/>
  <c r="D136" i="8"/>
  <c r="Y301" i="8" s="1"/>
  <c r="D137" i="8"/>
  <c r="Y302" i="8" s="1"/>
  <c r="D138" i="8"/>
  <c r="Y303" i="8" s="1"/>
  <c r="D139" i="8"/>
  <c r="Y304" i="8" s="1"/>
  <c r="D140" i="8"/>
  <c r="Y305" i="8" s="1"/>
  <c r="D141" i="8"/>
  <c r="Y306" i="8" s="1"/>
  <c r="D142" i="8"/>
  <c r="Y307" i="8" s="1"/>
  <c r="D143" i="8"/>
  <c r="Y308" i="8" s="1"/>
  <c r="D144" i="8"/>
  <c r="Y309" i="8" s="1"/>
  <c r="Q121" i="8" l="1"/>
  <c r="AE286" i="8" s="1"/>
  <c r="Q120" i="8"/>
  <c r="AE285" i="8" s="1"/>
  <c r="Q123" i="8"/>
  <c r="AE288" i="8" s="1"/>
  <c r="F308" i="8"/>
  <c r="U52" i="66" s="1"/>
  <c r="X113" i="8"/>
  <c r="AG111" i="8" s="1"/>
  <c r="AK111" i="8" s="1"/>
  <c r="E307" i="8"/>
  <c r="S50" i="66" s="1"/>
  <c r="I141" i="8"/>
  <c r="I125" i="8"/>
  <c r="I136" i="8"/>
  <c r="I143" i="8"/>
  <c r="I127" i="8"/>
  <c r="I134" i="8"/>
  <c r="I137" i="8"/>
  <c r="I121" i="8"/>
  <c r="AB286" i="8" s="1"/>
  <c r="AC286" i="8" s="1"/>
  <c r="I132" i="8"/>
  <c r="I139" i="8"/>
  <c r="I123" i="8"/>
  <c r="I130" i="8"/>
  <c r="I133" i="8"/>
  <c r="I144" i="8"/>
  <c r="I128" i="8"/>
  <c r="I135" i="8"/>
  <c r="I142" i="8"/>
  <c r="I126" i="8"/>
  <c r="I129" i="8"/>
  <c r="I138" i="8"/>
  <c r="I140" i="8"/>
  <c r="I122" i="8"/>
  <c r="I124" i="8"/>
  <c r="I131" i="8"/>
  <c r="P124" i="8"/>
  <c r="Q124" i="8" s="1"/>
  <c r="AE289" i="8" s="1"/>
  <c r="O125" i="8"/>
  <c r="E309" i="8"/>
  <c r="S54" i="66" s="1"/>
  <c r="X112" i="8" l="1"/>
  <c r="V122" i="8" s="1"/>
  <c r="W122" i="8" s="1"/>
  <c r="X122" i="8" s="1"/>
  <c r="Z122" i="8" s="1"/>
  <c r="F309" i="8"/>
  <c r="U54" i="66" s="1"/>
  <c r="AK113" i="8"/>
  <c r="AK112" i="8" s="1"/>
  <c r="AD120" i="8"/>
  <c r="AK285" i="8" s="1"/>
  <c r="AD124" i="8"/>
  <c r="AK289" i="8" s="1"/>
  <c r="AD125" i="8"/>
  <c r="AK290" i="8" s="1"/>
  <c r="AD129" i="8"/>
  <c r="AK294" i="8" s="1"/>
  <c r="AD133" i="8"/>
  <c r="AK298" i="8" s="1"/>
  <c r="AD137" i="8"/>
  <c r="AK302" i="8" s="1"/>
  <c r="AD141" i="8"/>
  <c r="AK306" i="8" s="1"/>
  <c r="AD145" i="8"/>
  <c r="AK310" i="8" s="1"/>
  <c r="AD149" i="8"/>
  <c r="AK314" i="8" s="1"/>
  <c r="AK317" i="8"/>
  <c r="AD127" i="8"/>
  <c r="AK292" i="8" s="1"/>
  <c r="AD131" i="8"/>
  <c r="AK296" i="8" s="1"/>
  <c r="AD139" i="8"/>
  <c r="AK304" i="8" s="1"/>
  <c r="AD147" i="8"/>
  <c r="AK312" i="8" s="1"/>
  <c r="AD128" i="8"/>
  <c r="AK293" i="8" s="1"/>
  <c r="AD136" i="8"/>
  <c r="AK301" i="8" s="1"/>
  <c r="AD144" i="8"/>
  <c r="AK309" i="8" s="1"/>
  <c r="AK318" i="8"/>
  <c r="AD123" i="8"/>
  <c r="AK288" i="8" s="1"/>
  <c r="AD126" i="8"/>
  <c r="AK291" i="8" s="1"/>
  <c r="AD130" i="8"/>
  <c r="AK295" i="8" s="1"/>
  <c r="AD134" i="8"/>
  <c r="AK299" i="8" s="1"/>
  <c r="AD138" i="8"/>
  <c r="AK303" i="8" s="1"/>
  <c r="AD142" i="8"/>
  <c r="AK307" i="8" s="1"/>
  <c r="AD146" i="8"/>
  <c r="AK311" i="8" s="1"/>
  <c r="AK315" i="8"/>
  <c r="AD121" i="8"/>
  <c r="AK286" i="8" s="1"/>
  <c r="AD135" i="8"/>
  <c r="AK300" i="8" s="1"/>
  <c r="AD143" i="8"/>
  <c r="AK308" i="8" s="1"/>
  <c r="AK316" i="8"/>
  <c r="G308" i="8"/>
  <c r="W52" i="66" s="1"/>
  <c r="AD122" i="8"/>
  <c r="AK287" i="8" s="1"/>
  <c r="AD132" i="8"/>
  <c r="AK297" i="8" s="1"/>
  <c r="AD140" i="8"/>
  <c r="AK305" i="8" s="1"/>
  <c r="AD148" i="8"/>
  <c r="AK313" i="8" s="1"/>
  <c r="J130" i="8"/>
  <c r="K130" i="8" s="1"/>
  <c r="M130" i="8" s="1"/>
  <c r="AB295" i="8"/>
  <c r="AC295" i="8" s="1"/>
  <c r="J134" i="8"/>
  <c r="K134" i="8" s="1"/>
  <c r="M134" i="8" s="1"/>
  <c r="AB299" i="8"/>
  <c r="AC299" i="8" s="1"/>
  <c r="J140" i="8"/>
  <c r="K140" i="8" s="1"/>
  <c r="M140" i="8" s="1"/>
  <c r="AB305" i="8"/>
  <c r="AC305" i="8" s="1"/>
  <c r="J141" i="8"/>
  <c r="K141" i="8" s="1"/>
  <c r="M141" i="8" s="1"/>
  <c r="AB306" i="8"/>
  <c r="AC306" i="8" s="1"/>
  <c r="J133" i="8"/>
  <c r="K133" i="8" s="1"/>
  <c r="M133" i="8" s="1"/>
  <c r="AB298" i="8"/>
  <c r="AC298" i="8" s="1"/>
  <c r="J135" i="8"/>
  <c r="K135" i="8" s="1"/>
  <c r="M135" i="8" s="1"/>
  <c r="AB300" i="8"/>
  <c r="AC300" i="8" s="1"/>
  <c r="J142" i="8"/>
  <c r="K142" i="8" s="1"/>
  <c r="M142" i="8" s="1"/>
  <c r="AB307" i="8"/>
  <c r="AC307" i="8" s="1"/>
  <c r="J138" i="8"/>
  <c r="K138" i="8" s="1"/>
  <c r="M138" i="8" s="1"/>
  <c r="AB303" i="8"/>
  <c r="AC303" i="8" s="1"/>
  <c r="J143" i="8"/>
  <c r="K143" i="8" s="1"/>
  <c r="M143" i="8" s="1"/>
  <c r="AB308" i="8"/>
  <c r="AC308" i="8" s="1"/>
  <c r="J124" i="8"/>
  <c r="K124" i="8" s="1"/>
  <c r="M124" i="8" s="1"/>
  <c r="AB289" i="8"/>
  <c r="AC289" i="8" s="1"/>
  <c r="J139" i="8"/>
  <c r="K139" i="8" s="1"/>
  <c r="M139" i="8" s="1"/>
  <c r="AB304" i="8"/>
  <c r="AC304" i="8" s="1"/>
  <c r="J122" i="8"/>
  <c r="K122" i="8" s="1"/>
  <c r="M122" i="8" s="1"/>
  <c r="AB287" i="8"/>
  <c r="AC287" i="8" s="1"/>
  <c r="J136" i="8"/>
  <c r="K136" i="8" s="1"/>
  <c r="M136" i="8" s="1"/>
  <c r="AB301" i="8"/>
  <c r="AC301" i="8" s="1"/>
  <c r="J129" i="8"/>
  <c r="K129" i="8" s="1"/>
  <c r="M129" i="8" s="1"/>
  <c r="AB294" i="8"/>
  <c r="AC294" i="8" s="1"/>
  <c r="J128" i="8"/>
  <c r="K128" i="8" s="1"/>
  <c r="M128" i="8" s="1"/>
  <c r="AB293" i="8"/>
  <c r="AC293" i="8" s="1"/>
  <c r="J123" i="8"/>
  <c r="K123" i="8" s="1"/>
  <c r="M123" i="8" s="1"/>
  <c r="AB288" i="8"/>
  <c r="AC288" i="8" s="1"/>
  <c r="J126" i="8"/>
  <c r="K126" i="8" s="1"/>
  <c r="M126" i="8" s="1"/>
  <c r="AB291" i="8"/>
  <c r="AC291" i="8" s="1"/>
  <c r="J137" i="8"/>
  <c r="K137" i="8" s="1"/>
  <c r="M137" i="8" s="1"/>
  <c r="AB302" i="8"/>
  <c r="AC302" i="8" s="1"/>
  <c r="J132" i="8"/>
  <c r="K132" i="8" s="1"/>
  <c r="M132" i="8" s="1"/>
  <c r="AB297" i="8"/>
  <c r="AC297" i="8" s="1"/>
  <c r="J127" i="8"/>
  <c r="K127" i="8" s="1"/>
  <c r="M127" i="8" s="1"/>
  <c r="AB292" i="8"/>
  <c r="AC292" i="8" s="1"/>
  <c r="J125" i="8"/>
  <c r="K125" i="8" s="1"/>
  <c r="M125" i="8" s="1"/>
  <c r="AB290" i="8"/>
  <c r="AC290" i="8" s="1"/>
  <c r="J131" i="8"/>
  <c r="K131" i="8" s="1"/>
  <c r="M131" i="8" s="1"/>
  <c r="AB296" i="8"/>
  <c r="AC296" i="8" s="1"/>
  <c r="J144" i="8"/>
  <c r="K144" i="8" s="1"/>
  <c r="M144" i="8" s="1"/>
  <c r="AB309" i="8"/>
  <c r="AC309" i="8" s="1"/>
  <c r="I155" i="8"/>
  <c r="D316" i="8" s="1"/>
  <c r="H43" i="66" s="1"/>
  <c r="P125" i="8"/>
  <c r="Q125" i="8" s="1"/>
  <c r="O126" i="8"/>
  <c r="C160" i="8"/>
  <c r="C162" i="8"/>
  <c r="C161" i="8"/>
  <c r="C171" i="8" s="1"/>
  <c r="O229" i="8" s="1"/>
  <c r="C163" i="8"/>
  <c r="C174" i="8" s="1"/>
  <c r="N258" i="8" s="1"/>
  <c r="R240" i="8" s="1"/>
  <c r="J121" i="8"/>
  <c r="K121" i="8" s="1"/>
  <c r="M121" i="8" s="1"/>
  <c r="V121" i="8" l="1"/>
  <c r="AH286" i="8" s="1"/>
  <c r="AI286" i="8" s="1"/>
  <c r="V123" i="8"/>
  <c r="AH288" i="8" s="1"/>
  <c r="AI288" i="8" s="1"/>
  <c r="V124" i="8"/>
  <c r="AH289" i="8" s="1"/>
  <c r="AI289" i="8" s="1"/>
  <c r="F307" i="8"/>
  <c r="U50" i="66" s="1"/>
  <c r="AH287" i="8"/>
  <c r="AI287" i="8" s="1"/>
  <c r="G309" i="8"/>
  <c r="W54" i="66" s="1"/>
  <c r="AI138" i="8"/>
  <c r="AI139" i="8"/>
  <c r="AI127" i="8"/>
  <c r="AI122" i="8"/>
  <c r="AI147" i="8"/>
  <c r="AI141" i="8"/>
  <c r="AI128" i="8"/>
  <c r="AI124" i="8"/>
  <c r="AI121" i="8"/>
  <c r="AI146" i="8"/>
  <c r="AI142" i="8"/>
  <c r="AI143" i="8"/>
  <c r="AI123" i="8"/>
  <c r="G307" i="8"/>
  <c r="W50" i="66" s="1"/>
  <c r="AI133" i="8"/>
  <c r="AI130" i="8"/>
  <c r="AI125" i="8"/>
  <c r="AI132" i="8"/>
  <c r="AI126" i="8"/>
  <c r="AI137" i="8"/>
  <c r="AI129" i="8"/>
  <c r="AI131" i="8"/>
  <c r="AI148" i="8"/>
  <c r="AI134" i="8"/>
  <c r="AI144" i="8"/>
  <c r="AI145" i="8"/>
  <c r="AI135" i="8"/>
  <c r="AI140" i="8"/>
  <c r="AI149" i="8"/>
  <c r="AI136" i="8"/>
  <c r="AE290" i="8"/>
  <c r="V125" i="8"/>
  <c r="W125" i="8" s="1"/>
  <c r="X125" i="8" s="1"/>
  <c r="Z125" i="8" s="1"/>
  <c r="C164" i="8"/>
  <c r="C173" i="8" s="1"/>
  <c r="O258" i="8" s="1"/>
  <c r="G155" i="8"/>
  <c r="D320" i="8" s="1"/>
  <c r="H51" i="66" s="1"/>
  <c r="M155" i="8"/>
  <c r="D322" i="8" s="1"/>
  <c r="H55" i="66" s="1"/>
  <c r="L155" i="8"/>
  <c r="D319" i="8" s="1"/>
  <c r="H49" i="66" s="1"/>
  <c r="D155" i="8"/>
  <c r="D321" i="8" s="1"/>
  <c r="H53" i="66" s="1"/>
  <c r="D318" i="8"/>
  <c r="H47" i="66" s="1"/>
  <c r="J155" i="8"/>
  <c r="D317" i="8" s="1"/>
  <c r="H45" i="66" s="1"/>
  <c r="C165" i="8"/>
  <c r="C166" i="8"/>
  <c r="P126" i="8"/>
  <c r="Q126" i="8" s="1"/>
  <c r="O127" i="8"/>
  <c r="E177" i="8"/>
  <c r="E178" i="8"/>
  <c r="W124" i="8" l="1"/>
  <c r="X124" i="8" s="1"/>
  <c r="Z124" i="8" s="1"/>
  <c r="W121" i="8"/>
  <c r="X121" i="8" s="1"/>
  <c r="Z121" i="8" s="1"/>
  <c r="W123" i="8"/>
  <c r="X123" i="8" s="1"/>
  <c r="Z123" i="8" s="1"/>
  <c r="AJ140" i="8"/>
  <c r="AK140" i="8" s="1"/>
  <c r="AM140" i="8" s="1"/>
  <c r="AN305" i="8"/>
  <c r="AO305" i="8" s="1"/>
  <c r="AJ134" i="8"/>
  <c r="AK134" i="8" s="1"/>
  <c r="AM134" i="8" s="1"/>
  <c r="AN299" i="8"/>
  <c r="AO299" i="8" s="1"/>
  <c r="AN317" i="8"/>
  <c r="AO317" i="8" s="1"/>
  <c r="AJ125" i="8"/>
  <c r="AK125" i="8" s="1"/>
  <c r="AM125" i="8" s="1"/>
  <c r="AN290" i="8"/>
  <c r="AO290" i="8" s="1"/>
  <c r="AN316" i="8"/>
  <c r="AO316" i="8" s="1"/>
  <c r="AN315" i="8"/>
  <c r="AO315" i="8" s="1"/>
  <c r="AJ124" i="8"/>
  <c r="AK124" i="8" s="1"/>
  <c r="AM124" i="8" s="1"/>
  <c r="AN289" i="8"/>
  <c r="AO289" i="8" s="1"/>
  <c r="AN287" i="8"/>
  <c r="AO287" i="8" s="1"/>
  <c r="AJ122" i="8"/>
  <c r="AK122" i="8" s="1"/>
  <c r="AM122" i="8" s="1"/>
  <c r="AJ135" i="8"/>
  <c r="AK135" i="8" s="1"/>
  <c r="AM135" i="8" s="1"/>
  <c r="AN300" i="8"/>
  <c r="AO300" i="8" s="1"/>
  <c r="AJ148" i="8"/>
  <c r="AK148" i="8" s="1"/>
  <c r="AM148" i="8" s="1"/>
  <c r="AN313" i="8"/>
  <c r="AO313" i="8" s="1"/>
  <c r="AJ137" i="8"/>
  <c r="AK137" i="8" s="1"/>
  <c r="AM137" i="8" s="1"/>
  <c r="AN302" i="8"/>
  <c r="AO302" i="8" s="1"/>
  <c r="AJ130" i="8"/>
  <c r="AK130" i="8" s="1"/>
  <c r="AM130" i="8" s="1"/>
  <c r="AN295" i="8"/>
  <c r="AO295" i="8" s="1"/>
  <c r="AJ123" i="8"/>
  <c r="AK123" i="8" s="1"/>
  <c r="AM123" i="8" s="1"/>
  <c r="AN288" i="8"/>
  <c r="AO288" i="8" s="1"/>
  <c r="AN311" i="8"/>
  <c r="AO311" i="8" s="1"/>
  <c r="AJ146" i="8"/>
  <c r="AK146" i="8" s="1"/>
  <c r="AM146" i="8" s="1"/>
  <c r="AN293" i="8"/>
  <c r="AO293" i="8" s="1"/>
  <c r="AC161" i="8"/>
  <c r="AC171" i="8" s="1"/>
  <c r="AJ128" i="8"/>
  <c r="AK128" i="8" s="1"/>
  <c r="AM128" i="8" s="1"/>
  <c r="AJ127" i="8"/>
  <c r="AK127" i="8" s="1"/>
  <c r="AM127" i="8" s="1"/>
  <c r="AN292" i="8"/>
  <c r="AO292" i="8" s="1"/>
  <c r="AN301" i="8"/>
  <c r="AO301" i="8" s="1"/>
  <c r="AJ136" i="8"/>
  <c r="AK136" i="8" s="1"/>
  <c r="AM136" i="8" s="1"/>
  <c r="AJ145" i="8"/>
  <c r="AK145" i="8" s="1"/>
  <c r="AM145" i="8" s="1"/>
  <c r="AN310" i="8"/>
  <c r="AO310" i="8" s="1"/>
  <c r="AJ131" i="8"/>
  <c r="AK131" i="8" s="1"/>
  <c r="AM131" i="8" s="1"/>
  <c r="AN296" i="8"/>
  <c r="AO296" i="8" s="1"/>
  <c r="AJ126" i="8"/>
  <c r="AK126" i="8" s="1"/>
  <c r="AM126" i="8" s="1"/>
  <c r="AN291" i="8"/>
  <c r="AO291" i="8" s="1"/>
  <c r="AJ133" i="8"/>
  <c r="AK133" i="8" s="1"/>
  <c r="AM133" i="8" s="1"/>
  <c r="AN298" i="8"/>
  <c r="AO298" i="8" s="1"/>
  <c r="AJ143" i="8"/>
  <c r="AK143" i="8" s="1"/>
  <c r="AM143" i="8" s="1"/>
  <c r="AN308" i="8"/>
  <c r="AO308" i="8" s="1"/>
  <c r="AN318" i="8"/>
  <c r="AO318" i="8" s="1"/>
  <c r="AJ141" i="8"/>
  <c r="AK141" i="8" s="1"/>
  <c r="AM141" i="8" s="1"/>
  <c r="AN306" i="8"/>
  <c r="AO306" i="8" s="1"/>
  <c r="AJ139" i="8"/>
  <c r="AK139" i="8" s="1"/>
  <c r="AM139" i="8" s="1"/>
  <c r="AN304" i="8"/>
  <c r="AO304" i="8" s="1"/>
  <c r="AJ149" i="8"/>
  <c r="AK149" i="8" s="1"/>
  <c r="AM149" i="8" s="1"/>
  <c r="AN314" i="8"/>
  <c r="AO314" i="8" s="1"/>
  <c r="AN309" i="8"/>
  <c r="AO309" i="8" s="1"/>
  <c r="AJ144" i="8"/>
  <c r="AK144" i="8" s="1"/>
  <c r="AM144" i="8" s="1"/>
  <c r="AJ129" i="8"/>
  <c r="AK129" i="8" s="1"/>
  <c r="AM129" i="8" s="1"/>
  <c r="AN294" i="8"/>
  <c r="AO294" i="8" s="1"/>
  <c r="AJ132" i="8"/>
  <c r="AK132" i="8" s="1"/>
  <c r="AM132" i="8" s="1"/>
  <c r="AN297" i="8"/>
  <c r="AO297" i="8" s="1"/>
  <c r="AJ142" i="8"/>
  <c r="AK142" i="8" s="1"/>
  <c r="AM142" i="8" s="1"/>
  <c r="AN307" i="8"/>
  <c r="AO307" i="8" s="1"/>
  <c r="AJ121" i="8"/>
  <c r="AK121" i="8" s="1"/>
  <c r="AM121" i="8" s="1"/>
  <c r="AI155" i="8"/>
  <c r="AN286" i="8"/>
  <c r="AO286" i="8" s="1"/>
  <c r="AC163" i="8"/>
  <c r="AC174" i="8" s="1"/>
  <c r="N260" i="8" s="1"/>
  <c r="R242" i="8" s="1"/>
  <c r="AC160" i="8"/>
  <c r="AC162" i="8"/>
  <c r="AJ147" i="8"/>
  <c r="AK147" i="8" s="1"/>
  <c r="AM147" i="8" s="1"/>
  <c r="AN312" i="8"/>
  <c r="AO312" i="8" s="1"/>
  <c r="AN303" i="8"/>
  <c r="AO303" i="8" s="1"/>
  <c r="AJ138" i="8"/>
  <c r="AK138" i="8" s="1"/>
  <c r="AM138" i="8" s="1"/>
  <c r="AH290" i="8"/>
  <c r="AI290" i="8" s="1"/>
  <c r="AE291" i="8"/>
  <c r="V126" i="8"/>
  <c r="AH291" i="8" s="1"/>
  <c r="AI291" i="8" s="1"/>
  <c r="E181" i="8"/>
  <c r="E182" i="8"/>
  <c r="G191" i="8" s="1"/>
  <c r="D194" i="8"/>
  <c r="D205" i="8"/>
  <c r="D203" i="8"/>
  <c r="D189" i="8"/>
  <c r="D212" i="8"/>
  <c r="D187" i="8"/>
  <c r="D210" i="8"/>
  <c r="D221" i="8"/>
  <c r="D196" i="8"/>
  <c r="D190" i="8"/>
  <c r="D199" i="8"/>
  <c r="D193" i="8"/>
  <c r="D216" i="8"/>
  <c r="D191" i="8"/>
  <c r="D214" i="8"/>
  <c r="D195" i="8"/>
  <c r="D200" i="8"/>
  <c r="D223" i="8"/>
  <c r="D198" i="8"/>
  <c r="D209" i="8"/>
  <c r="D207" i="8"/>
  <c r="D218" i="8"/>
  <c r="D204" i="8"/>
  <c r="D202" i="8"/>
  <c r="D213" i="8"/>
  <c r="D188" i="8"/>
  <c r="D211" i="8"/>
  <c r="D197" i="8"/>
  <c r="D220" i="8"/>
  <c r="D217" i="8"/>
  <c r="D192" i="8"/>
  <c r="D215" i="8"/>
  <c r="D201" i="8"/>
  <c r="D222" i="8"/>
  <c r="D219" i="8"/>
  <c r="D206" i="8"/>
  <c r="D208" i="8"/>
  <c r="P127" i="8"/>
  <c r="Q127" i="8" s="1"/>
  <c r="O128" i="8"/>
  <c r="C207" i="8"/>
  <c r="C201" i="8"/>
  <c r="C205" i="8"/>
  <c r="C192" i="8"/>
  <c r="C216" i="8"/>
  <c r="C214" i="8"/>
  <c r="C217" i="8"/>
  <c r="C213" i="8"/>
  <c r="C219" i="8"/>
  <c r="C194" i="8"/>
  <c r="C199" i="8"/>
  <c r="C195" i="8"/>
  <c r="C206" i="8"/>
  <c r="C215" i="8"/>
  <c r="C218" i="8"/>
  <c r="C187" i="8"/>
  <c r="C191" i="8"/>
  <c r="C202" i="8"/>
  <c r="C200" i="8"/>
  <c r="C189" i="8"/>
  <c r="C188" i="8"/>
  <c r="C211" i="8"/>
  <c r="C222" i="8"/>
  <c r="C203" i="8"/>
  <c r="C209" i="8"/>
  <c r="C190" i="8"/>
  <c r="C197" i="8"/>
  <c r="C196" i="8"/>
  <c r="C198" i="8"/>
  <c r="C220" i="8"/>
  <c r="C221" i="8"/>
  <c r="C210" i="8"/>
  <c r="C223" i="8"/>
  <c r="C204" i="8"/>
  <c r="C193" i="8"/>
  <c r="C212" i="8"/>
  <c r="C208" i="8"/>
  <c r="G210" i="8" l="1"/>
  <c r="G215" i="8"/>
  <c r="G220" i="8"/>
  <c r="G217" i="8"/>
  <c r="G202" i="8"/>
  <c r="G199" i="8"/>
  <c r="G212" i="8"/>
  <c r="G203" i="8"/>
  <c r="G190" i="8"/>
  <c r="G188" i="8"/>
  <c r="G219" i="8"/>
  <c r="G222" i="8"/>
  <c r="G195" i="8"/>
  <c r="G187" i="8"/>
  <c r="AC164" i="8"/>
  <c r="AC173" i="8" s="1"/>
  <c r="O260" i="8" s="1"/>
  <c r="G198" i="8"/>
  <c r="G223" i="8"/>
  <c r="G218" i="8"/>
  <c r="G208" i="8"/>
  <c r="G213" i="8"/>
  <c r="G206" i="8"/>
  <c r="G209" i="8"/>
  <c r="G204" i="8"/>
  <c r="G207" i="8"/>
  <c r="G189" i="8"/>
  <c r="G196" i="8"/>
  <c r="G201" i="8"/>
  <c r="G197" i="8"/>
  <c r="G194" i="8"/>
  <c r="G192" i="8"/>
  <c r="G211" i="8"/>
  <c r="G193" i="8"/>
  <c r="G221" i="8"/>
  <c r="G205" i="8"/>
  <c r="F221" i="8"/>
  <c r="F190" i="8"/>
  <c r="AC166" i="8"/>
  <c r="AC165" i="8"/>
  <c r="F316" i="8"/>
  <c r="L43" i="66" s="1"/>
  <c r="AK155" i="8"/>
  <c r="F318" i="8" s="1"/>
  <c r="L47" i="66" s="1"/>
  <c r="AM155" i="8"/>
  <c r="F322" i="8" s="1"/>
  <c r="L55" i="66" s="1"/>
  <c r="AJ155" i="8"/>
  <c r="F317" i="8" s="1"/>
  <c r="L45" i="66" s="1"/>
  <c r="AL155" i="8"/>
  <c r="F319" i="8" s="1"/>
  <c r="L49" i="66" s="1"/>
  <c r="AG155" i="8"/>
  <c r="F320" i="8" s="1"/>
  <c r="L51" i="66" s="1"/>
  <c r="O231" i="8"/>
  <c r="AE178" i="8"/>
  <c r="AE177" i="8"/>
  <c r="W126" i="8"/>
  <c r="X126" i="8" s="1"/>
  <c r="Z126" i="8" s="1"/>
  <c r="G200" i="8"/>
  <c r="G216" i="8"/>
  <c r="G214" i="8"/>
  <c r="F222" i="8"/>
  <c r="F191" i="8"/>
  <c r="F202" i="8"/>
  <c r="F196" i="8"/>
  <c r="F199" i="8"/>
  <c r="F201" i="8"/>
  <c r="F207" i="8"/>
  <c r="F203" i="8"/>
  <c r="F217" i="8"/>
  <c r="F206" i="8"/>
  <c r="F212" i="8"/>
  <c r="F215" i="8"/>
  <c r="F213" i="8"/>
  <c r="F211" i="8"/>
  <c r="F223" i="8"/>
  <c r="F214" i="8"/>
  <c r="F200" i="8"/>
  <c r="F197" i="8"/>
  <c r="F219" i="8"/>
  <c r="F209" i="8"/>
  <c r="F192" i="8"/>
  <c r="F205" i="8"/>
  <c r="F210" i="8"/>
  <c r="F187" i="8"/>
  <c r="F218" i="8"/>
  <c r="F220" i="8"/>
  <c r="F198" i="8"/>
  <c r="AE292" i="8"/>
  <c r="V127" i="8"/>
  <c r="W127" i="8" s="1"/>
  <c r="X127" i="8" s="1"/>
  <c r="Z127" i="8" s="1"/>
  <c r="F189" i="8"/>
  <c r="F188" i="8"/>
  <c r="F204" i="8"/>
  <c r="F195" i="8"/>
  <c r="F208" i="8"/>
  <c r="F194" i="8"/>
  <c r="F216" i="8"/>
  <c r="F193" i="8"/>
  <c r="P128" i="8"/>
  <c r="Q128" i="8" s="1"/>
  <c r="O129" i="8"/>
  <c r="AE181" i="8" l="1"/>
  <c r="AE182" i="8"/>
  <c r="Q192" i="8"/>
  <c r="Q193" i="8"/>
  <c r="Q218" i="8"/>
  <c r="Q194" i="8"/>
  <c r="Q214" i="8"/>
  <c r="Q212" i="8"/>
  <c r="Q217" i="8"/>
  <c r="Q200" i="8"/>
  <c r="Q203" i="8"/>
  <c r="Q205" i="8"/>
  <c r="Q191" i="8"/>
  <c r="Q215" i="8"/>
  <c r="Q222" i="8"/>
  <c r="Q221" i="8"/>
  <c r="Q189" i="8"/>
  <c r="Q197" i="8"/>
  <c r="Q201" i="8"/>
  <c r="Q204" i="8"/>
  <c r="Q188" i="8"/>
  <c r="Q195" i="8"/>
  <c r="Q219" i="8"/>
  <c r="Q208" i="8"/>
  <c r="Q213" i="8"/>
  <c r="Q216" i="8"/>
  <c r="Q198" i="8"/>
  <c r="Q202" i="8"/>
  <c r="Q206" i="8"/>
  <c r="Q209" i="8"/>
  <c r="Q223" i="8"/>
  <c r="Q211" i="8"/>
  <c r="Q220" i="8"/>
  <c r="Q187" i="8"/>
  <c r="Q190" i="8"/>
  <c r="Q196" i="8"/>
  <c r="Q207" i="8"/>
  <c r="Q199" i="8"/>
  <c r="Q210" i="8"/>
  <c r="R198" i="8"/>
  <c r="R191" i="8"/>
  <c r="R202" i="8"/>
  <c r="R211" i="8"/>
  <c r="R215" i="8"/>
  <c r="R201" i="8"/>
  <c r="R206" i="8"/>
  <c r="R212" i="8"/>
  <c r="R196" i="8"/>
  <c r="R214" i="8"/>
  <c r="R209" i="8"/>
  <c r="R216" i="8"/>
  <c r="R203" i="8"/>
  <c r="R197" i="8"/>
  <c r="R218" i="8"/>
  <c r="R199" i="8"/>
  <c r="R217" i="8"/>
  <c r="R187" i="8"/>
  <c r="R205" i="8"/>
  <c r="R200" i="8"/>
  <c r="R207" i="8"/>
  <c r="R219" i="8"/>
  <c r="R213" i="8"/>
  <c r="R220" i="8"/>
  <c r="R204" i="8"/>
  <c r="R222" i="8"/>
  <c r="R192" i="8"/>
  <c r="R210" i="8"/>
  <c r="R223" i="8"/>
  <c r="R193" i="8"/>
  <c r="R194" i="8"/>
  <c r="R188" i="8"/>
  <c r="R195" i="8"/>
  <c r="R190" i="8"/>
  <c r="R208" i="8"/>
  <c r="R189" i="8"/>
  <c r="R221" i="8"/>
  <c r="AH292" i="8"/>
  <c r="AI292" i="8" s="1"/>
  <c r="AE293" i="8"/>
  <c r="V128" i="8"/>
  <c r="W128" i="8" s="1"/>
  <c r="X128" i="8" s="1"/>
  <c r="Z128" i="8" s="1"/>
  <c r="P129" i="8"/>
  <c r="Q129" i="8" s="1"/>
  <c r="O130" i="8"/>
  <c r="AK125" i="11"/>
  <c r="AQ100" i="11"/>
  <c r="AK124" i="11"/>
  <c r="AO100" i="11"/>
  <c r="AP104" i="11" s="1"/>
  <c r="AQ104" i="11" s="1"/>
  <c r="U200" i="8" l="1"/>
  <c r="V221" i="8"/>
  <c r="U217" i="8"/>
  <c r="V219" i="8"/>
  <c r="V215" i="8"/>
  <c r="V188" i="8"/>
  <c r="U191" i="8"/>
  <c r="U211" i="8"/>
  <c r="U221" i="8"/>
  <c r="V200" i="8"/>
  <c r="U195" i="8"/>
  <c r="U199" i="8"/>
  <c r="U204" i="8"/>
  <c r="U203" i="8"/>
  <c r="V193" i="8"/>
  <c r="U187" i="8"/>
  <c r="V205" i="8"/>
  <c r="U206" i="8"/>
  <c r="V209" i="8"/>
  <c r="U214" i="8"/>
  <c r="V211" i="8"/>
  <c r="U209" i="8"/>
  <c r="V220" i="8"/>
  <c r="U190" i="8"/>
  <c r="V202" i="8"/>
  <c r="V218" i="8"/>
  <c r="U216" i="8"/>
  <c r="U215" i="8"/>
  <c r="V204" i="8"/>
  <c r="U201" i="8"/>
  <c r="V192" i="8"/>
  <c r="V210" i="8"/>
  <c r="U192" i="8"/>
  <c r="V208" i="8"/>
  <c r="V223" i="8"/>
  <c r="V212" i="8"/>
  <c r="U198" i="8"/>
  <c r="U208" i="8"/>
  <c r="V206" i="8"/>
  <c r="V213" i="8"/>
  <c r="V222" i="8"/>
  <c r="U210" i="8"/>
  <c r="U222" i="8"/>
  <c r="V203" i="8"/>
  <c r="V214" i="8"/>
  <c r="U189" i="8"/>
  <c r="U212" i="8"/>
  <c r="V217" i="8"/>
  <c r="V216" i="8"/>
  <c r="V191" i="8"/>
  <c r="U205" i="8"/>
  <c r="V195" i="8"/>
  <c r="V201" i="8"/>
  <c r="U196" i="8"/>
  <c r="U223" i="8"/>
  <c r="U207" i="8"/>
  <c r="V199" i="8"/>
  <c r="V207" i="8"/>
  <c r="V189" i="8"/>
  <c r="U213" i="8"/>
  <c r="U193" i="8"/>
  <c r="V197" i="8"/>
  <c r="V194" i="8"/>
  <c r="U219" i="8"/>
  <c r="U202" i="8"/>
  <c r="V190" i="8"/>
  <c r="V198" i="8"/>
  <c r="U218" i="8"/>
  <c r="U197" i="8"/>
  <c r="V187" i="8"/>
  <c r="V196" i="8"/>
  <c r="U194" i="8"/>
  <c r="U188" i="8"/>
  <c r="U220" i="8"/>
  <c r="AH293" i="8"/>
  <c r="AI293" i="8" s="1"/>
  <c r="AE294" i="8"/>
  <c r="V129" i="8"/>
  <c r="AH294" i="8" s="1"/>
  <c r="AI294" i="8" s="1"/>
  <c r="G335" i="11"/>
  <c r="AP106" i="11"/>
  <c r="AQ106" i="11" s="1"/>
  <c r="AP113" i="11"/>
  <c r="AQ113" i="11" s="1"/>
  <c r="AP112" i="11"/>
  <c r="AQ112" i="11" s="1"/>
  <c r="AP103" i="11"/>
  <c r="AQ103" i="11" s="1"/>
  <c r="P130" i="8"/>
  <c r="Q130" i="8" s="1"/>
  <c r="O131" i="8"/>
  <c r="AN130" i="11"/>
  <c r="AP105" i="11"/>
  <c r="AQ105" i="11" s="1"/>
  <c r="AP108" i="11"/>
  <c r="AQ108" i="11" s="1"/>
  <c r="AP107" i="11"/>
  <c r="AQ107" i="11" s="1"/>
  <c r="AP101" i="11"/>
  <c r="AQ101" i="11" s="1"/>
  <c r="AP102" i="11"/>
  <c r="AQ102" i="11" s="1"/>
  <c r="AP109" i="11"/>
  <c r="AQ109" i="11" s="1"/>
  <c r="AP110" i="11"/>
  <c r="AQ110" i="11" s="1"/>
  <c r="AP111" i="11"/>
  <c r="AQ111" i="11" s="1"/>
  <c r="W46" i="65" l="1"/>
  <c r="W46" i="75"/>
  <c r="AO132" i="11"/>
  <c r="AT288" i="11"/>
  <c r="AU288" i="11" s="1"/>
  <c r="W129" i="8"/>
  <c r="X129" i="8" s="1"/>
  <c r="Z129" i="8" s="1"/>
  <c r="AE295" i="8"/>
  <c r="V130" i="8"/>
  <c r="W130" i="8" s="1"/>
  <c r="X130" i="8" s="1"/>
  <c r="Z130" i="8" s="1"/>
  <c r="AO131" i="11"/>
  <c r="AO140" i="11"/>
  <c r="AO142" i="11"/>
  <c r="AO150" i="11"/>
  <c r="AO133" i="11"/>
  <c r="AO149" i="11"/>
  <c r="AO151" i="11"/>
  <c r="AO145" i="11"/>
  <c r="AO152" i="11"/>
  <c r="AR130" i="11"/>
  <c r="AO144" i="11"/>
  <c r="AO137" i="11"/>
  <c r="AS130" i="11"/>
  <c r="AO136" i="11"/>
  <c r="AO146" i="11"/>
  <c r="AO139" i="11"/>
  <c r="AO148" i="11"/>
  <c r="AO147" i="11"/>
  <c r="AO138" i="11"/>
  <c r="AO155" i="11"/>
  <c r="AO158" i="11"/>
  <c r="AO157" i="11"/>
  <c r="AO156" i="11"/>
  <c r="AO134" i="11"/>
  <c r="AO143" i="11"/>
  <c r="AO135" i="11"/>
  <c r="AO153" i="11"/>
  <c r="AO154" i="11"/>
  <c r="AO141" i="11"/>
  <c r="P131" i="8"/>
  <c r="Q131" i="8" s="1"/>
  <c r="O132" i="8"/>
  <c r="AT130" i="11" l="1"/>
  <c r="AH295" i="8"/>
  <c r="AI295" i="8" s="1"/>
  <c r="AE296" i="8"/>
  <c r="V131" i="8"/>
  <c r="AH296" i="8" s="1"/>
  <c r="AI296" i="8" s="1"/>
  <c r="P132" i="8"/>
  <c r="Q132" i="8" s="1"/>
  <c r="O133" i="8"/>
  <c r="W131" i="8" l="1"/>
  <c r="X131" i="8" s="1"/>
  <c r="Z131" i="8" s="1"/>
  <c r="AE297" i="8"/>
  <c r="V132" i="8"/>
  <c r="AH297" i="8" s="1"/>
  <c r="AI297" i="8" s="1"/>
  <c r="P133" i="8"/>
  <c r="Q133" i="8" s="1"/>
  <c r="O134" i="8"/>
  <c r="W132" i="8" l="1"/>
  <c r="X132" i="8" s="1"/>
  <c r="Z132" i="8" s="1"/>
  <c r="AE298" i="8"/>
  <c r="V133" i="8"/>
  <c r="AH298" i="8" s="1"/>
  <c r="AI298" i="8" s="1"/>
  <c r="P134" i="8"/>
  <c r="Q134" i="8" s="1"/>
  <c r="O135" i="8"/>
  <c r="W133" i="8" l="1"/>
  <c r="X133" i="8" s="1"/>
  <c r="Z133" i="8" s="1"/>
  <c r="AE299" i="8"/>
  <c r="V134" i="8"/>
  <c r="AH299" i="8" s="1"/>
  <c r="AI299" i="8" s="1"/>
  <c r="P135" i="8"/>
  <c r="Q135" i="8" s="1"/>
  <c r="O136" i="8"/>
  <c r="W134" i="8" l="1"/>
  <c r="X134" i="8" s="1"/>
  <c r="Z134" i="8" s="1"/>
  <c r="AE300" i="8"/>
  <c r="V135" i="8"/>
  <c r="AH300" i="8" s="1"/>
  <c r="AI300" i="8" s="1"/>
  <c r="P136" i="8"/>
  <c r="Q136" i="8" s="1"/>
  <c r="O137" i="8"/>
  <c r="W135" i="8" l="1"/>
  <c r="X135" i="8" s="1"/>
  <c r="Z135" i="8" s="1"/>
  <c r="AE301" i="8"/>
  <c r="V136" i="8"/>
  <c r="W136" i="8" s="1"/>
  <c r="X136" i="8" s="1"/>
  <c r="Z136" i="8" s="1"/>
  <c r="P137" i="8"/>
  <c r="Q137" i="8" s="1"/>
  <c r="O138" i="8"/>
  <c r="AH301" i="8" l="1"/>
  <c r="AI301" i="8" s="1"/>
  <c r="AE302" i="8"/>
  <c r="V137" i="8"/>
  <c r="AH302" i="8" s="1"/>
  <c r="AI302" i="8" s="1"/>
  <c r="P138" i="8"/>
  <c r="Q138" i="8" s="1"/>
  <c r="O139" i="8"/>
  <c r="W137" i="8" l="1"/>
  <c r="X137" i="8" s="1"/>
  <c r="Z137" i="8" s="1"/>
  <c r="AE303" i="8"/>
  <c r="V138" i="8"/>
  <c r="AH303" i="8" s="1"/>
  <c r="AI303" i="8" s="1"/>
  <c r="P139" i="8"/>
  <c r="Q139" i="8" s="1"/>
  <c r="O140" i="8"/>
  <c r="W138" i="8" l="1"/>
  <c r="X138" i="8" s="1"/>
  <c r="Z138" i="8" s="1"/>
  <c r="AE304" i="8"/>
  <c r="V139" i="8"/>
  <c r="W139" i="8" s="1"/>
  <c r="X139" i="8" s="1"/>
  <c r="Z139" i="8" s="1"/>
  <c r="P140" i="8"/>
  <c r="Q140" i="8" s="1"/>
  <c r="O141" i="8"/>
  <c r="AH304" i="8" l="1"/>
  <c r="AI304" i="8" s="1"/>
  <c r="AE305" i="8"/>
  <c r="V140" i="8"/>
  <c r="W140" i="8" s="1"/>
  <c r="X140" i="8" s="1"/>
  <c r="Z140" i="8" s="1"/>
  <c r="P141" i="8"/>
  <c r="Q141" i="8" s="1"/>
  <c r="O142" i="8"/>
  <c r="AH305" i="8" l="1"/>
  <c r="AI305" i="8" s="1"/>
  <c r="AE306" i="8"/>
  <c r="V141" i="8"/>
  <c r="AH306" i="8" s="1"/>
  <c r="AI306" i="8" s="1"/>
  <c r="P142" i="8"/>
  <c r="Q142" i="8" s="1"/>
  <c r="O143" i="8"/>
  <c r="W141" i="8" l="1"/>
  <c r="X141" i="8" s="1"/>
  <c r="Z141" i="8" s="1"/>
  <c r="AE307" i="8"/>
  <c r="V142" i="8"/>
  <c r="W142" i="8" s="1"/>
  <c r="X142" i="8" s="1"/>
  <c r="Z142" i="8" s="1"/>
  <c r="P143" i="8"/>
  <c r="Q143" i="8" s="1"/>
  <c r="O144" i="8"/>
  <c r="AH307" i="8" l="1"/>
  <c r="AI307" i="8" s="1"/>
  <c r="AE308" i="8"/>
  <c r="V143" i="8"/>
  <c r="W143" i="8" s="1"/>
  <c r="X143" i="8" s="1"/>
  <c r="Z143" i="8" s="1"/>
  <c r="P144" i="8"/>
  <c r="Q144" i="8" s="1"/>
  <c r="O145" i="8"/>
  <c r="AH308" i="8" l="1"/>
  <c r="AI308" i="8" s="1"/>
  <c r="AE309" i="8"/>
  <c r="V144" i="8"/>
  <c r="W144" i="8" s="1"/>
  <c r="X144" i="8" s="1"/>
  <c r="Z144" i="8" s="1"/>
  <c r="P145" i="8"/>
  <c r="Q145" i="8" s="1"/>
  <c r="O146" i="8"/>
  <c r="AH309" i="8" l="1"/>
  <c r="AI309" i="8" s="1"/>
  <c r="AE310" i="8"/>
  <c r="V145" i="8"/>
  <c r="AH310" i="8" s="1"/>
  <c r="AI310" i="8" s="1"/>
  <c r="P146" i="8"/>
  <c r="Q146" i="8" s="1"/>
  <c r="O147" i="8"/>
  <c r="W145" i="8" l="1"/>
  <c r="X145" i="8" s="1"/>
  <c r="Z145" i="8" s="1"/>
  <c r="AE311" i="8"/>
  <c r="V146" i="8"/>
  <c r="W146" i="8" s="1"/>
  <c r="X146" i="8" s="1"/>
  <c r="Z146" i="8" s="1"/>
  <c r="P147" i="8"/>
  <c r="Q147" i="8" s="1"/>
  <c r="O148" i="8"/>
  <c r="P148" i="8" s="1"/>
  <c r="Q148" i="8" s="1"/>
  <c r="AH311" i="8" l="1"/>
  <c r="AI311" i="8" s="1"/>
  <c r="AE313" i="8"/>
  <c r="V148" i="8"/>
  <c r="AH313" i="8" s="1"/>
  <c r="AI313" i="8" s="1"/>
  <c r="AE312" i="8"/>
  <c r="V147" i="8"/>
  <c r="P165" i="8" l="1"/>
  <c r="P162" i="8"/>
  <c r="E316" i="8"/>
  <c r="J43" i="66" s="1"/>
  <c r="W148" i="8"/>
  <c r="X148" i="8" s="1"/>
  <c r="Z148" i="8" s="1"/>
  <c r="P163" i="8"/>
  <c r="P174" i="8" s="1"/>
  <c r="N259" i="8" s="1"/>
  <c r="R241" i="8" s="1"/>
  <c r="P166" i="8"/>
  <c r="W147" i="8"/>
  <c r="X147" i="8" s="1"/>
  <c r="Z147" i="8" s="1"/>
  <c r="AH312" i="8"/>
  <c r="AI312" i="8" s="1"/>
  <c r="P161" i="8"/>
  <c r="P171" i="8" s="1"/>
  <c r="R178" i="8" s="1"/>
  <c r="P160" i="8"/>
  <c r="E319" i="8"/>
  <c r="J49" i="66" s="1"/>
  <c r="E321" i="8" l="1"/>
  <c r="J53" i="66" s="1"/>
  <c r="P164" i="8"/>
  <c r="P173" i="8" s="1"/>
  <c r="O259" i="8" s="1"/>
  <c r="N262" i="8" s="1"/>
  <c r="N264" i="8" s="1"/>
  <c r="O264" i="8" s="1"/>
  <c r="I129" i="66" s="1"/>
  <c r="X155" i="8"/>
  <c r="E318" i="8" s="1"/>
  <c r="J47" i="66" s="1"/>
  <c r="AD155" i="8"/>
  <c r="F321" i="8" s="1"/>
  <c r="L53" i="66" s="1"/>
  <c r="E320" i="8"/>
  <c r="J51" i="66" s="1"/>
  <c r="E317" i="8"/>
  <c r="J45" i="66" s="1"/>
  <c r="E322" i="8"/>
  <c r="J55" i="66" s="1"/>
  <c r="R177" i="8"/>
  <c r="J211" i="8" s="1"/>
  <c r="O230"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J203" i="8" l="1"/>
  <c r="J216" i="8"/>
  <c r="J218" i="8"/>
  <c r="J206" i="8"/>
  <c r="J220" i="8"/>
  <c r="J190" i="8"/>
  <c r="J209" i="8"/>
  <c r="J222" i="8"/>
  <c r="J212" i="8"/>
  <c r="J197" i="8"/>
  <c r="J192" i="8"/>
  <c r="N263" i="8"/>
  <c r="N265" i="8" s="1"/>
  <c r="N268" i="8" s="1"/>
  <c r="J208" i="8"/>
  <c r="J188" i="8"/>
  <c r="J191" i="8"/>
  <c r="J201" i="8"/>
  <c r="J213" i="8"/>
  <c r="J210" i="8"/>
  <c r="J189" i="8"/>
  <c r="J207" i="8"/>
  <c r="J219" i="8"/>
  <c r="J214" i="8"/>
  <c r="J193" i="8"/>
  <c r="J187" i="8"/>
  <c r="J199" i="8"/>
  <c r="J223" i="8"/>
  <c r="J200" i="8"/>
  <c r="J217" i="8"/>
  <c r="J196" i="8"/>
  <c r="J204" i="8"/>
  <c r="J202" i="8"/>
  <c r="J221" i="8"/>
  <c r="J198" i="8"/>
  <c r="J205" i="8"/>
  <c r="J194" i="8"/>
  <c r="J215" i="8"/>
  <c r="J195" i="8"/>
  <c r="R181" i="8"/>
  <c r="N269" i="8"/>
  <c r="E347" i="8" s="1"/>
  <c r="F347" i="8" s="1"/>
  <c r="R182" i="8"/>
  <c r="M216" i="8" s="1"/>
  <c r="N234" i="8"/>
  <c r="N233" i="8"/>
  <c r="N235" i="8" s="1"/>
  <c r="O235" i="8" s="1"/>
  <c r="I126" i="66" s="1"/>
  <c r="L197" i="8" l="1"/>
  <c r="M196" i="8"/>
  <c r="M205" i="8"/>
  <c r="O265" i="8"/>
  <c r="I128" i="66" s="1"/>
  <c r="I347" i="8" a="1"/>
  <c r="I347" i="8" s="1"/>
  <c r="M347" i="8" s="1"/>
  <c r="L187" i="8"/>
  <c r="M212" i="8"/>
  <c r="M189" i="8"/>
  <c r="M217" i="8"/>
  <c r="M201" i="8"/>
  <c r="H347" i="8" a="1"/>
  <c r="H347" i="8" s="1"/>
  <c r="L201" i="8"/>
  <c r="L203" i="8"/>
  <c r="M223" i="8"/>
  <c r="M207" i="8"/>
  <c r="M195" i="8"/>
  <c r="L212" i="8"/>
  <c r="M221" i="8"/>
  <c r="M211" i="8"/>
  <c r="M200" i="8"/>
  <c r="M187" i="8"/>
  <c r="L202" i="8"/>
  <c r="L211" i="8"/>
  <c r="L206" i="8"/>
  <c r="M220" i="8"/>
  <c r="M215" i="8"/>
  <c r="M209" i="8"/>
  <c r="M204" i="8"/>
  <c r="M199" i="8"/>
  <c r="M193" i="8"/>
  <c r="M219" i="8"/>
  <c r="M213" i="8"/>
  <c r="M208" i="8"/>
  <c r="M203" i="8"/>
  <c r="M197" i="8"/>
  <c r="M191" i="8"/>
  <c r="L221" i="8"/>
  <c r="L209" i="8"/>
  <c r="M222" i="8"/>
  <c r="M218" i="8"/>
  <c r="M214" i="8"/>
  <c r="M210" i="8"/>
  <c r="M206" i="8"/>
  <c r="M202" i="8"/>
  <c r="M198" i="8"/>
  <c r="M194" i="8"/>
  <c r="M190" i="8"/>
  <c r="L216" i="8"/>
  <c r="L208" i="8"/>
  <c r="L200" i="8"/>
  <c r="L214" i="8"/>
  <c r="L194" i="8"/>
  <c r="L219" i="8"/>
  <c r="L217" i="8"/>
  <c r="L213" i="8"/>
  <c r="L189" i="8"/>
  <c r="L188" i="8"/>
  <c r="L196" i="8"/>
  <c r="L198" i="8"/>
  <c r="L207" i="8"/>
  <c r="L222" i="8"/>
  <c r="L218" i="8"/>
  <c r="L195" i="8"/>
  <c r="L199" i="8"/>
  <c r="L191" i="8"/>
  <c r="M192" i="8"/>
  <c r="M188" i="8"/>
  <c r="L210" i="8"/>
  <c r="L223" i="8"/>
  <c r="L205" i="8"/>
  <c r="L193" i="8"/>
  <c r="L192" i="8"/>
  <c r="L215" i="8"/>
  <c r="L204" i="8"/>
  <c r="L220" i="8"/>
  <c r="L190" i="8"/>
  <c r="N271" i="8"/>
  <c r="O271" i="8" s="1"/>
  <c r="E346" i="8"/>
  <c r="N236" i="8"/>
  <c r="O236" i="8" s="1"/>
  <c r="N245" i="8"/>
  <c r="E345" i="8" s="1"/>
  <c r="N274" i="8"/>
  <c r="O274" i="8" s="1"/>
  <c r="N275" i="8"/>
  <c r="O275" i="8" s="1"/>
  <c r="N276" i="8"/>
  <c r="O276" i="8" s="1"/>
  <c r="N272" i="8"/>
  <c r="O272" i="8" s="1"/>
  <c r="N277" i="8"/>
  <c r="O277" i="8" s="1"/>
  <c r="N273" i="8"/>
  <c r="O273" i="8" s="1"/>
  <c r="J124" i="19"/>
  <c r="K124" i="19" s="1"/>
  <c r="I346" i="8" l="1" a="1"/>
  <c r="I346" i="8" s="1"/>
  <c r="M346" i="8" s="1"/>
  <c r="H346" i="8" a="1"/>
  <c r="H346" i="8" s="1"/>
  <c r="F346" i="8"/>
  <c r="I345" i="8" a="1"/>
  <c r="I345" i="8" s="1"/>
  <c r="M345" i="8" s="1"/>
  <c r="H345" i="8" a="1"/>
  <c r="H345" i="8" s="1"/>
  <c r="F345" i="8"/>
  <c r="N244" i="8"/>
  <c r="I125" i="66"/>
  <c r="E123" i="10" a="1"/>
  <c r="E123" i="10" s="1"/>
  <c r="N249" i="8" l="1"/>
  <c r="O249" i="8" s="1"/>
  <c r="E344" i="8"/>
  <c r="N250" i="8"/>
  <c r="O250" i="8" s="1"/>
  <c r="N254" i="8"/>
  <c r="O254" i="8" s="1"/>
  <c r="N248" i="8"/>
  <c r="O248" i="8" s="1"/>
  <c r="N251" i="8"/>
  <c r="O251" i="8" s="1"/>
  <c r="N253" i="8"/>
  <c r="O253" i="8" s="1"/>
  <c r="N252" i="8"/>
  <c r="O252" i="8" s="1"/>
  <c r="R123" i="10"/>
  <c r="O125" i="10"/>
  <c r="E134" i="10"/>
  <c r="E133" i="10"/>
  <c r="E135" i="10"/>
  <c r="K132" i="10"/>
  <c r="K133" i="10"/>
  <c r="K123" i="10"/>
  <c r="K169" i="10"/>
  <c r="K125" i="10"/>
  <c r="K136" i="10"/>
  <c r="K126" i="10"/>
  <c r="K158" i="10"/>
  <c r="K130" i="10"/>
  <c r="K143" i="10"/>
  <c r="K144" i="10"/>
  <c r="K138" i="10"/>
  <c r="K155" i="10"/>
  <c r="K145" i="10"/>
  <c r="K151" i="10"/>
  <c r="K170" i="10"/>
  <c r="K134" i="10"/>
  <c r="K154" i="10"/>
  <c r="K152" i="10"/>
  <c r="K167" i="10"/>
  <c r="K161" i="10"/>
  <c r="K142" i="10"/>
  <c r="K162" i="10"/>
  <c r="K149" i="10"/>
  <c r="K156" i="10"/>
  <c r="K153" i="10"/>
  <c r="K164" i="10"/>
  <c r="K128" i="10"/>
  <c r="K141" i="10"/>
  <c r="K148" i="10"/>
  <c r="K150" i="10"/>
  <c r="K160" i="10"/>
  <c r="K163" i="10"/>
  <c r="K137" i="10"/>
  <c r="K129" i="10"/>
  <c r="K140" i="10"/>
  <c r="K127" i="10"/>
  <c r="K157" i="10"/>
  <c r="K131" i="10"/>
  <c r="K124" i="10"/>
  <c r="K159" i="10"/>
  <c r="K165" i="10"/>
  <c r="K147" i="10"/>
  <c r="K146" i="10"/>
  <c r="K168" i="10"/>
  <c r="K139" i="10"/>
  <c r="K166" i="10"/>
  <c r="K135" i="10"/>
  <c r="I344" i="8" l="1" a="1"/>
  <c r="I344" i="8" s="1"/>
  <c r="H344" i="8" a="1"/>
  <c r="H344" i="8" s="1"/>
  <c r="F344" i="8"/>
  <c r="E352" i="8" s="1"/>
  <c r="T135" i="10"/>
  <c r="U135" i="10" s="1"/>
  <c r="U132" i="10"/>
  <c r="U131" i="10"/>
  <c r="E148" i="10"/>
  <c r="G98" i="58" s="1"/>
  <c r="G135" i="10"/>
  <c r="H135" i="10" s="1"/>
  <c r="G133" i="10"/>
  <c r="H133" i="10" s="1"/>
  <c r="E146" i="10"/>
  <c r="G134" i="10"/>
  <c r="H134" i="10" s="1"/>
  <c r="E147" i="10"/>
  <c r="G97" i="58" s="1"/>
  <c r="M344" i="8" l="1"/>
  <c r="E353" i="8" s="1"/>
  <c r="G96" i="58"/>
  <c r="D209" i="10"/>
  <c r="B100" i="58"/>
  <c r="M145" i="10"/>
  <c r="Q151" i="10"/>
  <c r="Q150" i="10"/>
  <c r="P150" i="10"/>
  <c r="P149" i="10"/>
  <c r="P148" i="10"/>
  <c r="Q145" i="10"/>
  <c r="Q146" i="10"/>
  <c r="P145" i="10"/>
  <c r="P144" i="10"/>
  <c r="M146" i="10"/>
  <c r="Q156" i="10"/>
  <c r="Q155" i="10"/>
  <c r="P155" i="10"/>
  <c r="P154" i="10"/>
  <c r="P153" i="10"/>
  <c r="P143" i="10"/>
  <c r="M144" i="10"/>
  <c r="C357" i="8" l="1" a="1"/>
  <c r="C357" i="8" s="1"/>
  <c r="E354" i="8"/>
  <c r="N235" i="60"/>
  <c r="G209" i="10" a="1"/>
  <c r="G209" i="10" s="1"/>
  <c r="E209" i="10"/>
  <c r="D213" i="10" s="1"/>
  <c r="L209" i="10"/>
  <c r="D214" i="10" s="1"/>
  <c r="S14" i="40"/>
  <c r="B219" i="10" l="1" a="1"/>
  <c r="B219" i="10" s="1"/>
  <c r="D215" i="10"/>
  <c r="G233" i="60"/>
  <c r="E234" i="60"/>
  <c r="F234" i="60" s="1" a="1"/>
  <c r="F234" i="60" s="1"/>
  <c r="G236" i="60" s="1" a="1"/>
  <c r="G236" i="60" s="1"/>
  <c r="G239" i="6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<sst xmlns="http://schemas.openxmlformats.org/spreadsheetml/2006/main" count="13988" uniqueCount="2423">
  <si>
    <t>:</t>
  </si>
  <si>
    <t>No</t>
  </si>
  <si>
    <t>SNI</t>
  </si>
  <si>
    <t>Sieve analysis &amp; Hydrometer</t>
  </si>
  <si>
    <t>Spesific gravity/Uji berat Jenis</t>
  </si>
  <si>
    <t>Moisture Content/Uji kadar air</t>
  </si>
  <si>
    <t xml:space="preserve">Atterberg Limit </t>
  </si>
  <si>
    <t>Unit Weight/Uji berat isi tanah</t>
  </si>
  <si>
    <t>03-3637-1994</t>
  </si>
  <si>
    <t>Uji Triaxial</t>
  </si>
  <si>
    <t>2455 : 2015</t>
  </si>
  <si>
    <t>Unconfined CompressionTest (UCS)/Uji Kuat Tekan Bebas</t>
  </si>
  <si>
    <t>CBR Lab :</t>
  </si>
  <si>
    <t>1744:2012</t>
  </si>
  <si>
    <t>Permeability/Uji Kelulusan Air dengan metoda Falling head</t>
  </si>
  <si>
    <t>03-6870-2002</t>
  </si>
  <si>
    <t>Swelling Pressure/Uji Tekanan Ekspansi</t>
  </si>
  <si>
    <t>6424:2008</t>
  </si>
  <si>
    <t>Shrinkage Limit/Uji Batas Susut Tanah</t>
  </si>
  <si>
    <t>3422:2008</t>
  </si>
  <si>
    <t>KEPADATAN</t>
  </si>
  <si>
    <t>Berat Cetakan + Tanah basah</t>
  </si>
  <si>
    <t>g</t>
  </si>
  <si>
    <t>Berat Tanah basah</t>
  </si>
  <si>
    <t>g/cc</t>
  </si>
  <si>
    <t>Berat isi basah</t>
  </si>
  <si>
    <t>Berat isi kering</t>
  </si>
  <si>
    <t>KADAR AIR</t>
  </si>
  <si>
    <t>Berat Cawan + Tanah basah</t>
  </si>
  <si>
    <t>Berat Cawan + Tanah kering</t>
  </si>
  <si>
    <t>Berat Cawan</t>
  </si>
  <si>
    <t>Berat air</t>
  </si>
  <si>
    <t>Berat Tanah kering</t>
  </si>
  <si>
    <t>Kadar air</t>
  </si>
  <si>
    <t>%</t>
  </si>
  <si>
    <t>Berat isi Kering</t>
  </si>
  <si>
    <t>ZAV</t>
  </si>
  <si>
    <t>1 dari 2</t>
  </si>
  <si>
    <t>DENSITY</t>
  </si>
  <si>
    <t>Before</t>
  </si>
  <si>
    <t>After</t>
  </si>
  <si>
    <t>Mass of Wet Soil + Mould</t>
  </si>
  <si>
    <t>Mass of Mould</t>
  </si>
  <si>
    <t>Mass of Wet Soil</t>
  </si>
  <si>
    <t>Height</t>
  </si>
  <si>
    <t>cm</t>
  </si>
  <si>
    <t>BULK DENSITY</t>
  </si>
  <si>
    <t>MOISTURE CONTENT</t>
  </si>
  <si>
    <t>DRY DENSITY</t>
  </si>
  <si>
    <t>PENETRATION TEST</t>
  </si>
  <si>
    <t>Proving Ring No. 6000      :</t>
  </si>
  <si>
    <t>Lbf / div</t>
  </si>
  <si>
    <t>Area of piston</t>
  </si>
  <si>
    <t xml:space="preserve">    :</t>
  </si>
  <si>
    <t>sq.inch</t>
  </si>
  <si>
    <t>Time</t>
  </si>
  <si>
    <t>Penetration</t>
  </si>
  <si>
    <t>Load Dial</t>
  </si>
  <si>
    <t>Load</t>
  </si>
  <si>
    <t>Stress</t>
  </si>
  <si>
    <t>minute</t>
  </si>
  <si>
    <t>inch</t>
  </si>
  <si>
    <t>div</t>
  </si>
  <si>
    <t>Lbs</t>
  </si>
  <si>
    <t>psi</t>
  </si>
  <si>
    <t>Mass of Wet Soil+Container</t>
  </si>
  <si>
    <t>Mass of Dry Soil+Container</t>
  </si>
  <si>
    <t>Mass of Water</t>
  </si>
  <si>
    <t>Mass of Dry Soil</t>
  </si>
  <si>
    <t>Moisture Content</t>
  </si>
  <si>
    <t>CBR VALUE</t>
  </si>
  <si>
    <t>Standard Load</t>
  </si>
  <si>
    <t>CBR</t>
  </si>
  <si>
    <t>Wet density</t>
  </si>
  <si>
    <t xml:space="preserve">Proving ring </t>
  </si>
  <si>
    <t>mm</t>
  </si>
  <si>
    <t>SATURATION</t>
  </si>
  <si>
    <t>Cell pressure</t>
  </si>
  <si>
    <t>Back pressure</t>
  </si>
  <si>
    <t>Pore pressure</t>
  </si>
  <si>
    <t>pwp difference</t>
  </si>
  <si>
    <t>B               value</t>
  </si>
  <si>
    <t>Back pressure volume change</t>
  </si>
  <si>
    <t>Cell volume change LHS/ RHS</t>
  </si>
  <si>
    <r>
      <t>kN/m</t>
    </r>
    <r>
      <rPr>
        <vertAlign val="superscript"/>
        <sz val="10"/>
        <rFont val="Arial"/>
        <family val="2"/>
      </rPr>
      <t>2</t>
    </r>
  </si>
  <si>
    <t>before</t>
  </si>
  <si>
    <t>after</t>
  </si>
  <si>
    <t>diff.</t>
  </si>
  <si>
    <r>
      <t>+                     consol     cm</t>
    </r>
    <r>
      <rPr>
        <vertAlign val="superscript"/>
        <sz val="10"/>
        <rFont val="Arial"/>
        <family val="2"/>
      </rPr>
      <t>3</t>
    </r>
  </si>
  <si>
    <r>
      <t>-                     exp.         cm</t>
    </r>
    <r>
      <rPr>
        <vertAlign val="superscript"/>
        <sz val="10"/>
        <rFont val="Arial"/>
        <family val="2"/>
      </rPr>
      <t>3</t>
    </r>
  </si>
  <si>
    <t>-</t>
  </si>
  <si>
    <t>CONSOLIDATION</t>
  </si>
  <si>
    <t>Effective pressure</t>
  </si>
  <si>
    <t>PWP after build-up</t>
  </si>
  <si>
    <t>Difference</t>
  </si>
  <si>
    <t>Date</t>
  </si>
  <si>
    <t>Clock time</t>
  </si>
  <si>
    <t>Volume change</t>
  </si>
  <si>
    <t>t</t>
  </si>
  <si>
    <t>gauge</t>
  </si>
  <si>
    <t>diff</t>
  </si>
  <si>
    <t>reading</t>
  </si>
  <si>
    <t>dissipation</t>
  </si>
  <si>
    <t>minutes</t>
  </si>
  <si>
    <t>cm3</t>
  </si>
  <si>
    <t>PWP After build-up</t>
  </si>
  <si>
    <t>INITIAL CONDITIONS</t>
  </si>
  <si>
    <t>mm2</t>
  </si>
  <si>
    <t>Moisture content</t>
  </si>
  <si>
    <t>Dry density</t>
  </si>
  <si>
    <t>Container no.</t>
  </si>
  <si>
    <t>Weight of wet specimen + container</t>
  </si>
  <si>
    <t>gr</t>
  </si>
  <si>
    <t>Weight of dry specimen + container</t>
  </si>
  <si>
    <t>Weight of container</t>
  </si>
  <si>
    <t>Weight of wet soil</t>
  </si>
  <si>
    <t>Weight of dry soil</t>
  </si>
  <si>
    <t>Weight of water</t>
  </si>
  <si>
    <t>unit</t>
  </si>
  <si>
    <t xml:space="preserve">Length </t>
  </si>
  <si>
    <t>Unit</t>
  </si>
  <si>
    <t>cm2</t>
  </si>
  <si>
    <t>mm3</t>
  </si>
  <si>
    <t>g/cm3</t>
  </si>
  <si>
    <t>PARAMETER</t>
  </si>
  <si>
    <t>Diameter</t>
  </si>
  <si>
    <t>Area</t>
  </si>
  <si>
    <t>Volume</t>
  </si>
  <si>
    <t>Grafik Saturation built up</t>
  </si>
  <si>
    <t>Cell Pressure</t>
  </si>
  <si>
    <t>B value</t>
  </si>
  <si>
    <t>Garis 1</t>
  </si>
  <si>
    <t>X</t>
  </si>
  <si>
    <t>Y</t>
  </si>
  <si>
    <t>Akar t90</t>
  </si>
  <si>
    <t>PARAMETER KONSOLIDASI</t>
  </si>
  <si>
    <t>menit</t>
  </si>
  <si>
    <t>SHEARING</t>
  </si>
  <si>
    <t>Ev</t>
  </si>
  <si>
    <t xml:space="preserve">Consolidated area,         Ac </t>
  </si>
  <si>
    <t xml:space="preserve">Consolidated length,     Lc </t>
  </si>
  <si>
    <t xml:space="preserve">Consolidated volume,   Vc </t>
  </si>
  <si>
    <t>Proving ring no.</t>
  </si>
  <si>
    <t>PR calibration</t>
  </si>
  <si>
    <t>N/div</t>
  </si>
  <si>
    <t>Axial strain</t>
  </si>
  <si>
    <t>e</t>
  </si>
  <si>
    <t>Axial force</t>
  </si>
  <si>
    <t>Deviator stress</t>
  </si>
  <si>
    <t>Stress ratio</t>
  </si>
  <si>
    <t>Reading</t>
  </si>
  <si>
    <r>
      <t>D</t>
    </r>
    <r>
      <rPr>
        <sz val="10"/>
        <rFont val="Arial"/>
        <family val="2"/>
      </rPr>
      <t>L</t>
    </r>
  </si>
  <si>
    <t>U</t>
  </si>
  <si>
    <t>U                        diff</t>
  </si>
  <si>
    <r>
      <t>s</t>
    </r>
    <r>
      <rPr>
        <sz val="10"/>
        <rFont val="Arial"/>
        <family val="2"/>
      </rPr>
      <t>1-</t>
    </r>
    <r>
      <rPr>
        <sz val="14"/>
        <rFont val="Symbol"/>
        <family val="1"/>
        <charset val="2"/>
      </rPr>
      <t>s</t>
    </r>
    <r>
      <rPr>
        <sz val="10"/>
        <rFont val="Arial"/>
        <family val="2"/>
      </rPr>
      <t>3</t>
    </r>
  </si>
  <si>
    <r>
      <t>s</t>
    </r>
    <r>
      <rPr>
        <sz val="10"/>
        <rFont val="Arial"/>
        <family val="2"/>
      </rPr>
      <t>1</t>
    </r>
  </si>
  <si>
    <r>
      <t>s</t>
    </r>
    <r>
      <rPr>
        <sz val="10"/>
        <rFont val="Arial"/>
        <family val="2"/>
      </rPr>
      <t>1'</t>
    </r>
  </si>
  <si>
    <r>
      <t>s</t>
    </r>
    <r>
      <rPr>
        <sz val="10"/>
        <rFont val="Arial"/>
        <family val="2"/>
      </rPr>
      <t>3'</t>
    </r>
  </si>
  <si>
    <r>
      <t>s</t>
    </r>
    <r>
      <rPr>
        <sz val="10"/>
        <rFont val="Arial"/>
        <family val="2"/>
      </rPr>
      <t xml:space="preserve">1' / </t>
    </r>
    <r>
      <rPr>
        <sz val="14"/>
        <rFont val="Symbol"/>
        <family val="1"/>
        <charset val="2"/>
      </rPr>
      <t>s</t>
    </r>
    <r>
      <rPr>
        <sz val="10"/>
        <rFont val="Arial"/>
        <family val="2"/>
      </rPr>
      <t>3'</t>
    </r>
  </si>
  <si>
    <t>N</t>
  </si>
  <si>
    <t>FAILURE CONDITION</t>
  </si>
  <si>
    <r>
      <t>s</t>
    </r>
    <r>
      <rPr>
        <sz val="10"/>
        <rFont val="Arial"/>
        <family val="2"/>
      </rPr>
      <t>1</t>
    </r>
    <r>
      <rPr>
        <sz val="10"/>
        <rFont val="Arial"/>
        <family val="2"/>
      </rPr>
      <t xml:space="preserve"> - </t>
    </r>
    <r>
      <rPr>
        <sz val="14"/>
        <rFont val="Symbol"/>
        <family val="1"/>
        <charset val="2"/>
      </rPr>
      <t>s</t>
    </r>
    <r>
      <rPr>
        <sz val="10"/>
        <rFont val="Arial"/>
        <family val="2"/>
      </rPr>
      <t>3</t>
    </r>
  </si>
  <si>
    <r>
      <t>s</t>
    </r>
    <r>
      <rPr>
        <sz val="14"/>
        <rFont val="Arial"/>
        <family val="2"/>
      </rPr>
      <t>'</t>
    </r>
    <r>
      <rPr>
        <sz val="10"/>
        <rFont val="Arial"/>
        <family val="2"/>
      </rPr>
      <t>3</t>
    </r>
  </si>
  <si>
    <r>
      <t>s</t>
    </r>
    <r>
      <rPr>
        <sz val="14"/>
        <rFont val="Arial"/>
        <family val="2"/>
      </rPr>
      <t>'</t>
    </r>
    <r>
      <rPr>
        <sz val="10"/>
        <rFont val="Arial"/>
        <family val="2"/>
      </rPr>
      <t>1</t>
    </r>
    <r>
      <rPr>
        <sz val="10"/>
        <rFont val="Arial"/>
        <family val="2"/>
      </rPr>
      <t/>
    </r>
  </si>
  <si>
    <r>
      <t>s</t>
    </r>
    <r>
      <rPr>
        <sz val="10"/>
        <rFont val="Arial"/>
        <family val="2"/>
      </rPr>
      <t>1</t>
    </r>
    <r>
      <rPr>
        <sz val="10"/>
        <rFont val="Arial"/>
        <family val="2"/>
      </rPr>
      <t/>
    </r>
  </si>
  <si>
    <r>
      <t>s</t>
    </r>
    <r>
      <rPr>
        <sz val="10"/>
        <rFont val="Arial"/>
        <family val="2"/>
      </rPr>
      <t>3</t>
    </r>
  </si>
  <si>
    <t>Strain</t>
  </si>
  <si>
    <t>TOTAL STRESS</t>
  </si>
  <si>
    <r>
      <t>s</t>
    </r>
    <r>
      <rPr>
        <sz val="10"/>
        <rFont val="Arial"/>
        <family val="2"/>
      </rPr>
      <t>1</t>
    </r>
    <r>
      <rPr>
        <sz val="14"/>
        <rFont val="Symbol"/>
        <family val="1"/>
        <charset val="2"/>
      </rPr>
      <t xml:space="preserve"> </t>
    </r>
    <r>
      <rPr>
        <sz val="14"/>
        <rFont val="Arial"/>
        <family val="2"/>
      </rPr>
      <t>total</t>
    </r>
  </si>
  <si>
    <r>
      <t>s</t>
    </r>
    <r>
      <rPr>
        <sz val="10"/>
        <rFont val="Arial"/>
        <family val="2"/>
      </rPr>
      <t>3</t>
    </r>
    <r>
      <rPr>
        <sz val="14"/>
        <rFont val="Symbol"/>
        <family val="1"/>
        <charset val="2"/>
      </rPr>
      <t xml:space="preserve"> </t>
    </r>
    <r>
      <rPr>
        <sz val="14"/>
        <rFont val="Arial"/>
        <family val="2"/>
      </rPr>
      <t>total</t>
    </r>
  </si>
  <si>
    <t>Center</t>
  </si>
  <si>
    <r>
      <t>s</t>
    </r>
    <r>
      <rPr>
        <vertAlign val="subscript"/>
        <sz val="10"/>
        <rFont val="Arial"/>
        <family val="2"/>
      </rPr>
      <t>1</t>
    </r>
    <r>
      <rPr>
        <sz val="10"/>
        <rFont val="Arial"/>
        <family val="2"/>
      </rPr>
      <t>-</t>
    </r>
    <r>
      <rPr>
        <sz val="10"/>
        <rFont val="Symbol"/>
        <family val="1"/>
        <charset val="2"/>
      </rPr>
      <t>s</t>
    </r>
    <r>
      <rPr>
        <vertAlign val="subscript"/>
        <sz val="10"/>
        <rFont val="Arial"/>
        <family val="2"/>
      </rPr>
      <t>3</t>
    </r>
    <r>
      <rPr>
        <sz val="10"/>
        <rFont val="Arial"/>
        <family val="2"/>
      </rPr>
      <t>/2</t>
    </r>
    <r>
      <rPr>
        <vertAlign val="subscript"/>
        <sz val="10"/>
        <rFont val="Arial"/>
        <family val="2"/>
      </rPr>
      <t xml:space="preserve"> </t>
    </r>
    <r>
      <rPr>
        <sz val="10"/>
        <rFont val="Arial"/>
        <family val="2"/>
      </rPr>
      <t>=</t>
    </r>
  </si>
  <si>
    <r>
      <t>s</t>
    </r>
    <r>
      <rPr>
        <vertAlign val="subscript"/>
        <sz val="10"/>
        <rFont val="Arial"/>
        <family val="2"/>
      </rPr>
      <t>1</t>
    </r>
    <r>
      <rPr>
        <sz val="10"/>
        <rFont val="Arial"/>
        <family val="2"/>
      </rPr>
      <t>+</t>
    </r>
    <r>
      <rPr>
        <sz val="10"/>
        <rFont val="Symbol"/>
        <family val="1"/>
        <charset val="2"/>
      </rPr>
      <t>s</t>
    </r>
    <r>
      <rPr>
        <vertAlign val="subscript"/>
        <sz val="10"/>
        <rFont val="Arial"/>
        <family val="2"/>
      </rPr>
      <t>3</t>
    </r>
    <r>
      <rPr>
        <sz val="10"/>
        <rFont val="Arial"/>
        <family val="2"/>
      </rPr>
      <t>/2</t>
    </r>
    <r>
      <rPr>
        <vertAlign val="subscript"/>
        <sz val="10"/>
        <rFont val="Arial"/>
        <family val="2"/>
      </rPr>
      <t xml:space="preserve"> </t>
    </r>
    <r>
      <rPr>
        <sz val="10"/>
        <rFont val="Arial"/>
        <family val="2"/>
      </rPr>
      <t>=</t>
    </r>
  </si>
  <si>
    <t>Rad.</t>
  </si>
  <si>
    <t>EFFECTIVE STRESS</t>
  </si>
  <si>
    <t>Rad</t>
  </si>
  <si>
    <t>sudut</t>
  </si>
  <si>
    <t>s</t>
  </si>
  <si>
    <r>
      <t>s</t>
    </r>
    <r>
      <rPr>
        <sz val="12"/>
        <color theme="1"/>
        <rFont val="Arial"/>
        <family val="2"/>
      </rPr>
      <t>'</t>
    </r>
  </si>
  <si>
    <r>
      <t>t</t>
    </r>
    <r>
      <rPr>
        <sz val="12"/>
        <color theme="1"/>
        <rFont val="Arial"/>
        <family val="2"/>
      </rPr>
      <t>'</t>
    </r>
  </si>
  <si>
    <t>kN/m2</t>
  </si>
  <si>
    <t>SPECIMEN-1</t>
  </si>
  <si>
    <t>SPESIMEN 2</t>
  </si>
  <si>
    <t>SPESIMEN 3</t>
  </si>
  <si>
    <t>GRAFIK</t>
  </si>
  <si>
    <t>A</t>
  </si>
  <si>
    <t>H</t>
  </si>
  <si>
    <t>K</t>
  </si>
  <si>
    <t xml:space="preserve">Preparation </t>
  </si>
  <si>
    <t>Specimen details</t>
  </si>
  <si>
    <t>Initial</t>
  </si>
  <si>
    <t>After test</t>
  </si>
  <si>
    <t>Machine details</t>
  </si>
  <si>
    <t>Dmm</t>
  </si>
  <si>
    <t xml:space="preserve">Mass      </t>
  </si>
  <si>
    <t>Machine no</t>
  </si>
  <si>
    <t>Ao mm2</t>
  </si>
  <si>
    <t xml:space="preserve">Dry mass     </t>
  </si>
  <si>
    <t>Rate of deformation</t>
  </si>
  <si>
    <t>mm/min</t>
  </si>
  <si>
    <t>Length</t>
  </si>
  <si>
    <t xml:space="preserve">Lo  mm </t>
  </si>
  <si>
    <t xml:space="preserve">W         </t>
  </si>
  <si>
    <t>PR Calibration</t>
  </si>
  <si>
    <t>kgf/div</t>
  </si>
  <si>
    <t>Mass</t>
  </si>
  <si>
    <t>Density</t>
  </si>
  <si>
    <t>Mg/m3</t>
  </si>
  <si>
    <t>Deformation</t>
  </si>
  <si>
    <t>Compression of</t>
  </si>
  <si>
    <t>Force  gauge</t>
  </si>
  <si>
    <t>Axial</t>
  </si>
  <si>
    <t xml:space="preserve">Corrected </t>
  </si>
  <si>
    <t>gauge reading</t>
  </si>
  <si>
    <t xml:space="preserve"> specimen (d L)</t>
  </si>
  <si>
    <t>force</t>
  </si>
  <si>
    <t>x 0.01mm</t>
  </si>
  <si>
    <t>(mm)</t>
  </si>
  <si>
    <t>(%)</t>
  </si>
  <si>
    <t>(div)</t>
  </si>
  <si>
    <t xml:space="preserve">  Number Of Specimen</t>
  </si>
  <si>
    <t xml:space="preserve">  Specimen Diameter</t>
  </si>
  <si>
    <t xml:space="preserve">  Specimen Height</t>
  </si>
  <si>
    <t xml:space="preserve">  Specimen Area</t>
  </si>
  <si>
    <t xml:space="preserve">  Dial Gauge Subdevision</t>
  </si>
  <si>
    <t>mm/div</t>
  </si>
  <si>
    <t xml:space="preserve">  Load Rate</t>
  </si>
  <si>
    <t>kg/min</t>
  </si>
  <si>
    <t xml:space="preserve">  Load Ring Constant</t>
  </si>
  <si>
    <t>kg/div</t>
  </si>
  <si>
    <t xml:space="preserve">  Lateral Pressure</t>
  </si>
  <si>
    <t>kg/cm2</t>
  </si>
  <si>
    <t xml:space="preserve">  Maximum Deviator Stress</t>
  </si>
  <si>
    <t xml:space="preserve">  Maximum Value Of Vertical Stress</t>
  </si>
  <si>
    <t>SPECIMEN No. 1</t>
  </si>
  <si>
    <t>SPECIMEN No. 2</t>
  </si>
  <si>
    <t>SPECIMEN No. 3</t>
  </si>
  <si>
    <t>B</t>
  </si>
  <si>
    <t>G</t>
  </si>
  <si>
    <t>M</t>
  </si>
  <si>
    <t>Defor-</t>
  </si>
  <si>
    <t>Correc</t>
  </si>
  <si>
    <t>Dev</t>
  </si>
  <si>
    <t>mation</t>
  </si>
  <si>
    <t>Dial</t>
  </si>
  <si>
    <t>Starin</t>
  </si>
  <si>
    <t>(dev)</t>
  </si>
  <si>
    <t>( % )</t>
  </si>
  <si>
    <r>
      <t>(cm</t>
    </r>
    <r>
      <rPr>
        <vertAlign val="superscript"/>
        <sz val="7"/>
        <rFont val="Aptos"/>
        <family val="2"/>
      </rPr>
      <t>2</t>
    </r>
    <r>
      <rPr>
        <sz val="7"/>
        <rFont val="Aptos"/>
        <family val="2"/>
      </rPr>
      <t>)</t>
    </r>
  </si>
  <si>
    <t>C</t>
  </si>
  <si>
    <t>D</t>
  </si>
  <si>
    <t>E</t>
  </si>
  <si>
    <t>I</t>
  </si>
  <si>
    <t>J</t>
  </si>
  <si>
    <t>O</t>
  </si>
  <si>
    <t>P</t>
  </si>
  <si>
    <t>Q</t>
  </si>
  <si>
    <t>σ1</t>
  </si>
  <si>
    <t>σ3</t>
  </si>
  <si>
    <t>Slope</t>
  </si>
  <si>
    <t>Intercept</t>
  </si>
  <si>
    <t>cohesion</t>
  </si>
  <si>
    <t>φ</t>
  </si>
  <si>
    <t>Cohesion</t>
  </si>
  <si>
    <r>
      <rPr>
        <sz val="12"/>
        <color theme="1"/>
        <rFont val="Symbol"/>
        <family val="1"/>
        <charset val="2"/>
      </rPr>
      <t>s</t>
    </r>
    <r>
      <rPr>
        <sz val="12"/>
        <color theme="1"/>
        <rFont val="Calibri"/>
        <family val="2"/>
        <scheme val="minor"/>
      </rPr>
      <t>3</t>
    </r>
  </si>
  <si>
    <t>Kgf</t>
  </si>
  <si>
    <r>
      <t>(cm</t>
    </r>
    <r>
      <rPr>
        <vertAlign val="superscript"/>
        <sz val="10"/>
        <rFont val="Aptos"/>
        <family val="2"/>
      </rPr>
      <t>2</t>
    </r>
    <r>
      <rPr>
        <sz val="10"/>
        <rFont val="Aptos"/>
        <family val="2"/>
      </rPr>
      <t>)</t>
    </r>
  </si>
  <si>
    <t>UNDISTURB</t>
  </si>
  <si>
    <t>REMOLDED</t>
  </si>
  <si>
    <t>TEST RESULT</t>
  </si>
  <si>
    <t>Undisturbed</t>
  </si>
  <si>
    <t>At Failure</t>
  </si>
  <si>
    <t>Strain (%)</t>
  </si>
  <si>
    <t xml:space="preserve">Sample </t>
  </si>
  <si>
    <t>Remolded</t>
  </si>
  <si>
    <t>Sensitivity</t>
  </si>
  <si>
    <t>Corrected Area</t>
  </si>
  <si>
    <r>
      <t>s</t>
    </r>
    <r>
      <rPr>
        <sz val="12"/>
        <rFont val="Arial"/>
        <family val="2"/>
      </rPr>
      <t>3</t>
    </r>
    <r>
      <rPr>
        <sz val="12"/>
        <rFont val="Symbol"/>
        <family val="1"/>
        <charset val="2"/>
      </rPr>
      <t xml:space="preserve"> </t>
    </r>
    <r>
      <rPr>
        <sz val="12"/>
        <rFont val="Arial"/>
        <family val="2"/>
      </rPr>
      <t>total</t>
    </r>
  </si>
  <si>
    <r>
      <t>s</t>
    </r>
    <r>
      <rPr>
        <sz val="12"/>
        <rFont val="Arial"/>
        <family val="2"/>
      </rPr>
      <t>1</t>
    </r>
    <r>
      <rPr>
        <sz val="12"/>
        <rFont val="Symbol"/>
        <family val="1"/>
        <charset val="2"/>
      </rPr>
      <t xml:space="preserve"> </t>
    </r>
    <r>
      <rPr>
        <sz val="12"/>
        <rFont val="Arial"/>
        <family val="2"/>
      </rPr>
      <t>total</t>
    </r>
  </si>
  <si>
    <t>EFEKTIF STRESS</t>
  </si>
  <si>
    <t>STRESS</t>
  </si>
  <si>
    <t>INFORMASI PROYEK /PROJECT INFORMATION</t>
  </si>
  <si>
    <t>INFORMASI CONTOH / SAMPLE INFORMATION</t>
  </si>
  <si>
    <t>Jawa Barat-40235</t>
  </si>
  <si>
    <t>Telp     : 022-4572503,08112183223</t>
  </si>
  <si>
    <t xml:space="preserve">Email : Soil_test@minearth.co.id </t>
  </si>
  <si>
    <t>Tgl. Laporan/Report Date   :</t>
  </si>
  <si>
    <t>Halaman/Pages  :</t>
  </si>
  <si>
    <t>LAMPIRAN / APPENDIX</t>
  </si>
  <si>
    <t>Website : www.minearth.co.id</t>
  </si>
  <si>
    <t>KODE DOKUMEN</t>
  </si>
  <si>
    <t>Tgl./Date :</t>
  </si>
  <si>
    <t>DIPERIKSA OLEH /</t>
  </si>
  <si>
    <t>CHECKED BY</t>
  </si>
  <si>
    <t>DISETUJUI  OLEH /</t>
  </si>
  <si>
    <t>APPROVED BY</t>
  </si>
  <si>
    <t>Mobile : 0811-2183-223</t>
  </si>
  <si>
    <t>CATATAN /NOTES :</t>
  </si>
  <si>
    <t>Kepala Laboratorium</t>
  </si>
  <si>
    <t>Teknisi/Analis</t>
  </si>
  <si>
    <t xml:space="preserve">  Tgl./Date :</t>
  </si>
  <si>
    <t xml:space="preserve">Tgl./Date </t>
  </si>
  <si>
    <t>LABORATORIUM MEKANIKA TANAH</t>
  </si>
  <si>
    <t>PT. MINEARTH GEO SOLUTION</t>
  </si>
  <si>
    <t>LABORATORY TEST REPORT</t>
  </si>
  <si>
    <t>Koordinator Teknis</t>
  </si>
  <si>
    <t>Luas Benda Uji</t>
  </si>
  <si>
    <r>
      <t>cm</t>
    </r>
    <r>
      <rPr>
        <vertAlign val="superscript"/>
        <sz val="10"/>
        <color theme="1"/>
        <rFont val="Aptos"/>
        <family val="2"/>
      </rPr>
      <t>2</t>
    </r>
  </si>
  <si>
    <t>Volume Benda Uji</t>
  </si>
  <si>
    <r>
      <t>V</t>
    </r>
    <r>
      <rPr>
        <vertAlign val="subscript"/>
        <sz val="10"/>
        <color theme="1"/>
        <rFont val="Aptos"/>
        <family val="2"/>
      </rPr>
      <t>o</t>
    </r>
  </si>
  <si>
    <r>
      <t>cm</t>
    </r>
    <r>
      <rPr>
        <vertAlign val="superscript"/>
        <sz val="10"/>
        <color theme="1"/>
        <rFont val="Aptos"/>
        <family val="2"/>
      </rPr>
      <t>3</t>
    </r>
  </si>
  <si>
    <t>Massa benda uji semula</t>
  </si>
  <si>
    <t>m</t>
  </si>
  <si>
    <t>Massa Kering Benda uji Semula</t>
  </si>
  <si>
    <t>mk</t>
  </si>
  <si>
    <t>Kadar air semula</t>
  </si>
  <si>
    <t>Wo</t>
  </si>
  <si>
    <t>berat vol. benda uji semula</t>
  </si>
  <si>
    <r>
      <rPr>
        <b/>
        <sz val="10"/>
        <color theme="1"/>
        <rFont val="Aptos"/>
        <family val="2"/>
      </rPr>
      <t>𝜸</t>
    </r>
    <r>
      <rPr>
        <b/>
        <vertAlign val="subscript"/>
        <sz val="10"/>
        <color theme="1"/>
        <rFont val="Aptos"/>
        <family val="2"/>
      </rPr>
      <t>n</t>
    </r>
    <r>
      <rPr>
        <vertAlign val="subscript"/>
        <sz val="10"/>
        <color theme="1"/>
        <rFont val="Aptos"/>
        <family val="2"/>
      </rPr>
      <t>o</t>
    </r>
  </si>
  <si>
    <t>gr/cm3</t>
  </si>
  <si>
    <t>berat vol. benda uji kering semula</t>
  </si>
  <si>
    <r>
      <rPr>
        <b/>
        <sz val="10"/>
        <color theme="1"/>
        <rFont val="Aptos"/>
        <family val="2"/>
      </rPr>
      <t>𝜸</t>
    </r>
    <r>
      <rPr>
        <vertAlign val="subscript"/>
        <sz val="10"/>
        <color theme="1"/>
        <rFont val="Aptos"/>
        <family val="2"/>
      </rPr>
      <t>d0</t>
    </r>
  </si>
  <si>
    <t>Weight of wet Soil</t>
  </si>
  <si>
    <t>Berat volume air</t>
  </si>
  <si>
    <r>
      <rPr>
        <b/>
        <sz val="10"/>
        <color theme="1"/>
        <rFont val="Aptos"/>
        <family val="2"/>
      </rPr>
      <t>𝜸</t>
    </r>
    <r>
      <rPr>
        <vertAlign val="subscript"/>
        <sz val="10"/>
        <color theme="1"/>
        <rFont val="Aptos"/>
        <family val="2"/>
      </rPr>
      <t>w</t>
    </r>
  </si>
  <si>
    <t>Gs</t>
  </si>
  <si>
    <t>Angka pori tanah semula</t>
  </si>
  <si>
    <t>eo</t>
  </si>
  <si>
    <t>Derajat kejenuhan air Semula</t>
  </si>
  <si>
    <r>
      <t>S</t>
    </r>
    <r>
      <rPr>
        <vertAlign val="subscript"/>
        <sz val="10"/>
        <color theme="1"/>
        <rFont val="Aptos"/>
        <family val="2"/>
      </rPr>
      <t>o</t>
    </r>
  </si>
  <si>
    <t>Solid Height</t>
  </si>
  <si>
    <t>Hs</t>
  </si>
  <si>
    <t>cm-1</t>
  </si>
  <si>
    <t>No ring</t>
  </si>
  <si>
    <t>DATA RING</t>
  </si>
  <si>
    <t xml:space="preserve">Height of Ring </t>
  </si>
  <si>
    <t>PARAMETER TANAH SEMULA</t>
  </si>
  <si>
    <t>Ring</t>
  </si>
  <si>
    <t>Tinggi</t>
  </si>
  <si>
    <t>berat</t>
  </si>
  <si>
    <t>Ring Diameter</t>
  </si>
  <si>
    <t>Weight of ring</t>
  </si>
  <si>
    <t>Weight of Soil + Ring</t>
  </si>
  <si>
    <t>Cc</t>
  </si>
  <si>
    <t xml:space="preserve">Elapsed </t>
  </si>
  <si>
    <t>COMPRESSION DIAL (mm)</t>
  </si>
  <si>
    <r>
      <t>0,25 kg/cm</t>
    </r>
    <r>
      <rPr>
        <vertAlign val="superscript"/>
        <sz val="10"/>
        <rFont val="Aptos"/>
        <family val="2"/>
      </rPr>
      <t>2</t>
    </r>
  </si>
  <si>
    <r>
      <t>0,50 kg/cm</t>
    </r>
    <r>
      <rPr>
        <vertAlign val="superscript"/>
        <sz val="10"/>
        <rFont val="Aptos"/>
        <family val="2"/>
      </rPr>
      <t>2</t>
    </r>
  </si>
  <si>
    <r>
      <t>1,00 kg/cm</t>
    </r>
    <r>
      <rPr>
        <vertAlign val="superscript"/>
        <sz val="10"/>
        <rFont val="Aptos"/>
        <family val="2"/>
      </rPr>
      <t>2</t>
    </r>
  </si>
  <si>
    <r>
      <t>2,00 kg/cm</t>
    </r>
    <r>
      <rPr>
        <vertAlign val="superscript"/>
        <sz val="10"/>
        <rFont val="Aptos"/>
        <family val="2"/>
      </rPr>
      <t>2</t>
    </r>
  </si>
  <si>
    <r>
      <t>4,00 kg/cm</t>
    </r>
    <r>
      <rPr>
        <vertAlign val="superscript"/>
        <sz val="10"/>
        <rFont val="Aptos"/>
        <family val="2"/>
      </rPr>
      <t>2</t>
    </r>
  </si>
  <si>
    <r>
      <t>8,00 kg/cm</t>
    </r>
    <r>
      <rPr>
        <vertAlign val="superscript"/>
        <sz val="10"/>
        <rFont val="Aptos"/>
        <family val="2"/>
      </rPr>
      <t>2</t>
    </r>
  </si>
  <si>
    <t>(minute)</t>
  </si>
  <si>
    <t>Stress (kg/cm2)</t>
  </si>
  <si>
    <t>∆H (cm)</t>
  </si>
  <si>
    <t>∆e</t>
  </si>
  <si>
    <r>
      <t>√T</t>
    </r>
    <r>
      <rPr>
        <vertAlign val="subscript"/>
        <sz val="10"/>
        <color theme="1"/>
        <rFont val="Aptos"/>
        <family val="2"/>
      </rPr>
      <t>90</t>
    </r>
    <r>
      <rPr>
        <sz val="10"/>
        <color theme="1"/>
        <rFont val="Aptos"/>
        <family val="2"/>
      </rPr>
      <t xml:space="preserve"> (menit)</t>
    </r>
  </si>
  <si>
    <t>Div</t>
  </si>
  <si>
    <t>mikro</t>
  </si>
  <si>
    <t>Garis 2</t>
  </si>
  <si>
    <t>Yc</t>
  </si>
  <si>
    <t>mt</t>
  </si>
  <si>
    <t>mb</t>
  </si>
  <si>
    <t>23-MINEARTH-RM-LHU-DS-UU-R0</t>
  </si>
  <si>
    <t>23-MINEARTH-RM-LHU-TRX-UU-R0</t>
  </si>
  <si>
    <t>L</t>
  </si>
  <si>
    <t>LAB CONFIG. BERAT CAWAN</t>
  </si>
  <si>
    <t>Banyak Pukulan/No. of blows</t>
  </si>
  <si>
    <t>No. Cawan</t>
  </si>
  <si>
    <r>
      <t xml:space="preserve">Berat cawan kosong / </t>
    </r>
    <r>
      <rPr>
        <i/>
        <sz val="10"/>
        <color theme="1"/>
        <rFont val="Aptos"/>
        <family val="2"/>
      </rPr>
      <t xml:space="preserve">wt. empty can </t>
    </r>
  </si>
  <si>
    <t>( gr )</t>
  </si>
  <si>
    <t xml:space="preserve">Berat cawan + Tanah basah / wt.of can + moist soil </t>
  </si>
  <si>
    <r>
      <t xml:space="preserve">Berat cawan + Tanah Kering / </t>
    </r>
    <r>
      <rPr>
        <i/>
        <sz val="10"/>
        <color theme="1"/>
        <rFont val="Aptos"/>
        <family val="2"/>
      </rPr>
      <t>wt. of can + dry soil</t>
    </r>
    <r>
      <rPr>
        <sz val="10"/>
        <color theme="1"/>
        <rFont val="Aptos"/>
        <family val="2"/>
      </rPr>
      <t xml:space="preserve"> </t>
    </r>
  </si>
  <si>
    <t xml:space="preserve">Berat tanah basah / wt. of moist soil </t>
  </si>
  <si>
    <r>
      <t xml:space="preserve">Berat tanah kering  / </t>
    </r>
    <r>
      <rPr>
        <i/>
        <sz val="10"/>
        <color theme="1"/>
        <rFont val="Aptos"/>
        <family val="2"/>
      </rPr>
      <t xml:space="preserve">wt. of dry soil </t>
    </r>
  </si>
  <si>
    <r>
      <t xml:space="preserve">Berat air / </t>
    </r>
    <r>
      <rPr>
        <i/>
        <sz val="10"/>
        <color theme="1"/>
        <rFont val="Aptos"/>
        <family val="2"/>
      </rPr>
      <t>wt. of water</t>
    </r>
  </si>
  <si>
    <r>
      <t xml:space="preserve">Kadar air/ </t>
    </r>
    <r>
      <rPr>
        <i/>
        <sz val="10"/>
        <color theme="1"/>
        <rFont val="Aptos"/>
        <family val="2"/>
      </rPr>
      <t>Moisture content</t>
    </r>
    <r>
      <rPr>
        <sz val="10"/>
        <color theme="1"/>
        <rFont val="Aptos"/>
        <family val="2"/>
      </rPr>
      <t xml:space="preserve"> (M</t>
    </r>
    <r>
      <rPr>
        <vertAlign val="subscript"/>
        <sz val="10"/>
        <color theme="1"/>
        <rFont val="Aptos"/>
        <family val="2"/>
      </rPr>
      <t>c)</t>
    </r>
  </si>
  <si>
    <t>UJI BATAS CAIR</t>
  </si>
  <si>
    <t>UJI BATAS PLASTIS</t>
  </si>
  <si>
    <t xml:space="preserve">Berat cawan kosong / wt. empty can </t>
  </si>
  <si>
    <t xml:space="preserve">Berat cawan + Tanah Kering / wt. of can + dry soil </t>
  </si>
  <si>
    <t xml:space="preserve">Berat tanah kering  / wt. of dry soil </t>
  </si>
  <si>
    <t xml:space="preserve">Berat air / wt. of water </t>
  </si>
  <si>
    <t>Kadar air/ Moisture content (Mc)</t>
  </si>
  <si>
    <r>
      <t>Batas Plastis /</t>
    </r>
    <r>
      <rPr>
        <i/>
        <sz val="10"/>
        <color theme="1"/>
        <rFont val="Aptos"/>
        <family val="2"/>
      </rPr>
      <t>Plastic Limit</t>
    </r>
  </si>
  <si>
    <t>LL</t>
  </si>
  <si>
    <t>Vertical Iine</t>
  </si>
  <si>
    <t>Horizontal Line</t>
  </si>
  <si>
    <t xml:space="preserve">Graphic Trend line </t>
  </si>
  <si>
    <t>LIQUID LIMIT</t>
  </si>
  <si>
    <t>PL</t>
  </si>
  <si>
    <t>PI</t>
  </si>
  <si>
    <t>A-Line</t>
  </si>
  <si>
    <t>U-Line</t>
  </si>
  <si>
    <t>Pl = 0.73(LL-20)</t>
  </si>
  <si>
    <t>Pl=0.9(LL-8)</t>
  </si>
  <si>
    <t>Straight line</t>
  </si>
  <si>
    <t xml:space="preserve">CL-ML </t>
  </si>
  <si>
    <t>Region</t>
  </si>
  <si>
    <t>23-MINEARTH-RM-LHU-ATB-R0</t>
  </si>
  <si>
    <t xml:space="preserve">Sieve </t>
  </si>
  <si>
    <t>Sieve</t>
  </si>
  <si>
    <t>Wt. Soil</t>
  </si>
  <si>
    <t>Percent</t>
  </si>
  <si>
    <t>Cumulative</t>
  </si>
  <si>
    <t>No.</t>
  </si>
  <si>
    <t>Opening</t>
  </si>
  <si>
    <t>Retained</t>
  </si>
  <si>
    <t xml:space="preserve"> </t>
  </si>
  <si>
    <t>3"</t>
  </si>
  <si>
    <t>2"</t>
  </si>
  <si>
    <t>1 1/2"</t>
  </si>
  <si>
    <t>1"</t>
  </si>
  <si>
    <t>3/4"</t>
  </si>
  <si>
    <t>1/2"</t>
  </si>
  <si>
    <t>3/8"</t>
  </si>
  <si>
    <t>Pan</t>
  </si>
  <si>
    <t>SIEVE ANALYSIS</t>
  </si>
  <si>
    <t>Berat Awal</t>
  </si>
  <si>
    <t>HYDROMETER ANALYSIS SNI 3423 : 2008</t>
  </si>
  <si>
    <t>Weight of soil         :</t>
  </si>
  <si>
    <t>Tube  No.</t>
  </si>
  <si>
    <t>Specific Gravity (Gs)    :</t>
  </si>
  <si>
    <t>Meniscus Correction,c :</t>
  </si>
  <si>
    <t>Temperature Correction, mt</t>
  </si>
  <si>
    <t>Viscosity of water        :</t>
  </si>
  <si>
    <t>Dispersant Correction, x</t>
  </si>
  <si>
    <t>Elapsed</t>
  </si>
  <si>
    <t>Hydrometer</t>
  </si>
  <si>
    <t>Effective</t>
  </si>
  <si>
    <t>Particle</t>
  </si>
  <si>
    <t>Percentage Finer</t>
  </si>
  <si>
    <t>depth</t>
  </si>
  <si>
    <t>Corrected</t>
  </si>
  <si>
    <t>Than D</t>
  </si>
  <si>
    <t>R'h</t>
  </si>
  <si>
    <t>Rh</t>
  </si>
  <si>
    <t>HR</t>
  </si>
  <si>
    <t>min</t>
  </si>
  <si>
    <t>NOTES :</t>
  </si>
  <si>
    <t>Ring No.</t>
  </si>
  <si>
    <t>Weight</t>
  </si>
  <si>
    <t>(cm)</t>
  </si>
  <si>
    <t>(gram)</t>
  </si>
  <si>
    <r>
      <t>(cm</t>
    </r>
    <r>
      <rPr>
        <vertAlign val="superscript"/>
        <sz val="10"/>
        <color theme="1"/>
        <rFont val="Aptos"/>
        <family val="2"/>
      </rPr>
      <t>2</t>
    </r>
    <r>
      <rPr>
        <sz val="10"/>
        <rFont val="Aptos"/>
        <family val="2"/>
      </rPr>
      <t>)</t>
    </r>
  </si>
  <si>
    <r>
      <t>(cm</t>
    </r>
    <r>
      <rPr>
        <vertAlign val="superscript"/>
        <sz val="10"/>
        <color theme="1"/>
        <rFont val="Aptos"/>
        <family val="2"/>
      </rPr>
      <t>3</t>
    </r>
    <r>
      <rPr>
        <sz val="10"/>
        <rFont val="Aptos"/>
        <family val="2"/>
      </rPr>
      <t>)</t>
    </r>
  </si>
  <si>
    <t>Specimen No.</t>
  </si>
  <si>
    <t>Normal Force</t>
  </si>
  <si>
    <t>Normal Stress</t>
  </si>
  <si>
    <t>Diameter of Ring</t>
  </si>
  <si>
    <t>Height of Ring</t>
  </si>
  <si>
    <t>Area of Ring</t>
  </si>
  <si>
    <t>Volume of Ring</t>
  </si>
  <si>
    <t>Mass of Ring</t>
  </si>
  <si>
    <t>Mass of wet Soil + Ring</t>
  </si>
  <si>
    <t>Mass of dry Soil + Ring</t>
  </si>
  <si>
    <t>Bulk Density</t>
  </si>
  <si>
    <t>Dry Density</t>
  </si>
  <si>
    <t>Spesific Gravity</t>
  </si>
  <si>
    <t>Void Ratio</t>
  </si>
  <si>
    <t>Degree of Saturation</t>
  </si>
  <si>
    <t>Final</t>
  </si>
  <si>
    <t>Dial Reading</t>
  </si>
  <si>
    <t>Settlement</t>
  </si>
  <si>
    <t>kg</t>
  </si>
  <si>
    <t>kPa</t>
  </si>
  <si>
    <t>Shear Rate</t>
  </si>
  <si>
    <t>Horizontal Displacement</t>
  </si>
  <si>
    <t>Vertical Reading</t>
  </si>
  <si>
    <t>Force Reading</t>
  </si>
  <si>
    <t>Shear Stress</t>
  </si>
  <si>
    <t>Kgf/div</t>
  </si>
  <si>
    <t>R0</t>
  </si>
  <si>
    <t>R100</t>
  </si>
  <si>
    <t>R90</t>
  </si>
  <si>
    <t>R1</t>
  </si>
  <si>
    <t>R2</t>
  </si>
  <si>
    <t>Akart T90</t>
  </si>
  <si>
    <r>
      <rPr>
        <sz val="10"/>
        <color theme="1"/>
        <rFont val="Symbol"/>
        <family val="1"/>
        <charset val="2"/>
      </rPr>
      <t xml:space="preserve">√ </t>
    </r>
    <r>
      <rPr>
        <sz val="10"/>
        <color theme="1"/>
        <rFont val="Aptos"/>
        <family val="2"/>
      </rPr>
      <t>t</t>
    </r>
  </si>
  <si>
    <t>Spesimen</t>
  </si>
  <si>
    <t>√ t1</t>
  </si>
  <si>
    <t>√ t2</t>
  </si>
  <si>
    <t>F2</t>
  </si>
  <si>
    <t>F3</t>
  </si>
  <si>
    <t>F4</t>
  </si>
  <si>
    <t>F5</t>
  </si>
  <si>
    <t>t90</t>
  </si>
  <si>
    <t>Cv, cm2/menit</t>
  </si>
  <si>
    <t>mv,m2/kN</t>
  </si>
  <si>
    <t>cv, m2/s</t>
  </si>
  <si>
    <t>k, m/s</t>
  </si>
  <si>
    <t>k,cm/s</t>
  </si>
  <si>
    <t>PEAK NORMAL STRESS  vs SHEAR STRESS</t>
  </si>
  <si>
    <t>SPESIMEN</t>
  </si>
  <si>
    <t>Normal Stress,kPa</t>
  </si>
  <si>
    <t>Shear Stress,kPa</t>
  </si>
  <si>
    <t>Soil Parameter at peak Condition</t>
  </si>
  <si>
    <t>c'</t>
  </si>
  <si>
    <t>Internal friction Angle</t>
  </si>
  <si>
    <t>φ'</t>
  </si>
  <si>
    <t>o</t>
  </si>
  <si>
    <t>Cohesion ©</t>
  </si>
  <si>
    <t>σ</t>
  </si>
  <si>
    <t>τ failure</t>
  </si>
  <si>
    <t>tanφ</t>
  </si>
  <si>
    <t>Failure Envelop Line</t>
  </si>
  <si>
    <t>passing</t>
  </si>
  <si>
    <t xml:space="preserve">γw </t>
  </si>
  <si>
    <t>zero correction</t>
  </si>
  <si>
    <t>Sand</t>
  </si>
  <si>
    <t>Silt</t>
  </si>
  <si>
    <t xml:space="preserve">Distribusi </t>
  </si>
  <si>
    <t>% Passing No.4</t>
  </si>
  <si>
    <t>% Passing No.200</t>
  </si>
  <si>
    <t>% Passing 0.002 mm</t>
  </si>
  <si>
    <t>Clay size</t>
  </si>
  <si>
    <t>Fine</t>
  </si>
  <si>
    <t xml:space="preserve">Gravel </t>
  </si>
  <si>
    <t>Suhu (°C)</t>
  </si>
  <si>
    <t>Temp. pengujian</t>
  </si>
  <si>
    <t>Viskositas (η) dalam mPa·s atau N·s/m²</t>
  </si>
  <si>
    <t>Viskositas (η) dalam Centipoise (cP)</t>
  </si>
  <si>
    <t>Viskositas (η) dalam Poise (P)</t>
  </si>
  <si>
    <t>Tpe hidrometer</t>
  </si>
  <si>
    <t>152 H</t>
  </si>
  <si>
    <t>E (Suhu °C)</t>
  </si>
  <si>
    <t>F (Nilai Ct​)</t>
  </si>
  <si>
    <t>poise</t>
  </si>
  <si>
    <t>Standard Proctor</t>
  </si>
  <si>
    <t>Hidrometer</t>
  </si>
  <si>
    <t>Kadar Air</t>
  </si>
  <si>
    <t>23-MINEARTH-RM-LHU-SH-R0</t>
  </si>
  <si>
    <r>
      <t xml:space="preserve">Kode Laboratorium / </t>
    </r>
    <r>
      <rPr>
        <i/>
        <sz val="10"/>
        <color theme="1"/>
        <rFont val="Arial"/>
        <family val="2"/>
      </rPr>
      <t>Laboratory Id.</t>
    </r>
  </si>
  <si>
    <t>Massa tanah basah + ring</t>
  </si>
  <si>
    <t>Massa ring</t>
  </si>
  <si>
    <t>Tinggi  awal Contoh</t>
  </si>
  <si>
    <t>Tinggi akhir</t>
  </si>
  <si>
    <t>Diameter Contoh</t>
  </si>
  <si>
    <t>Vol contoh</t>
  </si>
  <si>
    <t>Berat tanah basah</t>
  </si>
  <si>
    <t>Rata-rata berat tanah basah</t>
  </si>
  <si>
    <t>Berat Isi basah</t>
  </si>
  <si>
    <t>Massa tanah basah+cawan</t>
  </si>
  <si>
    <t>Massa tanah kering+cawan</t>
  </si>
  <si>
    <t>Massa air</t>
  </si>
  <si>
    <t>Massa cawan</t>
  </si>
  <si>
    <t>Massa tanah kering</t>
  </si>
  <si>
    <t>Rata-rata kadar air</t>
  </si>
  <si>
    <t>Berat isi tanah kering</t>
  </si>
  <si>
    <t>No Cawan</t>
  </si>
  <si>
    <t>F</t>
  </si>
  <si>
    <t>Shear</t>
  </si>
  <si>
    <t>Proving reading</t>
  </si>
  <si>
    <t>Calibration</t>
  </si>
  <si>
    <t>Max. Shear Strength</t>
  </si>
  <si>
    <t>Kuat geser langsung S, kg/cm2</t>
  </si>
  <si>
    <t xml:space="preserve">GRAFIK </t>
  </si>
  <si>
    <t>Cu</t>
  </si>
  <si>
    <t xml:space="preserve">Cohesion </t>
  </si>
  <si>
    <t>Klasifikasi Tanah / Soil Classification (USCS)</t>
  </si>
  <si>
    <r>
      <t>(cm</t>
    </r>
    <r>
      <rPr>
        <vertAlign val="superscript"/>
        <sz val="10"/>
        <color theme="1"/>
        <rFont val="Arial"/>
        <family val="2"/>
      </rPr>
      <t>2</t>
    </r>
    <r>
      <rPr>
        <sz val="10"/>
        <rFont val="Arial"/>
        <family val="2"/>
      </rPr>
      <t>)</t>
    </r>
  </si>
  <si>
    <r>
      <t>(cm</t>
    </r>
    <r>
      <rPr>
        <vertAlign val="superscript"/>
        <sz val="10"/>
        <color theme="1"/>
        <rFont val="Arial"/>
        <family val="2"/>
      </rPr>
      <t>3</t>
    </r>
    <r>
      <rPr>
        <sz val="10"/>
        <rFont val="Arial"/>
        <family val="2"/>
      </rPr>
      <t>)</t>
    </r>
  </si>
  <si>
    <t>-     Uji Batas Plastis dan Indeks Plastisitas</t>
  </si>
  <si>
    <t>-     Uji Batas Batas Cair</t>
  </si>
  <si>
    <t>-      Triaxial UU</t>
  </si>
  <si>
    <t>-      Triaxial CU</t>
  </si>
  <si>
    <t>-      Triaxial CD</t>
  </si>
  <si>
    <t>-      CBR Soaked</t>
  </si>
  <si>
    <t>-      CBR Unsoaked</t>
  </si>
  <si>
    <t>ALAMAT</t>
  </si>
  <si>
    <t>TGL LAPORAN</t>
  </si>
  <si>
    <t>mv (cm2/kg)</t>
  </si>
  <si>
    <t>T90 (menit)</t>
  </si>
  <si>
    <t>T90 (detik)</t>
  </si>
  <si>
    <t>CV (cm2/s)</t>
  </si>
  <si>
    <t>Parameter</t>
  </si>
  <si>
    <t>Pc</t>
  </si>
  <si>
    <t>k (cm/s)</t>
  </si>
  <si>
    <t>GRAFIK TAYLOR</t>
  </si>
  <si>
    <t>H (cm)</t>
  </si>
  <si>
    <t>Load p</t>
  </si>
  <si>
    <t>log p</t>
  </si>
  <si>
    <t>TABEL VIRGIN COMPRESSION</t>
  </si>
  <si>
    <t>p</t>
  </si>
  <si>
    <t>TABEL RECOMPRESSION/UNLOADING</t>
  </si>
  <si>
    <t>SELECTED CURVATURE POINT</t>
  </si>
  <si>
    <t>Tangen slope</t>
  </si>
  <si>
    <t>e tangent</t>
  </si>
  <si>
    <t>Slope VL</t>
  </si>
  <si>
    <t>VL</t>
  </si>
  <si>
    <t>Diff</t>
  </si>
  <si>
    <t>Min diff</t>
  </si>
  <si>
    <t>Load (p)</t>
  </si>
  <si>
    <t>c4</t>
  </si>
  <si>
    <t>a</t>
  </si>
  <si>
    <t>b</t>
  </si>
  <si>
    <t>c</t>
  </si>
  <si>
    <t>h10</t>
  </si>
  <si>
    <t>min diff (grafik)</t>
  </si>
  <si>
    <t>h11</t>
  </si>
  <si>
    <t>Nilai tekanan Pc</t>
  </si>
  <si>
    <t>x</t>
  </si>
  <si>
    <t>y</t>
  </si>
  <si>
    <t>intercept bisector</t>
  </si>
  <si>
    <t>log Pc</t>
  </si>
  <si>
    <t>e-interscetion</t>
  </si>
  <si>
    <t>NO.</t>
  </si>
  <si>
    <t>HOLE ID</t>
  </si>
  <si>
    <t>LAB ID</t>
  </si>
  <si>
    <t>DEPTH (m)</t>
  </si>
  <si>
    <t>COMPACTION</t>
  </si>
  <si>
    <t>PERMEABILTY</t>
  </si>
  <si>
    <t>UCT</t>
  </si>
  <si>
    <t>DIRECT SHEAR</t>
  </si>
  <si>
    <t>TRIAXIAL</t>
  </si>
  <si>
    <t>CBR LAB.</t>
  </si>
  <si>
    <t>Depth fr.</t>
  </si>
  <si>
    <t>Depth to</t>
  </si>
  <si>
    <t>MODIF. PROCTOR</t>
  </si>
  <si>
    <t>TRIAXIAL UU</t>
  </si>
  <si>
    <t>TRIAXIAL CD</t>
  </si>
  <si>
    <t>CBR UNSOAKED</t>
  </si>
  <si>
    <t>CBR-SOAKED</t>
  </si>
  <si>
    <t>DIUJI OLEH /</t>
  </si>
  <si>
    <t>TESTED BY</t>
  </si>
  <si>
    <t>LAB. CONFIG.</t>
  </si>
  <si>
    <t>UNIT</t>
  </si>
  <si>
    <t xml:space="preserve">PARAMETER </t>
  </si>
  <si>
    <t>Kode Cawan</t>
  </si>
  <si>
    <t xml:space="preserve"> KONDISI FISIK SPESIMEN</t>
  </si>
  <si>
    <t>PENGUJIAN</t>
  </si>
  <si>
    <t>PARAMETER GRAFIK</t>
  </si>
  <si>
    <t>AKHIR LEMBAR PENGUJIAN</t>
  </si>
  <si>
    <t>SPESIFIC GRAVITY</t>
  </si>
  <si>
    <t>UNIT WEIGHT</t>
  </si>
  <si>
    <t>ATTENBERG LIMIT</t>
  </si>
  <si>
    <t>SIEVE &amp;HIDROMETER</t>
  </si>
  <si>
    <t>STD. PROCTOR</t>
  </si>
  <si>
    <t>DS-UU</t>
  </si>
  <si>
    <t>DS-CU</t>
  </si>
  <si>
    <t>DS - CD</t>
  </si>
  <si>
    <t>TABEL DASAR e-log p</t>
  </si>
  <si>
    <t>PRE-CONSILIDATION</t>
  </si>
  <si>
    <t>Calculation</t>
  </si>
  <si>
    <r>
      <t>H</t>
    </r>
    <r>
      <rPr>
        <vertAlign val="subscript"/>
        <sz val="10"/>
        <color theme="1"/>
        <rFont val="Aptos"/>
        <family val="2"/>
      </rPr>
      <t>dr</t>
    </r>
    <r>
      <rPr>
        <sz val="10"/>
        <color theme="1"/>
        <rFont val="Aptos"/>
        <family val="2"/>
      </rPr>
      <t xml:space="preserve"> (cm)</t>
    </r>
  </si>
  <si>
    <t xml:space="preserve">slope </t>
  </si>
  <si>
    <t>PARAMETER CV</t>
  </si>
  <si>
    <t>Garis e0</t>
  </si>
  <si>
    <t>Wt. of wet sample + container</t>
  </si>
  <si>
    <t>Sample diameter</t>
  </si>
  <si>
    <t>Wt. of dry sample + continer</t>
  </si>
  <si>
    <t>Sample Height</t>
  </si>
  <si>
    <r>
      <t>cm</t>
    </r>
    <r>
      <rPr>
        <vertAlign val="superscript"/>
        <sz val="10"/>
        <rFont val="Arial"/>
        <family val="2"/>
      </rPr>
      <t>2</t>
    </r>
  </si>
  <si>
    <t>Wt. of container</t>
  </si>
  <si>
    <t>Area of sample</t>
  </si>
  <si>
    <t>Wt. of wet sample</t>
  </si>
  <si>
    <t>Volume of sample</t>
  </si>
  <si>
    <r>
      <t>cm</t>
    </r>
    <r>
      <rPr>
        <vertAlign val="superscript"/>
        <sz val="10"/>
        <rFont val="Arial"/>
        <family val="2"/>
      </rPr>
      <t>3</t>
    </r>
  </si>
  <si>
    <t>Wt. of dry sample</t>
  </si>
  <si>
    <t>Mean calibration</t>
  </si>
  <si>
    <t>Normal load</t>
  </si>
  <si>
    <t>Normal stress</t>
  </si>
  <si>
    <t>Rate of displacement</t>
  </si>
  <si>
    <t>Specific gravity</t>
  </si>
  <si>
    <t>Voids ration</t>
  </si>
  <si>
    <t>SPESIMEN 1</t>
  </si>
  <si>
    <t>Horizontal</t>
  </si>
  <si>
    <t xml:space="preserve">Load </t>
  </si>
  <si>
    <t>Shear stress</t>
  </si>
  <si>
    <t>Vertical Movement</t>
  </si>
  <si>
    <t>Displacement</t>
  </si>
  <si>
    <t>Expansion (-)</t>
  </si>
  <si>
    <t>Settlement (+)</t>
  </si>
  <si>
    <t>( div )</t>
  </si>
  <si>
    <t>SHEAR</t>
  </si>
  <si>
    <t>Kgf/cm2</t>
  </si>
  <si>
    <t>peak</t>
  </si>
  <si>
    <t>Residual</t>
  </si>
  <si>
    <t>PEAK ENVELOPE LINE</t>
  </si>
  <si>
    <t>RESIDUAL  ENVELOPE LINE</t>
  </si>
  <si>
    <r>
      <t>g/cm</t>
    </r>
    <r>
      <rPr>
        <vertAlign val="superscript"/>
        <sz val="10"/>
        <rFont val="Arial"/>
        <family val="2"/>
      </rPr>
      <t>3</t>
    </r>
  </si>
  <si>
    <t>SAMPEL No.</t>
  </si>
  <si>
    <t>PEMILIK/KLIEN</t>
  </si>
  <si>
    <t>JL.</t>
  </si>
  <si>
    <t>NOMOR PO</t>
  </si>
  <si>
    <t>TGL PO</t>
  </si>
  <si>
    <t>TGL KEDATANGAN SAMPEL</t>
  </si>
  <si>
    <t>SAMPLE ID</t>
  </si>
  <si>
    <t>NO. BA PENERIMAAN SAMPEL</t>
  </si>
  <si>
    <t>PELAPORAN</t>
  </si>
  <si>
    <t>NOMOR LAPORAN</t>
  </si>
  <si>
    <t>LOKASI PROYEK</t>
  </si>
  <si>
    <t>PIC</t>
  </si>
  <si>
    <t>TLP</t>
  </si>
  <si>
    <t>JENIS PENGUJIAN /TEST PERFORMED</t>
  </si>
  <si>
    <t>NAMA PROYEK / PROJECT ID</t>
  </si>
  <si>
    <t>KOTA-PROVINSI</t>
  </si>
  <si>
    <t>DS - RESIDUAL</t>
  </si>
  <si>
    <t>DS CD-RESIDUAL</t>
  </si>
  <si>
    <t>SHRINGKAGE LIMIT</t>
  </si>
  <si>
    <t>SWELLING PRESSURE</t>
  </si>
  <si>
    <t>LEMBAR PENGUJIAN / TESTING WORKSHEET</t>
  </si>
  <si>
    <t>REVISI</t>
  </si>
  <si>
    <t xml:space="preserve">DIUJI OLEH / Tested By </t>
  </si>
  <si>
    <t>DIPERIKSA OLEH / Checked By</t>
  </si>
  <si>
    <t>TGL. PENGUJIAN / Date Tested</t>
  </si>
  <si>
    <r>
      <rPr>
        <b/>
        <sz val="11"/>
        <color theme="1"/>
        <rFont val="Arial"/>
        <family val="2"/>
      </rPr>
      <t>KEDALAMAN</t>
    </r>
    <r>
      <rPr>
        <sz val="11"/>
        <color theme="1"/>
        <rFont val="Arial"/>
        <family val="2"/>
      </rPr>
      <t xml:space="preserve"> / </t>
    </r>
    <r>
      <rPr>
        <i/>
        <sz val="11"/>
        <color theme="1"/>
        <rFont val="Arial"/>
        <family val="2"/>
      </rPr>
      <t xml:space="preserve">Depth </t>
    </r>
    <r>
      <rPr>
        <sz val="11"/>
        <color theme="1"/>
        <rFont val="Arial"/>
        <family val="2"/>
      </rPr>
      <t xml:space="preserve">(m)              </t>
    </r>
  </si>
  <si>
    <r>
      <rPr>
        <b/>
        <sz val="11"/>
        <color theme="1"/>
        <rFont val="Arial"/>
        <family val="2"/>
      </rPr>
      <t>JENIS CONTOH</t>
    </r>
    <r>
      <rPr>
        <sz val="11"/>
        <color theme="1"/>
        <rFont val="Arial"/>
        <family val="2"/>
      </rPr>
      <t xml:space="preserve"> / </t>
    </r>
    <r>
      <rPr>
        <i/>
        <sz val="11"/>
        <color theme="1"/>
        <rFont val="Arial"/>
        <family val="2"/>
      </rPr>
      <t>Sample Type</t>
    </r>
    <r>
      <rPr>
        <sz val="11"/>
        <color theme="1"/>
        <rFont val="Arial"/>
        <family val="2"/>
      </rPr>
      <t xml:space="preserve">        </t>
    </r>
  </si>
  <si>
    <r>
      <rPr>
        <b/>
        <sz val="11"/>
        <color theme="1"/>
        <rFont val="Arial"/>
        <family val="2"/>
      </rPr>
      <t>DESKRIPSI TANAH</t>
    </r>
    <r>
      <rPr>
        <sz val="11"/>
        <color theme="1"/>
        <rFont val="Arial"/>
        <family val="2"/>
      </rPr>
      <t xml:space="preserve"> / Soil Description  </t>
    </r>
  </si>
  <si>
    <r>
      <rPr>
        <b/>
        <sz val="11"/>
        <color theme="1"/>
        <rFont val="Arial"/>
        <family val="2"/>
      </rPr>
      <t>WARNA TANAH</t>
    </r>
    <r>
      <rPr>
        <sz val="11"/>
        <color theme="1"/>
        <rFont val="Arial"/>
        <family val="2"/>
      </rPr>
      <t xml:space="preserve"> / Soil Color           </t>
    </r>
  </si>
  <si>
    <t>DIRECT SHEAR TEST- UNCONSOLIDATED UNDRAINED (UU)</t>
  </si>
  <si>
    <t>UJI KUAT GESER LANGSUNG -TIDAK TERKONSOLIDASI TIDAK TERDRAINASE (UU)</t>
  </si>
  <si>
    <t>Sample</t>
  </si>
  <si>
    <t>Undisturb</t>
  </si>
  <si>
    <t>qu (Kg/cm2)</t>
  </si>
  <si>
    <t>DATA BENDA UJI</t>
  </si>
  <si>
    <t>DISETUJUI OLEH</t>
  </si>
  <si>
    <t>RAFLY R.</t>
  </si>
  <si>
    <t>AT</t>
  </si>
  <si>
    <t>Berat isi Basah</t>
  </si>
  <si>
    <t>Berat Isi Kering</t>
  </si>
  <si>
    <t>DATA PENGUJIAN</t>
  </si>
  <si>
    <t>kN/cm2</t>
  </si>
  <si>
    <t>φu</t>
  </si>
  <si>
    <t>Normal Load (kN/m2)</t>
  </si>
  <si>
    <t>Shear Stress (kN/m2)</t>
  </si>
  <si>
    <t>Diamater Spesimen (cm)</t>
  </si>
  <si>
    <t>Tinggi Spesimen (cm)</t>
  </si>
  <si>
    <r>
      <t>Area (cm</t>
    </r>
    <r>
      <rPr>
        <vertAlign val="superscript"/>
        <sz val="9"/>
        <color theme="1"/>
        <rFont val="Arial"/>
        <family val="2"/>
      </rPr>
      <t>2</t>
    </r>
  </si>
  <si>
    <r>
      <t>Volume (cm</t>
    </r>
    <r>
      <rPr>
        <vertAlign val="superscript"/>
        <sz val="9"/>
        <color theme="1"/>
        <rFont val="Arial"/>
        <family val="2"/>
      </rPr>
      <t>3</t>
    </r>
    <r>
      <rPr>
        <sz val="9"/>
        <color theme="1"/>
        <rFont val="Arial"/>
        <family val="2"/>
      </rPr>
      <t>)</t>
    </r>
  </si>
  <si>
    <t>2 dari 2</t>
  </si>
  <si>
    <t>Direct shear/Uji Kuat Geser Langsung</t>
  </si>
  <si>
    <t>Direct shear UU</t>
  </si>
  <si>
    <t>Direct shear CU</t>
  </si>
  <si>
    <t>2813 : 2008</t>
  </si>
  <si>
    <t>Direct shear CD</t>
  </si>
  <si>
    <t>Consolidation Test/Uji Konsolidasi</t>
  </si>
  <si>
    <t>Compaction :</t>
  </si>
  <si>
    <t>-      Compaction Standard Proctor/Uji Kepadatan Ringan</t>
  </si>
  <si>
    <t>1742:2008</t>
  </si>
  <si>
    <t>-      Compaction Modified Proctor/Uji Kepadatan Berat</t>
  </si>
  <si>
    <t>1743:2008</t>
  </si>
  <si>
    <t>23-MINEARTH-RM-LHU-TRX-CU-R0</t>
  </si>
  <si>
    <t>23-MINEARTH-RM-LHU-CS-R0</t>
  </si>
  <si>
    <t>23-MINEARTH-RM-LHU-DS_CU-R0</t>
  </si>
  <si>
    <t>23-MINEARTH-RM-LHU-DS-CD-R0</t>
  </si>
  <si>
    <t>Direct shear Residual</t>
  </si>
  <si>
    <t>Direct shear CD- Residual</t>
  </si>
  <si>
    <t>23-MINEARTH-RM-LHU-DS-RES-R0</t>
  </si>
  <si>
    <t>23-MINEARTH-RM-LHU-DS-CD RES-R0</t>
  </si>
  <si>
    <t>23-MINEARTH-RM-LHU-CON-R0</t>
  </si>
  <si>
    <t>23-MINEARTH-RM-LHU-CMP-S-R0</t>
  </si>
  <si>
    <t>23-MINEARTH-RM-LHU-CMP-M-R0</t>
  </si>
  <si>
    <t>23-MINEARTH-RM-LHU-CBR-S-R0</t>
  </si>
  <si>
    <t>23-MINEARTH-RM-LHU-PFH-R0</t>
  </si>
  <si>
    <t>23-MINEARTH-RM-LHU-SWP-R0</t>
  </si>
  <si>
    <t>23-MINEARTH-RM-LHU-SL-R0</t>
  </si>
  <si>
    <t>Analisi Ayakan</t>
  </si>
  <si>
    <t>23-MINEARTH-RM-LHU-AS-R0</t>
  </si>
  <si>
    <t>23-MINEARTH-RM-LHU-HID-R0</t>
  </si>
  <si>
    <t>Nilai</t>
  </si>
  <si>
    <t>Tgl./Date   :</t>
  </si>
  <si>
    <t xml:space="preserve">  Tgl./Date   :</t>
  </si>
  <si>
    <t>Tgl./Date  :</t>
  </si>
  <si>
    <t>Revisi / Revision                    :</t>
  </si>
  <si>
    <r>
      <rPr>
        <b/>
        <sz val="10"/>
        <color theme="1"/>
        <rFont val="Arial"/>
        <family val="2"/>
      </rPr>
      <t xml:space="preserve">No. Laporan </t>
    </r>
    <r>
      <rPr>
        <sz val="10"/>
        <color theme="1"/>
        <rFont val="Arial"/>
        <family val="2"/>
      </rPr>
      <t xml:space="preserve">/ </t>
    </r>
    <r>
      <rPr>
        <i/>
        <sz val="10"/>
        <color theme="1"/>
        <rFont val="Arial"/>
        <family val="2"/>
      </rPr>
      <t xml:space="preserve">Report No.     </t>
    </r>
    <r>
      <rPr>
        <sz val="10"/>
        <color theme="1"/>
        <rFont val="Arial"/>
        <family val="2"/>
      </rPr>
      <t xml:space="preserve">  :</t>
    </r>
  </si>
  <si>
    <t>A.SUMARTADJI</t>
  </si>
  <si>
    <r>
      <rPr>
        <b/>
        <sz val="10"/>
        <color theme="1"/>
        <rFont val="Arial"/>
        <family val="2"/>
      </rPr>
      <t xml:space="preserve">KODE LABORATORIUM </t>
    </r>
    <r>
      <rPr>
        <sz val="10"/>
        <color theme="1"/>
        <rFont val="Arial"/>
        <family val="2"/>
      </rPr>
      <t xml:space="preserve">/ </t>
    </r>
    <r>
      <rPr>
        <i/>
        <sz val="10"/>
        <color theme="1"/>
        <rFont val="Arial"/>
        <family val="2"/>
      </rPr>
      <t>Laboratory Id.</t>
    </r>
  </si>
  <si>
    <r>
      <rPr>
        <b/>
        <sz val="10"/>
        <color theme="1"/>
        <rFont val="Arial"/>
        <family val="2"/>
      </rPr>
      <t>KEDALAMAN</t>
    </r>
    <r>
      <rPr>
        <sz val="10"/>
        <color theme="1"/>
        <rFont val="Arial"/>
        <family val="2"/>
      </rPr>
      <t xml:space="preserve"> / </t>
    </r>
    <r>
      <rPr>
        <i/>
        <sz val="10"/>
        <color theme="1"/>
        <rFont val="Arial"/>
        <family val="2"/>
      </rPr>
      <t xml:space="preserve">Depth </t>
    </r>
    <r>
      <rPr>
        <sz val="10"/>
        <color theme="1"/>
        <rFont val="Arial"/>
        <family val="2"/>
      </rPr>
      <t xml:space="preserve">(m)              </t>
    </r>
  </si>
  <si>
    <r>
      <rPr>
        <b/>
        <sz val="10"/>
        <color theme="1"/>
        <rFont val="Arial"/>
        <family val="2"/>
      </rPr>
      <t>JENIS CONTOH</t>
    </r>
    <r>
      <rPr>
        <sz val="10"/>
        <color theme="1"/>
        <rFont val="Arial"/>
        <family val="2"/>
      </rPr>
      <t xml:space="preserve"> / </t>
    </r>
    <r>
      <rPr>
        <i/>
        <sz val="10"/>
        <color theme="1"/>
        <rFont val="Arial"/>
        <family val="2"/>
      </rPr>
      <t>Sample Type</t>
    </r>
    <r>
      <rPr>
        <sz val="10"/>
        <color theme="1"/>
        <rFont val="Arial"/>
        <family val="2"/>
      </rPr>
      <t xml:space="preserve">        </t>
    </r>
  </si>
  <si>
    <r>
      <rPr>
        <b/>
        <sz val="10"/>
        <color theme="1"/>
        <rFont val="Arial"/>
        <family val="2"/>
      </rPr>
      <t>DESKRIPSI TANAH</t>
    </r>
    <r>
      <rPr>
        <sz val="10"/>
        <color theme="1"/>
        <rFont val="Arial"/>
        <family val="2"/>
      </rPr>
      <t xml:space="preserve"> / Soil Description  </t>
    </r>
  </si>
  <si>
    <r>
      <rPr>
        <b/>
        <sz val="10"/>
        <color theme="1"/>
        <rFont val="Arial"/>
        <family val="2"/>
      </rPr>
      <t>WARNA TANAH</t>
    </r>
    <r>
      <rPr>
        <sz val="10"/>
        <color theme="1"/>
        <rFont val="Arial"/>
        <family val="2"/>
      </rPr>
      <t xml:space="preserve"> / Soil Color           </t>
    </r>
  </si>
  <si>
    <t>AV</t>
  </si>
  <si>
    <t>DIRECT SHEAR TEST- CONSOLIDATED DRAINED (CD)</t>
  </si>
  <si>
    <t>UJI KUAT GESER LANGSUNG -TERKONSOLIDASI TERDRAINASE (CD)</t>
  </si>
  <si>
    <r>
      <rPr>
        <b/>
        <sz val="9"/>
        <color theme="1"/>
        <rFont val="Arial"/>
        <family val="2"/>
      </rPr>
      <t xml:space="preserve">KODE LABORATORIUM </t>
    </r>
    <r>
      <rPr>
        <sz val="9"/>
        <color theme="1"/>
        <rFont val="Arial"/>
        <family val="2"/>
      </rPr>
      <t xml:space="preserve">/ </t>
    </r>
    <r>
      <rPr>
        <i/>
        <sz val="9"/>
        <color theme="1"/>
        <rFont val="Arial"/>
        <family val="2"/>
      </rPr>
      <t>Laboratory Id.</t>
    </r>
  </si>
  <si>
    <r>
      <rPr>
        <b/>
        <sz val="9"/>
        <color theme="1"/>
        <rFont val="Arial"/>
        <family val="2"/>
      </rPr>
      <t>NO. CONTOH</t>
    </r>
    <r>
      <rPr>
        <sz val="9"/>
        <color theme="1"/>
        <rFont val="Arial"/>
        <family val="2"/>
      </rPr>
      <t xml:space="preserve"> / </t>
    </r>
    <r>
      <rPr>
        <i/>
        <sz val="9"/>
        <color theme="1"/>
        <rFont val="Arial"/>
        <family val="2"/>
      </rPr>
      <t>Sample Id</t>
    </r>
    <r>
      <rPr>
        <sz val="9"/>
        <color theme="1"/>
        <rFont val="Arial"/>
        <family val="2"/>
      </rPr>
      <t xml:space="preserve">.               </t>
    </r>
  </si>
  <si>
    <r>
      <rPr>
        <b/>
        <sz val="9"/>
        <color theme="1"/>
        <rFont val="Arial"/>
        <family val="2"/>
      </rPr>
      <t>KEDALAMAN</t>
    </r>
    <r>
      <rPr>
        <sz val="9"/>
        <color theme="1"/>
        <rFont val="Arial"/>
        <family val="2"/>
      </rPr>
      <t xml:space="preserve"> / </t>
    </r>
    <r>
      <rPr>
        <i/>
        <sz val="9"/>
        <color theme="1"/>
        <rFont val="Arial"/>
        <family val="2"/>
      </rPr>
      <t xml:space="preserve">Depth </t>
    </r>
    <r>
      <rPr>
        <sz val="9"/>
        <color theme="1"/>
        <rFont val="Arial"/>
        <family val="2"/>
      </rPr>
      <t xml:space="preserve">(m)              </t>
    </r>
  </si>
  <si>
    <r>
      <rPr>
        <b/>
        <sz val="9"/>
        <color theme="1"/>
        <rFont val="Arial"/>
        <family val="2"/>
      </rPr>
      <t>JENIS CONTOH</t>
    </r>
    <r>
      <rPr>
        <sz val="9"/>
        <color theme="1"/>
        <rFont val="Arial"/>
        <family val="2"/>
      </rPr>
      <t xml:space="preserve"> / </t>
    </r>
    <r>
      <rPr>
        <i/>
        <sz val="9"/>
        <color theme="1"/>
        <rFont val="Arial"/>
        <family val="2"/>
      </rPr>
      <t>Sample Type</t>
    </r>
    <r>
      <rPr>
        <sz val="9"/>
        <color theme="1"/>
        <rFont val="Arial"/>
        <family val="2"/>
      </rPr>
      <t xml:space="preserve">        </t>
    </r>
  </si>
  <si>
    <r>
      <rPr>
        <b/>
        <sz val="9"/>
        <color theme="1"/>
        <rFont val="Arial"/>
        <family val="2"/>
      </rPr>
      <t>DESKRIPSI TANAH</t>
    </r>
    <r>
      <rPr>
        <sz val="9"/>
        <color theme="1"/>
        <rFont val="Arial"/>
        <family val="2"/>
      </rPr>
      <t xml:space="preserve"> / Soil Description  </t>
    </r>
  </si>
  <si>
    <r>
      <rPr>
        <b/>
        <sz val="9"/>
        <color theme="1"/>
        <rFont val="Arial"/>
        <family val="2"/>
      </rPr>
      <t>WARNA TANAH</t>
    </r>
    <r>
      <rPr>
        <sz val="9"/>
        <color theme="1"/>
        <rFont val="Arial"/>
        <family val="2"/>
      </rPr>
      <t xml:space="preserve"> / Soil Color           </t>
    </r>
  </si>
  <si>
    <t>AX</t>
  </si>
  <si>
    <t>m2</t>
  </si>
  <si>
    <t>Shear Strength,  kN/m2</t>
  </si>
  <si>
    <t>spesimen area</t>
  </si>
  <si>
    <t>Kpa</t>
  </si>
  <si>
    <t>Kadar Air ( % )</t>
  </si>
  <si>
    <r>
      <t>Berat isi Basah ( g/cm</t>
    </r>
    <r>
      <rPr>
        <vertAlign val="superscript"/>
        <sz val="9"/>
        <color theme="1"/>
        <rFont val="Arial"/>
        <family val="2"/>
      </rPr>
      <t>3</t>
    </r>
    <r>
      <rPr>
        <sz val="9"/>
        <color theme="1"/>
        <rFont val="Arial"/>
        <family val="2"/>
      </rPr>
      <t xml:space="preserve"> )</t>
    </r>
  </si>
  <si>
    <t>AY</t>
  </si>
  <si>
    <t>TRIAXIAL CU-M</t>
  </si>
  <si>
    <t>TRIAXIAL CU-N</t>
  </si>
  <si>
    <t>Diamater Benda Uji (cm)</t>
  </si>
  <si>
    <t xml:space="preserve">Normal </t>
  </si>
  <si>
    <t>Strain at Failure</t>
  </si>
  <si>
    <r>
      <rPr>
        <sz val="12"/>
        <color theme="1"/>
        <rFont val="Symbol"/>
        <family val="1"/>
        <charset val="2"/>
      </rPr>
      <t>s</t>
    </r>
    <r>
      <rPr>
        <sz val="12"/>
        <color theme="1"/>
        <rFont val="Calibri"/>
        <family val="2"/>
        <scheme val="minor"/>
      </rPr>
      <t>1</t>
    </r>
  </si>
  <si>
    <r>
      <t>Berat Isi Kering ( g/cm</t>
    </r>
    <r>
      <rPr>
        <vertAlign val="superscript"/>
        <sz val="9"/>
        <color theme="1"/>
        <rFont val="Arial"/>
        <family val="2"/>
      </rPr>
      <t>3</t>
    </r>
    <r>
      <rPr>
        <sz val="9"/>
        <color theme="1"/>
        <rFont val="Arial"/>
        <family val="2"/>
      </rPr>
      <t xml:space="preserve"> )</t>
    </r>
  </si>
  <si>
    <t>BB</t>
  </si>
  <si>
    <r>
      <rPr>
        <sz val="11"/>
        <color theme="1"/>
        <rFont val="Symbol"/>
        <family val="1"/>
        <charset val="2"/>
      </rPr>
      <t>s</t>
    </r>
    <r>
      <rPr>
        <sz val="11"/>
        <color theme="1"/>
        <rFont val="Arial"/>
        <family val="2"/>
      </rPr>
      <t>3</t>
    </r>
  </si>
  <si>
    <t>Keterangan</t>
  </si>
  <si>
    <t>Mode Pengujian</t>
  </si>
  <si>
    <t>Multi Stage</t>
  </si>
  <si>
    <t>Recompression antar stage</t>
  </si>
  <si>
    <t>Strain cumulative</t>
  </si>
  <si>
    <t>Side drain</t>
  </si>
  <si>
    <t>Saturation method</t>
  </si>
  <si>
    <t>Back pressure saturation</t>
  </si>
  <si>
    <t>UJI TRIAKSIAL - TERKONSOLIDASI TIDAK TERDRAINASE (CU)</t>
  </si>
  <si>
    <t>TRIAXIAL TEST- CONSOLIDATED UNDRAINED ((CU)</t>
  </si>
  <si>
    <r>
      <t>Effective Major Principal Stress, σ'</t>
    </r>
    <r>
      <rPr>
        <vertAlign val="subscript"/>
        <sz val="9"/>
        <color theme="1"/>
        <rFont val="Arial"/>
        <family val="2"/>
      </rPr>
      <t xml:space="preserve">1f </t>
    </r>
    <r>
      <rPr>
        <sz val="9"/>
        <color theme="1"/>
        <rFont val="Arial"/>
        <family val="2"/>
      </rPr>
      <t>(kPa)</t>
    </r>
  </si>
  <si>
    <r>
      <t>Major Principal Stress at Failure, σ</t>
    </r>
    <r>
      <rPr>
        <vertAlign val="subscript"/>
        <sz val="9"/>
        <color theme="1"/>
        <rFont val="Arial"/>
        <family val="2"/>
      </rPr>
      <t>1f</t>
    </r>
    <r>
      <rPr>
        <sz val="9"/>
        <color theme="1"/>
        <rFont val="Arial"/>
        <family val="2"/>
      </rPr>
      <t xml:space="preserve"> (kPa)</t>
    </r>
  </si>
  <si>
    <r>
      <t>Effective Minor Principal Stress, σ'</t>
    </r>
    <r>
      <rPr>
        <vertAlign val="subscript"/>
        <sz val="9"/>
        <color theme="1"/>
        <rFont val="Arial"/>
        <family val="2"/>
      </rPr>
      <t xml:space="preserve">3f </t>
    </r>
    <r>
      <rPr>
        <sz val="9"/>
        <color theme="1"/>
        <rFont val="Arial"/>
        <family val="2"/>
      </rPr>
      <t>(kPa)</t>
    </r>
  </si>
  <si>
    <t>B-Value Check</t>
  </si>
  <si>
    <t>HASIL PENGUJIAN</t>
  </si>
  <si>
    <t>Consolidated Area, Ac (mm2)</t>
  </si>
  <si>
    <t>Consolidated Length, Lc (mm)</t>
  </si>
  <si>
    <r>
      <t>Consolidated Volume, Vc (mm</t>
    </r>
    <r>
      <rPr>
        <vertAlign val="superscript"/>
        <sz val="9"/>
        <color theme="1"/>
        <rFont val="Arial"/>
        <family val="2"/>
      </rPr>
      <t>3</t>
    </r>
    <r>
      <rPr>
        <sz val="9"/>
        <color theme="1"/>
        <rFont val="Arial"/>
        <family val="2"/>
      </rPr>
      <t>)</t>
    </r>
  </si>
  <si>
    <r>
      <t>Axial Strain at Failure, ε</t>
    </r>
    <r>
      <rPr>
        <vertAlign val="subscript"/>
        <sz val="9"/>
        <color theme="1"/>
        <rFont val="Arial"/>
        <family val="2"/>
      </rPr>
      <t>f</t>
    </r>
    <r>
      <rPr>
        <sz val="9"/>
        <color theme="1"/>
        <rFont val="Arial"/>
        <family val="2"/>
      </rPr>
      <t xml:space="preserve"> (%)</t>
    </r>
  </si>
  <si>
    <t>With Side drain</t>
  </si>
  <si>
    <t>Back Pressure (kPa)</t>
  </si>
  <si>
    <r>
      <t xml:space="preserve">Pore Water Pressure after Build-up, </t>
    </r>
    <r>
      <rPr>
        <sz val="9"/>
        <color theme="1"/>
        <rFont val="Symbol"/>
        <family val="1"/>
        <charset val="2"/>
      </rPr>
      <t>u</t>
    </r>
    <r>
      <rPr>
        <vertAlign val="subscript"/>
        <sz val="9"/>
        <color theme="1"/>
        <rFont val="Arial"/>
        <family val="2"/>
      </rPr>
      <t>b</t>
    </r>
    <r>
      <rPr>
        <sz val="9"/>
        <color theme="1"/>
        <rFont val="Arial"/>
        <family val="2"/>
      </rPr>
      <t xml:space="preserve"> (kPa)</t>
    </r>
  </si>
  <si>
    <r>
      <t>Effective Consolidation Pressure, σ</t>
    </r>
    <r>
      <rPr>
        <vertAlign val="subscript"/>
        <sz val="9"/>
        <color theme="1"/>
        <rFont val="Arial"/>
        <family val="2"/>
      </rPr>
      <t>3</t>
    </r>
    <r>
      <rPr>
        <sz val="9"/>
        <color theme="1"/>
        <rFont val="Arial"/>
        <family val="2"/>
      </rPr>
      <t>′  (kPa)</t>
    </r>
  </si>
  <si>
    <t>Legenda grafik</t>
  </si>
  <si>
    <r>
      <t>s</t>
    </r>
    <r>
      <rPr>
        <sz val="10"/>
        <rFont val="Arial"/>
        <family val="2"/>
      </rPr>
      <t xml:space="preserve">1 - </t>
    </r>
    <r>
      <rPr>
        <sz val="14"/>
        <rFont val="Symbol"/>
        <family val="1"/>
        <charset val="2"/>
      </rPr>
      <t>s</t>
    </r>
    <r>
      <rPr>
        <sz val="10"/>
        <rFont val="Arial"/>
        <family val="2"/>
      </rPr>
      <t>3</t>
    </r>
  </si>
  <si>
    <t>LEGENDA GRAFIK</t>
  </si>
  <si>
    <t>Total Stress Envelope</t>
  </si>
  <si>
    <t xml:space="preserve"> °</t>
  </si>
  <si>
    <t>3 dari 3</t>
  </si>
  <si>
    <t>2 dari 3</t>
  </si>
  <si>
    <t>Yes</t>
  </si>
  <si>
    <t>Without Side drain</t>
  </si>
  <si>
    <r>
      <t>Stress Ratio at Failure  (σ'</t>
    </r>
    <r>
      <rPr>
        <vertAlign val="subscript"/>
        <sz val="9"/>
        <color theme="1"/>
        <rFont val="Arial"/>
        <family val="2"/>
      </rPr>
      <t xml:space="preserve">1 </t>
    </r>
    <r>
      <rPr>
        <sz val="9"/>
        <color theme="1"/>
        <rFont val="Arial"/>
        <family val="2"/>
      </rPr>
      <t>/ σ'</t>
    </r>
    <r>
      <rPr>
        <vertAlign val="subscript"/>
        <sz val="9"/>
        <color theme="1"/>
        <rFont val="Arial"/>
        <family val="2"/>
      </rPr>
      <t>3</t>
    </r>
    <r>
      <rPr>
        <sz val="9"/>
        <color theme="1"/>
        <rFont val="Arial"/>
        <family val="2"/>
      </rPr>
      <t>)</t>
    </r>
    <r>
      <rPr>
        <vertAlign val="subscript"/>
        <sz val="9"/>
        <color theme="1"/>
        <rFont val="Arial"/>
        <family val="2"/>
      </rPr>
      <t>f</t>
    </r>
  </si>
  <si>
    <t>Effective Stress Envelope</t>
  </si>
  <si>
    <r>
      <t>Deviator Stress at Failure, (σ</t>
    </r>
    <r>
      <rPr>
        <vertAlign val="subscript"/>
        <sz val="9"/>
        <color theme="1"/>
        <rFont val="Arial"/>
        <family val="2"/>
      </rPr>
      <t>1</t>
    </r>
    <r>
      <rPr>
        <sz val="9"/>
        <color theme="1"/>
        <rFont val="Arial"/>
        <family val="2"/>
      </rPr>
      <t>-σ</t>
    </r>
    <r>
      <rPr>
        <vertAlign val="subscript"/>
        <sz val="9"/>
        <color theme="1"/>
        <rFont val="Arial"/>
        <family val="2"/>
      </rPr>
      <t>3</t>
    </r>
    <r>
      <rPr>
        <sz val="9"/>
        <color theme="1"/>
        <rFont val="Arial"/>
        <family val="2"/>
      </rPr>
      <t>)f (kPa)</t>
    </r>
  </si>
  <si>
    <t>X'</t>
  </si>
  <si>
    <t xml:space="preserve">Effektif Normal Stress, σ' (kPa) </t>
  </si>
  <si>
    <t xml:space="preserve">Normal Stress, σ (kPa) </t>
  </si>
  <si>
    <t>Shear Stress, τ (kPa)</t>
  </si>
  <si>
    <t>BC</t>
  </si>
  <si>
    <t>Recompression between stages</t>
  </si>
  <si>
    <t>Normal Stage</t>
  </si>
  <si>
    <r>
      <t>Cell Pressure, σ</t>
    </r>
    <r>
      <rPr>
        <vertAlign val="subscript"/>
        <sz val="9"/>
        <color theme="1"/>
        <rFont val="Arial"/>
        <family val="2"/>
      </rPr>
      <t xml:space="preserve">3 </t>
    </r>
    <r>
      <rPr>
        <sz val="9"/>
        <color theme="1"/>
        <rFont val="Arial"/>
        <family val="2"/>
      </rPr>
      <t>(kPa)</t>
    </r>
  </si>
  <si>
    <t>Proving Ring Calibration (N/div)</t>
  </si>
  <si>
    <r>
      <t>Area (cm</t>
    </r>
    <r>
      <rPr>
        <vertAlign val="superscript"/>
        <sz val="9"/>
        <color theme="1"/>
        <rFont val="Arial"/>
        <family val="2"/>
      </rPr>
      <t>2</t>
    </r>
    <r>
      <rPr>
        <sz val="9"/>
        <color theme="1"/>
        <rFont val="Arial"/>
        <family val="2"/>
      </rPr>
      <t>)</t>
    </r>
  </si>
  <si>
    <r>
      <t xml:space="preserve">Pore Water Pressure at Failure, </t>
    </r>
    <r>
      <rPr>
        <sz val="9"/>
        <color theme="1"/>
        <rFont val="Symbol"/>
        <family val="1"/>
        <charset val="2"/>
      </rPr>
      <t>u</t>
    </r>
    <r>
      <rPr>
        <vertAlign val="subscript"/>
        <sz val="9"/>
        <color theme="1"/>
        <rFont val="Arial"/>
        <family val="2"/>
      </rPr>
      <t>f</t>
    </r>
    <r>
      <rPr>
        <sz val="9"/>
        <color theme="1"/>
        <rFont val="Arial"/>
        <family val="2"/>
      </rPr>
      <t xml:space="preserve"> (kPa)</t>
    </r>
  </si>
  <si>
    <t>TESTED  BY</t>
  </si>
  <si>
    <t>TABEL BANTU</t>
  </si>
  <si>
    <t>Y'</t>
  </si>
  <si>
    <t>dev</t>
  </si>
  <si>
    <t>u</t>
  </si>
  <si>
    <t>Specimen Vol</t>
  </si>
  <si>
    <t>B Value</t>
  </si>
  <si>
    <r>
      <t>Pore Water Pressure, u (kPa</t>
    </r>
    <r>
      <rPr>
        <sz val="10"/>
        <color rgb="FF595959"/>
        <rFont val="Calibri"/>
        <family val="2"/>
        <scheme val="minor"/>
      </rPr>
      <t>)</t>
    </r>
  </si>
  <si>
    <r>
      <t>Axial Strain, ε</t>
    </r>
    <r>
      <rPr>
        <vertAlign val="subscript"/>
        <sz val="8"/>
        <color rgb="FF595959"/>
        <rFont val="Arial"/>
        <family val="2"/>
      </rPr>
      <t>a</t>
    </r>
    <r>
      <rPr>
        <sz val="8"/>
        <color rgb="FF595959"/>
        <rFont val="Arial"/>
        <family val="2"/>
      </rPr>
      <t xml:space="preserve"> (%)</t>
    </r>
  </si>
  <si>
    <r>
      <t>Deviator Stress, (σ</t>
    </r>
    <r>
      <rPr>
        <vertAlign val="subscript"/>
        <sz val="8"/>
        <color rgb="FF595959"/>
        <rFont val="Arial"/>
        <family val="2"/>
      </rPr>
      <t>1​</t>
    </r>
    <r>
      <rPr>
        <sz val="8"/>
        <color rgb="FF595959"/>
        <rFont val="Arial"/>
        <family val="2"/>
      </rPr>
      <t>−σ</t>
    </r>
    <r>
      <rPr>
        <vertAlign val="subscript"/>
        <sz val="8"/>
        <color rgb="FF595959"/>
        <rFont val="Arial"/>
        <family val="2"/>
      </rPr>
      <t>3</t>
    </r>
    <r>
      <rPr>
        <sz val="8"/>
        <color rgb="FF595959"/>
        <rFont val="Arial"/>
        <family val="2"/>
      </rPr>
      <t>​) (kPa)</t>
    </r>
  </si>
  <si>
    <r>
      <t>Axial Strain, ε</t>
    </r>
    <r>
      <rPr>
        <vertAlign val="subscript"/>
        <sz val="8"/>
        <color rgb="FF595959"/>
        <rFont val="Arial"/>
        <family val="2"/>
      </rPr>
      <t>a​</t>
    </r>
    <r>
      <rPr>
        <sz val="8"/>
        <color rgb="FF595959"/>
        <rFont val="Arial"/>
        <family val="2"/>
      </rPr>
      <t xml:space="preserve"> (%)</t>
    </r>
  </si>
  <si>
    <t>UJI KONSOLIDASI</t>
  </si>
  <si>
    <t>CONSOLIDATION TEST</t>
  </si>
  <si>
    <t>Data Benda Uji</t>
  </si>
  <si>
    <t>Tinggi Spesimen, cm</t>
  </si>
  <si>
    <t>Diameter Spesimen, cm</t>
  </si>
  <si>
    <t>Luas  Spesimen cm2</t>
  </si>
  <si>
    <t>Volume Spesimen (cm3)</t>
  </si>
  <si>
    <t>Kadar Air Semula (%)</t>
  </si>
  <si>
    <t>Angka pori semula, e0</t>
  </si>
  <si>
    <t>Solid Height, Hs (cm-1)</t>
  </si>
  <si>
    <t>Pembebanan, kPa</t>
  </si>
  <si>
    <t>Durasi tiap increment</t>
  </si>
  <si>
    <t>Hasil Pengujian</t>
  </si>
  <si>
    <t>Stress (kPa)</t>
  </si>
  <si>
    <t>Parameter Konsolidasi</t>
  </si>
  <si>
    <t>CC</t>
  </si>
  <si>
    <t>Cv (cm2/s)</t>
  </si>
  <si>
    <t>K (cm/s)</t>
  </si>
  <si>
    <t>Pc (kPa)</t>
  </si>
  <si>
    <t>t90 (menit)</t>
  </si>
  <si>
    <t>Drainage path, Hdr (cm)</t>
  </si>
  <si>
    <t>e'</t>
  </si>
  <si>
    <t>Void Ratio (ε)</t>
  </si>
  <si>
    <t>Pressure (kPa)</t>
  </si>
  <si>
    <t>Pressure</t>
  </si>
  <si>
    <r>
      <t>H</t>
    </r>
    <r>
      <rPr>
        <vertAlign val="subscript"/>
        <sz val="12"/>
        <color theme="1"/>
        <rFont val="Calibri (Body)"/>
      </rPr>
      <t>Drainage</t>
    </r>
  </si>
  <si>
    <t xml:space="preserve">H </t>
  </si>
  <si>
    <t xml:space="preserve">∆H </t>
  </si>
  <si>
    <r>
      <t>t</t>
    </r>
    <r>
      <rPr>
        <vertAlign val="subscript"/>
        <sz val="9"/>
        <color theme="1"/>
        <rFont val="Arial"/>
        <family val="2"/>
      </rPr>
      <t>90</t>
    </r>
  </si>
  <si>
    <t>Mv</t>
  </si>
  <si>
    <t>Cv</t>
  </si>
  <si>
    <t>k</t>
  </si>
  <si>
    <t>cm/s</t>
  </si>
  <si>
    <t>Mv (m2/kN)</t>
  </si>
  <si>
    <t>Tekanan Vertikal, kPa</t>
  </si>
  <si>
    <t>2812:2011</t>
  </si>
  <si>
    <t>This test report applies only to the tested sample.</t>
  </si>
  <si>
    <t>Jl. Leuwisari VII No.23, Kota Bandung</t>
  </si>
  <si>
    <t xml:space="preserve">This report shall not be reproduced except in full without written approval </t>
  </si>
  <si>
    <t>conducted by others.</t>
  </si>
  <si>
    <t>-  Laporan hasil Uji ini hanya berlaku untuk contoh yang diuji</t>
  </si>
  <si>
    <t>-  Laboratorium tidak bertanggung jawab atas kegiatan pengambilan</t>
  </si>
  <si>
    <t xml:space="preserve">   dan transportasi contoh yang dilakukan oleh pihak lain.</t>
  </si>
  <si>
    <t xml:space="preserve">The laboratory is not responsible for sampling,handling and sample transportation </t>
  </si>
  <si>
    <t>KETERANGAN / NOTES</t>
  </si>
  <si>
    <t>Benda Uji</t>
  </si>
  <si>
    <t>-  Dilarang memperbanyak laporan tanpa ijin tertulis dari Laboratorium</t>
  </si>
  <si>
    <t xml:space="preserve"> conducted by others.</t>
  </si>
  <si>
    <t>The laboratory is not responsible for sampling,handling and sample transportation</t>
  </si>
  <si>
    <t xml:space="preserve">-  Dilarang memperbanyak laporan tanpa ijin tertulis dari Laboratorium </t>
  </si>
  <si>
    <t>Beban Normal (Kg)</t>
  </si>
  <si>
    <t>Tegangan Normal (kPa)</t>
  </si>
  <si>
    <t>Kadar Air (%)</t>
  </si>
  <si>
    <t>4813:2015</t>
  </si>
  <si>
    <t>3420:2016</t>
  </si>
  <si>
    <t>Tegangan Geser Saat Runtuh (kPa)</t>
  </si>
  <si>
    <t>2813:2008</t>
  </si>
  <si>
    <t xml:space="preserve">This report shall not be reproduced except in full without written approval from </t>
  </si>
  <si>
    <t>Diamater (cm)</t>
  </si>
  <si>
    <t>Tinggi (cm)</t>
  </si>
  <si>
    <t>Berat Isi Basah</t>
  </si>
  <si>
    <t>Ndiv</t>
  </si>
  <si>
    <t>Luas (cm2)</t>
  </si>
  <si>
    <t>Volume (cm3)</t>
  </si>
  <si>
    <t>Diameter (cm)</t>
  </si>
  <si>
    <t>c' (kPa)</t>
  </si>
  <si>
    <t>x 0.1</t>
  </si>
  <si>
    <t>Tegangan Geser Puncak (Peak Stress), kPa</t>
  </si>
  <si>
    <t>Tegangan Geser Residual (Residual Stress), kPa</t>
  </si>
  <si>
    <t>Failure Envelope</t>
  </si>
  <si>
    <r>
      <t>c</t>
    </r>
    <r>
      <rPr>
        <vertAlign val="subscript"/>
        <sz val="9"/>
        <color theme="1"/>
        <rFont val="Arial"/>
        <family val="2"/>
      </rPr>
      <t>u</t>
    </r>
    <r>
      <rPr>
        <sz val="9"/>
        <color theme="1"/>
        <rFont val="Arial"/>
        <family val="2"/>
      </rPr>
      <t xml:space="preserve"> (kPa)</t>
    </r>
  </si>
  <si>
    <r>
      <t>φ</t>
    </r>
    <r>
      <rPr>
        <vertAlign val="subscript"/>
        <sz val="9"/>
        <color theme="1"/>
        <rFont val="Arial"/>
        <family val="2"/>
      </rPr>
      <t>u</t>
    </r>
    <r>
      <rPr>
        <sz val="9"/>
        <color theme="1"/>
        <rFont val="Arial"/>
        <family val="2"/>
      </rPr>
      <t xml:space="preserve"> ( </t>
    </r>
    <r>
      <rPr>
        <vertAlign val="superscript"/>
        <sz val="9"/>
        <color theme="1"/>
        <rFont val="Arial"/>
        <family val="2"/>
      </rPr>
      <t xml:space="preserve">o </t>
    </r>
    <r>
      <rPr>
        <sz val="9"/>
        <color theme="1"/>
        <rFont val="Arial"/>
        <family val="2"/>
      </rPr>
      <t>)</t>
    </r>
  </si>
  <si>
    <t>Berat Mold (g)</t>
  </si>
  <si>
    <t>Berat Penumbuk (kg)</t>
  </si>
  <si>
    <t>Tinggi Jatuh (cm)</t>
  </si>
  <si>
    <t>Jumlah Lapisan</t>
  </si>
  <si>
    <t>Jumlah Tumbukan/Lapisan</t>
  </si>
  <si>
    <t>Kode Mold</t>
  </si>
  <si>
    <t>UJI PEMADATAN RINGAN</t>
  </si>
  <si>
    <t>Compaction Standar</t>
  </si>
  <si>
    <t>KODE MOLD</t>
  </si>
  <si>
    <t>DIAMETER (mm)</t>
  </si>
  <si>
    <t>TINGGI (mm)</t>
  </si>
  <si>
    <t>BERAT (g)</t>
  </si>
  <si>
    <t>Berat Mold</t>
  </si>
  <si>
    <t>Vol. Mold</t>
  </si>
  <si>
    <t>Diamater Mold</t>
  </si>
  <si>
    <t>Tinggi Mold</t>
  </si>
  <si>
    <t>Berat Reamer Compaction</t>
  </si>
  <si>
    <t>Kode Reamer</t>
  </si>
  <si>
    <t>Tumbukan</t>
  </si>
  <si>
    <t>lapisan</t>
  </si>
  <si>
    <t>Energi Tumbukan</t>
  </si>
  <si>
    <t>kg-cm/cm3</t>
  </si>
  <si>
    <t>kN-m/m3</t>
  </si>
  <si>
    <t xml:space="preserve">Percobaan </t>
  </si>
  <si>
    <t>Berat Mold + Tanah Basah (g)</t>
  </si>
  <si>
    <t>Volume Mold (cm3)</t>
  </si>
  <si>
    <t>Berat Tanah Basah (g)</t>
  </si>
  <si>
    <t>Berat Isi Basah,y (g/cm3)</t>
  </si>
  <si>
    <t>Berat Isi Kering, yd (g/cm3)</t>
  </si>
  <si>
    <t>MDD</t>
  </si>
  <si>
    <t>OMC</t>
  </si>
  <si>
    <t>Garis MDD</t>
  </si>
  <si>
    <t>Spesific Gravity, GS</t>
  </si>
  <si>
    <t>Legenda Grafik</t>
  </si>
  <si>
    <t>kJ/m3</t>
  </si>
  <si>
    <t>Energi Tumbukan, kJ/m3</t>
  </si>
  <si>
    <t>Spesific gravity</t>
  </si>
  <si>
    <r>
      <t>g/cm</t>
    </r>
    <r>
      <rPr>
        <vertAlign val="superscript"/>
        <sz val="12"/>
        <color theme="1"/>
        <rFont val="Calibri (Body)"/>
      </rPr>
      <t>3</t>
    </r>
  </si>
  <si>
    <r>
      <t xml:space="preserve">Kadar Air Optimum / </t>
    </r>
    <r>
      <rPr>
        <i/>
        <sz val="9"/>
        <color theme="1"/>
        <rFont val="Arial"/>
        <family val="2"/>
      </rPr>
      <t>Optimum Moisture Content</t>
    </r>
    <r>
      <rPr>
        <sz val="9"/>
        <color theme="1"/>
        <rFont val="Arial"/>
        <family val="2"/>
      </rPr>
      <t>, OMC (%)</t>
    </r>
  </si>
  <si>
    <t>AR</t>
  </si>
  <si>
    <t>UJI PEMADATAN BERAT</t>
  </si>
  <si>
    <t>Diameter (mm)</t>
  </si>
  <si>
    <t>Tinggi (mm)</t>
  </si>
  <si>
    <t>Berat (g)</t>
  </si>
  <si>
    <r>
      <t xml:space="preserve"> cm</t>
    </r>
    <r>
      <rPr>
        <vertAlign val="superscript"/>
        <sz val="10"/>
        <color theme="1"/>
        <rFont val="Arial"/>
        <family val="2"/>
      </rPr>
      <t>3</t>
    </r>
    <r>
      <rPr>
        <sz val="10"/>
        <color theme="1"/>
        <rFont val="Arial"/>
        <family val="2"/>
      </rPr>
      <t xml:space="preserve"> </t>
    </r>
  </si>
  <si>
    <r>
      <t>Mg/m</t>
    </r>
    <r>
      <rPr>
        <vertAlign val="superscript"/>
        <sz val="10"/>
        <color theme="1"/>
        <rFont val="Arial"/>
        <family val="2"/>
      </rPr>
      <t>3</t>
    </r>
  </si>
  <si>
    <t>KONDISI PEMADATAN</t>
  </si>
  <si>
    <t>Metode Pemadatan</t>
  </si>
  <si>
    <t>Modified Proctor</t>
  </si>
  <si>
    <t>Luas mm²</t>
  </si>
  <si>
    <t>Volume cm³</t>
  </si>
  <si>
    <t>Reamer CBR</t>
  </si>
  <si>
    <t>Berat (kg)</t>
  </si>
  <si>
    <t>Saringan</t>
  </si>
  <si>
    <t>Bukaan (mm)</t>
  </si>
  <si>
    <t>#200</t>
  </si>
  <si>
    <t>#100</t>
  </si>
  <si>
    <t>#80</t>
  </si>
  <si>
    <t>#40</t>
  </si>
  <si>
    <t>#20</t>
  </si>
  <si>
    <t>#10</t>
  </si>
  <si>
    <t>#8</t>
  </si>
  <si>
    <t>#4</t>
  </si>
  <si>
    <t>1½"</t>
  </si>
  <si>
    <t>Klasifikasi</t>
  </si>
  <si>
    <t>Ukuran (mm)</t>
  </si>
  <si>
    <t>Clay / Silt</t>
  </si>
  <si>
    <t>0,002</t>
  </si>
  <si>
    <t>Silt / Sand</t>
  </si>
  <si>
    <t>0,075</t>
  </si>
  <si>
    <t>Fine / Medium Sand</t>
  </si>
  <si>
    <t>0,425</t>
  </si>
  <si>
    <t>Medium / Coarse Sand</t>
  </si>
  <si>
    <t>Sand / Gravel</t>
  </si>
  <si>
    <t>Mold</t>
  </si>
  <si>
    <t>Berat Cawan (g)</t>
  </si>
  <si>
    <t>Kurva penetrasi CBR</t>
  </si>
  <si>
    <t>BE</t>
  </si>
  <si>
    <t>Dry Density (g/cm³)</t>
  </si>
  <si>
    <t>Moisture Content (%)</t>
  </si>
  <si>
    <t>CBR 2.5 mm (%)</t>
  </si>
  <si>
    <t>CBR 5.0 mm (%)</t>
  </si>
  <si>
    <t>Reported CBR (%)</t>
  </si>
  <si>
    <t>Compaction Method</t>
  </si>
  <si>
    <t>Compaction Energy</t>
  </si>
  <si>
    <t>Mold Diameter</t>
  </si>
  <si>
    <t>Mold Height</t>
  </si>
  <si>
    <t>Mold Volume</t>
  </si>
  <si>
    <t>Piston Diameter</t>
  </si>
  <si>
    <t>Piston Area</t>
  </si>
  <si>
    <t>Penetration Rate</t>
  </si>
  <si>
    <t>KONDISI PENGUJIAN CBR</t>
  </si>
  <si>
    <t>Cm2</t>
  </si>
  <si>
    <t>CBR (%)</t>
  </si>
  <si>
    <t>Target Density</t>
  </si>
  <si>
    <t>desain cbr</t>
  </si>
  <si>
    <t>Diameter Mold</t>
  </si>
  <si>
    <t>Target % Density</t>
  </si>
  <si>
    <t>23-MINEARTH-RM-LHU-CBR-U-R0</t>
  </si>
  <si>
    <t>D10</t>
  </si>
  <si>
    <t>D30</t>
  </si>
  <si>
    <t>D60</t>
  </si>
  <si>
    <t>Grafik</t>
  </si>
  <si>
    <t>Legenda Peta</t>
  </si>
  <si>
    <t>ANALISA SARINGAN</t>
  </si>
  <si>
    <t>HASIL  HIDROMETER</t>
  </si>
  <si>
    <t>PARAMETER HASIL</t>
  </si>
  <si>
    <t>Hasil</t>
  </si>
  <si>
    <t>Gravel (%)</t>
  </si>
  <si>
    <t>Sand (%)</t>
  </si>
  <si>
    <t>D10 (mm)</t>
  </si>
  <si>
    <t>D30 (mm)</t>
  </si>
  <si>
    <t>D60 (mm)</t>
  </si>
  <si>
    <t>Clay (%)</t>
  </si>
  <si>
    <t>Silt (%)</t>
  </si>
  <si>
    <t>Deskripsi Material*</t>
  </si>
  <si>
    <t>Specific Gravity, Gs ( - )</t>
  </si>
  <si>
    <t>AP</t>
  </si>
  <si>
    <t>UJI SARINGAN DAN HIDROMETER</t>
  </si>
  <si>
    <t>SIEVE AND HIDROMETER TEST</t>
  </si>
  <si>
    <t>3423:2008</t>
  </si>
  <si>
    <t>Cu ( - )</t>
  </si>
  <si>
    <t>Cc ( - )</t>
  </si>
  <si>
    <t>*</t>
  </si>
  <si>
    <t>NOUFAL</t>
  </si>
  <si>
    <t>RIZKI W.</t>
  </si>
  <si>
    <t>M.NOUFAL</t>
  </si>
  <si>
    <t>RAFLY</t>
  </si>
  <si>
    <t>RIZKI</t>
  </si>
  <si>
    <t>SPECIFIC GRAVITY TEST (SNI 1964 : 2008)</t>
  </si>
  <si>
    <t>Pycnometer No.</t>
  </si>
  <si>
    <t>Wt. Of dry Soil (A)</t>
  </si>
  <si>
    <t>Temperature (T)</t>
  </si>
  <si>
    <r>
      <t>0</t>
    </r>
    <r>
      <rPr>
        <sz val="11"/>
        <rFont val="Aptos"/>
        <family val="2"/>
      </rPr>
      <t>C</t>
    </r>
  </si>
  <si>
    <t>Wt. Pycnometer + Water + Soil (B)</t>
  </si>
  <si>
    <r>
      <t>Wt Pycnometer + Water at T</t>
    </r>
    <r>
      <rPr>
        <vertAlign val="superscript"/>
        <sz val="11"/>
        <rFont val="Aptos"/>
        <family val="2"/>
      </rPr>
      <t xml:space="preserve">  0</t>
    </r>
    <r>
      <rPr>
        <sz val="11"/>
        <rFont val="Aptos"/>
        <family val="2"/>
      </rPr>
      <t>C (C)</t>
    </r>
  </si>
  <si>
    <t>A+(C-B)</t>
  </si>
  <si>
    <t>Specific Gravity (Gs)</t>
  </si>
  <si>
    <t>SPECIFIC GRAVITY Average (Gs)</t>
  </si>
  <si>
    <t>MOISTURE CONTENT TEST (SNI 1965 : 2008)</t>
  </si>
  <si>
    <t xml:space="preserve">No. Container </t>
  </si>
  <si>
    <t>Wt. Container + Wet Soil</t>
  </si>
  <si>
    <t>Wt. Container + Dry Soil</t>
  </si>
  <si>
    <t>Wt. Container</t>
  </si>
  <si>
    <t>Wt. Water</t>
  </si>
  <si>
    <t>Wt. Dry Soil</t>
  </si>
  <si>
    <t>Moisture Content (w)</t>
  </si>
  <si>
    <t>MOISTURE CONTENT Average (w)</t>
  </si>
  <si>
    <t>DENSITY TEST (SNI 03-3637 : 1994)</t>
  </si>
  <si>
    <t xml:space="preserve">No. Ring </t>
  </si>
  <si>
    <t>Wt. Ring + Wet Soil</t>
  </si>
  <si>
    <t xml:space="preserve">Wt. Ring </t>
  </si>
  <si>
    <t>Vol. Wet Soil (= Vol.  Ring)</t>
  </si>
  <si>
    <r>
      <t>cm</t>
    </r>
    <r>
      <rPr>
        <vertAlign val="superscript"/>
        <sz val="11"/>
        <rFont val="Aptos"/>
        <family val="2"/>
      </rPr>
      <t>3</t>
    </r>
  </si>
  <si>
    <t>BULK DENSITY (gm)</t>
  </si>
  <si>
    <r>
      <t>Mg/m</t>
    </r>
    <r>
      <rPr>
        <vertAlign val="superscript"/>
        <sz val="11"/>
        <rFont val="Aptos"/>
        <family val="2"/>
      </rPr>
      <t>3</t>
    </r>
  </si>
  <si>
    <t>DRY DENSITY (gd)</t>
  </si>
  <si>
    <t>VOID RATIO (e)</t>
  </si>
  <si>
    <t>POROSITY (n)</t>
  </si>
  <si>
    <t>DEGREE OF SATURATION (Sr)</t>
  </si>
  <si>
    <t>temperature</t>
  </si>
  <si>
    <t>relative density</t>
  </si>
  <si>
    <t>correction</t>
  </si>
  <si>
    <t>of water</t>
  </si>
  <si>
    <t>factor of K</t>
  </si>
  <si>
    <t>calibration of picnometer + water at 25 C</t>
  </si>
  <si>
    <t>berat picnometer</t>
  </si>
  <si>
    <t>weight (gr)</t>
  </si>
  <si>
    <t>berat (gr)</t>
  </si>
  <si>
    <t>no</t>
  </si>
  <si>
    <t>vol (cm3)</t>
  </si>
  <si>
    <t>qu (kPa)</t>
  </si>
  <si>
    <t>UJI KUAT TEKAN BEBAS</t>
  </si>
  <si>
    <t>UNCONFINED COMPRESSION TEST</t>
  </si>
  <si>
    <t>qu</t>
  </si>
  <si>
    <t>Legenda</t>
  </si>
  <si>
    <t>Peak Remolded</t>
  </si>
  <si>
    <t>Nilai / Value</t>
  </si>
  <si>
    <r>
      <t xml:space="preserve">Diameter Awal / </t>
    </r>
    <r>
      <rPr>
        <sz val="8"/>
        <color theme="1"/>
        <rFont val="Calibri (Body)"/>
      </rPr>
      <t>Initial diameter</t>
    </r>
    <r>
      <rPr>
        <sz val="12"/>
        <color theme="1"/>
        <rFont val="Calibri"/>
        <family val="2"/>
        <scheme val="minor"/>
      </rPr>
      <t xml:space="preserve"> (mm)</t>
    </r>
  </si>
  <si>
    <t>Tinggi Awal / Initial Height (mm)</t>
  </si>
  <si>
    <t>Luas Penampang Awal / Initial area (mm²)</t>
  </si>
  <si>
    <t>Kadar Air / Moisture Content (%)</t>
  </si>
  <si>
    <t>Berat Isi Basah / Wet Density (g/cm³)</t>
  </si>
  <si>
    <t>Berat Isi Kering / Dry Density (g/cm³)</t>
  </si>
  <si>
    <t>Sensitivitas / Sensitivity, St</t>
  </si>
  <si>
    <t>Kuat Tekan Bebas / Unconfined Compressive Strength, qu (kPa)</t>
  </si>
  <si>
    <t>Kuat Geser Tak Terdrainase / Undrained Shear Strength, Su (kPa)</t>
  </si>
  <si>
    <t>Regangan Saat Keruntuhan / Strain at Failure (%)</t>
  </si>
  <si>
    <t>3638:2012</t>
  </si>
  <si>
    <t>23-MINEARTH-RM-LHU-UCT-R0</t>
  </si>
  <si>
    <t>Contoh/Sample</t>
  </si>
  <si>
    <r>
      <t>Tidak Terganggu /</t>
    </r>
    <r>
      <rPr>
        <i/>
        <sz val="9"/>
        <color theme="1"/>
        <rFont val="Arial"/>
        <family val="2"/>
      </rPr>
      <t>Undisturbed</t>
    </r>
  </si>
  <si>
    <r>
      <t xml:space="preserve">Cetak Ulang / </t>
    </r>
    <r>
      <rPr>
        <i/>
        <sz val="9"/>
        <color theme="1"/>
        <rFont val="Arial"/>
        <family val="2"/>
      </rPr>
      <t>Remolded</t>
    </r>
  </si>
  <si>
    <t>HASIL PENGUJIAN / TEST RESULT</t>
  </si>
  <si>
    <r>
      <t xml:space="preserve">Diameter Awal / </t>
    </r>
    <r>
      <rPr>
        <i/>
        <sz val="9"/>
        <color theme="1"/>
        <rFont val="Arial"/>
        <family val="2"/>
      </rPr>
      <t>Initial diameter</t>
    </r>
    <r>
      <rPr>
        <sz val="9"/>
        <color theme="1"/>
        <rFont val="Arial"/>
        <family val="2"/>
      </rPr>
      <t xml:space="preserve"> (mm)</t>
    </r>
  </si>
  <si>
    <r>
      <t>Tinggi Awal /</t>
    </r>
    <r>
      <rPr>
        <i/>
        <sz val="9"/>
        <color theme="1"/>
        <rFont val="Arial"/>
        <family val="2"/>
      </rPr>
      <t xml:space="preserve"> Initial Height</t>
    </r>
    <r>
      <rPr>
        <sz val="9"/>
        <color theme="1"/>
        <rFont val="Arial"/>
        <family val="2"/>
      </rPr>
      <t xml:space="preserve"> (mm)</t>
    </r>
  </si>
  <si>
    <r>
      <t xml:space="preserve">Kadar Air / </t>
    </r>
    <r>
      <rPr>
        <i/>
        <sz val="9"/>
        <color theme="1"/>
        <rFont val="Arial"/>
        <family val="2"/>
      </rPr>
      <t>Moisture Content</t>
    </r>
    <r>
      <rPr>
        <sz val="9"/>
        <color theme="1"/>
        <rFont val="Arial"/>
        <family val="2"/>
      </rPr>
      <t xml:space="preserve"> (%)</t>
    </r>
  </si>
  <si>
    <r>
      <t xml:space="preserve">Berat Isi Kering / </t>
    </r>
    <r>
      <rPr>
        <i/>
        <sz val="9"/>
        <color theme="1"/>
        <rFont val="Arial"/>
        <family val="2"/>
      </rPr>
      <t>Dry Density</t>
    </r>
    <r>
      <rPr>
        <sz val="9"/>
        <color theme="1"/>
        <rFont val="Arial"/>
        <family val="2"/>
      </rPr>
      <t xml:space="preserve"> (g/cm³)</t>
    </r>
  </si>
  <si>
    <t>Sensitivitas / Sensitivity, St ( - )</t>
  </si>
  <si>
    <t>Peak Undisturbed</t>
  </si>
  <si>
    <r>
      <t xml:space="preserve">GRAFIK TEGANGAN VS REGANGAN / </t>
    </r>
    <r>
      <rPr>
        <i/>
        <sz val="9"/>
        <color theme="1"/>
        <rFont val="Arial"/>
        <family val="2"/>
      </rPr>
      <t>STRESS VS STRAIN CURVE</t>
    </r>
  </si>
  <si>
    <t>INFORMASI BENDA UJI / SPECIMEN INFORMATION</t>
  </si>
  <si>
    <r>
      <t>Benda Uji /</t>
    </r>
    <r>
      <rPr>
        <i/>
        <sz val="9"/>
        <color theme="1"/>
        <rFont val="Arial"/>
        <family val="2"/>
      </rPr>
      <t xml:space="preserve"> Specimen No.</t>
    </r>
  </si>
  <si>
    <r>
      <t xml:space="preserve">Tinggi / </t>
    </r>
    <r>
      <rPr>
        <i/>
        <sz val="8"/>
        <color theme="1"/>
        <rFont val="Arial"/>
        <family val="2"/>
      </rPr>
      <t xml:space="preserve">Height </t>
    </r>
    <r>
      <rPr>
        <sz val="9"/>
        <color theme="1"/>
        <rFont val="Arial"/>
        <family val="2"/>
      </rPr>
      <t>(cm)</t>
    </r>
  </si>
  <si>
    <r>
      <t xml:space="preserve">Diamater / </t>
    </r>
    <r>
      <rPr>
        <i/>
        <sz val="8"/>
        <color theme="1"/>
        <rFont val="Arial"/>
        <family val="2"/>
      </rPr>
      <t>Diameter</t>
    </r>
    <r>
      <rPr>
        <sz val="9"/>
        <color theme="1"/>
        <rFont val="Arial"/>
        <family val="2"/>
      </rPr>
      <t xml:space="preserve"> (cm)</t>
    </r>
  </si>
  <si>
    <r>
      <t xml:space="preserve">Luas / </t>
    </r>
    <r>
      <rPr>
        <i/>
        <sz val="8"/>
        <color theme="1"/>
        <rFont val="Arial"/>
        <family val="2"/>
      </rPr>
      <t>Area</t>
    </r>
    <r>
      <rPr>
        <i/>
        <sz val="9"/>
        <color theme="1"/>
        <rFont val="Arial"/>
        <family val="2"/>
      </rPr>
      <t xml:space="preserve"> </t>
    </r>
    <r>
      <rPr>
        <sz val="9"/>
        <color theme="1"/>
        <rFont val="Arial"/>
        <family val="2"/>
      </rPr>
      <t>(cm</t>
    </r>
    <r>
      <rPr>
        <vertAlign val="superscript"/>
        <sz val="9"/>
        <color theme="1"/>
        <rFont val="Arial"/>
        <family val="2"/>
      </rPr>
      <t>2</t>
    </r>
    <r>
      <rPr>
        <sz val="9"/>
        <color theme="1"/>
        <rFont val="Arial"/>
        <family val="2"/>
      </rPr>
      <t>)</t>
    </r>
  </si>
  <si>
    <r>
      <t xml:space="preserve">Volume / </t>
    </r>
    <r>
      <rPr>
        <i/>
        <sz val="8"/>
        <color theme="1"/>
        <rFont val="Arial"/>
        <family val="2"/>
      </rPr>
      <t>Volume</t>
    </r>
    <r>
      <rPr>
        <sz val="9"/>
        <color theme="1"/>
        <rFont val="Arial"/>
        <family val="2"/>
      </rPr>
      <t xml:space="preserve"> (cm</t>
    </r>
    <r>
      <rPr>
        <vertAlign val="superscript"/>
        <sz val="9"/>
        <color theme="1"/>
        <rFont val="Arial"/>
        <family val="2"/>
      </rPr>
      <t>3</t>
    </r>
    <r>
      <rPr>
        <sz val="9"/>
        <color theme="1"/>
        <rFont val="Arial"/>
        <family val="2"/>
      </rPr>
      <t>)</t>
    </r>
  </si>
  <si>
    <r>
      <t xml:space="preserve">Berat isi Basah / </t>
    </r>
    <r>
      <rPr>
        <i/>
        <sz val="8"/>
        <color theme="1"/>
        <rFont val="Arial"/>
        <family val="2"/>
      </rPr>
      <t>Wet Density</t>
    </r>
    <r>
      <rPr>
        <sz val="9"/>
        <color theme="1"/>
        <rFont val="Arial"/>
        <family val="2"/>
      </rPr>
      <t xml:space="preserve"> (g/cm</t>
    </r>
    <r>
      <rPr>
        <vertAlign val="superscript"/>
        <sz val="9"/>
        <color theme="1"/>
        <rFont val="Arial"/>
        <family val="2"/>
      </rPr>
      <t>3</t>
    </r>
    <r>
      <rPr>
        <sz val="9"/>
        <color theme="1"/>
        <rFont val="Arial"/>
        <family val="2"/>
      </rPr>
      <t>)</t>
    </r>
  </si>
  <si>
    <r>
      <t xml:space="preserve">Berat Isi Kering / </t>
    </r>
    <r>
      <rPr>
        <i/>
        <sz val="8"/>
        <color theme="1"/>
        <rFont val="Arial"/>
        <family val="2"/>
      </rPr>
      <t xml:space="preserve">Dry Density </t>
    </r>
    <r>
      <rPr>
        <sz val="9"/>
        <color theme="1"/>
        <rFont val="Arial"/>
        <family val="2"/>
      </rPr>
      <t>(g/cm</t>
    </r>
    <r>
      <rPr>
        <vertAlign val="superscript"/>
        <sz val="9"/>
        <color theme="1"/>
        <rFont val="Arial"/>
        <family val="2"/>
      </rPr>
      <t>3</t>
    </r>
    <r>
      <rPr>
        <sz val="9"/>
        <color theme="1"/>
        <rFont val="Arial"/>
        <family val="2"/>
      </rPr>
      <t>)</t>
    </r>
  </si>
  <si>
    <r>
      <t xml:space="preserve">DATA PENGUJIAN / </t>
    </r>
    <r>
      <rPr>
        <b/>
        <i/>
        <sz val="9"/>
        <color theme="1"/>
        <rFont val="Arial"/>
        <family val="2"/>
      </rPr>
      <t>TEST DATA</t>
    </r>
  </si>
  <si>
    <r>
      <t xml:space="preserve">Benda Uji / </t>
    </r>
    <r>
      <rPr>
        <b/>
        <i/>
        <sz val="8"/>
        <color theme="1"/>
        <rFont val="Arial"/>
        <family val="2"/>
      </rPr>
      <t>Specimen No.</t>
    </r>
  </si>
  <si>
    <t>AN</t>
  </si>
  <si>
    <t xml:space="preserve">LEGENDA </t>
  </si>
  <si>
    <t>25 Blows</t>
  </si>
  <si>
    <t xml:space="preserve">Test Data </t>
  </si>
  <si>
    <t>Label Grafik</t>
  </si>
  <si>
    <t>Jumlah Pukulan / Number of Blows</t>
  </si>
  <si>
    <t>DATA BATAS CAIR / LIQUID LIMIT DATA</t>
  </si>
  <si>
    <t>DATA BATAS PLASTIS / PLASTIC LIMIT DATA</t>
  </si>
  <si>
    <t>Pengulangan / Trial</t>
  </si>
  <si>
    <t>HASIL PENGUJIAN / TEST RESULTS</t>
  </si>
  <si>
    <t>Hasil / Result</t>
  </si>
  <si>
    <t>Batas Cair / Liquid Limit, LL (%)</t>
  </si>
  <si>
    <t>Batas Plastis / Plastic Limit, PL (%)</t>
  </si>
  <si>
    <t>Indeks Plastisitas / Plasticity Index, PI (%)</t>
  </si>
  <si>
    <t>Klasifikasi USCS / USCS Classification</t>
  </si>
  <si>
    <t>Deskripsi USCS / USCS Description</t>
  </si>
  <si>
    <t>UJI BATAS CAIR DAN BATAS PLASTIS</t>
  </si>
  <si>
    <t>LIQUID LIMIT AND PLASTIC  LIMIT TEST</t>
  </si>
  <si>
    <t>Batas Cair (Liquid Limit)</t>
  </si>
  <si>
    <t>Batas Plastis (Plastic Limit)</t>
  </si>
  <si>
    <t>1967:2008</t>
  </si>
  <si>
    <t>1966:2008</t>
  </si>
  <si>
    <t>Metode / Method</t>
  </si>
  <si>
    <t>Kadar Air / Moisture Content, w (%)</t>
  </si>
  <si>
    <t>Berat Jenis Butiran / Specific Gravity, Gs</t>
  </si>
  <si>
    <t>AL</t>
  </si>
  <si>
    <t>AM</t>
  </si>
  <si>
    <t>UJI SIFAT FISIK TANAH</t>
  </si>
  <si>
    <t>SOIL PHYSICAL PROPERTIES TEST</t>
  </si>
  <si>
    <t>Berat Isi Kering / Dry Unit Weight (g/m³)</t>
  </si>
  <si>
    <t>UDS</t>
  </si>
  <si>
    <t>DS</t>
  </si>
  <si>
    <t>Direct Shear (UU)</t>
  </si>
  <si>
    <t>NO. URUT PO</t>
  </si>
  <si>
    <t>TAHUN</t>
  </si>
  <si>
    <t>BS</t>
  </si>
  <si>
    <t>CS</t>
  </si>
  <si>
    <t>KODE SAMPEL</t>
  </si>
  <si>
    <t xml:space="preserve">INTERVAL </t>
  </si>
  <si>
    <t>JENIS SAMPLE</t>
  </si>
  <si>
    <t>Banyuwangi - JAWA TIMUR</t>
  </si>
  <si>
    <t>BSI Candrian Waste Dump Extension Study</t>
  </si>
  <si>
    <t>PT. GEOLAND QUATRO TECHNOLAB</t>
  </si>
  <si>
    <t>Kab. Bandung - JAWA BARAT</t>
  </si>
  <si>
    <t>PO-GQT-001</t>
  </si>
  <si>
    <t>BH-04R1</t>
  </si>
  <si>
    <t>SPT 15</t>
  </si>
  <si>
    <t>BH-03-R</t>
  </si>
  <si>
    <t>BH-07-R</t>
  </si>
  <si>
    <t>BH-06-R2</t>
  </si>
  <si>
    <t>SPT-01</t>
  </si>
  <si>
    <t>SPT 03</t>
  </si>
  <si>
    <t>SPT 01</t>
  </si>
  <si>
    <t>Container No.</t>
  </si>
  <si>
    <t>Wt. Container +Wet soil</t>
  </si>
  <si>
    <t>Wt. Wet Soil</t>
  </si>
  <si>
    <t>Coklat / Brown</t>
  </si>
  <si>
    <t>23/MGS/53/II/2026</t>
  </si>
  <si>
    <t>Consolidation</t>
  </si>
  <si>
    <t>Lanau / Silt</t>
  </si>
  <si>
    <r>
      <t xml:space="preserve">Tinggi Benda Uji / </t>
    </r>
    <r>
      <rPr>
        <i/>
        <sz val="9"/>
        <color theme="1"/>
        <rFont val="Arial"/>
        <family val="2"/>
      </rPr>
      <t>Specimen Height</t>
    </r>
    <r>
      <rPr>
        <sz val="9"/>
        <color theme="1"/>
        <rFont val="Arial"/>
        <family val="2"/>
      </rPr>
      <t>, cm</t>
    </r>
  </si>
  <si>
    <r>
      <t xml:space="preserve">Angka pori semula / </t>
    </r>
    <r>
      <rPr>
        <i/>
        <sz val="9"/>
        <color theme="1"/>
        <rFont val="Arial"/>
        <family val="2"/>
      </rPr>
      <t>Initial Void Ratio</t>
    </r>
    <r>
      <rPr>
        <sz val="9"/>
        <color theme="1"/>
        <rFont val="Arial"/>
        <family val="2"/>
      </rPr>
      <t>, e0</t>
    </r>
  </si>
  <si>
    <r>
      <t xml:space="preserve">Kadar Air Semula / </t>
    </r>
    <r>
      <rPr>
        <i/>
        <sz val="9"/>
        <color theme="1"/>
        <rFont val="Arial"/>
        <family val="2"/>
      </rPr>
      <t>Initial Moisture Content</t>
    </r>
    <r>
      <rPr>
        <sz val="9"/>
        <color theme="1"/>
        <rFont val="Arial"/>
        <family val="2"/>
      </rPr>
      <t xml:space="preserve"> (%)</t>
    </r>
  </si>
  <si>
    <r>
      <t xml:space="preserve">Diameter Benda Uji / </t>
    </r>
    <r>
      <rPr>
        <i/>
        <sz val="9"/>
        <color theme="1"/>
        <rFont val="Arial"/>
        <family val="2"/>
      </rPr>
      <t>Specimen Diameter</t>
    </r>
    <r>
      <rPr>
        <sz val="9"/>
        <color theme="1"/>
        <rFont val="Arial"/>
        <family val="2"/>
      </rPr>
      <t>, cm</t>
    </r>
  </si>
  <si>
    <r>
      <t xml:space="preserve">Luas  Permukaan Benda Uji / </t>
    </r>
    <r>
      <rPr>
        <i/>
        <sz val="9"/>
        <color theme="1"/>
        <rFont val="Arial"/>
        <family val="2"/>
      </rPr>
      <t>Specimen Area</t>
    </r>
    <r>
      <rPr>
        <sz val="9"/>
        <color theme="1"/>
        <rFont val="Arial"/>
        <family val="2"/>
      </rPr>
      <t>, cm</t>
    </r>
    <r>
      <rPr>
        <vertAlign val="superscript"/>
        <sz val="9"/>
        <color theme="1"/>
        <rFont val="Arial"/>
        <family val="2"/>
      </rPr>
      <t>²</t>
    </r>
  </si>
  <si>
    <r>
      <t xml:space="preserve">Volume Benda Uji / </t>
    </r>
    <r>
      <rPr>
        <i/>
        <sz val="9"/>
        <color theme="1"/>
        <rFont val="Arial"/>
        <family val="2"/>
      </rPr>
      <t>Specimen Volume</t>
    </r>
    <r>
      <rPr>
        <sz val="9"/>
        <color theme="1"/>
        <rFont val="Arial"/>
        <family val="2"/>
      </rPr>
      <t>, cm</t>
    </r>
    <r>
      <rPr>
        <vertAlign val="superscript"/>
        <sz val="9"/>
        <color theme="1"/>
        <rFont val="Arial"/>
        <family val="2"/>
      </rPr>
      <t>³</t>
    </r>
  </si>
  <si>
    <t>GRAFIK e-log P / e-log P Curve</t>
  </si>
  <si>
    <r>
      <t>SETTLEMENT VS √ TIME  (min</t>
    </r>
    <r>
      <rPr>
        <b/>
        <vertAlign val="superscript"/>
        <sz val="9"/>
        <color theme="1"/>
        <rFont val="Arial"/>
        <family val="2"/>
      </rPr>
      <t>1/2</t>
    </r>
    <r>
      <rPr>
        <b/>
        <sz val="9"/>
        <color theme="1"/>
        <rFont val="Arial"/>
        <family val="2"/>
      </rPr>
      <t>)  CURVE  (TAYLOR METHOD)</t>
    </r>
  </si>
  <si>
    <t>1964:2008</t>
  </si>
  <si>
    <t>1965:2008</t>
  </si>
  <si>
    <t>Physical Properties</t>
  </si>
  <si>
    <t>Ukuran Saringan / Sieve Size</t>
  </si>
  <si>
    <t>Berat Tertahan / Mass Retained (g)</t>
  </si>
  <si>
    <t>% Tertahan / Percent Retained (%)</t>
  </si>
  <si>
    <t>% Lolos / Percent Passing (%)</t>
  </si>
  <si>
    <t>Diameter Butir / Particle Diameter (mm)</t>
  </si>
  <si>
    <t>Persentase Lebih Halus / Percent Finer (%)</t>
  </si>
  <si>
    <t>Sieve and Hydrometer Curve</t>
  </si>
  <si>
    <r>
      <t xml:space="preserve">Ukuran Saringan / </t>
    </r>
    <r>
      <rPr>
        <b/>
        <i/>
        <sz val="8"/>
        <color theme="1"/>
        <rFont val="Arial"/>
        <family val="2"/>
      </rPr>
      <t>Sieve Size</t>
    </r>
  </si>
  <si>
    <r>
      <t xml:space="preserve">Berat Tertahan / </t>
    </r>
    <r>
      <rPr>
        <b/>
        <i/>
        <sz val="8"/>
        <color theme="1"/>
        <rFont val="Arial"/>
        <family val="2"/>
      </rPr>
      <t xml:space="preserve">Mass Retained </t>
    </r>
    <r>
      <rPr>
        <b/>
        <sz val="9"/>
        <color theme="1"/>
        <rFont val="Arial"/>
        <family val="2"/>
      </rPr>
      <t>(g)</t>
    </r>
  </si>
  <si>
    <r>
      <t xml:space="preserve">% Tertahan / </t>
    </r>
    <r>
      <rPr>
        <b/>
        <i/>
        <sz val="8"/>
        <color theme="1"/>
        <rFont val="Arial"/>
        <family val="2"/>
      </rPr>
      <t>Percent Retained</t>
    </r>
    <r>
      <rPr>
        <b/>
        <sz val="9"/>
        <color theme="1"/>
        <rFont val="Arial"/>
        <family val="2"/>
      </rPr>
      <t xml:space="preserve"> (%)</t>
    </r>
  </si>
  <si>
    <r>
      <t xml:space="preserve">% Lolos / </t>
    </r>
    <r>
      <rPr>
        <b/>
        <i/>
        <sz val="8"/>
        <color theme="1"/>
        <rFont val="Arial"/>
        <family val="2"/>
      </rPr>
      <t>Percent Passing</t>
    </r>
    <r>
      <rPr>
        <b/>
        <sz val="9"/>
        <color theme="1"/>
        <rFont val="Arial"/>
        <family val="2"/>
      </rPr>
      <t xml:space="preserve"> (%)</t>
    </r>
  </si>
  <si>
    <r>
      <t xml:space="preserve">1. HASIL ANALISA SARINGAN / </t>
    </r>
    <r>
      <rPr>
        <b/>
        <sz val="8"/>
        <color theme="1"/>
        <rFont val="Arial"/>
        <family val="2"/>
      </rPr>
      <t>SIEVE ANALYSIS RESULT</t>
    </r>
  </si>
  <si>
    <r>
      <t xml:space="preserve">2. HASIL  HIDROMETER / </t>
    </r>
    <r>
      <rPr>
        <b/>
        <sz val="8"/>
        <color theme="1"/>
        <rFont val="Arial"/>
        <family val="2"/>
      </rPr>
      <t>HIDROMETER RESULT</t>
    </r>
  </si>
  <si>
    <r>
      <t xml:space="preserve">Diameter Butir / </t>
    </r>
    <r>
      <rPr>
        <b/>
        <i/>
        <sz val="8"/>
        <color theme="1"/>
        <rFont val="Arial"/>
        <family val="2"/>
      </rPr>
      <t>Particle Diameter</t>
    </r>
    <r>
      <rPr>
        <b/>
        <sz val="9"/>
        <color theme="1"/>
        <rFont val="Arial"/>
        <family val="2"/>
      </rPr>
      <t xml:space="preserve"> (mm)</t>
    </r>
  </si>
  <si>
    <r>
      <t xml:space="preserve">Persentase Lebih Halus / </t>
    </r>
    <r>
      <rPr>
        <b/>
        <i/>
        <sz val="8"/>
        <color theme="1"/>
        <rFont val="Arial"/>
        <family val="2"/>
      </rPr>
      <t>Percent Finer</t>
    </r>
    <r>
      <rPr>
        <b/>
        <sz val="9"/>
        <color theme="1"/>
        <rFont val="Arial"/>
        <family val="2"/>
      </rPr>
      <t xml:space="preserve"> (%)</t>
    </r>
  </si>
  <si>
    <r>
      <t xml:space="preserve">KURVA DISTRIBUSI UKURAN  BUTIR / </t>
    </r>
    <r>
      <rPr>
        <b/>
        <sz val="8"/>
        <color theme="1"/>
        <rFont val="Arial"/>
        <family val="2"/>
      </rPr>
      <t>PARTICLE SIZE DISTRIBUTION CURVE</t>
    </r>
  </si>
  <si>
    <r>
      <t xml:space="preserve">PARAMETER HASIL UJI / </t>
    </r>
    <r>
      <rPr>
        <b/>
        <i/>
        <sz val="9"/>
        <color theme="1"/>
        <rFont val="Arial"/>
        <family val="2"/>
      </rPr>
      <t>TEST RESULT PARAMETERS</t>
    </r>
  </si>
  <si>
    <r>
      <t xml:space="preserve">Lanau / </t>
    </r>
    <r>
      <rPr>
        <i/>
        <sz val="8"/>
        <color theme="1"/>
        <rFont val="Arial"/>
        <family val="2"/>
      </rPr>
      <t>Silt</t>
    </r>
    <r>
      <rPr>
        <sz val="9"/>
        <color theme="1"/>
        <rFont val="Arial"/>
        <family val="2"/>
      </rPr>
      <t xml:space="preserve"> (%)</t>
    </r>
  </si>
  <si>
    <r>
      <t xml:space="preserve">Lempung / </t>
    </r>
    <r>
      <rPr>
        <i/>
        <sz val="8"/>
        <color theme="1"/>
        <rFont val="Arial"/>
        <family val="2"/>
      </rPr>
      <t>Clay</t>
    </r>
    <r>
      <rPr>
        <sz val="9"/>
        <color theme="1"/>
        <rFont val="Arial"/>
        <family val="2"/>
      </rPr>
      <t xml:space="preserve"> (%)</t>
    </r>
  </si>
  <si>
    <r>
      <t xml:space="preserve">Deskripsi Material / </t>
    </r>
    <r>
      <rPr>
        <i/>
        <sz val="8"/>
        <color theme="1"/>
        <rFont val="Arial"/>
        <family val="2"/>
      </rPr>
      <t>Material Description</t>
    </r>
    <r>
      <rPr>
        <sz val="9"/>
        <color theme="1"/>
        <rFont val="Arial"/>
        <family val="2"/>
      </rPr>
      <t>*</t>
    </r>
  </si>
  <si>
    <r>
      <t xml:space="preserve">Deskripsi material didasarkan pada distribusi ukuran butir dan bukan merupakan klasifikasi tanah menurut USCS atau AASHTO. / </t>
    </r>
    <r>
      <rPr>
        <i/>
        <sz val="7"/>
        <color theme="1"/>
        <rFont val="Arial"/>
        <family val="2"/>
      </rPr>
      <t>Material description is based on particle size distribution and is not intended as a soil classification under USCS or AASHTO.</t>
    </r>
  </si>
  <si>
    <r>
      <t xml:space="preserve">HASIL PENGUJIAN / </t>
    </r>
    <r>
      <rPr>
        <b/>
        <i/>
        <sz val="9"/>
        <color theme="1"/>
        <rFont val="Arial"/>
        <family val="2"/>
      </rPr>
      <t>TEST RESULT</t>
    </r>
  </si>
  <si>
    <t>L78</t>
  </si>
  <si>
    <t>Q78</t>
  </si>
  <si>
    <t>R78</t>
  </si>
  <si>
    <t>S78</t>
  </si>
  <si>
    <t>R79</t>
  </si>
  <si>
    <t>S79</t>
  </si>
  <si>
    <t>P80</t>
  </si>
  <si>
    <t>Q80</t>
  </si>
  <si>
    <t>R80</t>
  </si>
  <si>
    <t>S80</t>
  </si>
  <si>
    <t>R81</t>
  </si>
  <si>
    <t>S81</t>
  </si>
  <si>
    <r>
      <t>Nama Proyek /</t>
    </r>
    <r>
      <rPr>
        <i/>
        <sz val="9"/>
        <color theme="1"/>
        <rFont val="Arial"/>
        <family val="2"/>
      </rPr>
      <t xml:space="preserve"> Project Name </t>
    </r>
  </si>
  <si>
    <r>
      <t xml:space="preserve">Jumlah Pukulan / </t>
    </r>
    <r>
      <rPr>
        <i/>
        <sz val="8"/>
        <color theme="1"/>
        <rFont val="Arial"/>
        <family val="2"/>
      </rPr>
      <t>Number of Blows</t>
    </r>
  </si>
  <si>
    <r>
      <t xml:space="preserve">Kadar Air / </t>
    </r>
    <r>
      <rPr>
        <i/>
        <sz val="8"/>
        <color theme="1"/>
        <rFont val="Arial"/>
        <family val="2"/>
      </rPr>
      <t>Moisture Content</t>
    </r>
    <r>
      <rPr>
        <sz val="9"/>
        <color theme="1"/>
        <rFont val="Arial"/>
        <family val="2"/>
      </rPr>
      <t xml:space="preserve"> (%)</t>
    </r>
  </si>
  <si>
    <r>
      <t xml:space="preserve">GRAFIK KLASIFIKASI PLASTISITAS TANAH /  </t>
    </r>
    <r>
      <rPr>
        <b/>
        <i/>
        <sz val="8"/>
        <color theme="1"/>
        <rFont val="Arial"/>
        <family val="2"/>
      </rPr>
      <t>USCS PLASTICITY CHART</t>
    </r>
  </si>
  <si>
    <r>
      <t xml:space="preserve">DATA BATAS PLASTIS / </t>
    </r>
    <r>
      <rPr>
        <b/>
        <i/>
        <sz val="8"/>
        <color theme="1"/>
        <rFont val="Arial"/>
        <family val="2"/>
      </rPr>
      <t>PLASTIC LIMIT DATA</t>
    </r>
  </si>
  <si>
    <r>
      <t xml:space="preserve">Kadar Air / </t>
    </r>
    <r>
      <rPr>
        <i/>
        <sz val="8"/>
        <color theme="1"/>
        <rFont val="Arial"/>
        <family val="2"/>
      </rPr>
      <t>Moisture Content (%)</t>
    </r>
  </si>
  <si>
    <r>
      <t>Pengulangan /</t>
    </r>
    <r>
      <rPr>
        <i/>
        <sz val="8"/>
        <color theme="1"/>
        <rFont val="Arial"/>
        <family val="2"/>
      </rPr>
      <t xml:space="preserve"> Trial</t>
    </r>
  </si>
  <si>
    <r>
      <t xml:space="preserve">GRAFIK BATAS CAIR / </t>
    </r>
    <r>
      <rPr>
        <b/>
        <i/>
        <sz val="8"/>
        <color theme="1"/>
        <rFont val="Arial"/>
        <family val="2"/>
      </rPr>
      <t xml:space="preserve"> LIQUID LIMIT FLOW CURVE</t>
    </r>
  </si>
  <si>
    <r>
      <t xml:space="preserve">Kerikil / </t>
    </r>
    <r>
      <rPr>
        <i/>
        <sz val="8"/>
        <color theme="1"/>
        <rFont val="Arial"/>
        <family val="2"/>
      </rPr>
      <t>Gravel</t>
    </r>
    <r>
      <rPr>
        <sz val="9"/>
        <color theme="1"/>
        <rFont val="Arial"/>
        <family val="2"/>
      </rPr>
      <t xml:space="preserve"> (%)</t>
    </r>
  </si>
  <si>
    <r>
      <t xml:space="preserve">Pasir / </t>
    </r>
    <r>
      <rPr>
        <i/>
        <sz val="8"/>
        <color theme="1"/>
        <rFont val="Arial"/>
        <family val="2"/>
      </rPr>
      <t>Sand</t>
    </r>
    <r>
      <rPr>
        <sz val="9"/>
        <color theme="1"/>
        <rFont val="Arial"/>
        <family val="2"/>
      </rPr>
      <t xml:space="preserve"> (%)</t>
    </r>
  </si>
  <si>
    <r>
      <t>m</t>
    </r>
    <r>
      <rPr>
        <vertAlign val="superscript"/>
        <sz val="9"/>
        <color theme="1"/>
        <rFont val="Arial"/>
        <family val="2"/>
      </rPr>
      <t>²</t>
    </r>
    <r>
      <rPr>
        <sz val="9"/>
        <color theme="1"/>
        <rFont val="Arial"/>
        <family val="2"/>
      </rPr>
      <t>/kN</t>
    </r>
  </si>
  <si>
    <r>
      <t>cm</t>
    </r>
    <r>
      <rPr>
        <vertAlign val="superscript"/>
        <sz val="9"/>
        <color theme="1"/>
        <rFont val="Arial"/>
        <family val="2"/>
      </rPr>
      <t>²</t>
    </r>
    <r>
      <rPr>
        <sz val="9"/>
        <color theme="1"/>
        <rFont val="Arial"/>
        <family val="2"/>
      </rPr>
      <t>/s</t>
    </r>
  </si>
  <si>
    <t>BH-05-R</t>
  </si>
  <si>
    <t>UDS 01</t>
  </si>
  <si>
    <t>UDS 04</t>
  </si>
  <si>
    <t>UDS 02</t>
  </si>
  <si>
    <t>DS 01</t>
  </si>
  <si>
    <t>DS 04</t>
  </si>
  <si>
    <t>DS 02</t>
  </si>
  <si>
    <t>SPOT 01</t>
  </si>
  <si>
    <t>SPOT 02</t>
  </si>
  <si>
    <t>SPOT 03</t>
  </si>
  <si>
    <t>SPOT 04</t>
  </si>
  <si>
    <t>SPOT 05</t>
  </si>
  <si>
    <t>01</t>
  </si>
  <si>
    <t/>
  </si>
  <si>
    <t>DESAIN CBR</t>
  </si>
  <si>
    <t>PLOT</t>
  </si>
  <si>
    <t>Target MDD</t>
  </si>
  <si>
    <t>MDD Target</t>
  </si>
  <si>
    <t xml:space="preserve">Desain CBR </t>
  </si>
  <si>
    <t>Val.MDD</t>
  </si>
  <si>
    <t>Val.CBR</t>
  </si>
  <si>
    <t>DESAIN CBR-LHU</t>
  </si>
  <si>
    <t>Design CBR</t>
  </si>
  <si>
    <t>LEGENDA</t>
  </si>
  <si>
    <r>
      <t xml:space="preserve">IDENTITAS KLIEN / </t>
    </r>
    <r>
      <rPr>
        <b/>
        <i/>
        <sz val="10"/>
        <color theme="0"/>
        <rFont val="Arial"/>
        <family val="2"/>
      </rPr>
      <t>CLIENT INFORMATION</t>
    </r>
  </si>
  <si>
    <r>
      <t xml:space="preserve">No. Laporan / </t>
    </r>
    <r>
      <rPr>
        <i/>
        <sz val="10"/>
        <color theme="1"/>
        <rFont val="Arial"/>
        <family val="2"/>
      </rPr>
      <t>Report No.  :</t>
    </r>
  </si>
  <si>
    <r>
      <t xml:space="preserve">Revisi / </t>
    </r>
    <r>
      <rPr>
        <i/>
        <sz val="9"/>
        <color theme="1"/>
        <rFont val="Arial"/>
        <family val="2"/>
      </rPr>
      <t xml:space="preserve">Revision                   :     </t>
    </r>
    <r>
      <rPr>
        <sz val="9"/>
        <color theme="1"/>
        <rFont val="Arial"/>
        <family val="2"/>
      </rPr>
      <t xml:space="preserve">              </t>
    </r>
  </si>
  <si>
    <t>Tgl. Laporan / Report Date  :</t>
  </si>
  <si>
    <t>Halaman/Pages       :</t>
  </si>
  <si>
    <r>
      <t xml:space="preserve">No. Contoh / </t>
    </r>
    <r>
      <rPr>
        <i/>
        <sz val="9"/>
        <color theme="1"/>
        <rFont val="Arial"/>
        <family val="2"/>
      </rPr>
      <t>Sample Id</t>
    </r>
    <r>
      <rPr>
        <sz val="10"/>
        <color theme="1"/>
        <rFont val="Arial"/>
        <family val="2"/>
      </rPr>
      <t xml:space="preserve">.                    :   </t>
    </r>
  </si>
  <si>
    <r>
      <t>Klien /</t>
    </r>
    <r>
      <rPr>
        <i/>
        <sz val="10"/>
        <color theme="1"/>
        <rFont val="Arial"/>
        <family val="2"/>
      </rPr>
      <t xml:space="preserve"> </t>
    </r>
    <r>
      <rPr>
        <i/>
        <sz val="9"/>
        <color theme="1"/>
        <rFont val="Arial"/>
        <family val="2"/>
      </rPr>
      <t xml:space="preserve">Client  </t>
    </r>
    <r>
      <rPr>
        <sz val="9"/>
        <color theme="1"/>
        <rFont val="Arial"/>
        <family val="2"/>
      </rPr>
      <t xml:space="preserve">    </t>
    </r>
    <r>
      <rPr>
        <sz val="10"/>
        <color theme="1"/>
        <rFont val="Arial"/>
        <family val="2"/>
      </rPr>
      <t xml:space="preserve">            :</t>
    </r>
  </si>
  <si>
    <r>
      <t xml:space="preserve">Alamat / </t>
    </r>
    <r>
      <rPr>
        <i/>
        <sz val="9"/>
        <color theme="1"/>
        <rFont val="Arial"/>
        <family val="2"/>
      </rPr>
      <t>Address</t>
    </r>
    <r>
      <rPr>
        <sz val="10"/>
        <color theme="1"/>
        <rFont val="Arial"/>
        <family val="2"/>
      </rPr>
      <t xml:space="preserve">           :</t>
    </r>
  </si>
  <si>
    <r>
      <t xml:space="preserve">Lokasi Proyek / </t>
    </r>
    <r>
      <rPr>
        <i/>
        <sz val="9"/>
        <color theme="1"/>
        <rFont val="Arial"/>
        <family val="2"/>
      </rPr>
      <t xml:space="preserve">Location  </t>
    </r>
    <r>
      <rPr>
        <sz val="10"/>
        <color theme="1"/>
        <rFont val="Arial"/>
        <family val="2"/>
      </rPr>
      <t xml:space="preserve">:              </t>
    </r>
  </si>
  <si>
    <r>
      <t xml:space="preserve">No. PO / </t>
    </r>
    <r>
      <rPr>
        <i/>
        <sz val="9"/>
        <color theme="1"/>
        <rFont val="Arial"/>
        <family val="2"/>
      </rPr>
      <t xml:space="preserve">PO Number       </t>
    </r>
    <r>
      <rPr>
        <sz val="10"/>
        <color theme="1"/>
        <rFont val="Arial"/>
        <family val="2"/>
      </rPr>
      <t xml:space="preserve"> :        </t>
    </r>
  </si>
  <si>
    <r>
      <t>Kedalaman /</t>
    </r>
    <r>
      <rPr>
        <sz val="9"/>
        <color theme="1"/>
        <rFont val="Arial"/>
        <family val="2"/>
      </rPr>
      <t xml:space="preserve"> </t>
    </r>
    <r>
      <rPr>
        <i/>
        <sz val="9"/>
        <color theme="1"/>
        <rFont val="Arial"/>
        <family val="2"/>
      </rPr>
      <t>Depth</t>
    </r>
    <r>
      <rPr>
        <i/>
        <sz val="10"/>
        <color theme="1"/>
        <rFont val="Arial"/>
        <family val="2"/>
      </rPr>
      <t xml:space="preserve"> </t>
    </r>
    <r>
      <rPr>
        <sz val="10"/>
        <color theme="1"/>
        <rFont val="Arial"/>
        <family val="2"/>
      </rPr>
      <t>(m)                     :</t>
    </r>
  </si>
  <si>
    <r>
      <t xml:space="preserve">Warna Tanah / </t>
    </r>
    <r>
      <rPr>
        <i/>
        <sz val="9"/>
        <color theme="1"/>
        <rFont val="Arial"/>
        <family val="2"/>
      </rPr>
      <t xml:space="preserve">Soil Color    </t>
    </r>
    <r>
      <rPr>
        <sz val="10"/>
        <color theme="1"/>
        <rFont val="Arial"/>
        <family val="2"/>
      </rPr>
      <t xml:space="preserve">                :</t>
    </r>
  </si>
  <si>
    <r>
      <t xml:space="preserve">Tgl.Diterima / </t>
    </r>
    <r>
      <rPr>
        <i/>
        <sz val="9"/>
        <color theme="1"/>
        <rFont val="Arial"/>
        <family val="2"/>
      </rPr>
      <t>Date Received</t>
    </r>
    <r>
      <rPr>
        <i/>
        <sz val="10"/>
        <color theme="1"/>
        <rFont val="Arial"/>
        <family val="2"/>
      </rPr>
      <t xml:space="preserve"> </t>
    </r>
    <r>
      <rPr>
        <sz val="10"/>
        <color theme="1"/>
        <rFont val="Arial"/>
        <family val="2"/>
      </rPr>
      <t xml:space="preserve">             :</t>
    </r>
  </si>
  <si>
    <r>
      <t xml:space="preserve">Tgl Pengujian / </t>
    </r>
    <r>
      <rPr>
        <i/>
        <sz val="9"/>
        <color theme="1"/>
        <rFont val="Arial"/>
        <family val="2"/>
      </rPr>
      <t xml:space="preserve">Date Tested                   </t>
    </r>
    <r>
      <rPr>
        <i/>
        <sz val="10"/>
        <color theme="1"/>
        <rFont val="Arial"/>
        <family val="2"/>
      </rPr>
      <t xml:space="preserve"> </t>
    </r>
    <r>
      <rPr>
        <sz val="10"/>
        <color theme="1"/>
        <rFont val="Arial"/>
        <family val="2"/>
      </rPr>
      <t>:</t>
    </r>
  </si>
  <si>
    <r>
      <t xml:space="preserve">Deskripsi Tanah / </t>
    </r>
    <r>
      <rPr>
        <i/>
        <sz val="10"/>
        <color theme="1"/>
        <rFont val="Arial"/>
        <family val="2"/>
      </rPr>
      <t>Soil Description</t>
    </r>
    <r>
      <rPr>
        <sz val="10"/>
        <color theme="1"/>
        <rFont val="Arial"/>
        <family val="2"/>
      </rPr>
      <t xml:space="preserve">      :</t>
    </r>
  </si>
  <si>
    <r>
      <t xml:space="preserve">Jenis Contoh / </t>
    </r>
    <r>
      <rPr>
        <i/>
        <sz val="9"/>
        <color theme="1"/>
        <rFont val="Arial"/>
        <family val="2"/>
      </rPr>
      <t>Sample Type</t>
    </r>
    <r>
      <rPr>
        <sz val="10"/>
        <color theme="1"/>
        <rFont val="Arial"/>
        <family val="2"/>
      </rPr>
      <t xml:space="preserve">               :</t>
    </r>
  </si>
  <si>
    <r>
      <t xml:space="preserve">KONDISI PEMADATAN / </t>
    </r>
    <r>
      <rPr>
        <b/>
        <i/>
        <sz val="10"/>
        <color theme="1"/>
        <rFont val="Arial"/>
        <family val="2"/>
      </rPr>
      <t>COMPACTION CONDITIONS</t>
    </r>
  </si>
  <si>
    <t>KONDISI PENGUJIAN CBR / CBR TEST CONDITIONS</t>
  </si>
  <si>
    <t>Metode Kompaksi / Compaction Method</t>
  </si>
  <si>
    <t>Diameter Cetakan / Mold Diameter (mm)</t>
  </si>
  <si>
    <r>
      <t>Berat Isi Maksimum / Maximum Dry Density,MDD ( g/cm</t>
    </r>
    <r>
      <rPr>
        <vertAlign val="superscript"/>
        <sz val="9"/>
        <color theme="1"/>
        <rFont val="Arial"/>
        <family val="2"/>
      </rPr>
      <t>³)</t>
    </r>
  </si>
  <si>
    <t>Tinggi Cetakan / Mold Height (mm)</t>
  </si>
  <si>
    <t>Kadar Air Optimum / Optimum Moisture Content,OMC (%)</t>
  </si>
  <si>
    <r>
      <t>Volume Cetakan / Mold Volume (cm</t>
    </r>
    <r>
      <rPr>
        <vertAlign val="superscript"/>
        <sz val="9"/>
        <color theme="1"/>
        <rFont val="Arial"/>
        <family val="2"/>
      </rPr>
      <t>³)</t>
    </r>
  </si>
  <si>
    <r>
      <t>Energi Pemadatan / Compaction Energy, kJ/m</t>
    </r>
    <r>
      <rPr>
        <vertAlign val="superscript"/>
        <sz val="9"/>
        <color theme="1"/>
        <rFont val="Arial"/>
        <family val="2"/>
      </rPr>
      <t>³</t>
    </r>
  </si>
  <si>
    <t>Diameter Piston / Piston Diameter (mm)</t>
  </si>
  <si>
    <t>Luas Piston / Piston Area, cm²</t>
  </si>
  <si>
    <t>CBR (Unsoaked)</t>
  </si>
  <si>
    <t>Kecepatan Penetrasi / Penetration Rate  (mm/min)</t>
  </si>
  <si>
    <t>PARAMETER HASIL UJI / TEST RESULT PARAMETERS</t>
  </si>
  <si>
    <t>Tumbukan /Blows</t>
  </si>
  <si>
    <t>Kadar Air / Moistur Content  (%)</t>
  </si>
  <si>
    <t>CBR 2.5 mm / CBR at 2.5 mm Penetration (%)</t>
  </si>
  <si>
    <t>CBR 5.0 mm / CBR at 5.0 mm Penetration (%)</t>
  </si>
  <si>
    <t>Nilai CBR / CBR Value (%)</t>
  </si>
  <si>
    <t>GRAFIK PENENTUAN DESIGN CBR</t>
  </si>
  <si>
    <t>% MDD</t>
  </si>
  <si>
    <t>MDD (g/cm³)</t>
  </si>
  <si>
    <t>DESIGN CBR DETERMINATION CURVE</t>
  </si>
  <si>
    <t>GRAFIK PENETRASI CBR</t>
  </si>
  <si>
    <t>CBR PENETRATION CURVE</t>
  </si>
  <si>
    <t>UJI CALIFORNIA BEARING RATIO (CBR) TANPA PERENDAMAN</t>
  </si>
  <si>
    <t>CALIFORNIA BEARING RATIO (CBR) - UNSOAKED CONDITION TEST</t>
  </si>
  <si>
    <t xml:space="preserve">-  Laboratorium tidak bertanggung jawab atas kegiatan pengambilan </t>
  </si>
  <si>
    <t>PARAMETER CBR DESAIN /</t>
  </si>
  <si>
    <t xml:space="preserve"> DESIGN CBR PARAMETERS</t>
  </si>
  <si>
    <t>TARGET</t>
  </si>
  <si>
    <t>DESIGN</t>
  </si>
  <si>
    <t>UJI CALIFORNIA BEARING RATIO (CBR) DENGAN PERENDAMAN</t>
  </si>
  <si>
    <t>BG</t>
  </si>
  <si>
    <t>CALIFORNIA BEARING RATIO (CBR) - SOAKED CONDITION TEST</t>
  </si>
  <si>
    <t>Telp     : 022-4572503</t>
  </si>
  <si>
    <t>DATA BENDA UJI / SPECIMEN DATA</t>
  </si>
  <si>
    <r>
      <t xml:space="preserve">Pengujian ke- / </t>
    </r>
    <r>
      <rPr>
        <i/>
        <sz val="9"/>
        <color theme="1"/>
        <rFont val="Arial"/>
        <family val="2"/>
      </rPr>
      <t>Test No.</t>
    </r>
  </si>
  <si>
    <r>
      <t xml:space="preserve">Jumlah Lapisan / </t>
    </r>
    <r>
      <rPr>
        <i/>
        <sz val="9"/>
        <color theme="1"/>
        <rFont val="Arial"/>
        <family val="2"/>
      </rPr>
      <t>Number of Layers</t>
    </r>
  </si>
  <si>
    <r>
      <t xml:space="preserve">Jumlah Tumbukan per Lapisan / </t>
    </r>
    <r>
      <rPr>
        <i/>
        <sz val="9"/>
        <color theme="1"/>
        <rFont val="Arial"/>
        <family val="2"/>
      </rPr>
      <t>Number of Blows per Layer</t>
    </r>
  </si>
  <si>
    <r>
      <t xml:space="preserve">Berat Jenis Butiran Tanah / </t>
    </r>
    <r>
      <rPr>
        <i/>
        <sz val="9"/>
        <color theme="1"/>
        <rFont val="Arial"/>
        <family val="2"/>
      </rPr>
      <t>Specific Gravity</t>
    </r>
  </si>
  <si>
    <t>GRAFIK HUBUNGAN BERAT ISI KERING DAN KADAR AIR</t>
  </si>
  <si>
    <t>DRY DENSITY VS MOISTURE CONTENT CURVE</t>
  </si>
  <si>
    <t>PARAMETER HASIL UJI / TEST PARAMETERS</t>
  </si>
  <si>
    <r>
      <t>Berat Isi Kering Maksimum / Maximum Dry Density, MDD (g/cm</t>
    </r>
    <r>
      <rPr>
        <vertAlign val="superscript"/>
        <sz val="9"/>
        <color theme="1"/>
        <rFont val="Arial"/>
        <family val="2"/>
      </rPr>
      <t>³</t>
    </r>
    <r>
      <rPr>
        <sz val="9"/>
        <color theme="1"/>
        <rFont val="Arial"/>
        <family val="2"/>
      </rPr>
      <t>)</t>
    </r>
  </si>
  <si>
    <t>MODIFIED PROCTOR COMPACTION TEST</t>
  </si>
  <si>
    <t>STANDARD PROCTOR COMPACTION TEST</t>
  </si>
  <si>
    <t>AS</t>
  </si>
  <si>
    <t>GRAFIK DALAM BENTUK GAMBAR</t>
  </si>
  <si>
    <t>PASTIKAN GAMBAR SUDAH SESUAI DENGAN DI WORKSHEET</t>
  </si>
  <si>
    <t>23-MINEARTH-RM-LHU-PP-R0</t>
  </si>
  <si>
    <r>
      <t xml:space="preserve">No. Laporan / </t>
    </r>
    <r>
      <rPr>
        <i/>
        <sz val="10"/>
        <color theme="1"/>
        <rFont val="Arial"/>
        <family val="2"/>
      </rPr>
      <t xml:space="preserve">Report No.  </t>
    </r>
  </si>
  <si>
    <r>
      <t xml:space="preserve">Revisi / </t>
    </r>
    <r>
      <rPr>
        <i/>
        <sz val="9"/>
        <color theme="1"/>
        <rFont val="Arial"/>
        <family val="2"/>
      </rPr>
      <t xml:space="preserve">Revision                   </t>
    </r>
    <r>
      <rPr>
        <sz val="9"/>
        <color theme="1"/>
        <rFont val="Arial"/>
        <family val="2"/>
      </rPr>
      <t xml:space="preserve">              </t>
    </r>
  </si>
  <si>
    <t xml:space="preserve">Tgl. Laporan / Report Date </t>
  </si>
  <si>
    <t xml:space="preserve">Halaman/Pages     </t>
  </si>
  <si>
    <r>
      <t xml:space="preserve">Tgl Pengujian / </t>
    </r>
    <r>
      <rPr>
        <i/>
        <sz val="9"/>
        <color theme="1"/>
        <rFont val="Arial"/>
        <family val="2"/>
      </rPr>
      <t xml:space="preserve">Date Tested                 </t>
    </r>
  </si>
  <si>
    <r>
      <t>Halaman/</t>
    </r>
    <r>
      <rPr>
        <i/>
        <sz val="9"/>
        <color theme="1"/>
        <rFont val="Arial"/>
        <family val="2"/>
      </rPr>
      <t xml:space="preserve">Pages  </t>
    </r>
    <r>
      <rPr>
        <sz val="9"/>
        <color theme="1"/>
        <rFont val="Arial"/>
        <family val="2"/>
      </rPr>
      <t xml:space="preserve">   </t>
    </r>
  </si>
  <si>
    <t>Attenberg Limit</t>
  </si>
  <si>
    <r>
      <t>PARAMETER HASIL PENGUJIAN /</t>
    </r>
    <r>
      <rPr>
        <b/>
        <i/>
        <sz val="10"/>
        <color theme="1"/>
        <rFont val="Arial"/>
        <family val="2"/>
      </rPr>
      <t xml:space="preserve"> </t>
    </r>
    <r>
      <rPr>
        <b/>
        <i/>
        <sz val="9"/>
        <color theme="1"/>
        <rFont val="Arial"/>
        <family val="2"/>
      </rPr>
      <t>TEST RESULT PARAMETERS</t>
    </r>
  </si>
  <si>
    <t>STATUS PLASTISITAS</t>
  </si>
  <si>
    <t>Sieve &amp; Hidrometer</t>
  </si>
  <si>
    <t>Berat Jenis Tanah / Specific Gravity</t>
  </si>
  <si>
    <t>Tinggi Padatan / Solid Height, Hs (cm)</t>
  </si>
  <si>
    <t>Tahap Pembebanan / Loading Increment, kPa</t>
  </si>
  <si>
    <t>Durasi  Pembenanan / Loading Duration</t>
  </si>
  <si>
    <r>
      <t xml:space="preserve">PARAMETER HASIL UJI / </t>
    </r>
    <r>
      <rPr>
        <b/>
        <i/>
        <sz val="10"/>
        <color theme="1"/>
        <rFont val="Arial"/>
        <family val="2"/>
      </rPr>
      <t>TEST RESULT PARAMETERS</t>
    </r>
  </si>
  <si>
    <r>
      <t xml:space="preserve">Grafik Taylor untuk setiap tahap pembebanan disajikan pada lampiran. / </t>
    </r>
    <r>
      <rPr>
        <i/>
        <sz val="7"/>
        <color theme="1"/>
        <rFont val="Arial"/>
        <family val="2"/>
      </rPr>
      <t>Taylor plots for each loading increment are presented in the appendix.</t>
    </r>
  </si>
  <si>
    <r>
      <t xml:space="preserve">DATA BENDA UJI / </t>
    </r>
    <r>
      <rPr>
        <b/>
        <i/>
        <sz val="10"/>
        <color theme="1"/>
        <rFont val="Arial"/>
        <family val="2"/>
      </rPr>
      <t>SPECIMEN DATA</t>
    </r>
  </si>
  <si>
    <r>
      <t xml:space="preserve">DATA PENGUJIAN / </t>
    </r>
    <r>
      <rPr>
        <b/>
        <i/>
        <sz val="10"/>
        <color theme="1"/>
        <rFont val="Arial"/>
        <family val="2"/>
      </rPr>
      <t>TEST DATA</t>
    </r>
  </si>
  <si>
    <r>
      <t xml:space="preserve">Parameter / </t>
    </r>
    <r>
      <rPr>
        <b/>
        <i/>
        <sz val="9"/>
        <color theme="1"/>
        <rFont val="Arial"/>
        <family val="2"/>
      </rPr>
      <t>Parameter</t>
    </r>
  </si>
  <si>
    <r>
      <t xml:space="preserve">Keterangan / </t>
    </r>
    <r>
      <rPr>
        <b/>
        <i/>
        <sz val="9"/>
        <color theme="1"/>
        <rFont val="Arial"/>
        <family val="2"/>
      </rPr>
      <t>Description</t>
    </r>
  </si>
  <si>
    <r>
      <t xml:space="preserve">Mode Pengujian / </t>
    </r>
    <r>
      <rPr>
        <i/>
        <sz val="9"/>
        <color theme="1"/>
        <rFont val="Arial"/>
        <family val="2"/>
      </rPr>
      <t>Test Mode</t>
    </r>
  </si>
  <si>
    <r>
      <t xml:space="preserve">Regangan Kumulatif / </t>
    </r>
    <r>
      <rPr>
        <i/>
        <sz val="9"/>
        <color theme="1"/>
        <rFont val="Arial"/>
        <family val="2"/>
      </rPr>
      <t>Cumulative Strain</t>
    </r>
  </si>
  <si>
    <r>
      <t xml:space="preserve">Drainase Samping / </t>
    </r>
    <r>
      <rPr>
        <i/>
        <sz val="9"/>
        <color theme="1"/>
        <rFont val="Arial"/>
        <family val="2"/>
      </rPr>
      <t>Side Drain</t>
    </r>
  </si>
  <si>
    <r>
      <t xml:space="preserve">Metode Penjenuhan / </t>
    </r>
    <r>
      <rPr>
        <i/>
        <sz val="9"/>
        <color theme="1"/>
        <rFont val="Arial"/>
        <family val="2"/>
      </rPr>
      <t>Saturation Method</t>
    </r>
  </si>
  <si>
    <t>Parameter / Parameter</t>
  </si>
  <si>
    <r>
      <t xml:space="preserve">Nilai / </t>
    </r>
    <r>
      <rPr>
        <b/>
        <i/>
        <sz val="9"/>
        <color theme="1"/>
        <rFont val="Arial"/>
        <family val="2"/>
      </rPr>
      <t>Value</t>
    </r>
  </si>
  <si>
    <r>
      <t>HASIL PENGUJIAN /</t>
    </r>
    <r>
      <rPr>
        <b/>
        <i/>
        <sz val="10"/>
        <color theme="1"/>
        <rFont val="Arial"/>
        <family val="2"/>
      </rPr>
      <t xml:space="preserve"> TEST  RESULT</t>
    </r>
    <r>
      <rPr>
        <b/>
        <sz val="10"/>
        <color theme="1"/>
        <rFont val="Arial"/>
        <family val="2"/>
      </rPr>
      <t>S</t>
    </r>
  </si>
  <si>
    <t>Spesimen / Specimen</t>
  </si>
  <si>
    <t>Pemeriksaan B-Value / B-Value Check</t>
  </si>
  <si>
    <t>Triaxial (CU)</t>
  </si>
  <si>
    <t>GRAFIK TEGANGAN DEVIATOR EFEKTIF TERHADAP REGANGAN AKSIAL</t>
  </si>
  <si>
    <t>GRAFIK TEKANAN AIR PORI TERHADAP REGANGAN AKSIAL</t>
  </si>
  <si>
    <t>EFFECTIVE DEVIATOR STRESS VS AXIAL STRAIN CURVE</t>
  </si>
  <si>
    <t>PORE WATER PRESSURE VS AXIAL STRAIN CURVE</t>
  </si>
  <si>
    <t>GRAFIK LINGKARAN MOHR EFEKTIF DAN ENVELOPE KUAT GESER</t>
  </si>
  <si>
    <t>EFFECTIVE MOHR CIRCLE AND SHEAR STRENGTH ENVELOPE</t>
  </si>
  <si>
    <t>KESIMPULAN HASIL UJI / TEST RESULT SUMMARY</t>
  </si>
  <si>
    <r>
      <t xml:space="preserve">Parameter / </t>
    </r>
    <r>
      <rPr>
        <b/>
        <i/>
        <sz val="10"/>
        <color theme="1"/>
        <rFont val="Arial"/>
        <family val="2"/>
      </rPr>
      <t>Parameters</t>
    </r>
  </si>
  <si>
    <r>
      <t xml:space="preserve">Nilai / </t>
    </r>
    <r>
      <rPr>
        <b/>
        <i/>
        <sz val="10"/>
        <color theme="1"/>
        <rFont val="Arial"/>
        <family val="2"/>
      </rPr>
      <t>Value</t>
    </r>
  </si>
  <si>
    <t>Undrained Cohesion, cu</t>
  </si>
  <si>
    <t>Undrained Friction Angle,ϕu​</t>
  </si>
  <si>
    <t>Effective Cohesion, c'</t>
  </si>
  <si>
    <t>Effective Friction Angle, ϕ'</t>
  </si>
  <si>
    <t>GRAFIK LINGKARAN MOHR TOTAL DAN ENVELOPE KUAT GESER</t>
  </si>
  <si>
    <t>TOTAL  MOHR CIRCLE AND SHEAR STRENGTH ENVELOPE</t>
  </si>
  <si>
    <t>kgf</t>
  </si>
  <si>
    <r>
      <t xml:space="preserve"> </t>
    </r>
    <r>
      <rPr>
        <sz val="12"/>
        <color theme="1"/>
        <rFont val="Symbol"/>
        <family val="1"/>
        <charset val="2"/>
      </rPr>
      <t>σ₃</t>
    </r>
    <r>
      <rPr>
        <sz val="12"/>
        <color theme="1"/>
        <rFont val="Calibri"/>
        <family val="2"/>
        <scheme val="minor"/>
      </rPr>
      <t>=50 kPa</t>
    </r>
  </si>
  <si>
    <r>
      <rPr>
        <sz val="12"/>
        <color theme="1"/>
        <rFont val="Symbol"/>
        <family val="1"/>
        <charset val="2"/>
      </rPr>
      <t>σ₃</t>
    </r>
    <r>
      <rPr>
        <sz val="12"/>
        <color theme="1"/>
        <rFont val="Calibri"/>
        <family val="2"/>
        <scheme val="minor"/>
      </rPr>
      <t>=200 kPa</t>
    </r>
  </si>
  <si>
    <r>
      <rPr>
        <sz val="12"/>
        <color theme="1"/>
        <rFont val="Symbol"/>
        <family val="1"/>
        <charset val="2"/>
      </rPr>
      <t>σ₃</t>
    </r>
    <r>
      <rPr>
        <sz val="12"/>
        <color theme="1"/>
        <rFont val="Calibri"/>
        <family val="2"/>
        <scheme val="minor"/>
      </rPr>
      <t>=100kPa</t>
    </r>
  </si>
  <si>
    <r>
      <t xml:space="preserve">   Mekanika Tanah </t>
    </r>
    <r>
      <rPr>
        <sz val="8"/>
        <rFont val="Arial"/>
        <family val="2"/>
      </rPr>
      <t xml:space="preserve">PT. MINEARTH </t>
    </r>
    <r>
      <rPr>
        <sz val="8"/>
        <color rgb="FFFF0000"/>
        <rFont val="Arial"/>
        <family val="2"/>
      </rPr>
      <t>GEO</t>
    </r>
    <r>
      <rPr>
        <sz val="8"/>
        <rFont val="Arial"/>
        <family val="2"/>
      </rPr>
      <t xml:space="preserve"> SOLUTION.</t>
    </r>
  </si>
  <si>
    <r>
      <rPr>
        <sz val="8"/>
        <rFont val="Arial"/>
        <family val="2"/>
      </rPr>
      <t xml:space="preserve">PT. MINEARTH </t>
    </r>
    <r>
      <rPr>
        <sz val="8"/>
        <color rgb="FFFF0000"/>
        <rFont val="Arial"/>
        <family val="2"/>
      </rPr>
      <t>GEO</t>
    </r>
    <r>
      <rPr>
        <sz val="8"/>
        <rFont val="Arial"/>
        <family val="2"/>
      </rPr>
      <t xml:space="preserve"> SOLUTION</t>
    </r>
    <r>
      <rPr>
        <sz val="8"/>
        <color theme="2" tint="-0.749992370372631"/>
        <rFont val="Arial"/>
        <family val="2"/>
      </rPr>
      <t xml:space="preserve"> Soil Mechanics Laboratory.</t>
    </r>
  </si>
  <si>
    <r>
      <t xml:space="preserve">Rekompresi Antar Tahap / </t>
    </r>
    <r>
      <rPr>
        <i/>
        <sz val="9"/>
        <color theme="1"/>
        <rFont val="Arial"/>
        <family val="2"/>
      </rPr>
      <t>Interstage Recompression</t>
    </r>
  </si>
  <si>
    <t>²</t>
  </si>
  <si>
    <t>³</t>
  </si>
  <si>
    <t xml:space="preserve">LAMPIRAN /APPENDIX 1 </t>
  </si>
  <si>
    <t>LAMPIRAN /APPENDIX 2</t>
  </si>
  <si>
    <r>
      <rPr>
        <sz val="12"/>
        <color theme="1"/>
        <rFont val="Symbol"/>
        <family val="1"/>
        <charset val="2"/>
      </rPr>
      <t>σ₃</t>
    </r>
    <r>
      <rPr>
        <sz val="12"/>
        <color theme="1"/>
        <rFont val="Calibri"/>
        <family val="2"/>
        <scheme val="minor"/>
      </rPr>
      <t>=50 kPa</t>
    </r>
  </si>
  <si>
    <t>PARAMETER HASIL UJI /TEST RESULT PARAMETERS</t>
  </si>
  <si>
    <t>DATA BENDA UJI /SPECIMEN DATA</t>
  </si>
  <si>
    <t>Diameter Awal / Initial Diameter, mm</t>
  </si>
  <si>
    <t>Tinggi Awal / Initial Height, mm</t>
  </si>
  <si>
    <t>Berat Isi Kering / Dry Density, g/cm³</t>
  </si>
  <si>
    <t>Kadar Air / Moisture Content, (%)</t>
  </si>
  <si>
    <t>Tekanan Sel / Cell Pressure, σ₃ (kPa)</t>
  </si>
  <si>
    <t>Tegangan Deviator saat Keruntuhan /  Deviator Stress at Failure (kPa)</t>
  </si>
  <si>
    <t>Tegangan Utama Mayor saat Keruntuhan /  Major Principal Stress at Failure, σ₁ (kPa)</t>
  </si>
  <si>
    <t>Tegangan Geser saat Keruntuhan / Shear Stress at Failure (kPa)</t>
  </si>
  <si>
    <t>Regangan Aksial saat Keruntuhan / Axial Strain at Failure (%)</t>
  </si>
  <si>
    <r>
      <t xml:space="preserve">Benda Uji / </t>
    </r>
    <r>
      <rPr>
        <i/>
        <sz val="9"/>
        <color theme="1"/>
        <rFont val="Arial"/>
        <family val="2"/>
      </rPr>
      <t>Specimen</t>
    </r>
  </si>
  <si>
    <r>
      <t>Diameter Awal /</t>
    </r>
    <r>
      <rPr>
        <i/>
        <sz val="9"/>
        <color theme="1"/>
        <rFont val="Arial"/>
        <family val="2"/>
      </rPr>
      <t xml:space="preserve"> Initial Diameter</t>
    </r>
    <r>
      <rPr>
        <sz val="9"/>
        <color theme="1"/>
        <rFont val="Arial"/>
        <family val="2"/>
      </rPr>
      <t>, mm</t>
    </r>
  </si>
  <si>
    <r>
      <t>Tinggi Awal /</t>
    </r>
    <r>
      <rPr>
        <i/>
        <sz val="9"/>
        <color theme="1"/>
        <rFont val="Arial"/>
        <family val="2"/>
      </rPr>
      <t xml:space="preserve"> Initial Height</t>
    </r>
    <r>
      <rPr>
        <sz val="9"/>
        <color theme="1"/>
        <rFont val="Arial"/>
        <family val="2"/>
      </rPr>
      <t>, mm</t>
    </r>
  </si>
  <si>
    <r>
      <t>Luas  Awal /</t>
    </r>
    <r>
      <rPr>
        <i/>
        <sz val="9"/>
        <color theme="1"/>
        <rFont val="Arial"/>
        <family val="2"/>
      </rPr>
      <t xml:space="preserve"> Initial Area</t>
    </r>
    <r>
      <rPr>
        <sz val="9"/>
        <color theme="1"/>
        <rFont val="Arial"/>
        <family val="2"/>
      </rPr>
      <t>, cm²</t>
    </r>
  </si>
  <si>
    <r>
      <t>Berat Awal /</t>
    </r>
    <r>
      <rPr>
        <i/>
        <sz val="9"/>
        <color theme="1"/>
        <rFont val="Arial"/>
        <family val="2"/>
      </rPr>
      <t xml:space="preserve"> Initial Weight</t>
    </r>
    <r>
      <rPr>
        <sz val="9"/>
        <color theme="1"/>
        <rFont val="Arial"/>
        <family val="2"/>
      </rPr>
      <t>, g</t>
    </r>
  </si>
  <si>
    <r>
      <t>Kadar Air /</t>
    </r>
    <r>
      <rPr>
        <i/>
        <sz val="9"/>
        <color theme="1"/>
        <rFont val="Arial"/>
        <family val="2"/>
      </rPr>
      <t xml:space="preserve"> Moisture Conten</t>
    </r>
    <r>
      <rPr>
        <sz val="9"/>
        <color theme="1"/>
        <rFont val="Arial"/>
        <family val="2"/>
      </rPr>
      <t>t, (%)</t>
    </r>
  </si>
  <si>
    <r>
      <t xml:space="preserve">Berat Isi Basah / </t>
    </r>
    <r>
      <rPr>
        <i/>
        <sz val="9"/>
        <color theme="1"/>
        <rFont val="Arial"/>
        <family val="2"/>
      </rPr>
      <t>Bulk Density</t>
    </r>
    <r>
      <rPr>
        <sz val="9"/>
        <color theme="1"/>
        <rFont val="Arial"/>
        <family val="2"/>
      </rPr>
      <t>, g/cm³</t>
    </r>
  </si>
  <si>
    <r>
      <t xml:space="preserve">Berat Isi Kering / </t>
    </r>
    <r>
      <rPr>
        <i/>
        <sz val="9"/>
        <color theme="1"/>
        <rFont val="Arial"/>
        <family val="2"/>
      </rPr>
      <t>Dry Density</t>
    </r>
    <r>
      <rPr>
        <sz val="9"/>
        <color theme="1"/>
        <rFont val="Arial"/>
        <family val="2"/>
      </rPr>
      <t>, g/cm³</t>
    </r>
  </si>
  <si>
    <t>UJI TRIAKSIAL - TIDAK TERKONSOLIDASI TIDAK TERDRAINASE (UU)</t>
  </si>
  <si>
    <t>TRIAXIAL TEST - UNCONSOLIDATED UNDRAINED ((UU)</t>
  </si>
  <si>
    <t>KURVA TEGANGAN DEVIATOR TERHADAP REGANGAN</t>
  </si>
  <si>
    <t>DEVIATOR STRESS – STRAIN CURVES</t>
  </si>
  <si>
    <t>LINGKARAN MOHR DAN SELUBUNG KERUNTUHAN</t>
  </si>
  <si>
    <t>MOHR CIRCLES AND FAILURE ENVELOPE</t>
  </si>
  <si>
    <r>
      <t>Nilai /</t>
    </r>
    <r>
      <rPr>
        <i/>
        <sz val="9"/>
        <color theme="1"/>
        <rFont val="Arial"/>
        <family val="2"/>
      </rPr>
      <t xml:space="preserve"> Value</t>
    </r>
  </si>
  <si>
    <t>Triaxial (UU)</t>
  </si>
  <si>
    <r>
      <t xml:space="preserve">HASIL UJI / </t>
    </r>
    <r>
      <rPr>
        <b/>
        <i/>
        <sz val="10"/>
        <color theme="1"/>
        <rFont val="Arial"/>
        <family val="2"/>
      </rPr>
      <t>TEST RESULT</t>
    </r>
  </si>
  <si>
    <r>
      <t xml:space="preserve">Benda Uji / </t>
    </r>
    <r>
      <rPr>
        <i/>
        <sz val="12"/>
        <color theme="1"/>
        <rFont val="Calibri"/>
        <family val="2"/>
        <scheme val="minor"/>
      </rPr>
      <t>Specimen</t>
    </r>
  </si>
  <si>
    <r>
      <t xml:space="preserve">Diameter Benda Uji / </t>
    </r>
    <r>
      <rPr>
        <i/>
        <sz val="12"/>
        <color theme="1"/>
        <rFont val="Calibri"/>
        <family val="2"/>
        <scheme val="minor"/>
      </rPr>
      <t>Specimen Diameter</t>
    </r>
    <r>
      <rPr>
        <sz val="12"/>
        <color theme="1"/>
        <rFont val="Calibri"/>
        <family val="2"/>
        <scheme val="minor"/>
      </rPr>
      <t xml:space="preserve"> (cm)</t>
    </r>
  </si>
  <si>
    <r>
      <t xml:space="preserve">Tinggi Benda Uji / </t>
    </r>
    <r>
      <rPr>
        <i/>
        <sz val="12"/>
        <color theme="1"/>
        <rFont val="Calibri"/>
        <family val="2"/>
        <scheme val="minor"/>
      </rPr>
      <t>Specimen Height</t>
    </r>
    <r>
      <rPr>
        <sz val="12"/>
        <color theme="1"/>
        <rFont val="Calibri"/>
        <family val="2"/>
        <scheme val="minor"/>
      </rPr>
      <t xml:space="preserve"> (cm)</t>
    </r>
  </si>
  <si>
    <r>
      <t xml:space="preserve">Tegangan Normal / </t>
    </r>
    <r>
      <rPr>
        <i/>
        <sz val="12"/>
        <color theme="1"/>
        <rFont val="Calibri"/>
        <family val="2"/>
        <scheme val="minor"/>
      </rPr>
      <t>Normal Stress</t>
    </r>
    <r>
      <rPr>
        <sz val="12"/>
        <color theme="1"/>
        <rFont val="Calibri"/>
        <family val="2"/>
        <scheme val="minor"/>
      </rPr>
      <t xml:space="preserve"> (kPa)</t>
    </r>
  </si>
  <si>
    <r>
      <t xml:space="preserve">Luas Penampang / </t>
    </r>
    <r>
      <rPr>
        <i/>
        <sz val="12"/>
        <color theme="1"/>
        <rFont val="Calibri"/>
        <family val="2"/>
        <scheme val="minor"/>
      </rPr>
      <t>Cross-sectional Area</t>
    </r>
    <r>
      <rPr>
        <sz val="12"/>
        <color theme="1"/>
        <rFont val="Calibri"/>
        <family val="2"/>
        <scheme val="minor"/>
      </rPr>
      <t xml:space="preserve"> (cm²)</t>
    </r>
  </si>
  <si>
    <r>
      <t xml:space="preserve">Tegangan Geser Puncak / </t>
    </r>
    <r>
      <rPr>
        <i/>
        <sz val="12"/>
        <color theme="1"/>
        <rFont val="Calibri"/>
        <family val="2"/>
        <scheme val="minor"/>
      </rPr>
      <t>Peak Shear Stress</t>
    </r>
    <r>
      <rPr>
        <sz val="12"/>
        <color theme="1"/>
        <rFont val="Calibri"/>
        <family val="2"/>
        <scheme val="minor"/>
      </rPr>
      <t xml:space="preserve"> (kPa)</t>
    </r>
  </si>
  <si>
    <r>
      <t xml:space="preserve">Volume Benda Uji / </t>
    </r>
    <r>
      <rPr>
        <i/>
        <sz val="12"/>
        <color theme="1"/>
        <rFont val="Calibri"/>
        <family val="2"/>
        <scheme val="minor"/>
      </rPr>
      <t>Specimen Volume</t>
    </r>
    <r>
      <rPr>
        <sz val="12"/>
        <color theme="1"/>
        <rFont val="Calibri"/>
        <family val="2"/>
        <scheme val="minor"/>
      </rPr>
      <t xml:space="preserve"> (cm³)</t>
    </r>
  </si>
  <si>
    <r>
      <t xml:space="preserve">Tegangan Geser Residual / </t>
    </r>
    <r>
      <rPr>
        <i/>
        <sz val="12"/>
        <color theme="1"/>
        <rFont val="Calibri"/>
        <family val="2"/>
        <scheme val="minor"/>
      </rPr>
      <t>Residual Shear Stress</t>
    </r>
    <r>
      <rPr>
        <sz val="12"/>
        <color theme="1"/>
        <rFont val="Calibri"/>
        <family val="2"/>
        <scheme val="minor"/>
      </rPr>
      <t xml:space="preserve"> (kPa)</t>
    </r>
  </si>
  <si>
    <r>
      <t xml:space="preserve">Kadar Air / </t>
    </r>
    <r>
      <rPr>
        <i/>
        <sz val="12"/>
        <color theme="1"/>
        <rFont val="Calibri"/>
        <family val="2"/>
        <scheme val="minor"/>
      </rPr>
      <t>Moisture Content</t>
    </r>
    <r>
      <rPr>
        <sz val="12"/>
        <color theme="1"/>
        <rFont val="Calibri"/>
        <family val="2"/>
        <scheme val="minor"/>
      </rPr>
      <t xml:space="preserve"> (%)</t>
    </r>
  </si>
  <si>
    <r>
      <t xml:space="preserve">Berat Isi Basah / </t>
    </r>
    <r>
      <rPr>
        <i/>
        <sz val="12"/>
        <color theme="1"/>
        <rFont val="Calibri"/>
        <family val="2"/>
        <scheme val="minor"/>
      </rPr>
      <t>Wet Density</t>
    </r>
    <r>
      <rPr>
        <sz val="12"/>
        <color theme="1"/>
        <rFont val="Calibri"/>
        <family val="2"/>
        <scheme val="minor"/>
      </rPr>
      <t xml:space="preserve"> (g/cm³)</t>
    </r>
  </si>
  <si>
    <r>
      <t xml:space="preserve">Berat Isi Kering / </t>
    </r>
    <r>
      <rPr>
        <i/>
        <sz val="12"/>
        <color theme="1"/>
        <rFont val="Calibri"/>
        <family val="2"/>
        <scheme val="minor"/>
      </rPr>
      <t>Dry Density</t>
    </r>
    <r>
      <rPr>
        <sz val="12"/>
        <color theme="1"/>
        <rFont val="Calibri"/>
        <family val="2"/>
        <scheme val="minor"/>
      </rPr>
      <t xml:space="preserve"> (g/cm³)</t>
    </r>
  </si>
  <si>
    <t>Direct Shear (CD-Residual)</t>
  </si>
  <si>
    <t>GRAFIK PERGESERAN VERTIKAL TERHADAP PERGESERAN HORIZONTAL</t>
  </si>
  <si>
    <t>VERTICAL DISPLACEMENT VS HORIZONTAL DISPLACEMENT CURVE</t>
  </si>
  <si>
    <t>GRAFIK ENVELOPE KUAT GESER</t>
  </si>
  <si>
    <t>SHEAR STRENGTH FAILURE ENVELOPE</t>
  </si>
  <si>
    <t>PARAMETER HASIL UJI /  TEST RESULT PARAMETERS</t>
  </si>
  <si>
    <r>
      <t xml:space="preserve">Parameter Hasil Uji / </t>
    </r>
    <r>
      <rPr>
        <b/>
        <i/>
        <sz val="12"/>
        <color theme="1"/>
        <rFont val="Calibri"/>
        <family val="2"/>
        <scheme val="minor"/>
      </rPr>
      <t>Test Parameters</t>
    </r>
  </si>
  <si>
    <r>
      <t xml:space="preserve">Nilai / </t>
    </r>
    <r>
      <rPr>
        <b/>
        <i/>
        <sz val="12"/>
        <color theme="1"/>
        <rFont val="Calibri"/>
        <family val="2"/>
        <scheme val="minor"/>
      </rPr>
      <t>Value</t>
    </r>
  </si>
  <si>
    <r>
      <t>c (</t>
    </r>
    <r>
      <rPr>
        <i/>
        <sz val="12"/>
        <color theme="1"/>
        <rFont val="Calibri"/>
        <family val="2"/>
        <scheme val="minor"/>
      </rPr>
      <t>Peak Cohesion</t>
    </r>
    <r>
      <rPr>
        <sz val="12"/>
        <color theme="1"/>
        <rFont val="Calibri"/>
        <family val="2"/>
        <scheme val="minor"/>
      </rPr>
      <t>)</t>
    </r>
  </si>
  <si>
    <r>
      <t>φ (</t>
    </r>
    <r>
      <rPr>
        <i/>
        <sz val="12"/>
        <color theme="1"/>
        <rFont val="Calibri"/>
        <family val="2"/>
        <scheme val="minor"/>
      </rPr>
      <t>Peak Friction Angle</t>
    </r>
    <r>
      <rPr>
        <sz val="12"/>
        <color theme="1"/>
        <rFont val="Calibri"/>
        <family val="2"/>
        <scheme val="minor"/>
      </rPr>
      <t>)</t>
    </r>
  </si>
  <si>
    <t>°</t>
  </si>
  <si>
    <r>
      <t>cr (</t>
    </r>
    <r>
      <rPr>
        <i/>
        <sz val="12"/>
        <color theme="1"/>
        <rFont val="Calibri"/>
        <family val="2"/>
        <scheme val="minor"/>
      </rPr>
      <t>Residual Cohesion</t>
    </r>
    <r>
      <rPr>
        <sz val="12"/>
        <color theme="1"/>
        <rFont val="Calibri"/>
        <family val="2"/>
        <scheme val="minor"/>
      </rPr>
      <t>)</t>
    </r>
  </si>
  <si>
    <r>
      <t>φr (</t>
    </r>
    <r>
      <rPr>
        <i/>
        <sz val="12"/>
        <color theme="1"/>
        <rFont val="Calibri"/>
        <family val="2"/>
        <scheme val="minor"/>
      </rPr>
      <t>Residual Friction Angle</t>
    </r>
    <r>
      <rPr>
        <sz val="12"/>
        <color theme="1"/>
        <rFont val="Calibri"/>
        <family val="2"/>
        <scheme val="minor"/>
      </rPr>
      <t>)</t>
    </r>
  </si>
  <si>
    <t>GRAFIK PENURUNAN TERHADAP AKAR WAKTU</t>
  </si>
  <si>
    <t>SETTLEMENT VS √TIME CURVE (DIRECT SHEAR TEST)</t>
  </si>
  <si>
    <t>Direct Shear (CD)</t>
  </si>
  <si>
    <t>GRAFIK TEGANGAN GESER TERHADAP PERGESERAN HORIZONTAL</t>
  </si>
  <si>
    <t>SHEAR STRESS VS HORIZONTAL DISPLACEMENT CURVE</t>
  </si>
  <si>
    <t>Parameter / Parameters</t>
  </si>
  <si>
    <r>
      <t>φ' (</t>
    </r>
    <r>
      <rPr>
        <vertAlign val="superscript"/>
        <sz val="9"/>
        <rFont val="Arial"/>
        <family val="2"/>
      </rPr>
      <t>o</t>
    </r>
    <r>
      <rPr>
        <sz val="9"/>
        <rFont val="Arial"/>
        <family val="2"/>
      </rPr>
      <t>)</t>
    </r>
  </si>
  <si>
    <r>
      <t xml:space="preserve">DATA BENDA UJI / </t>
    </r>
    <r>
      <rPr>
        <b/>
        <i/>
        <sz val="9"/>
        <color theme="1"/>
        <rFont val="Arial"/>
        <family val="2"/>
      </rPr>
      <t>SPECIMEN DATA</t>
    </r>
  </si>
  <si>
    <t>UJI KUAT GESER LANGSUNG -TERKONSOLIDASI TERDRAINASE (CD) - KONDISI RESIDUAL</t>
  </si>
  <si>
    <t>DIRECT SHEAR TEST- CONSOLIDATED DRAINED (CD) - RESIDUAL CONDITION</t>
  </si>
  <si>
    <t>Beban No</t>
  </si>
  <si>
    <r>
      <t xml:space="preserve">Tegangan Normal / </t>
    </r>
    <r>
      <rPr>
        <i/>
        <sz val="9"/>
        <color theme="1"/>
        <rFont val="Arial"/>
        <family val="2"/>
      </rPr>
      <t xml:space="preserve">Normal Stress,σₙ </t>
    </r>
    <r>
      <rPr>
        <sz val="9"/>
        <color theme="1"/>
        <rFont val="Arial"/>
        <family val="2"/>
      </rPr>
      <t xml:space="preserve"> (kPa)</t>
    </r>
  </si>
  <si>
    <r>
      <t xml:space="preserve">Tegangan Geser Saat Runtuh / </t>
    </r>
    <r>
      <rPr>
        <i/>
        <sz val="9"/>
        <color theme="1"/>
        <rFont val="Arial"/>
        <family val="2"/>
      </rPr>
      <t>Shear Stress at Failure, τf</t>
    </r>
    <r>
      <rPr>
        <sz val="9"/>
        <color theme="1"/>
        <rFont val="Arial"/>
        <family val="2"/>
      </rPr>
      <t xml:space="preserve"> (kPa)</t>
    </r>
  </si>
  <si>
    <t>Beban Normal</t>
  </si>
  <si>
    <r>
      <t xml:space="preserve">Beban Normal / </t>
    </r>
    <r>
      <rPr>
        <i/>
        <sz val="9"/>
        <color theme="1"/>
        <rFont val="Arial"/>
        <family val="2"/>
      </rPr>
      <t>Normal Load</t>
    </r>
    <r>
      <rPr>
        <sz val="9"/>
        <color theme="1"/>
        <rFont val="Arial"/>
        <family val="2"/>
      </rPr>
      <t xml:space="preserve"> (Kgf)</t>
    </r>
  </si>
  <si>
    <r>
      <t xml:space="preserve">Beban Normal / </t>
    </r>
    <r>
      <rPr>
        <i/>
        <sz val="12"/>
        <color theme="1"/>
        <rFont val="Calibri"/>
        <family val="2"/>
        <scheme val="minor"/>
      </rPr>
      <t>Normal Load</t>
    </r>
    <r>
      <rPr>
        <sz val="12"/>
        <color theme="1"/>
        <rFont val="Calibri"/>
        <family val="2"/>
        <scheme val="minor"/>
      </rPr>
      <t xml:space="preserve"> (kgf)</t>
    </r>
  </si>
  <si>
    <r>
      <t xml:space="preserve">Tegangan Normal / </t>
    </r>
    <r>
      <rPr>
        <i/>
        <sz val="9"/>
        <color theme="1"/>
        <rFont val="Arial"/>
        <family val="2"/>
      </rPr>
      <t>Normal Stres,,σₙ</t>
    </r>
    <r>
      <rPr>
        <sz val="9"/>
        <color theme="1"/>
        <rFont val="Arial"/>
        <family val="2"/>
      </rPr>
      <t xml:space="preserve"> (kPa)</t>
    </r>
  </si>
  <si>
    <t>Load  (kgf)</t>
  </si>
  <si>
    <t>Shear Strength,  kPa</t>
  </si>
  <si>
    <t>Shear Strength, kPa</t>
  </si>
  <si>
    <t>Scan for report verification</t>
  </si>
  <si>
    <r>
      <t xml:space="preserve">Energi Pemadatan / </t>
    </r>
    <r>
      <rPr>
        <i/>
        <sz val="9"/>
        <color theme="1"/>
        <rFont val="Arial"/>
        <family val="2"/>
      </rPr>
      <t>Compaction Energy</t>
    </r>
    <r>
      <rPr>
        <sz val="9"/>
        <color theme="1"/>
        <rFont val="Arial"/>
        <family val="2"/>
      </rPr>
      <t>, kJ/m³</t>
    </r>
  </si>
  <si>
    <r>
      <t xml:space="preserve">Berat Penumbuk / </t>
    </r>
    <r>
      <rPr>
        <i/>
        <sz val="9"/>
        <color theme="1"/>
        <rFont val="Arial"/>
        <family val="2"/>
      </rPr>
      <t>Hammer Weight</t>
    </r>
    <r>
      <rPr>
        <sz val="9"/>
        <color theme="1"/>
        <rFont val="Arial"/>
        <family val="2"/>
      </rPr>
      <t>, kg</t>
    </r>
  </si>
  <si>
    <r>
      <t xml:space="preserve">Tinggi Jatuh / </t>
    </r>
    <r>
      <rPr>
        <i/>
        <sz val="9"/>
        <color theme="1"/>
        <rFont val="Arial"/>
        <family val="2"/>
      </rPr>
      <t>Drop Height</t>
    </r>
    <r>
      <rPr>
        <sz val="9"/>
        <color theme="1"/>
        <rFont val="Arial"/>
        <family val="2"/>
      </rPr>
      <t>, cm</t>
    </r>
  </si>
  <si>
    <r>
      <t xml:space="preserve">Energi Pemadatan / </t>
    </r>
    <r>
      <rPr>
        <i/>
        <sz val="9"/>
        <color theme="1"/>
        <rFont val="Arial"/>
        <family val="2"/>
      </rPr>
      <t>Compaction Energy</t>
    </r>
    <r>
      <rPr>
        <sz val="9"/>
        <color theme="1"/>
        <rFont val="Arial"/>
        <family val="2"/>
      </rPr>
      <t>,kJ/m³</t>
    </r>
  </si>
  <si>
    <t>Normal</t>
  </si>
  <si>
    <r>
      <t xml:space="preserve">Berat Jenis Tanah / </t>
    </r>
    <r>
      <rPr>
        <i/>
        <sz val="8"/>
        <color theme="1"/>
        <rFont val="Arial"/>
        <family val="2"/>
      </rPr>
      <t>Specific Gravity</t>
    </r>
    <r>
      <rPr>
        <sz val="9"/>
        <color theme="1"/>
        <rFont val="Arial"/>
        <family val="2"/>
      </rPr>
      <t>, Gs ( - )</t>
    </r>
  </si>
  <si>
    <r>
      <t xml:space="preserve">Klasifikasi USCS / </t>
    </r>
    <r>
      <rPr>
        <i/>
        <sz val="9"/>
        <color theme="1"/>
        <rFont val="Arial"/>
        <family val="2"/>
      </rPr>
      <t>USCS Classification</t>
    </r>
  </si>
  <si>
    <r>
      <t xml:space="preserve">Deskripsi USCS / </t>
    </r>
    <r>
      <rPr>
        <i/>
        <sz val="9"/>
        <color theme="1"/>
        <rFont val="Arial"/>
        <family val="2"/>
      </rPr>
      <t>USCS Description</t>
    </r>
  </si>
  <si>
    <r>
      <t>Batas Cair /</t>
    </r>
    <r>
      <rPr>
        <i/>
        <sz val="9"/>
        <color theme="1"/>
        <rFont val="Arial"/>
        <family val="2"/>
      </rPr>
      <t xml:space="preserve"> </t>
    </r>
    <r>
      <rPr>
        <i/>
        <sz val="8"/>
        <color theme="1"/>
        <rFont val="Arial"/>
        <family val="2"/>
      </rPr>
      <t>Liquid Limit</t>
    </r>
    <r>
      <rPr>
        <sz val="9"/>
        <color theme="1"/>
        <rFont val="Arial"/>
        <family val="2"/>
      </rPr>
      <t>, LL (%)</t>
    </r>
  </si>
  <si>
    <r>
      <t xml:space="preserve">Batas Plastis / </t>
    </r>
    <r>
      <rPr>
        <i/>
        <sz val="9"/>
        <color theme="1"/>
        <rFont val="Arial"/>
        <family val="2"/>
      </rPr>
      <t>Plastic Limit</t>
    </r>
    <r>
      <rPr>
        <sz val="9"/>
        <color theme="1"/>
        <rFont val="Arial"/>
        <family val="2"/>
      </rPr>
      <t>, PL (%)</t>
    </r>
  </si>
  <si>
    <r>
      <t xml:space="preserve">Indeks Plastisitas / </t>
    </r>
    <r>
      <rPr>
        <i/>
        <sz val="9"/>
        <color theme="1"/>
        <rFont val="Arial"/>
        <family val="2"/>
      </rPr>
      <t>Plasticity Index</t>
    </r>
    <r>
      <rPr>
        <sz val="9"/>
        <color theme="1"/>
        <rFont val="Arial"/>
        <family val="2"/>
      </rPr>
      <t>, PI (%)</t>
    </r>
  </si>
  <si>
    <r>
      <t xml:space="preserve">Kode Laboratorium / </t>
    </r>
    <r>
      <rPr>
        <i/>
        <sz val="9"/>
        <color theme="1"/>
        <rFont val="Arial"/>
        <family val="2"/>
      </rPr>
      <t>Laboratory Id.</t>
    </r>
  </si>
  <si>
    <r>
      <t>Klien /</t>
    </r>
    <r>
      <rPr>
        <i/>
        <sz val="9"/>
        <color theme="1"/>
        <rFont val="Arial"/>
        <family val="2"/>
      </rPr>
      <t xml:space="preserve"> Client  </t>
    </r>
    <r>
      <rPr>
        <sz val="9"/>
        <color theme="1"/>
        <rFont val="Arial"/>
        <family val="2"/>
      </rPr>
      <t xml:space="preserve">                </t>
    </r>
  </si>
  <si>
    <r>
      <t xml:space="preserve">Alamat / </t>
    </r>
    <r>
      <rPr>
        <i/>
        <sz val="9"/>
        <color theme="1"/>
        <rFont val="Arial"/>
        <family val="2"/>
      </rPr>
      <t>Address</t>
    </r>
    <r>
      <rPr>
        <sz val="9"/>
        <color theme="1"/>
        <rFont val="Arial"/>
        <family val="2"/>
      </rPr>
      <t xml:space="preserve">          </t>
    </r>
  </si>
  <si>
    <r>
      <t xml:space="preserve">Lokasi Proyek / </t>
    </r>
    <r>
      <rPr>
        <i/>
        <sz val="9"/>
        <color theme="1"/>
        <rFont val="Arial"/>
        <family val="2"/>
      </rPr>
      <t xml:space="preserve">Location </t>
    </r>
    <r>
      <rPr>
        <sz val="9"/>
        <color theme="1"/>
        <rFont val="Arial"/>
        <family val="2"/>
      </rPr>
      <t xml:space="preserve">           </t>
    </r>
  </si>
  <si>
    <r>
      <t xml:space="preserve">No. PO / </t>
    </r>
    <r>
      <rPr>
        <i/>
        <sz val="9"/>
        <color theme="1"/>
        <rFont val="Arial"/>
        <family val="2"/>
      </rPr>
      <t xml:space="preserve">PO Number       </t>
    </r>
    <r>
      <rPr>
        <sz val="9"/>
        <color theme="1"/>
        <rFont val="Arial"/>
        <family val="2"/>
      </rPr>
      <t xml:space="preserve">   </t>
    </r>
  </si>
  <si>
    <r>
      <t xml:space="preserve">No. Contoh / </t>
    </r>
    <r>
      <rPr>
        <i/>
        <sz val="9"/>
        <color theme="1"/>
        <rFont val="Arial"/>
        <family val="2"/>
      </rPr>
      <t>Sample Id</t>
    </r>
    <r>
      <rPr>
        <sz val="9"/>
        <color theme="1"/>
        <rFont val="Arial"/>
        <family val="2"/>
      </rPr>
      <t xml:space="preserve">.                  </t>
    </r>
  </si>
  <si>
    <r>
      <t xml:space="preserve">Kedalaman / </t>
    </r>
    <r>
      <rPr>
        <i/>
        <sz val="9"/>
        <color theme="1"/>
        <rFont val="Arial"/>
        <family val="2"/>
      </rPr>
      <t xml:space="preserve">Depth </t>
    </r>
    <r>
      <rPr>
        <sz val="9"/>
        <color theme="1"/>
        <rFont val="Arial"/>
        <family val="2"/>
      </rPr>
      <t xml:space="preserve">(m)                 </t>
    </r>
  </si>
  <si>
    <r>
      <t xml:space="preserve">Jenis Contoh / </t>
    </r>
    <r>
      <rPr>
        <i/>
        <sz val="9"/>
        <color theme="1"/>
        <rFont val="Arial"/>
        <family val="2"/>
      </rPr>
      <t>Sample Type</t>
    </r>
    <r>
      <rPr>
        <sz val="9"/>
        <color theme="1"/>
        <rFont val="Arial"/>
        <family val="2"/>
      </rPr>
      <t xml:space="preserve">            </t>
    </r>
  </si>
  <si>
    <r>
      <t xml:space="preserve">Deskripsi Tanah / </t>
    </r>
    <r>
      <rPr>
        <i/>
        <sz val="9"/>
        <color theme="1"/>
        <rFont val="Arial"/>
        <family val="2"/>
      </rPr>
      <t>Soil Description</t>
    </r>
    <r>
      <rPr>
        <sz val="9"/>
        <color theme="1"/>
        <rFont val="Arial"/>
        <family val="2"/>
      </rPr>
      <t xml:space="preserve">    </t>
    </r>
  </si>
  <si>
    <r>
      <t xml:space="preserve">Warna Tanah / </t>
    </r>
    <r>
      <rPr>
        <i/>
        <sz val="9"/>
        <color theme="1"/>
        <rFont val="Arial"/>
        <family val="2"/>
      </rPr>
      <t xml:space="preserve">Soil Color    </t>
    </r>
    <r>
      <rPr>
        <sz val="9"/>
        <color theme="1"/>
        <rFont val="Arial"/>
        <family val="2"/>
      </rPr>
      <t xml:space="preserve">               </t>
    </r>
  </si>
  <si>
    <r>
      <t xml:space="preserve">Tgl.Diterima / </t>
    </r>
    <r>
      <rPr>
        <i/>
        <sz val="9"/>
        <color theme="1"/>
        <rFont val="Arial"/>
        <family val="2"/>
      </rPr>
      <t xml:space="preserve">Date Received </t>
    </r>
    <r>
      <rPr>
        <sz val="9"/>
        <color theme="1"/>
        <rFont val="Arial"/>
        <family val="2"/>
      </rPr>
      <t xml:space="preserve">           </t>
    </r>
  </si>
  <si>
    <t>Berat Isi Basah /  Bulk Density (g/cm³)</t>
  </si>
  <si>
    <t>FILE ID</t>
  </si>
  <si>
    <r>
      <t xml:space="preserve">Berat Isi Basah / </t>
    </r>
    <r>
      <rPr>
        <i/>
        <sz val="9"/>
        <color theme="1"/>
        <rFont val="Arial"/>
        <family val="2"/>
      </rPr>
      <t>Bulk Density, γ (g/cm³)</t>
    </r>
  </si>
  <si>
    <r>
      <t xml:space="preserve">Berat Mold + Tanah Basah  / </t>
    </r>
    <r>
      <rPr>
        <i/>
        <sz val="9"/>
        <color theme="1"/>
        <rFont val="Arial"/>
        <family val="2"/>
      </rPr>
      <t>Mold + Wet Soil Weight (g)</t>
    </r>
  </si>
  <si>
    <r>
      <t xml:space="preserve">Berat Mold  / </t>
    </r>
    <r>
      <rPr>
        <i/>
        <sz val="9"/>
        <color theme="1"/>
        <rFont val="Arial"/>
        <family val="2"/>
      </rPr>
      <t>Mold Weight (g)</t>
    </r>
  </si>
  <si>
    <r>
      <t xml:space="preserve">Berat Tanah Basah  / </t>
    </r>
    <r>
      <rPr>
        <i/>
        <sz val="9"/>
        <color theme="1"/>
        <rFont val="Arial"/>
        <family val="2"/>
      </rPr>
      <t>Wet Soil Weight (g)</t>
    </r>
  </si>
  <si>
    <r>
      <t xml:space="preserve">Volume Mold  / </t>
    </r>
    <r>
      <rPr>
        <i/>
        <sz val="9"/>
        <color theme="1"/>
        <rFont val="Arial"/>
        <family val="2"/>
      </rPr>
      <t>Mold Volume (cm³)</t>
    </r>
  </si>
  <si>
    <r>
      <t xml:space="preserve">Kadar Air / </t>
    </r>
    <r>
      <rPr>
        <i/>
        <sz val="9"/>
        <color theme="1"/>
        <rFont val="Arial"/>
        <family val="2"/>
      </rPr>
      <t>Moisture Content (%)</t>
    </r>
  </si>
  <si>
    <r>
      <t xml:space="preserve">Berat Isi Basah / </t>
    </r>
    <r>
      <rPr>
        <i/>
        <sz val="9"/>
        <color theme="1"/>
        <rFont val="Arial"/>
        <family val="2"/>
      </rPr>
      <t>Wet Density, γ (g/cm³)</t>
    </r>
  </si>
  <si>
    <r>
      <t xml:space="preserve">Berat Isi Kering / </t>
    </r>
    <r>
      <rPr>
        <i/>
        <sz val="9"/>
        <color theme="1"/>
        <rFont val="Arial"/>
        <family val="2"/>
      </rPr>
      <t>Dry Density, γd (g/cm³)</t>
    </r>
  </si>
  <si>
    <r>
      <t xml:space="preserve">Berat Mold + Tanah Basah / </t>
    </r>
    <r>
      <rPr>
        <i/>
        <sz val="9"/>
        <color theme="1"/>
        <rFont val="Arial"/>
        <family val="2"/>
      </rPr>
      <t>Mold + Wet Soil Weight (g)</t>
    </r>
  </si>
  <si>
    <r>
      <t xml:space="preserve">Volume Mold / </t>
    </r>
    <r>
      <rPr>
        <i/>
        <sz val="9"/>
        <color theme="1"/>
        <rFont val="Arial"/>
        <family val="2"/>
      </rPr>
      <t>Mold Volume (cm³)</t>
    </r>
  </si>
  <si>
    <t>Lempung / Clay</t>
  </si>
  <si>
    <t>Coklat Kekuningan / Yellowish Brown</t>
  </si>
  <si>
    <t>DATA AWAL</t>
  </si>
  <si>
    <t>MAX. Volume Change (cm3)</t>
  </si>
  <si>
    <t>Volume Awal / Initial Volume, mm³</t>
  </si>
  <si>
    <t xml:space="preserve">Luas Awal / Initial Area, </t>
  </si>
  <si>
    <t>Benda Uji / Specimen</t>
  </si>
  <si>
    <t>Berat Isi Basah / Wet Density, g/cm³</t>
  </si>
  <si>
    <t>Tekanan Balik  / Back Pressure (kPa)</t>
  </si>
  <si>
    <t>Tegangan Konsolidasi Efektif / Effective Consolidation Pressure, σ'₃ (kPa)</t>
  </si>
  <si>
    <t>Tekanan Air Pori  / Pore Water Pressure (kPa)</t>
  </si>
  <si>
    <t>: Yes</t>
  </si>
  <si>
    <t>: With Side Drain</t>
  </si>
  <si>
    <t>Luas Terkonsolidasi  / Consolidated Area, Ac (mm²)</t>
  </si>
  <si>
    <t>Tinggi Terkonsolidasi / Consolidated Length, Lc (mm)</t>
  </si>
  <si>
    <t>Volume Terkonsolidasi / Consolidated Volume, Vc (mm³)</t>
  </si>
  <si>
    <t>Faktor Kalibrasi Proving Ring  / Proving Ring Calibration Factor (N/div)</t>
  </si>
  <si>
    <t>Tegangan Deviator Saat Runtuh,  / Deviator Stress at Failure, σd,f (kPa)</t>
  </si>
  <si>
    <t>Tegangan Utama Mayor Saat Runtuh / Major Principal Stress at Failure, σ₁f (kPa)</t>
  </si>
  <si>
    <t>Tegangan Utama Mayor Efektif / Effective Major Principal Stress, σ'₁f (kPa)</t>
  </si>
  <si>
    <t>Tegangan Utama Minor Efektif / Effective Minor Principal Stress, σ'₃f (kPa)</t>
  </si>
  <si>
    <t>Tekanan Air Pori Saat Runtuh / Pore Water Pressure at Failure, uf (kPa)</t>
  </si>
  <si>
    <t>Regangan Aksial Saat Runtuh / Axial Strain at Failure, εf (%)</t>
  </si>
  <si>
    <t>Rasio Tegangan Saat Runtuh / Stress Ratio at Failure, (σ'₁/σ'₃)f</t>
  </si>
  <si>
    <t>Diameter Awal / Initial Diameter (mm)</t>
  </si>
  <si>
    <t>Volume Awal / Initial Volume (mm³)</t>
  </si>
  <si>
    <r>
      <t>Luas Awal / Initial Area  (mm</t>
    </r>
    <r>
      <rPr>
        <vertAlign val="superscript"/>
        <sz val="9"/>
        <color theme="1"/>
        <rFont val="Arial"/>
        <family val="2"/>
      </rPr>
      <t>2</t>
    </r>
    <r>
      <rPr>
        <sz val="9"/>
        <color theme="1"/>
        <rFont val="Arial"/>
        <family val="2"/>
      </rPr>
      <t xml:space="preserve">) </t>
    </r>
  </si>
  <si>
    <t>SCAN FOR REPORT VERIFICATION</t>
  </si>
  <si>
    <t>max Volume Change</t>
  </si>
  <si>
    <r>
      <t xml:space="preserve">Rekompresi Antar Tahap / </t>
    </r>
    <r>
      <rPr>
        <i/>
        <sz val="9"/>
        <color theme="1"/>
        <rFont val="Arial"/>
        <family val="2"/>
      </rPr>
      <t>Interstage Recompression</t>
    </r>
    <r>
      <rPr>
        <sz val="9"/>
        <color theme="1"/>
        <rFont val="Arial"/>
        <family val="2"/>
      </rPr>
      <t xml:space="preserve">      :</t>
    </r>
  </si>
  <si>
    <t xml:space="preserve">Halaman / Pages     </t>
  </si>
  <si>
    <r>
      <t xml:space="preserve">Berat Isi Basah / </t>
    </r>
    <r>
      <rPr>
        <i/>
        <sz val="9"/>
        <color theme="1"/>
        <rFont val="Arial"/>
        <family val="2"/>
      </rPr>
      <t>Wet Density</t>
    </r>
    <r>
      <rPr>
        <sz val="9"/>
        <color theme="1"/>
        <rFont val="Arial"/>
        <family val="2"/>
      </rPr>
      <t xml:space="preserve"> (g/cm³)</t>
    </r>
  </si>
  <si>
    <t>UJI PERMEABILITAS-METODE FALLING HEAD</t>
  </si>
  <si>
    <t>PERMEABILITY TEST - FALLING HEAD METHOD</t>
  </si>
  <si>
    <t>AU</t>
  </si>
  <si>
    <t>h₁ (cm)</t>
  </si>
  <si>
    <t>h₂ (cm)</t>
  </si>
  <si>
    <t>t (s)</t>
  </si>
  <si>
    <t>kT (cm/s)</t>
  </si>
  <si>
    <t>Rata-rata / Average</t>
  </si>
  <si>
    <t>DATA PENGUJIAN / TEST DATA</t>
  </si>
  <si>
    <t>Diameter Pipa Standpipe / Standpipe Diameter (mm)</t>
  </si>
  <si>
    <t>Luas Standpipe / Standpipe Area (cm²)</t>
  </si>
  <si>
    <t>Tinggi Awal / Initial Head,h₁ (cm)</t>
  </si>
  <si>
    <t>Tinggi Akhir / Final Head,h₂ (cm)</t>
  </si>
  <si>
    <t>Waktu Aliran / Elapsed Time,t (s)</t>
  </si>
  <si>
    <t>Suhu Air / Water Temperature (°C)</t>
  </si>
  <si>
    <t>Faktor Koreksi Temperatur / Temperature Correction Factor ( - )</t>
  </si>
  <si>
    <t>SOIL PARAMTER</t>
  </si>
  <si>
    <t>APPARATUS PERMEAMETER</t>
  </si>
  <si>
    <r>
      <t>h</t>
    </r>
    <r>
      <rPr>
        <b/>
        <vertAlign val="subscript"/>
        <sz val="10"/>
        <rFont val="Aptos"/>
        <family val="2"/>
      </rPr>
      <t>1</t>
    </r>
  </si>
  <si>
    <r>
      <t>h</t>
    </r>
    <r>
      <rPr>
        <b/>
        <vertAlign val="subscript"/>
        <sz val="10"/>
        <rFont val="Aptos"/>
        <family val="2"/>
      </rPr>
      <t>2</t>
    </r>
  </si>
  <si>
    <r>
      <t>h</t>
    </r>
    <r>
      <rPr>
        <b/>
        <vertAlign val="subscript"/>
        <sz val="10"/>
        <rFont val="Aptos"/>
        <family val="2"/>
      </rPr>
      <t>1</t>
    </r>
    <r>
      <rPr>
        <b/>
        <sz val="10"/>
        <rFont val="Aptos"/>
        <family val="2"/>
      </rPr>
      <t>/h</t>
    </r>
    <r>
      <rPr>
        <b/>
        <vertAlign val="subscript"/>
        <sz val="10"/>
        <rFont val="Aptos"/>
        <family val="2"/>
      </rPr>
      <t>2</t>
    </r>
  </si>
  <si>
    <r>
      <t>log h</t>
    </r>
    <r>
      <rPr>
        <b/>
        <vertAlign val="subscript"/>
        <sz val="10"/>
        <rFont val="Aptos"/>
        <family val="2"/>
      </rPr>
      <t>1</t>
    </r>
    <r>
      <rPr>
        <b/>
        <sz val="10"/>
        <rFont val="Aptos"/>
        <family val="2"/>
      </rPr>
      <t>/h</t>
    </r>
    <r>
      <rPr>
        <b/>
        <vertAlign val="subscript"/>
        <sz val="10"/>
        <rFont val="Aptos"/>
        <family val="2"/>
      </rPr>
      <t>2</t>
    </r>
  </si>
  <si>
    <t>temp</t>
  </si>
  <si>
    <t>Diameter Benda Uji / Specimen Diameter (mm)</t>
  </si>
  <si>
    <t>Tinggi Benda Uji / Specimen Height (mm)</t>
  </si>
  <si>
    <t>Volume Benda Uji / Specimen Volume (cm³)</t>
  </si>
  <si>
    <t>Koefisien Permeabilitas / Coefficient of Permeability (cm/s)</t>
  </si>
  <si>
    <t>Koefisien Permeabilitas Terkoreksi / Corrected Coefficient of Permeability,20°C (cm/s)</t>
  </si>
  <si>
    <t>Hasil / Value</t>
  </si>
  <si>
    <t>Temperatur (°C)</t>
  </si>
  <si>
    <t>Faktor koreksi (C_t)</t>
  </si>
  <si>
    <t>Ct</t>
  </si>
  <si>
    <t>"Temperatur air pengujian ditentukan sebagai rata-rata temperatur awal dan akhir pengujian. Apabila perbedaan temperatur melebihi 2°C, pengujian diulang atau dilakukan evaluasi teknis."</t>
  </si>
  <si>
    <r>
      <t>kT</t>
    </r>
    <r>
      <rPr>
        <vertAlign val="subscript"/>
        <sz val="9"/>
        <color theme="1"/>
        <rFont val="Arial"/>
        <family val="2"/>
      </rPr>
      <t>20</t>
    </r>
    <r>
      <rPr>
        <sz val="9"/>
        <color theme="1"/>
        <rFont val="Arial"/>
        <family val="2"/>
      </rPr>
      <t xml:space="preserve"> (cm/s)</t>
    </r>
  </si>
  <si>
    <t>Luas Penampang / Cross-sectional Area ( cm²)</t>
  </si>
  <si>
    <t>Hitam / Black</t>
  </si>
  <si>
    <t>C-1</t>
  </si>
  <si>
    <t>Group Composit</t>
  </si>
  <si>
    <t xml:space="preserve">   Mekanika Tanah PT. TERRAFORMA GEOTEKNIK INDONESIA.</t>
  </si>
  <si>
    <t>PT. TERRAFORMA GEOTEKNIK INDONESIA Soil Mechanics Laboratory.</t>
  </si>
  <si>
    <t>PT. TERRAFORMA GEOTEKNIK INDONESIA</t>
  </si>
  <si>
    <t>from PT. TERRAFORMA GEOTEKNIK INDONESIA Soil Mechanics Laboratory.</t>
  </si>
  <si>
    <t xml:space="preserve">  Mekanika Tanah PT. TERRAFORMA GEOTEKNIK INDONESIA.</t>
  </si>
  <si>
    <r>
      <t>PT.TERRA</t>
    </r>
    <r>
      <rPr>
        <b/>
        <sz val="14"/>
        <color rgb="FFFF0000"/>
        <rFont val="Arial"/>
        <family val="2"/>
      </rPr>
      <t>FORMA</t>
    </r>
    <r>
      <rPr>
        <b/>
        <sz val="14"/>
        <color theme="4" tint="-0.249977111117893"/>
        <rFont val="Arial"/>
        <family val="2"/>
      </rPr>
      <t xml:space="preserve"> GEOTEKNIK INDONESIA</t>
    </r>
  </si>
  <si>
    <r>
      <t>PT. TERRA</t>
    </r>
    <r>
      <rPr>
        <b/>
        <sz val="16"/>
        <color rgb="FFFF0000"/>
        <rFont val="Arial"/>
        <family val="2"/>
      </rPr>
      <t>FORMA</t>
    </r>
    <r>
      <rPr>
        <b/>
        <sz val="16"/>
        <color theme="4" tint="-0.249977111117893"/>
        <rFont val="Arial"/>
        <family val="2"/>
      </rPr>
      <t xml:space="preserve"> GEOTEKNIK INDONESIA</t>
    </r>
  </si>
  <si>
    <t>UJI TRIAKSIAL - TERKONSOLIDASI  TERDRAINASE (CD)</t>
  </si>
  <si>
    <t>TRIAXIAL TEST- CONSOLIDATED DRAINED (CD)</t>
  </si>
  <si>
    <t>volume change</t>
  </si>
  <si>
    <t>volume chage reading</t>
  </si>
  <si>
    <t>Delta V (cm3)</t>
  </si>
  <si>
    <t>Volumetric strain (%)</t>
  </si>
  <si>
    <t xml:space="preserve">Factor kalibrasi volume change </t>
  </si>
  <si>
    <t>misalkan 0.01 cm3/div</t>
  </si>
  <si>
    <t>reading awal-reading saat ini</t>
  </si>
  <si>
    <t>Cr</t>
  </si>
  <si>
    <t>Minimal 3  beban unloading</t>
  </si>
  <si>
    <t>Status</t>
  </si>
  <si>
    <t>Loading Sequence</t>
  </si>
  <si>
    <t>Unloading Sequence</t>
  </si>
  <si>
    <t>R² Cr</t>
  </si>
  <si>
    <t>Cv Tabel</t>
  </si>
  <si>
    <t>Mv Tabel</t>
  </si>
  <si>
    <t>k Tabel</t>
  </si>
  <si>
    <t>OVERALL STATUS</t>
  </si>
  <si>
    <t>ENGGINERING REMINDER</t>
  </si>
  <si>
    <t>Min</t>
  </si>
  <si>
    <t>Max</t>
  </si>
  <si>
    <t>Reminder</t>
  </si>
  <si>
    <t>Clay</t>
  </si>
  <si>
    <t>Kode</t>
  </si>
  <si>
    <t>CL</t>
  </si>
  <si>
    <t>Lempung</t>
  </si>
  <si>
    <t>CLS</t>
  </si>
  <si>
    <t>Lempung Pasiran</t>
  </si>
  <si>
    <t>Pasir</t>
  </si>
  <si>
    <t>CSL</t>
  </si>
  <si>
    <t>Lempung Lanauan</t>
  </si>
  <si>
    <t>Lanau</t>
  </si>
  <si>
    <t>SD</t>
  </si>
  <si>
    <t>SDC</t>
  </si>
  <si>
    <t>Pasir Lempungan</t>
  </si>
  <si>
    <t>SDS</t>
  </si>
  <si>
    <t>Pasir Lanauan</t>
  </si>
  <si>
    <t>SL</t>
  </si>
  <si>
    <t>SLC</t>
  </si>
  <si>
    <t>Lanau Lempungan</t>
  </si>
  <si>
    <t>SLS</t>
  </si>
  <si>
    <t>Lanau Pasiran</t>
  </si>
  <si>
    <t>GR</t>
  </si>
  <si>
    <t>Kerikil</t>
  </si>
  <si>
    <t>English</t>
  </si>
  <si>
    <t>Bilingual</t>
  </si>
  <si>
    <t>Sandy Clay</t>
  </si>
  <si>
    <t>Lempung Pasiran / Sandy Clay</t>
  </si>
  <si>
    <t>Silty Clay</t>
  </si>
  <si>
    <t>Lempung Lanauan / Silty Clay</t>
  </si>
  <si>
    <t>Pasir / Sand</t>
  </si>
  <si>
    <t>Clayey Sand</t>
  </si>
  <si>
    <t>Pasir Lempungan / Clayey Sand</t>
  </si>
  <si>
    <t>DB DESKRIPSI</t>
  </si>
  <si>
    <t>Deskripsi Indonesia</t>
  </si>
  <si>
    <t>CLG</t>
  </si>
  <si>
    <t>Lempung Kerikilan</t>
  </si>
  <si>
    <t>Gravelly Clay</t>
  </si>
  <si>
    <t>Lempung Kerikilan / Gravelly Clay</t>
  </si>
  <si>
    <t>Silty Sand</t>
  </si>
  <si>
    <t>Pasir Lanauan / Silty Sand</t>
  </si>
  <si>
    <t>SDG</t>
  </si>
  <si>
    <t>Pasir Kerikilan</t>
  </si>
  <si>
    <t>Gravelly Sand</t>
  </si>
  <si>
    <t>Pasir Kerikilan / Gravelly Sand</t>
  </si>
  <si>
    <t>Clayey Silt</t>
  </si>
  <si>
    <t>Lanau Lempungan / Clayey Silt</t>
  </si>
  <si>
    <t>Sandy Silt</t>
  </si>
  <si>
    <t>Lanau Pasiran / Sandy Silt</t>
  </si>
  <si>
    <t>Gravel</t>
  </si>
  <si>
    <t>Kerikil / Gravel</t>
  </si>
  <si>
    <t>KODE</t>
  </si>
  <si>
    <t>==================================</t>
  </si>
  <si>
    <t>QC DASHBOARD KONSOLIDASI</t>
  </si>
  <si>
    <t>Deskripsi Tanah :</t>
  </si>
  <si>
    <t>----------------------------------</t>
  </si>
  <si>
    <t>ENGINEERING REMINDER</t>
  </si>
  <si>
    <t>Average</t>
  </si>
  <si>
    <t>Trend</t>
  </si>
  <si>
    <t>Kategori</t>
  </si>
  <si>
    <t>Sedang-Tinggi</t>
  </si>
  <si>
    <t>Cc relatif tinggi, periksa bila sangat rendah</t>
  </si>
  <si>
    <t>Rendah</t>
  </si>
  <si>
    <t>Cr harus lebih kecil dari Cc</t>
  </si>
  <si>
    <t>Sedang</t>
  </si>
  <si>
    <t>Cc sedang untuk lempung pasiran</t>
  </si>
  <si>
    <t>Cr tetap lebih kecil dari Cc</t>
  </si>
  <si>
    <t>Rendah-Sedang</t>
  </si>
  <si>
    <t>Lanau mempunyai kompresibilitas sedang</t>
  </si>
  <si>
    <t>Nilai Cr umumnya kecil</t>
  </si>
  <si>
    <t>TABEL ENGINEERING REMINDER</t>
  </si>
  <si>
    <t>ER</t>
  </si>
  <si>
    <t>Sangat Rendah</t>
  </si>
  <si>
    <t>Sangat Tinggi</t>
  </si>
  <si>
    <t>Kategori Hasil</t>
  </si>
  <si>
    <t>Kategori Normal</t>
  </si>
  <si>
    <t>Kode Hasil</t>
  </si>
  <si>
    <t>Engineering Reminder</t>
  </si>
  <si>
    <t>Lempung umumnya mempunyai kompresibilitas sedang hingga tinggi.</t>
  </si>
  <si>
    <t>Nilai Cr umumnya kecil.</t>
  </si>
  <si>
    <t>Lempung pasiran mempunyai kompresibilitas sedang.</t>
  </si>
  <si>
    <t>Kandungan kerikil menurunkan kompresibilitas.</t>
  </si>
  <si>
    <t>SLT</t>
  </si>
  <si>
    <t>Lanau mempunyai kompresibilitas rendah hingga sedang.</t>
  </si>
  <si>
    <t>Lanau pasiran umumnya berkonsolidasi lebih kecil.</t>
  </si>
  <si>
    <t>Pasir mempunyai kompresibilitas sangat rendah.</t>
  </si>
  <si>
    <t>Nilai Cr sangat kecil.</t>
  </si>
  <si>
    <t>Pasir lempungan mempunyai kompresibilitas rendah.</t>
  </si>
  <si>
    <t>Pasir lanauan mempunyai kompresibilitas rendah.</t>
  </si>
  <si>
    <t>Kandungan kerikil menyebabkan kompresibilitas sangat rendah.</t>
  </si>
  <si>
    <t>Kerikil mempunyai kompresibilitas sangat rendah.</t>
  </si>
  <si>
    <t>e₀</t>
  </si>
  <si>
    <t>Lempung umumnya mempunyai void ratio awal sedang hingga tinggi.</t>
  </si>
  <si>
    <t>Lempung pasiran umumnya mempunyai void ratio sedang.</t>
  </si>
  <si>
    <t>Kandungan kerikil menurunkan void ratio awal.</t>
  </si>
  <si>
    <t>Lanau umumnya mempunyai void ratio sedang.</t>
  </si>
  <si>
    <t>Lanau pasiran cenderung mempunyai void ratio lebih kecil.</t>
  </si>
  <si>
    <t>Pasir umumnya mempunyai void ratio rendah.</t>
  </si>
  <si>
    <t>Pasir lempungan mempunyai void ratio rendah.</t>
  </si>
  <si>
    <t>Pasir lanauan mempunyai void ratio rendah.</t>
  </si>
  <si>
    <t>Kandungan kerikil menghasilkan void ratio sangat rendah.</t>
  </si>
  <si>
    <t>Kerikil umumnya mempunyai void ratio sangat rendah.</t>
  </si>
  <si>
    <t>ALL</t>
  </si>
  <si>
    <t>Evaluasi nilai Pc terhadap kurva e-log p, tekanan overburden, dan OCR. Nilai Pc tidak dapat dinilai hanya berdasarkan jenis tanah.</t>
  </si>
  <si>
    <t>QC MULTI  VALUE</t>
  </si>
  <si>
    <t>Completness</t>
  </si>
  <si>
    <t>Logical Check</t>
  </si>
  <si>
    <t>Referensi</t>
  </si>
  <si>
    <t>Das (2016)</t>
  </si>
  <si>
    <t>Historical Data</t>
  </si>
  <si>
    <t>Reff.</t>
  </si>
  <si>
    <t>=============================================</t>
  </si>
  <si>
    <t>QC DASHBOARD PHYSICAL PROPEERTIES</t>
  </si>
  <si>
    <t>Completeness</t>
  </si>
  <si>
    <t>Eng. Category</t>
  </si>
  <si>
    <t>Eng.Reminder</t>
  </si>
  <si>
    <t>Reff</t>
  </si>
  <si>
    <t>Berat Isi Basah / Bulk Density (g/cm³)</t>
  </si>
  <si>
    <t>Berat Isi Kering / Dry Density (g/m³)</t>
  </si>
  <si>
    <t>SG</t>
  </si>
  <si>
    <t>MC</t>
  </si>
  <si>
    <t>Terzaghi &amp; Peck</t>
  </si>
  <si>
    <t>Bowles</t>
  </si>
  <si>
    <t>Das</t>
  </si>
  <si>
    <t>Engineering Note</t>
  </si>
  <si>
    <t>PASS</t>
  </si>
  <si>
    <t>Konsisten dengan karakteristik umum tanah lempung.</t>
  </si>
  <si>
    <t>REVIEW</t>
  </si>
  <si>
    <t>Perlu ditinjau kembali terhadap deskripsi megaskopis atau hasil pengujian lain.</t>
  </si>
  <si>
    <t>Sumber Contoh / Sample Source</t>
  </si>
  <si>
    <t>QC DASHBOARD ATTENBERG LIMIT TEST</t>
  </si>
  <si>
    <t>ASTM D4318</t>
  </si>
  <si>
    <t>ASTM D2487</t>
  </si>
  <si>
    <t>interval  Check</t>
  </si>
  <si>
    <t>Rendah–Sedang</t>
  </si>
  <si>
    <t>Tinggi–Sangat Tinggi</t>
  </si>
  <si>
    <t>Deskripsi</t>
  </si>
  <si>
    <t>USCS</t>
  </si>
  <si>
    <t>USCS EVALUATION</t>
  </si>
  <si>
    <t>STATUS</t>
  </si>
  <si>
    <t>ENGINERING ASSESMENT</t>
  </si>
  <si>
    <t>Assessment</t>
  </si>
  <si>
    <r>
      <t xml:space="preserve">Sumber Contoh / </t>
    </r>
    <r>
      <rPr>
        <i/>
        <sz val="9"/>
        <color theme="1"/>
        <rFont val="Arial"/>
        <family val="2"/>
      </rPr>
      <t>Sample Source</t>
    </r>
    <r>
      <rPr>
        <sz val="9"/>
        <color theme="1"/>
        <rFont val="Arial"/>
        <family val="2"/>
      </rPr>
      <t xml:space="preserve">              </t>
    </r>
  </si>
  <si>
    <t>Fines (%)</t>
  </si>
  <si>
    <t>Gradasi</t>
  </si>
  <si>
    <t>logical  Check</t>
  </si>
  <si>
    <t>Sangat Halus</t>
  </si>
  <si>
    <t>Halus</t>
  </si>
  <si>
    <t>Kasar</t>
  </si>
  <si>
    <t>Sangat Kasar</t>
  </si>
  <si>
    <t>Sangat Seragam</t>
  </si>
  <si>
    <t>Seragam</t>
  </si>
  <si>
    <t>Baik</t>
  </si>
  <si>
    <t>Sangat Baik</t>
  </si>
  <si>
    <t>Poorly Graded</t>
  </si>
  <si>
    <t>Borderline</t>
  </si>
  <si>
    <t>Well Graded</t>
  </si>
  <si>
    <t>QC DASHBOARD SIEVE &amp; HIDROMETER</t>
  </si>
  <si>
    <t>KATEGORI HASIl</t>
  </si>
  <si>
    <t>Dominan Fraksi</t>
  </si>
  <si>
    <t>Pasir bersih umumnya mempunyai kandungan kerikil sangat rendah.</t>
  </si>
  <si>
    <t>Pasir umumnya didominasi fraksi pasir.</t>
  </si>
  <si>
    <t>Kandungan butiran halus umumnya rendah.</t>
  </si>
  <si>
    <t>Sedang–Tinggi</t>
  </si>
  <si>
    <t>Lanau umumnya mempunyai kandungan fines sedang hingga tinggi.</t>
  </si>
  <si>
    <t>Lempung umumnya didominasi butiran halus.</t>
  </si>
  <si>
    <t>Kerikil umumnya didominasi fraksi kerikil.</t>
  </si>
  <si>
    <t>Gradation Aplicability</t>
  </si>
  <si>
    <t>Gardation  Classification</t>
  </si>
  <si>
    <t>Engineering assesment</t>
  </si>
  <si>
    <t>GRADATION EVALUATION / EVALUASI GRADASI</t>
  </si>
  <si>
    <r>
      <rPr>
        <b/>
        <sz val="8"/>
        <color theme="1"/>
        <rFont val="Arial"/>
        <family val="2"/>
      </rPr>
      <t>SUMBER CONTOH / SAMPLE SOURCE</t>
    </r>
    <r>
      <rPr>
        <sz val="8"/>
        <color theme="1"/>
        <rFont val="Arial"/>
        <family val="2"/>
      </rPr>
      <t xml:space="preserve">           </t>
    </r>
  </si>
  <si>
    <r>
      <rPr>
        <b/>
        <sz val="9"/>
        <color rgb="FFFF0000"/>
        <rFont val="Arial"/>
        <family val="2"/>
      </rPr>
      <t>NO. CONTOH</t>
    </r>
    <r>
      <rPr>
        <sz val="9"/>
        <color rgb="FFFF0000"/>
        <rFont val="Arial"/>
        <family val="2"/>
      </rPr>
      <t xml:space="preserve"> / </t>
    </r>
    <r>
      <rPr>
        <i/>
        <sz val="9"/>
        <color rgb="FFFF0000"/>
        <rFont val="Arial"/>
        <family val="2"/>
      </rPr>
      <t>Sample Id</t>
    </r>
    <r>
      <rPr>
        <sz val="9"/>
        <color rgb="FFFF0000"/>
        <rFont val="Arial"/>
        <family val="2"/>
      </rPr>
      <t xml:space="preserve">.               </t>
    </r>
  </si>
  <si>
    <t>Specialized Evaluation</t>
  </si>
  <si>
    <t>QC DASHBOARD DS-CD</t>
  </si>
  <si>
    <t>VALUE</t>
  </si>
  <si>
    <t>Peak Cohesion (c')</t>
  </si>
  <si>
    <t>Peak Friction Angle (φ')</t>
  </si>
  <si>
    <t>Engineering Assessment</t>
  </si>
  <si>
    <t>ASTM D3080; Das (2016)</t>
  </si>
  <si>
    <t>THEORITICAL CHECK</t>
  </si>
  <si>
    <t>ENGGINEERING CATEGORY</t>
  </si>
  <si>
    <t>Kategory Hasil</t>
  </si>
  <si>
    <t>max</t>
  </si>
  <si>
    <t xml:space="preserve">Reminder </t>
  </si>
  <si>
    <t>ENGGINEERING EVALUATION</t>
  </si>
  <si>
    <t xml:space="preserve">Kategori normal </t>
  </si>
  <si>
    <t>PRELIMINARY ENGGINERING REVIEWS</t>
  </si>
  <si>
    <t>Sudut geser lanau umumnya sedang.</t>
  </si>
  <si>
    <t>TABEL ENGGINEERING CATEGORY</t>
  </si>
  <si>
    <t>TABEL ENGGINEERING REMAINDER</t>
  </si>
  <si>
    <t>Lean Clay umumnya mempunyai kohesi sedang hingga tinggi.</t>
  </si>
  <si>
    <t>Sudut geser Lean Clay umumnya rendah hingga sedang.</t>
  </si>
  <si>
    <t>Kandungan pasir dapat sedikit menurunkan kohesi dibanding CL.</t>
  </si>
  <si>
    <t>Kandungan pasir dapat meningkatkan sudut geser.</t>
  </si>
  <si>
    <t>Kandungan lanau mempengaruhi kohesi dan plastisitas.</t>
  </si>
  <si>
    <t>Sudut geser sedikit lebih rendah dibanding sandy lean clay.</t>
  </si>
  <si>
    <t>Kandungan kerikil meningkatkan interlocking tetapi kohesi tetap didominasi matriks lempung.</t>
  </si>
  <si>
    <t>Kehadiran kerikil dapat meningkatkan sudut geser.</t>
  </si>
  <si>
    <t>Pasir umumnya mempunyai kohesi sangat rendah.</t>
  </si>
  <si>
    <t>Kekuatan geser pasir didominasi oleh gesekan antar butir.</t>
  </si>
  <si>
    <t>Kandungan lempung meningkatkan kohesi pasir.</t>
  </si>
  <si>
    <t>Sudut geser lebih rendah dibanding pasir bersih.</t>
  </si>
  <si>
    <t>Kandungan lanau memberi sedikit kohesi semu.</t>
  </si>
  <si>
    <t>Sudut geser masih didominasi fraksi pasir.</t>
  </si>
  <si>
    <t>Kohesi tetap rendah karena didominasi material granular.</t>
  </si>
  <si>
    <t>Kerikil meningkatkan interlocking dan sudut geser.</t>
  </si>
  <si>
    <t>Lanau umumnya mempunyai kohesi rendah.</t>
  </si>
  <si>
    <t>Kandungan lempung meningkatkan kohesi lanau.</t>
  </si>
  <si>
    <t>Sudut geser menurun akibat fraksi lempung.</t>
  </si>
  <si>
    <t>Kandungan pasir memberi sedikit peningkatan kekuatan geser.</t>
  </si>
  <si>
    <t>Sudut geser sedikit lebih tinggi dibanding lanau murni.</t>
  </si>
  <si>
    <t>Kerikil praktis tidak mempunyai kohesi.</t>
  </si>
  <si>
    <t>Interlocking antar butir menghasilkan sudut geser sangat tinggi.</t>
  </si>
  <si>
    <t>Theory Status</t>
  </si>
  <si>
    <t>Engineering Status</t>
  </si>
  <si>
    <t>Overall Status</t>
  </si>
  <si>
    <t>ACCEPT</t>
  </si>
  <si>
    <t>Parameter hasil uji berada dalam rentang teoritis dan konsisten dengan karakteristik umum tanah berdasarkan deskripsi megaskopis. Hasil dapat diterima secara engineering.</t>
  </si>
  <si>
    <t>Parameter hasil uji berada dalam rentang teoritis, namun terdapat ketidaksesuaian dengan karakteristik umum tanah. Disarankan melakukan peninjauan terhadap identifikasi contoh, kondisi spesimen, atau hasil pengujian.</t>
  </si>
  <si>
    <t>Parameter hasil uji tidak berada dalam rentang teoritis meskipun masih sesuai dengan karakteristik umum tanah. Periksa kembali data pengujian, perhitungan, dan satuan yang digunakan.</t>
  </si>
  <si>
    <t>RE-ANALYZE</t>
  </si>
  <si>
    <t>Parameter hasil uji tidak memenuhi rentang teoritis dan tidak sesuai dengan karakteristik umum tanah. Disarankan melakukan evaluasi ulang sebelum LHU diterbitkan.</t>
  </si>
  <si>
    <t>OVERALL THEORITICAL STATUS\</t>
  </si>
  <si>
    <t>OVERALL ENGG.STATUS</t>
  </si>
  <si>
    <t>ENGGINEERING ASSESTMENT</t>
  </si>
  <si>
    <r>
      <rPr>
        <b/>
        <sz val="10"/>
        <color rgb="FFFF0000"/>
        <rFont val="Arial"/>
        <family val="2"/>
      </rPr>
      <t>NO. CONTOH</t>
    </r>
    <r>
      <rPr>
        <sz val="10"/>
        <color rgb="FFFF0000"/>
        <rFont val="Arial"/>
        <family val="2"/>
      </rPr>
      <t xml:space="preserve"> / </t>
    </r>
    <r>
      <rPr>
        <i/>
        <sz val="10"/>
        <color rgb="FFFF0000"/>
        <rFont val="Arial"/>
        <family val="2"/>
      </rPr>
      <t>Sample Id</t>
    </r>
    <r>
      <rPr>
        <sz val="10"/>
        <color rgb="FFFF0000"/>
        <rFont val="Arial"/>
        <family val="2"/>
      </rPr>
      <t xml:space="preserve">.               </t>
    </r>
  </si>
  <si>
    <t>QC DASHBOARD DS-CD RESIDUAL</t>
  </si>
  <si>
    <t>Satuan</t>
  </si>
  <si>
    <t>ASTM D3080 / SNI</t>
  </si>
  <si>
    <t>Residual Cohesion (cr')</t>
  </si>
  <si>
    <t>ASTM D3080 / Das (2016)</t>
  </si>
  <si>
    <t>Residual Friction Angle (φr')</t>
  </si>
  <si>
    <t>TABEL THEORITICAL CHECK</t>
  </si>
  <si>
    <t>Kohesi puncak umumnya sedang hingga tinggi akibat ikatan antarpartikel lempung.</t>
  </si>
  <si>
    <t>Das (2016); Head (2006)</t>
  </si>
  <si>
    <t>Sudut geser puncak relatif rendah hingga sedang.</t>
  </si>
  <si>
    <t>Setelah struktur tanah rusak, kohesi residual umumnya menurun nyata.</t>
  </si>
  <si>
    <t>Head (2006)</t>
  </si>
  <si>
    <t>Sudut geser residual umumnya sedikit lebih rendah atau mendekati sudut geser puncak.</t>
  </si>
  <si>
    <t>Kandungan pasir menurunkan kohesi dibanding CL.</t>
  </si>
  <si>
    <t>Pasir meningkatkan interlocking butiran.</t>
  </si>
  <si>
    <t>Kohesi residual tetap rendah setelah bidang geser terbentuk.</t>
  </si>
  <si>
    <t>Sudut geser residual masih dipengaruhi fraksi pasir.</t>
  </si>
  <si>
    <t>Lanau menurunkan kohesi dibanding lempung murni.</t>
  </si>
  <si>
    <t>Sudut geser sedang.</t>
  </si>
  <si>
    <t>Kohesi residual relatif rendah.</t>
  </si>
  <si>
    <t>Nilai residual umumnya sedikit di bawah peak.</t>
  </si>
  <si>
    <t>Kerikil meningkatkan stabilitas tetapi kohesi tetap dikontrol matriks lempung.</t>
  </si>
  <si>
    <t>Interlocking kerikil meningkatkan φ'.</t>
  </si>
  <si>
    <t>Kohesi residual turun setelah struktur lempung rusak.</t>
  </si>
  <si>
    <t>Interlocking kerikil tetap memberikan tahanan geser.</t>
  </si>
  <si>
    <t>Pasir bersih praktis tidak memiliki kohesi.</t>
  </si>
  <si>
    <t>Gesekan antarbutir mendominasi kuat geser.</t>
  </si>
  <si>
    <t>Kohesi residual mendekati nol.</t>
  </si>
  <si>
    <t>Sudut geser residual tetap tinggi walaupun sedikit menurun.</t>
  </si>
  <si>
    <t>φ' lebih rendah dibanding pasir bersih.</t>
  </si>
  <si>
    <t>Kohesi residual tetap rendah.</t>
  </si>
  <si>
    <t>Lanau memberi sedikit kohesi semu.</t>
  </si>
  <si>
    <t>Didominasi perilaku pasir.</t>
  </si>
  <si>
    <t>Kohesi residual sangat kecil.</t>
  </si>
  <si>
    <t>Nilai residual tetap dipengaruhi fraksi pasir.</t>
  </si>
  <si>
    <t>Material granular hampir tidak mempunyai kohesi.</t>
  </si>
  <si>
    <t>Interlocking pasir-kerikil menghasilkan φ' tinggi.</t>
  </si>
  <si>
    <t>Sudut geser residual tetap tinggi.</t>
  </si>
  <si>
    <t>Lanau memiliki kohesi rendah.</t>
  </si>
  <si>
    <t>Sudut geser umumnya sedang.</t>
  </si>
  <si>
    <t>Kohesi residual kecil.</t>
  </si>
  <si>
    <t>Sudut geser residual sedikit di bawah peak.</t>
  </si>
  <si>
    <t>Sudut geser sedikit lebih rendah.</t>
  </si>
  <si>
    <t>Kohesi residual tetap lebih rendah daripada peak.</t>
  </si>
  <si>
    <t>Nilai residual umumnya sedikit lebih kecil.</t>
  </si>
  <si>
    <t>Kandungan pasir meningkatkan kuat geser namun kohesi tetap rendah.</t>
  </si>
  <si>
    <t>Sudut geser residual tetap sedang.</t>
  </si>
  <si>
    <t>Kerikil praktis tidak memiliki kohesi.</t>
  </si>
  <si>
    <t>Interlocking kerikil menghasilkan sudut geser sangat tinggi.</t>
  </si>
  <si>
    <t>Nilai residual tetap sangat tinggi karena mekanisme gesekan antarbutir.</t>
  </si>
  <si>
    <t>Peak–Residual Relationship</t>
  </si>
  <si>
    <t>Peak Cohesion ≥ Residual Cohesion</t>
  </si>
  <si>
    <r>
      <rPr>
        <b/>
        <sz val="11"/>
        <color rgb="FFFF0000"/>
        <rFont val="Arial"/>
        <family val="2"/>
      </rPr>
      <t>NO. CONTOH</t>
    </r>
    <r>
      <rPr>
        <sz val="11"/>
        <color rgb="FFFF0000"/>
        <rFont val="Arial"/>
        <family val="2"/>
      </rPr>
      <t xml:space="preserve"> / </t>
    </r>
    <r>
      <rPr>
        <i/>
        <sz val="11"/>
        <color rgb="FFFF0000"/>
        <rFont val="Arial"/>
        <family val="2"/>
      </rPr>
      <t>Sample Id</t>
    </r>
    <r>
      <rPr>
        <sz val="11"/>
        <color rgb="FFFF0000"/>
        <rFont val="Arial"/>
        <family val="2"/>
      </rPr>
      <t xml:space="preserve">.               </t>
    </r>
  </si>
  <si>
    <t>Cohesion (cu)</t>
  </si>
  <si>
    <t>Friction Angle (φu)</t>
  </si>
  <si>
    <t>QC DASHBOARD DS-UU</t>
  </si>
  <si>
    <t>Parameter kuat geser total berada dalam rentang teoritis dan konsisten dengan karakteristik umum tanah berdasarkan deskripsi megaskopis. Hasil pengujian Direct Shear UU dapat diterima secara engineering.</t>
  </si>
  <si>
    <t>Total Cohesion (cu)</t>
  </si>
  <si>
    <t>ASTM D4767; SNI; Das (2016)</t>
  </si>
  <si>
    <t>Total Friction Angle (φu)</t>
  </si>
  <si>
    <t>ASTM D4767; Das (2016)</t>
  </si>
  <si>
    <t>Effective Cohesion (c')</t>
  </si>
  <si>
    <t>Effective Friction Angle (φ')</t>
  </si>
  <si>
    <t>Catatan:</t>
  </si>
  <si>
    <t>φu pada UU/CU (total stress) umumnya kecil, bahkan sering mendekati 0° untuk lempung jenuh. Karena itu rentang teoritisnya saya buat lebih sempit daripada φ'.</t>
  </si>
  <si>
    <t>Jika suatu saat Terraforma banyak menguji material granular dengan CU dan pengukuran tekanan pori, batas ini bisa direvisi berdasarkan data historis.</t>
  </si>
  <si>
    <t>&gt;20.00</t>
  </si>
  <si>
    <t>Kohesi total umumnya sedang hingga tinggi.</t>
  </si>
  <si>
    <t>Sudut geser total umumnya sangat rendah.</t>
  </si>
  <si>
    <t>Kohesi efektif umumnya sedang hingga tinggi.</t>
  </si>
  <si>
    <t>Sudut geser efektif umumnya rendah hingga sedang.</t>
  </si>
  <si>
    <t>Kandungan pasir menurunkan kohesi total.</t>
  </si>
  <si>
    <t>Sudut geser total sedikit meningkat.</t>
  </si>
  <si>
    <t>Kohesi efektif sedang.</t>
  </si>
  <si>
    <t>Sudut geser efektif sedang.</t>
  </si>
  <si>
    <t>Lanau menurunkan kohesi.</t>
  </si>
  <si>
    <t>Sudut geser total rendah.</t>
  </si>
  <si>
    <t>Sudut geser efektif rendah-sedang.</t>
  </si>
  <si>
    <t>Kerikil meningkatkan stabilitas.</t>
  </si>
  <si>
    <t>Interlocking kerikil meningkatkan φu.</t>
  </si>
  <si>
    <t>Interlocking meningkatkan φ'.</t>
  </si>
  <si>
    <t>Pasir bersih hampir tidak memiliki kohesi.</t>
  </si>
  <si>
    <t>Gesekan antarbutir mendominasi.</t>
  </si>
  <si>
    <t>Kohesi efektif mendekati nol.</t>
  </si>
  <si>
    <t>Sudut geser efektif sangat tinggi.</t>
  </si>
  <si>
    <t>Lempung meningkatkan kohesi.</t>
  </si>
  <si>
    <t>Sudut geser total sedang.</t>
  </si>
  <si>
    <t>Kohesi efektif rendah-sedang.</t>
  </si>
  <si>
    <t>Lanau memberi kohesi kecil.</t>
  </si>
  <si>
    <t>Perilaku didominasi pasir.</t>
  </si>
  <si>
    <t>Kohesi efektif kecil.</t>
  </si>
  <si>
    <t>Sudut geser efektif sedang-tinggi.</t>
  </si>
  <si>
    <t>Material granular hampir tanpa kohesi.</t>
  </si>
  <si>
    <t>Interlocking pasir-kerikil tinggi.</t>
  </si>
  <si>
    <t>Lanau berkohesi rendah.</t>
  </si>
  <si>
    <t>Kohesi efektif rendah.</t>
  </si>
  <si>
    <t>Sudut geser total rendah-sedang.</t>
  </si>
  <si>
    <t>Kohesi total rendah.</t>
  </si>
  <si>
    <t>Kerikil praktis tanpa kohesi.</t>
  </si>
  <si>
    <t>Interlocking kerikil sangat tinggi.</t>
  </si>
  <si>
    <t>Overall Theory</t>
  </si>
  <si>
    <t>Overall Engineering</t>
  </si>
  <si>
    <t>Parameter kuat geser total dan efektif berada dalam rentang teoritis serta konsisten dengan karakteristik umum tanah berdasarkan deskripsi megaskopis. Hasil pengujian Triaxial CU dapat diterima secara engineering.</t>
  </si>
  <si>
    <t>Parameter berada dalam rentang teoritis, namun terdapat ketidaksesuaian dengan karakteristik umum tanah. Disarankan melakukan evaluasi terhadap grafik Mohr Circle, Failure Envelope, dan data pendukung sebelum LHU diterbitkan.</t>
  </si>
  <si>
    <t>Terdapat parameter yang berada di luar rentang teoritis. Lakukan verifikasi terhadap data pengujian, perhitungan, dan interpretasi hasil sebelum LHU diterbitkan.</t>
  </si>
  <si>
    <t>Hasil menunjukkan ketidaksesuaian terhadap teori maupun karakteristik umum tanah. Disarankan melakukan evaluasi menyeluruh terhadap data mentah, perhitungan, grafik, dan bila diperlukan pengujian ulang sebelum LHU diterbitkan.</t>
  </si>
  <si>
    <t>QC DASHBOARD TRX-CU</t>
  </si>
  <si>
    <t>ASTM D2850; Das (2016); Head (2006)</t>
  </si>
  <si>
    <t>ASTM D2850; Das (2016)</t>
  </si>
  <si>
    <t>Parameter kuat geser total berada dalam rentang teoritis dan konsisten dengan karakteristik umum tanah berdasarkan deskripsi megaskopis. Hasil pengujian Triaxial UU dapat diterima secara engineering.</t>
  </si>
  <si>
    <t>QC DASHBOARD TRX-UU</t>
  </si>
  <si>
    <t>ASTM D2166; Das (2016)</t>
  </si>
  <si>
    <t>Unconfined Compressive Strength (qu) - Undisturbed</t>
  </si>
  <si>
    <t>Unconfined Compressive Strength (qu) - Remolded</t>
  </si>
  <si>
    <t>Undrained Shear Strength (cu) - Undisturbed</t>
  </si>
  <si>
    <t>Undrained Shear Strength (cu) - Remolded</t>
  </si>
  <si>
    <t>Failure Strain - Undisturbed</t>
  </si>
  <si>
    <t>Failure Strain - Remolded</t>
  </si>
  <si>
    <t>Sensitivity (St)</t>
  </si>
  <si>
    <t>Jenis</t>
  </si>
  <si>
    <t>UD</t>
  </si>
  <si>
    <t>ASTM D2166; Head (2006)</t>
  </si>
  <si>
    <t>RM</t>
  </si>
  <si>
    <t>BOTH</t>
  </si>
  <si>
    <t>ASTM D2166; Skempton</t>
  </si>
  <si>
    <t>&gt;16.0</t>
  </si>
  <si>
    <t>Kode Tanah</t>
  </si>
  <si>
    <t>Kondisi alami memberikan kontribusi terhadap kuat tekan bebas.</t>
  </si>
  <si>
    <t>Nilai cu mewakili kuat geser undrained.</t>
  </si>
  <si>
    <t>Regangan keruntuhan umumnya normal.</t>
  </si>
  <si>
    <t>Remolding umumnya menurunkan kuat tekan bebas.</t>
  </si>
  <si>
    <t>Nilai cu umumnya menurun setelah remolding.</t>
  </si>
  <si>
    <t>Regangan keruntuhan cenderung meningkat setelah remolding.</t>
  </si>
  <si>
    <t>N/A</t>
  </si>
  <si>
    <t>UCT tidak direkomendasikan untuk material granular; interpretasi hasil memerlukan evaluasi khusus.</t>
  </si>
  <si>
    <t>St</t>
  </si>
  <si>
    <t>Interpretasi</t>
  </si>
  <si>
    <t>&lt;2</t>
  </si>
  <si>
    <t>Sensitivitas rendah</t>
  </si>
  <si>
    <t>2–4</t>
  </si>
  <si>
    <t>Sensitivitas sedang</t>
  </si>
  <si>
    <t>4–8</t>
  </si>
  <si>
    <t>Sensitif</t>
  </si>
  <si>
    <t>8–16</t>
  </si>
  <si>
    <t>Sangat sensitif</t>
  </si>
  <si>
    <t>&gt;16</t>
  </si>
  <si>
    <t>Quick clay / sangat sensitif (perlu evaluasi khusus)</t>
  </si>
  <si>
    <t>Theory</t>
  </si>
  <si>
    <t>Engineering</t>
  </si>
  <si>
    <t>Overall</t>
  </si>
  <si>
    <t>Parameter UCT Undisturbed dan Remolded berada dalam rentang teoritis serta konsisten dengan karakteristik umum tanah. Nilai Sensitivity menunjukkan perilaku tanah yang dapat diterima secara engineering.</t>
  </si>
  <si>
    <t>Parameter berada dalam rentang teoritis, namun terdapat ketidaksesuaian dengan karakteristik umum tanah atau nilai Sensitivity memerlukan evaluasi lebih lanjut. Periksa kembali deskripsi tanah dan hasil pengujian.</t>
  </si>
  <si>
    <t>Salah satu parameter berada di luar rentang teoritis. Lakukan verifikasi terhadap data mentah, perhitungan, dan grafik sebelum LHU diterbitkan.</t>
  </si>
  <si>
    <t>Hasil menunjukkan ketidaksesuaian terhadap teori maupun karakteristik umum tanah. Disarankan evaluasi menyeluruh dan, bila diperlukan, pengujian ulang sebelum LHU diterbitkan.</t>
  </si>
  <si>
    <t>SPECIALIZED EVALUATION</t>
  </si>
  <si>
    <t>1. cu = qu/2 (Undisturbed)</t>
  </si>
  <si>
    <t>2. cu = qu/2 (Remolded)</t>
  </si>
  <si>
    <t>3. qu UD ≥ qu RM</t>
  </si>
  <si>
    <t>4. Review</t>
  </si>
  <si>
    <t>QC DASHBOARD UCT</t>
  </si>
  <si>
    <t>Failure Strain RM ≥ UD</t>
  </si>
  <si>
    <t>ASTM D5084; SNI; Das (2016)</t>
  </si>
  <si>
    <t>k20</t>
  </si>
  <si>
    <t>Di sini tidak mengecek besar kecilnya k, tetapi hanya memastikan nilainya logis.</t>
  </si>
  <si>
    <t>Lempung umumnya memiliki permeabilitas sangat rendah akibat pori sangat kecil.</t>
  </si>
  <si>
    <t>ASTM D5084; SNI 2435; Das (2016); Head (2006)</t>
  </si>
  <si>
    <t>Sangat Rendah-Rendah</t>
  </si>
  <si>
    <t>Lempung berpasir memiliki permeabilitas rendah hingga sangat rendah.</t>
  </si>
  <si>
    <t>Lempung berlanau umumnya masih menunjukkan permeabilitas rendah.</t>
  </si>
  <si>
    <t>Keberadaan kerikil dapat sedikit meningkatkan permeabilitas.</t>
  </si>
  <si>
    <t>Lanau memiliki permeabilitas rendah dan sensitif terhadap struktur.</t>
  </si>
  <si>
    <t>Lanau berlempung umumnya berkategori rendah.</t>
  </si>
  <si>
    <t>Lanau berpasir mempunyai permeabilitas sedang.</t>
  </si>
  <si>
    <t>Pasir berlempung memiliki permeabilitas sedang karena fraksi halus.</t>
  </si>
  <si>
    <t>Pasir berlanau umumnya berkategori sedang hingga tinggi.</t>
  </si>
  <si>
    <t>Pasir bersih mempunyai permeabilitas tinggi.</t>
  </si>
  <si>
    <t>Pasir berkerikil mempunyai permeabilitas sangat tinggi.</t>
  </si>
  <si>
    <t>Kerikil memiliki permeabilitas sangat tinggi akibat rongga besar.</t>
  </si>
  <si>
    <t>QC DASHBOARD PFH</t>
  </si>
  <si>
    <t>Nilai koefisien permeabilitas berada dalam rentang teoritis dan sesuai dengan karakteristik umum tanah berdasarkan deskripsi megaskopis. Hasil pengujian dapat diterima secara engineering.</t>
  </si>
  <si>
    <t>Nilai permeabilitas berada di luar karakteristik umum tanah. Disarankan melakukan evaluasi terhadap dimensi benda uji, kondisi kejenuhan, waktu pengujian, dan perhitungan.</t>
  </si>
  <si>
    <t>Hasil pengujian menunjukkan ketidaksesuaian terhadap karakteristik permeabilitas yang diharapkan berdasarkan jenis tanah atau evaluasi teoritis. Disarankan melakukan evaluasi ulang terhadap dimensi benda uji, kondisi kejenuhan (saturation), head awal dan akhir, waktu pengujian, temperatur pengujian, faktor koreksi temperatur, serta seluruh tahapan perhitungan sebelum LHU diterbitkan. Apabila ketidaksesuaian tidak dapat dijelaskan secara teknis, pertimbangkan untuk melakukan pengujian ulang.</t>
  </si>
  <si>
    <t>3. Head Loss</t>
  </si>
  <si>
    <t>4. Test Time</t>
  </si>
  <si>
    <t>Test Start Time</t>
  </si>
  <si>
    <t>Test End Time</t>
  </si>
  <si>
    <t>Awal</t>
  </si>
  <si>
    <t>Akhir</t>
  </si>
  <si>
    <t>Rata-rata (cm/sec)</t>
  </si>
  <si>
    <t>Total Test Time</t>
  </si>
  <si>
    <t>1. Temperatur Validity</t>
  </si>
  <si>
    <t>2. Temperature Correction</t>
  </si>
  <si>
    <t>OVERALL SPESIALIZED EVALUATION</t>
  </si>
  <si>
    <t>aL/At</t>
  </si>
  <si>
    <t>ASTM D698</t>
  </si>
  <si>
    <t>Category</t>
  </si>
  <si>
    <t>Min (g/cm³)</t>
  </si>
  <si>
    <t>Max (g/cm³)</t>
  </si>
  <si>
    <t>Reference</t>
  </si>
  <si>
    <t>MDD sedang–rendah dengan OMC tinggi merupakan karakteristik umum lempung.</t>
  </si>
  <si>
    <t>ASTM D698; Das (2016)</t>
  </si>
  <si>
    <t>OMC tinggi merupakan karakteristik tanah lempung.</t>
  </si>
  <si>
    <t>Nilai MDD umumnya sedikit lebih tinggi dibanding clay murni.</t>
  </si>
  <si>
    <t>OMC sedang dipengaruhi fraksi lanau.</t>
  </si>
  <si>
    <t>OMC relatif tinggi akibat dominasi fraksi lempung.</t>
  </si>
  <si>
    <t>Gravel meningkatkan kepadatan maksimum.</t>
  </si>
  <si>
    <t>OMC lebih rendah dibanding clay murni.</t>
  </si>
  <si>
    <t>Pasir umumnya memiliki MDD tinggi dan OMC rendah.</t>
  </si>
  <si>
    <t>OMC rendah merupakan karakteristik pasir.</t>
  </si>
  <si>
    <t>Kandungan lempung sedikit menurunkan MDD.</t>
  </si>
  <si>
    <t>OMC meningkat karena fraksi lempung.</t>
  </si>
  <si>
    <t>Kandungan lanau sedikit menurunkan MDD.</t>
  </si>
  <si>
    <t>OMC sedang akibat fraksi lanau.</t>
  </si>
  <si>
    <t>Fraksi gravel meningkatkan MDD.</t>
  </si>
  <si>
    <t>OMC tetap rendah karena dominasi butiran kasar.</t>
  </si>
  <si>
    <t>Lanau umumnya mempunyai MDD sedang.</t>
  </si>
  <si>
    <t>OMC sedang merupakan karakteristik lanau.</t>
  </si>
  <si>
    <t>Perilaku dipengaruhi campuran lanau dan lempung.</t>
  </si>
  <si>
    <t>OMC relatif tinggi.</t>
  </si>
  <si>
    <t>Pasir meningkatkan MDD dibanding lanau murni.</t>
  </si>
  <si>
    <t>OMC sedang akibat campuran pasir–lanau.</t>
  </si>
  <si>
    <t>Gravel menghasilkan MDD sangat tinggi dengan OMC rendah.</t>
  </si>
  <si>
    <t>OMC rendah merupakan karakteristik material bergradasi kasar.</t>
  </si>
  <si>
    <t>QC DASHBOARD STANDARD PROCTOR</t>
  </si>
  <si>
    <t>Hasil MDD dan OMC berada dalam kisaran yang konsisten dengan karakteristik jenis tanah berdasarkan evaluasi engineering. Tidak ditemukan indikasi ketidaksesuaian yang memerlukan evaluasi lanjutan.</t>
  </si>
  <si>
    <t>Hasil MDD atau OMC berada di luar kisaran umum karakteristik jenis tanah atau menunjukkan kecenderungan yang tidak lazim. Disarankan melakukan peninjauan terhadap data mentah, kurva kompaksi, kadar air, serta hasil regresi sebelum LHU diterbitkan.</t>
  </si>
  <si>
    <t>Hasil MDD dan/atau OMC menunjukkan ketidaksesuaian yang signifikan terhadap karakteristik jenis tanah atau evaluasi teoritis. Disarankan melakukan evaluasi ulang terhadap seluruh data mentah, perhitungan, kurva kompaksi, proses regresi, dan kondisi pengujian. Apabila ketidaksesuaian tidak dapat dijelaskan secara teknis, pertimbangkan untuk melakukan pengujian ulang sebelum LHU diterbitkan.</t>
  </si>
  <si>
    <t>MDD berada pada kisaran sedang akibat kombinasi fraksi lanau dan lempung. Nilai yang lebih rendah dapat dipengaruhi oleh meningkatnya plastisitas atau kadar air</t>
  </si>
  <si>
    <t>Perbedaan nilai MDD atau OMC dari kisaran umum tidak selalu menunjukkan kesalahan pengujian. Evaluasi harus mempertimbangkan karakteristik tanah, bentuk kurva kompaksi, metode regresi, dan hasil klasifikasi tanah sebelum diputuskan untuk melakukan pengujian ulang.</t>
  </si>
  <si>
    <t>QC DASHBOARD MODIFIED PROCTOR</t>
  </si>
  <si>
    <t>ASTM D1557</t>
  </si>
  <si>
    <t>ASTM D1557; Das (2016)</t>
  </si>
  <si>
    <t>Nilai MDD dan OMC masih berada dalam kisaran karakteristik jenis tanah serta konsisten dengan hasil Modified Proctor.</t>
  </si>
  <si>
    <t>Modified Proctor menggunakan energi pemadatan yang lebih besar sehingga umumnya menghasilkan MDD lebih tinggi dan OMC lebih rendah dibanding Standard Proctor pada material yang sama.</t>
  </si>
  <si>
    <t>Apabila tersedia hasil Standard Proctor untuk material yang sama, lakukan evaluasi silang terhadap hubungan MDD dan OMC kedua metode.</t>
  </si>
  <si>
    <t>Cross Engineering Evaluation</t>
  </si>
  <si>
    <t>Parameter 1 — MDD Relationship</t>
  </si>
  <si>
    <t>Prinsip engineering:</t>
  </si>
  <si>
    <t>Pada material yang sama, MDD Modified seharusnya ≥ MDD Standard.</t>
  </si>
  <si>
    <t>Kondisi</t>
  </si>
  <si>
    <t>MDD Modified &gt; MDD Standard</t>
  </si>
  <si>
    <t>MDD Modified ≈ MDD Standard (±2%)</t>
  </si>
  <si>
    <t>MDD Modified &lt; MDD Standard</t>
  </si>
  <si>
    <t>MDD_STANDARD PROCTOR</t>
  </si>
  <si>
    <t>Parameter 2 — OMC Relationship</t>
  </si>
  <si>
    <t>Secara umum:</t>
  </si>
  <si>
    <t>OMC Modified ≤ OMC Standard</t>
  </si>
  <si>
    <t>OMC_STANDARD PROCTOR</t>
  </si>
  <si>
    <t>OMC_MODIFIED PROCTOR</t>
  </si>
  <si>
    <t>MDD_MODIFIED PROCTOR</t>
  </si>
  <si>
    <t>OMC Modified &lt; OMC Standard</t>
  </si>
  <si>
    <t>OMC Modified &gt; OMC Standard</t>
  </si>
  <si>
    <t>Parameter 3 — ΔMDD</t>
  </si>
  <si>
    <t>Hitung:</t>
  </si>
  <si>
    <t>ΔMDD = MDDModified − MDDStandard</t>
  </si>
  <si>
    <t>ΔMDD</t>
  </si>
  <si>
    <t>Positif</t>
  </si>
  <si>
    <t>Hampir nol</t>
  </si>
  <si>
    <t>Review</t>
  </si>
  <si>
    <t>Negatif</t>
  </si>
  <si>
    <t>Re-analyze</t>
  </si>
  <si>
    <t>Parameter 4 — ΔOMC</t>
  </si>
  <si>
    <t>ΔOMC = OMCModified − OMCStandard</t>
  </si>
  <si>
    <t>ΔOMC</t>
  </si>
  <si>
    <t>Parameter 5 — Engineering Trend</t>
  </si>
  <si>
    <t>Standard</t>
  </si>
  <si>
    <t>Modified</t>
  </si>
  <si>
    <t>MDD ↑</t>
  </si>
  <si>
    <t>OMC ↓</t>
  </si>
  <si>
    <t>OMC ↑</t>
  </si>
  <si>
    <t>MDD ↓</t>
  </si>
  <si>
    <t>Karena secara fisik akibat energi pemadatan yang lebih besar biasanya terjadi:</t>
  </si>
  <si>
    <t>MDD naik</t>
  </si>
  <si>
    <t>OMC turun</t>
  </si>
  <si>
    <t>Kalau kedua kecenderungan itu tidak muncul, reviewer perlu melihat kembali hasilnya.</t>
  </si>
  <si>
    <t>Overall Cross Evaluation</t>
  </si>
  <si>
    <t>MDD Relationship</t>
  </si>
  <si>
    <t>OMC Relationship</t>
  </si>
  <si>
    <t>OMC Modified ≈ OMC Standard (±2%)</t>
  </si>
  <si>
    <t>OVERALL THEORITICAL STATUS</t>
  </si>
  <si>
    <t>ΔMDD%</t>
  </si>
  <si>
    <t>ΔOMC%</t>
  </si>
  <si>
    <t>Cross Engineering Evaluation merupakan evaluasi internal TEQS untuk menilai konsistensi hasil antara Standard Proctor dan Modified Proctor pada material yang sama. Evaluasi ini digunakan sebagai alat bantu engineering review dan bukan merupakan persyaratan penerimaan berdasarkan ASTM D698 maupun ASTM D1557.</t>
  </si>
  <si>
    <t>QC DASHBOARD CBR UNSOAKED</t>
  </si>
  <si>
    <t>Design CBR (%)</t>
  </si>
  <si>
    <t>ASTM D1883</t>
  </si>
  <si>
    <t>Swelling (%) (Soaked)</t>
  </si>
  <si>
    <t>Very Low Bearing Capacity</t>
  </si>
  <si>
    <t>Low Bearing Capacity</t>
  </si>
  <si>
    <t>Moderate Bearing Capacity</t>
  </si>
  <si>
    <t>High Bearing Capacity</t>
  </si>
  <si>
    <t>Very High Bearing Capacity</t>
  </si>
  <si>
    <t>Excellent Bearing Capacity</t>
  </si>
  <si>
    <t>Min (%)</t>
  </si>
  <si>
    <t>Max (%)</t>
  </si>
  <si>
    <t>Nilai CBR rendah merupakan karakteristik umum tanah lempung plastis. Nilai meningkat apabila kepadatan meningkat dan kadar air mendekati OMC.</t>
  </si>
  <si>
    <t>ASTM D1883; Das (2016); Head (2006)</t>
  </si>
  <si>
    <t>Campuran lanau–lempung umumnya menghasilkan CBR sedang dengan pengaruh kadar air yang cukup signifikan.</t>
  </si>
  <si>
    <t>Nilai CBR dipengaruhi oleh proporsi fraksi lempung dan lanau serta tingkat pemadatan.</t>
  </si>
  <si>
    <t>Kehadiran fraksi gravel meningkatkan daya dukung sehingga CBR umumnya lebih tinggi dibanding clay murni.</t>
  </si>
  <si>
    <t>Das (2016); ASTM D1883</t>
  </si>
  <si>
    <t>Material granular mempunyai CBR tinggi apabila dipadatkan mendekati MDD.</t>
  </si>
  <si>
    <t>ASTM D1883; Das (2016)</t>
  </si>
  <si>
    <t>Kandungan lempung menyebabkan CBR lebih rendah dibanding pasir bersih.</t>
  </si>
  <si>
    <t>Pasir berlanau umumnya menghasilkan CBR sedang hingga tinggi bergantung kepadatan.</t>
  </si>
  <si>
    <t>Fraksi gravel yang dominan menghasilkan nilai CBR sangat tinggi.</t>
  </si>
  <si>
    <t>Nilai CBR lanau dipengaruhi kadar air dan tingkat kepadatan.</t>
  </si>
  <si>
    <t>Campuran lanau dan lempung menghasilkan CBR sedang dengan sensitivitas terhadap kadar air.</t>
  </si>
  <si>
    <t>Kandungan pasir meningkatkan daya dukung dibanding lanau murni.</t>
  </si>
  <si>
    <t>Gravel padat umumnya menghasilkan nilai CBR sangat tinggi. Evaluasi tetap mempertimbangkan gradasi dan kepadatan.</t>
  </si>
  <si>
    <t>ENGGINEERING REVIEW</t>
  </si>
  <si>
    <t>Nilai Design CBR berada dalam kisaran yang sesuai dengan karakteristik umum jenis tanah berdasarkan evaluasi engineering. Nilai tersebut konsisten dengan hasil pemadatan yang digunakan sebagai acuan (Standard/Modified Proctor) dan dapat diterima sebagai representasi daya dukung material.</t>
  </si>
  <si>
    <t>Nilai Design CBR berada di luar kisaran umum karakteristik jenis tanah atau menunjukkan kecenderungan yang tidak lazim. Disarankan melakukan peninjauan terhadap hasil uji kompaksi (MDD dan OMC), kurva Design CBR, pemilihan nilai CBR (2,5 mm atau 5,0 mm), serta kondisi pengujian sebelum LHU diterbitkan.</t>
  </si>
  <si>
    <t>Nilai Design CBR menunjukkan ketidaksesuaian yang signifikan terhadap karakteristik umum jenis tanah atau tidak konsisten dengan hasil uji kompaksi yang digunakan sebagai acuan. Disarankan melakukan evaluasi ulang terhadap data mentah, kurva Design CBR, interpolasi/regresi, proses pemadatan benda uji, dan prosedur pengujian. Apabila ketidaksesuaian tidak dapat dijelaskan secara teknis, pertimbangkan untuk melakukan pengujian ulang sebelum LHU diterbitkan.</t>
  </si>
  <si>
    <t>Swelling (%)</t>
  </si>
  <si>
    <t>0–0.5</t>
  </si>
  <si>
    <t>0.5–1</t>
  </si>
  <si>
    <t>1–2</t>
  </si>
  <si>
    <t>2–5</t>
  </si>
  <si>
    <t>&gt;5</t>
  </si>
  <si>
    <t>Tanah lempung umumnya menunjukkan pengembangan sedang akibat penyerapan air selama perendaman. Evaluasi diperlukan apabila swelling melebihi kisaran umum.</t>
  </si>
  <si>
    <t>Campuran lempung–lanau umumnya mempunyai swelling rendah hingga sedang bergantung plastisitas.</t>
  </si>
  <si>
    <t>Kandungan fraksi lempung memengaruhi besarnya swelling.</t>
  </si>
  <si>
    <t>Kehadiran fraksi gravel umumnya mengurangi potensi pengembangan.</t>
  </si>
  <si>
    <t>Pasir bersih umumnya tidak mengalami swelling yang signifikan.</t>
  </si>
  <si>
    <t>Kandungan lempung menyebabkan sedikit peningkatan swelling dibanding pasir bersih.</t>
  </si>
  <si>
    <t>Pasir berlanau umumnya mempunyai swelling rendah.</t>
  </si>
  <si>
    <t>Material granular dengan fraksi gravel dominan hampir tidak mengalami swelling.</t>
  </si>
  <si>
    <t>Lanau umumnya menunjukkan swelling rendah hingga sedang tergantung kadar air dan plastisitas.</t>
  </si>
  <si>
    <t>Campuran lanau–lempung menunjukkan swelling sedang dan dipengaruhi oleh kandungan mineral lempung.</t>
  </si>
  <si>
    <t>Kandungan pasir mengurangi potensi pengembangan dibanding lanau murni.</t>
  </si>
  <si>
    <t>Gravel umumnya tidak menunjukkan pengembangan yang berarti selama perendaman.</t>
  </si>
  <si>
    <t>Nilai Design CBR dan Swelling berada dalam kisaran yang sesuai dengan karakteristik umum jenis tanah berdasarkan evaluasi engineering. Hasil pengujian menunjukkan konsistensi dengan kondisi pemadatan yang digunakan sebagai acuan (Standard/Modified Proctor) serta tidak ditemukan indikasi yang memerlukan evaluasi lanjutan. Hasil dapat diterima sebagai representasi karakteristik daya dukung dan perilaku pengembangan material setelah perendaman.</t>
  </si>
  <si>
    <t>Nilai Design CBR atau Swelling berada di luar kisaran umum karakteristik jenis tanah atau menunjukkan kecenderungan yang tidak lazim. Disarankan melakukan peninjauan terhadap hasil uji kompaksi yang digunakan sebagai acuan (MDD dan OMC), kurva Design CBR, hasil pengamatan Swelling, serta kondisi perendaman sebelum LHU diterbitkan.</t>
  </si>
  <si>
    <t>Nilai Design CBR dan/atau Swelling menunjukkan ketidaksesuaian yang signifikan terhadap karakteristik umum jenis tanah atau tidak konsisten dengan kondisi pemadatan yang digunakan sebagai acuan. Disarankan melakukan evaluasi ulang terhadap data mentah, kurva Design CBR, pengukuran Swelling, prosedur perendaman, proses pemadatan benda uji, serta perhitungan hasil. Apabila ketidaksesuaian tidak dapat dijelaskan secara teknis, pertimbangkan untuk melakukan pengujian ulang sebelum LHU diterbitkan.</t>
  </si>
  <si>
    <t>0–1</t>
  </si>
  <si>
    <t>0–2</t>
  </si>
  <si>
    <t>0–3</t>
  </si>
  <si>
    <t>0–5</t>
  </si>
  <si>
    <t>0–6</t>
  </si>
  <si>
    <t>0–4</t>
  </si>
  <si>
    <t>Swelling–CBR Consistency</t>
  </si>
  <si>
    <t>Swelling rendah + CBR tinggi</t>
  </si>
  <si>
    <t>Swelling sedang + CBR sedang</t>
  </si>
  <si>
    <t>Swelling tinggi + CBR rendah</t>
  </si>
  <si>
    <t>Swelling tinggi + CBR tinggi</t>
  </si>
  <si>
    <t>Swelling sangat rendah + CBR sangat rendah</t>
  </si>
  <si>
    <t>CBR Category</t>
  </si>
  <si>
    <t>Swelling Category</t>
  </si>
  <si>
    <t>CBR Relationship</t>
  </si>
  <si>
    <t>Prinsip:</t>
  </si>
  <si>
    <t>CBR Soaked ≤ CBR Unsoaked</t>
  </si>
  <si>
    <t>CBR_UNSOAKED</t>
  </si>
  <si>
    <t>CBR_SOAKED</t>
  </si>
  <si>
    <t>Reduction Category</t>
  </si>
  <si>
    <t>ΔCBR Reduction</t>
  </si>
  <si>
    <t>OVERAL CROSS EVALUATIAN CBR</t>
  </si>
  <si>
    <t>Tolerance Reltionship</t>
  </si>
  <si>
    <t>Ketegori</t>
  </si>
  <si>
    <t>CBR CROSS EVALUATION</t>
  </si>
  <si>
    <t>QC DASHBOARD SHRINKAGE LIMIT</t>
  </si>
  <si>
    <t>Shrinkage Limit</t>
  </si>
  <si>
    <t>ASTM D4943 / AASHTO T92</t>
  </si>
  <si>
    <t>Nilai Shrinkage Limit berada dalam kisaran yang sesuai dengan karakteristik umum jenis tanah berdasarkan evaluasi engineering. Hasil dapat diterima sebagai representasi perilaku penyusutan material selama proses pengeringan.</t>
  </si>
  <si>
    <t>Nilai Shrinkage Limit berada di luar kisaran umum karakteristik jenis tanah atau menunjukkan kecenderungan yang tidak lazim. Disarankan melakukan peninjauan terhadap data pengukuran, dimensi benda uji, dan proses pengeringan sebelum LHU diterbitkan.</t>
  </si>
  <si>
    <t>Nilai Shrinkage Limit menunjukkan ketidaksesuaian yang signifikan terhadap karakteristik umum jenis tanah atau tidak dapat dijelaskan secara teknis. Disarankan melakukan evaluasi ulang terhadap data mentah, proses pengujian, serta mempertimbangkan pengujian ulang sebelum LHU diterbitkan.</t>
  </si>
  <si>
    <t>Soil Code</t>
  </si>
  <si>
    <t>Nilai Shrinkage Limit umumnya sangat rendah. Nilai tinggi dapat mengindikasikan adanya fraksi halus atau lempung yang lebih besar dari yang diperkirakan.</t>
  </si>
  <si>
    <t>ASTM D4943; Das (2017)</t>
  </si>
  <si>
    <t>Material pasir bersih umumnya menunjukkan penyusutan yang sangat kecil selama pengeringan.</t>
  </si>
  <si>
    <t>Kehadiran kerikil tidak banyak memengaruhi penyusutan. Nilai tinggi perlu ditinjau terhadap kandungan fines.</t>
  </si>
  <si>
    <t>Penyusutan rendah masih wajar untuk pasir berlanau. Nilai tinggi dapat menunjukkan peningkatan fraksi lanau/lempung.</t>
  </si>
  <si>
    <t>ASTM D4943; Bowles (1992)</t>
  </si>
  <si>
    <t>Pasir berlempung umumnya memiliki Shrinkage Limit sedikit lebih tinggi dibanding pasir bersih.</t>
  </si>
  <si>
    <t>Lanau menunjukkan penyusutan sedang. Nilai di luar kisaran perlu dikaji bersama indeks plastisitas (PI).</t>
  </si>
  <si>
    <t>Lanau berpasir umumnya memiliki perilaku penyusutan sedang dengan variasi tergantung kandungan pasir.</t>
  </si>
  <si>
    <t>ASTM D4943</t>
  </si>
  <si>
    <t>Lempung berlanau memiliki perilaku penyusutan sedang hingga tinggi sesuai plastisitasnya.</t>
  </si>
  <si>
    <t>ASTM D4943; Holtz &amp; Kovacs</t>
  </si>
  <si>
    <t>Nilai Shrinkage Limit dipengaruhi oleh keseimbangan fraksi lempung dan lanau.</t>
  </si>
  <si>
    <t>Material dengan kandungan lempung dominan umumnya memiliki Shrinkage Limit tinggi.</t>
  </si>
  <si>
    <t>Lempung menunjukkan perilaku penyusutan yang nyata selama pengeringan. Nilai di luar kisaran perlu dikaitkan dengan PI dan deskripsi visual.</t>
  </si>
  <si>
    <t>Kehadiran kerikil mengurangi efek penyusutan, tetapi matriks lempung tetap mengendalikan perilaku material.</t>
  </si>
  <si>
    <t>Min (kPa)</t>
  </si>
  <si>
    <t>Max (kPa)</t>
  </si>
  <si>
    <t>Swelling Pressure</t>
  </si>
  <si>
    <t>ASTM D4546 / SNI</t>
  </si>
  <si>
    <t>VH</t>
  </si>
  <si>
    <t>Tanah berkerikil umumnya tidak menunjukkan tekanan pengembangan yang signifikan. Nilai tinggi perlu ditinjau terhadap kandungan fines.</t>
  </si>
  <si>
    <t>ASTM D4546; Holtz &amp; Kovacs</t>
  </si>
  <si>
    <t>Pasir bersih umumnya memiliki tekanan pengembangan yang sangat kecil.</t>
  </si>
  <si>
    <t>ASTM D4546</t>
  </si>
  <si>
    <t>Pasir berlanau dapat menunjukkan tekanan pengembangan rendah bila mengandung fraksi halus plastis.</t>
  </si>
  <si>
    <t>Kehadiran lempung meningkatkan potensi tekanan pengembangan.</t>
  </si>
  <si>
    <t>Das (2017)</t>
  </si>
  <si>
    <t>Lanau plastis dapat menunjukkan tekanan pengembangan sedang.</t>
  </si>
  <si>
    <t>Holtz &amp; Gibbs</t>
  </si>
  <si>
    <t>Lempung berlanau umumnya menghasilkan tekanan pengembangan sedang hingga tinggi.</t>
  </si>
  <si>
    <t>Tekanan pengembangan dipengaruhi kadar lempung aktif.</t>
  </si>
  <si>
    <t>Material berlempung menunjukkan tekanan pengembangan yang nyata.</t>
  </si>
  <si>
    <t>Lempung plastis umumnya memiliki tekanan pengembangan tinggi. Nilai di luar kisaran perlu dikaitkan dengan PI dan mineralogi lempung.</t>
  </si>
  <si>
    <t>Holtz &amp; Kovacs</t>
  </si>
  <si>
    <t>Fraksi kerikil mengurangi efek ekspansi total, tetapi matriks lempung tetap dominan.</t>
  </si>
  <si>
    <t>Nilai Swelling Pressure berada dalam kisaran yang sesuai dengan karakteristik umum jenis tanah berdasarkan evaluasi engineering. Hasil dapat diterima sebagai representasi potensi tekanan pengembangan material.</t>
  </si>
  <si>
    <t>Nilai Swelling Pressure berada di luar kisaran umum karakteristik jenis tanah atau menunjukkan kecenderungan yang tidak lazim. Disarankan melakukan peninjauan terhadap kondisi benda uji, prosedur pembebanan, dan data pengamatan sebelum LHU diterbitkan.</t>
  </si>
  <si>
    <t>Nilai Swelling Pressure menunjukkan ketidaksesuaian yang signifikan terhadap karakteristik umum jenis tanah atau tidak dapat dijelaskan secara teknis. Disarankan melakukan evaluasi ulang terhadap data mentah dan mempertimbangkan pengujian ulang sebelum LHU diterbitkan.</t>
  </si>
  <si>
    <t>QC DASHBOARD DS-CU</t>
  </si>
  <si>
    <t>Cohesion (c)</t>
  </si>
  <si>
    <t>ASTM D3080</t>
  </si>
  <si>
    <t>Friction Angle (φ)</t>
  </si>
  <si>
    <t>Kandungan lempung mulai memberikan kontribusi terhadap kohesi.</t>
  </si>
  <si>
    <t>Bowles (1992)</t>
  </si>
  <si>
    <t>Tanah berkerikil umumnya memiliki kohesi sangat kecil. Nilai kohesi tinggi perlu ditinjau terhadap kandungan fines atau sementasi alami.</t>
  </si>
  <si>
    <t>Material berkerikil umumnya menunjukkan sudut geser tinggi akibat interlocking antar butiran.</t>
  </si>
  <si>
    <t>Pasir bersih umumnya tidak memiliki kohesi nyata. Nilai tinggi perlu ditinjau kembali.</t>
  </si>
  <si>
    <t>Pasir bersih umumnya memiliki sudut geser tinggi.</t>
  </si>
  <si>
    <t>Kehadiran lanau memberikan sedikit kohesi semu.</t>
  </si>
  <si>
    <t>Sudut geser sedikit lebih rendah dibanding pasir bersih karena fraksi lanau.</t>
  </si>
  <si>
    <t>Kehadiran lempung menurunkan sudut geser dibanding pasir bersih.</t>
  </si>
  <si>
    <t>Lanau plastis umumnya memiliki kohesi sedang.</t>
  </si>
  <si>
    <t>Sudut geser dipengaruhi kadar air dan plastisitas.</t>
  </si>
  <si>
    <t>Lanau berpasir memiliki kohesi sedang.</t>
  </si>
  <si>
    <t>Fraksi pasir meningkatkan sudut geser dibanding lanau murni.</t>
  </si>
  <si>
    <t>Lempung berlanau menunjukkan kohesi sedang hingga tinggi.</t>
  </si>
  <si>
    <t>Sudut geser mulai menurun akibat dominasi fraksi lempung.</t>
  </si>
  <si>
    <t>Parameter kohesi dipengaruhi plastisitas dan kadar air.</t>
  </si>
  <si>
    <t>Sudut geser umumnya sedang dengan variasi sesuai komposisi lanau.</t>
  </si>
  <si>
    <t>Dominasi lempung menghasilkan kohesi tinggi.</t>
  </si>
  <si>
    <t>Sudut geser cenderung lebih rendah dibanding tanah granular.</t>
  </si>
  <si>
    <t>Lempung umumnya memiliki kohesi tinggi yang mengendalikan kuat geser.</t>
  </si>
  <si>
    <t>Sudut geser relatif rendah; nilai tinggi perlu dikaitkan dengan kandungan pasir atau struktur tanah.</t>
  </si>
  <si>
    <t>Matriks lempung memberikan kohesi, sedangkan kerikil meningkatkan stabilitas massa tanah.</t>
  </si>
  <si>
    <t>Kehadiran kerikil dapat meningkatkan sudut geser dibanding lempung murni.</t>
  </si>
  <si>
    <t>Nilai kohesi (c) dan sudut geser dalam (φ) berada dalam kisaran yang sesuai dengan karakteristik umum jenis tanah berdasarkan evaluasi engineering. Hubungan antara tegangan normal dan tegangan geser menunjukkan perilaku yang konsisten sehingga parameter kuat geser dapat digunakan sebagai dasar evaluasi geoteknik.</t>
  </si>
  <si>
    <t>Salah satu atau lebih parameter kuat geser berada di luar kisaran umum karakteristik jenis tanah atau menunjukkan kecenderungan yang tidak lazim. Disarankan melakukan peninjauan terhadap data pengujian, kurva hubungan tegangan normal–tegangan geser, serta penentuan garis amplop keruntuhan sebelum LHU diterbitkan.</t>
  </si>
  <si>
    <t>Parameter kuat geser menunjukkan ketidaksesuaian yang signifikan terhadap karakteristik umum jenis tanah atau hasil pengujian tidak dapat dijelaskan secara teknis. Disarankan melakukan evaluasi ulang terhadap data mentah, proses pengujian, dan analisis amplop keruntuhan serta mempertimbangkan pengujian ulang sebelum LHU diterbitkan.</t>
  </si>
  <si>
    <t>ASTM D7181</t>
  </si>
  <si>
    <t>Nilai kohesi efektif (c') dan sudut geser dalam efektif (φ') berada dalam kisaran yang sesuai dengan karakteristik umum jenis tanah berdasarkan evaluasi engineering. Hubungan antara kedua parameter menunjukkan perilaku kuat geser yang konsisten dan representatif terhadap kondisi tegangan efektif material. Parameter kuat geser efektif dapat digunakan sebagai dasar analisis geoteknik, seperti stabilitas lereng, daya dukung pondasi, dan analisis lainnya setelah LHU diterbitkan.</t>
  </si>
  <si>
    <t>Salah satu atau lebih parameter kuat geser efektif berada di luar kisaran karakteristik umum jenis tanah atau menunjukkan kecenderungan yang tidak lazim. Disarankan melakukan peninjauan terhadap data mentah, kurva hubungan tegangan–regangan, penentuan amplop keruntuhan, serta proses interpretasi hasil sebelum LHU diterbitkan.</t>
  </si>
  <si>
    <t>Parameter kuat geser efektif menunjukkan ketidaksesuaian yang signifikan terhadap karakteristik umum jenis tanah atau hasil pengujian tidak dapat dijelaskan secara teknis. Disarankan melakukan evaluasi ulang terhadap data mentah, proses pengujian, analisis amplop keruntuhan, serta mempertimbangkan pengujian ulang sebelum LHU diterbitkan.</t>
  </si>
  <si>
    <t>ASTM D854; Das (2017)</t>
  </si>
  <si>
    <t>ASTM D854</t>
  </si>
  <si>
    <t>Periksa mineral penyusun bila menyimpang.</t>
  </si>
  <si>
    <t>Nilai rendah dapat mengindikasikan material organik.</t>
  </si>
  <si>
    <t>Bandingkan dengan kondisi lapangan.</t>
  </si>
  <si>
    <t>Evaluasi terhadap PI dan Clay Content.</t>
  </si>
  <si>
    <t>Kandungan gravel dapat meningkatkan SG.</t>
  </si>
  <si>
    <t>Bandingkan dengan LL dan PI.</t>
  </si>
  <si>
    <t>Evaluasi terhadap LL dan PI.</t>
  </si>
  <si>
    <t>Evaluasi bersama Dry Density dan MC.</t>
  </si>
  <si>
    <t>Bandingkan dengan PI dan Clay Content.</t>
  </si>
  <si>
    <t>Evaluasi bersama Dry Density.</t>
  </si>
  <si>
    <t>Bandingkan dengan PI dan Silt Content.</t>
  </si>
  <si>
    <t>Bandingkan dengan GSA.</t>
  </si>
  <si>
    <t>Bandingkan dengan Clay Content.</t>
  </si>
  <si>
    <t>Bandingkan dengan Sand Content.</t>
  </si>
  <si>
    <t>ASTM D4318; USCS; Das (2017)</t>
  </si>
  <si>
    <t>ASTM D4318; USCS</t>
  </si>
  <si>
    <t>Bandingkan dengan LL.</t>
  </si>
  <si>
    <t>Non Plastis</t>
  </si>
  <si>
    <t>NP</t>
  </si>
  <si>
    <t>PI &gt; 0 perlu verifikasi klasifikasi tanah.</t>
  </si>
  <si>
    <t>Konsisten terhadap LL.</t>
  </si>
  <si>
    <t>PI tinggi perlu diverifikasi terhadap Clay Content.</t>
  </si>
  <si>
    <t>ASTM D6913; USCS</t>
  </si>
  <si>
    <t>ASTM D6913</t>
  </si>
  <si>
    <t>ASTM D7928</t>
  </si>
  <si>
    <t>Evaluasi bersama Cu dan Cc.</t>
  </si>
  <si>
    <t>Clay tinggi harus didukung PI.</t>
  </si>
  <si>
    <t>Bandingkan dengan distribusi butiran.</t>
  </si>
  <si>
    <t>Evaluasi terhadap Cu.</t>
  </si>
  <si>
    <t>Evaluasi terhadap Cc.</t>
  </si>
  <si>
    <t>Bandingkan dengan PI.</t>
  </si>
  <si>
    <t>Bandingkan dengan Cu dan Cc.</t>
  </si>
  <si>
    <t>Nilai di luar kisaran menunjukkan gradasi kurang baik.</t>
  </si>
  <si>
    <t>Bandingkan dengan PSD.</t>
  </si>
  <si>
    <t>Evaluasi bentuk kurva distribusi.</t>
  </si>
  <si>
    <t>Bandingkan dengan Silt Content.</t>
  </si>
  <si>
    <t>Silt tinggi harus didukung PI rendah.</t>
  </si>
  <si>
    <t>Evaluasi kurva distribusi.</t>
  </si>
  <si>
    <t>Gravel rendah perlu verifikasi Soil Code.</t>
  </si>
  <si>
    <t>Konsisten terhadap Gravel Content.</t>
  </si>
  <si>
    <t>Clay tinggi perlu evaluasi ulang klasifikasi.</t>
  </si>
  <si>
    <t>Cu &lt; 4 menunjukkan gradasi sempit (GP).</t>
  </si>
  <si>
    <t>Gravel tinggi → verifikasi Soil Code dan deskripsi megaskopis.</t>
  </si>
  <si>
    <t>Bandingkan dengan Clay (%) dan PI.</t>
  </si>
  <si>
    <t>Clay tinggi harus didukung PI dan LL tinggi.</t>
  </si>
  <si>
    <t>Evaluasi kurva distribusi butiran.</t>
  </si>
  <si>
    <t>Evaluasi terhadap D10 dan D60.</t>
  </si>
  <si>
    <t>Evaluasi keseragaman gradasi.</t>
  </si>
  <si>
    <t>Nilai di luar kisaran → cek kurva PSD.</t>
  </si>
  <si>
    <t>Konsisten dengan Sandy Clay.</t>
  </si>
  <si>
    <t>Bandingkan dengan Clay (%).</t>
  </si>
  <si>
    <t>Gravel dominan harus sesuai deskripsi tanah.</t>
  </si>
  <si>
    <t>Bandingkan dengan Gravel (%).</t>
  </si>
  <si>
    <t>Konsisten dengan Silty Clay.</t>
  </si>
  <si>
    <t>Bandingkan dengan Silt (%).</t>
  </si>
  <si>
    <t>Clay tinggi → PI juga meningkat.</t>
  </si>
  <si>
    <t>Gravel tinggi → evaluasi sebagai Gravelly Sand.</t>
  </si>
  <si>
    <t>Sand rendah → verifikasi Soil Code.</t>
  </si>
  <si>
    <t>Clay tinggi → evaluasi ulang Soil Code.</t>
  </si>
  <si>
    <t>Konsisten dengan Clayey Sand.</t>
  </si>
  <si>
    <t>Konsisten dengan Silty Sand.</t>
  </si>
  <si>
    <t>Clay tinggi → evaluasi Soil Code.</t>
  </si>
  <si>
    <t>Clay tinggi → evaluasi ulang klasifikasi.</t>
  </si>
  <si>
    <t>Gravel tinggi → verifikasi Soil Code.</t>
  </si>
  <si>
    <t>Konsisten dengan Clayey Silt.</t>
  </si>
  <si>
    <t>Konsisten dengan Sandy Silt.</t>
  </si>
  <si>
    <t>Gravel rendah → verifikasi klasifikasi.</t>
  </si>
  <si>
    <t>Sangat Halus – Sangat Kasar</t>
  </si>
  <si>
    <t>Evaluasi bersama kurva PSD dan Soil Code.</t>
  </si>
  <si>
    <t>Bandingkan dengan D10 dan D60.</t>
  </si>
  <si>
    <t>Well/Poorly Graded</t>
  </si>
  <si>
    <t>Sesuai USCS</t>
  </si>
  <si>
    <t>Untuk sand: Cu ≥ 6 (SW), gravel: Cu ≥ 4 (GW).</t>
  </si>
  <si>
    <t>Nilai di luar kisaran perlu verifikasi mineralogi, kandungan organik, atau prosedur pengujian.</t>
  </si>
  <si>
    <t>Bandingkan dengan LL, PI, dan kondisi lapangan.</t>
  </si>
  <si>
    <t>Konsisten terhadap Wet Density dan MC.</t>
  </si>
  <si>
    <t>Verifikasi bila menyimpang dari kisaran umum.</t>
  </si>
  <si>
    <t>Konsisten terhadap MC.</t>
  </si>
  <si>
    <t>Nilai tinggi dapat dipengaruhi kandungan kerikil atau mineral berat.</t>
  </si>
  <si>
    <t>Bandingkan dengan Gravel Content dan PI.</t>
  </si>
  <si>
    <t>Evaluasi terhadap Silt Content dan PI.</t>
  </si>
  <si>
    <t>Konsisten terhadap GSA.</t>
  </si>
  <si>
    <t>Nilai di luar kisaran perlu verifikasi mineralogi.</t>
  </si>
  <si>
    <t>Nilai tinggi dapat dipengaruhi jenis batuan atau mineral berat.</t>
  </si>
  <si>
    <t>LL tinggi harus konsisten dengan PI dan Clay Content. Periksa GSA bila menyimpang.</t>
  </si>
  <si>
    <t>PI tinggi harus didukung Clay Content tinggi.</t>
  </si>
  <si>
    <t>Bandingkan dengan Clay Content dan Sand Content.</t>
  </si>
  <si>
    <t>PI tinggi menunjukkan pengaruh fraksi lempung.</t>
  </si>
  <si>
    <t>Bandingkan dengan Silt Content dan Clay Content.</t>
  </si>
  <si>
    <t>Evaluasi bersama LL.</t>
  </si>
  <si>
    <t>Evaluasi bersama Gravel Content dan Clay Content.</t>
  </si>
  <si>
    <t>PI tinggi harus didukung fraksi lempung.</t>
  </si>
  <si>
    <t>Umumnya tidak plastis. Bila LL terukur, verifikasi Soil Code dan GSA.</t>
  </si>
  <si>
    <t>Umumnya tidak plastis.</t>
  </si>
  <si>
    <t>PI &gt; 0 perlu evaluasi ulang klasifikasi tanah.</t>
  </si>
  <si>
    <t>LL meningkat menunjukkan bertambahnya kandungan clay.</t>
  </si>
  <si>
    <t>PI tinggi harus didukung Clay Content dan Soil Code.</t>
  </si>
  <si>
    <t>PI tinggi perlu evaluasi Clay Content.</t>
  </si>
  <si>
    <t>Umumnya tidak plastis. Bila plastis, evaluasi kembali Soil Code.</t>
  </si>
  <si>
    <t>PI tinggi harus didukung Clay Content.</t>
  </si>
  <si>
    <t>Bandingkan dengan Sand dan Silt Content.</t>
  </si>
  <si>
    <t>Umumnya tidak plastis. Bila plastis, verifikasi adanya fraksi halus.</t>
  </si>
  <si>
    <t>PI &gt; 0 menunjukkan adanya fraksi halus atau perlu evaluasi ulang klasifikasi.</t>
  </si>
  <si>
    <t>Nilai di luar kisaran umum, verifikasi LL, PI dan e₀.</t>
  </si>
  <si>
    <t>Das (2017); Bowles (1992)</t>
  </si>
  <si>
    <t>Nilai Cr umumnya lebih kecil dari Cc.</t>
  </si>
  <si>
    <t>Bandingkan dengan γd dan kadar air.</t>
  </si>
  <si>
    <t>Evaluasi terhadap mv dan permeabilitas.</t>
  </si>
  <si>
    <t>Bandingkan dengan Cc dan e₀.</t>
  </si>
  <si>
    <t>Bandingkan dengan hasil uji permeabilitas.</t>
  </si>
  <si>
    <t>Verifikasi terhadap Clay Content.</t>
  </si>
  <si>
    <t>Nilai Cr harus lebih kecil dari Cc.</t>
  </si>
  <si>
    <t>Bandingkan dengan γd.</t>
  </si>
  <si>
    <t>Evaluasi terhadap k.</t>
  </si>
  <si>
    <t>Bandingkan dengan Cc.</t>
  </si>
  <si>
    <t>Evaluasi terhadap Clay Content.</t>
  </si>
  <si>
    <t>Evaluasi terhadap kandungan gravel.</t>
  </si>
  <si>
    <t>Evaluasi terhadap permeabilitas.</t>
  </si>
  <si>
    <t>Bandingkan dengan hasil permeabilitas.</t>
  </si>
  <si>
    <t>Tidak Berlaku</t>
  </si>
  <si>
    <t>Uji konsolidasi umumnya tidak digunakan untuk pasir bersih.</t>
  </si>
  <si>
    <t>ASTM D2435</t>
  </si>
  <si>
    <t>Tidak digunakan sebagai parameter utama.</t>
  </si>
  <si>
    <t>Nilai tinggi merupakan karakteristik umum pasir.</t>
  </si>
  <si>
    <t>Bandingkan dengan kepadatan relatif.</t>
  </si>
  <si>
    <t>Konsolidasi umumnya bukan parameter utama.</t>
  </si>
  <si>
    <t>Nilai tinggi merupakan karakteristik material granular.</t>
  </si>
  <si>
    <t>Bandingkan dengan kepadatan.</t>
  </si>
  <si>
    <t>Konsolidasi umumnya bukan parameter utama pada gravel.</t>
  </si>
  <si>
    <t>Gravel tinggi perlu verifikasi Soil Code dan deskripsi megaskopis.</t>
  </si>
  <si>
    <t>Bandingkan dengan Fines (%) dan hasil ATB.</t>
  </si>
  <si>
    <t>Fines tinggi harus konsisten dengan LL, PI dan jenis tanah.</t>
  </si>
  <si>
    <t>ASTM D6913; ASTM D4318</t>
  </si>
  <si>
    <t>Bandingkan dengan Fines (%).</t>
  </si>
  <si>
    <t>Fines tinggi harus didukung PI.</t>
  </si>
  <si>
    <t>Gravel harus dominan dibanding Sand.</t>
  </si>
  <si>
    <t>Konsisten dengan Clay Content.</t>
  </si>
  <si>
    <t>Sand rendah perlu evaluasi klasifikasi.</t>
  </si>
  <si>
    <t>Fines tinggi perlu dicek dengan ATB.</t>
  </si>
  <si>
    <t>Bandingkan dengan hasil ATB.</t>
  </si>
  <si>
    <t>Gravel tinggi harus sesuai deskripsi tanah.</t>
  </si>
  <si>
    <t>Fines tinggi perlu evaluasi ulang klasifikasi.</t>
  </si>
  <si>
    <t>Gravel tinggi perlu verifikasi Soil Code.</t>
  </si>
  <si>
    <t>Fines tinggi harus didukung PI rendah.</t>
  </si>
  <si>
    <t>Gravel rendah perlu evaluasi Soil Code.</t>
  </si>
  <si>
    <t>SIEVE ANALYSIS-TABEL ENGINEERING REMAINDER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</si>
</sst>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_(&quot;$&quot;* \(#,##0.00\);_(&quot;$&quot;* &quot;-&quot;??_);_(@_)"/>
    <numFmt numFmtId="43" formatCode="_(* #,##0.00_);_(* \(#,##0.00\);_(* &quot;-&quot;??_);_(@_)"/>
    <numFmt numFmtId="164" formatCode="@\ * &quot;:&quot;"/>
    <numFmt numFmtId="165" formatCode="_-* #,##0_-;\-* #,##0_-;_-* &quot;-&quot;??_-;_-@_-"/>
    <numFmt numFmtId="166" formatCode="_-* #,##0.000_-;\-* #,##0.000_-;_-* &quot;-&quot;??_-;_-@_-"/>
    <numFmt numFmtId="167" formatCode="0.000"/>
    <numFmt numFmtId="168" formatCode="_(* #,##0.000_);_(* \(#,##0.000\);_(* &quot;-&quot;??_);_(@_)"/>
    <numFmt numFmtId="169" formatCode="0.0000"/>
    <numFmt numFmtId="170" formatCode="0.0"/>
    <numFmt numFmtId="171" formatCode="m/d"/>
    <numFmt numFmtId="172" formatCode="0.00.E+00"/>
    <numFmt numFmtId="173" formatCode="0.00000"/>
    <numFmt numFmtId="174" formatCode="#,##0.000"/>
    <numFmt numFmtId="175" formatCode="0.0000_)"/>
    <numFmt numFmtId="176" formatCode="0.000000"/>
    <numFmt numFmtId="177" formatCode="[$-421]dd\ mmmm\ yyyy;@"/>
    <numFmt numFmtId="178" formatCode="dd/mm/yy;@"/>
    <numFmt numFmtId="179" formatCode="0.00000000"/>
    <numFmt numFmtId="180" formatCode="0.0000000"/>
    <numFmt numFmtId="181" formatCode="_-* #,##0.00_-;\-* #,##0.00_-;_-* &quot;-&quot;??_-;_-@_-"/>
    <numFmt numFmtId="182" formatCode=";;;"/>
    <numFmt numFmtId="183" formatCode="[$-13809]hh:mm:ss;@"/>
  </numFmts>
  <fonts count="205">
    <font>
      <sz val="12"/>
      <color theme="1"/>
      <name val="Calibri"/>
      <family val="2"/>
      <scheme val="minor"/>
    </font>
    <font>
      <sz val="12"/>
      <color theme="1"/>
      <name val="Calibri"/>
      <family val="2"/>
      <scheme val="minor"/>
    </font>
    <font>
      <b/>
      <sz val="12"/>
      <color theme="1"/>
      <name val="Calibri"/>
      <family val="2"/>
      <scheme val="minor"/>
    </font>
    <font>
      <sz val="12"/>
      <color theme="1"/>
      <name val="Arial"/>
      <family val="2"/>
    </font>
    <font>
      <sz val="10"/>
      <color theme="1"/>
      <name val="Arial"/>
      <family val="2"/>
    </font>
    <font>
      <sz val="8"/>
      <color theme="1"/>
      <name val="Arial"/>
      <family val="2"/>
    </font>
    <font>
      <b/>
      <sz val="8"/>
      <color theme="1"/>
      <name val="Arial"/>
      <family val="2"/>
    </font>
    <font>
      <sz val="6"/>
      <color theme="1"/>
      <name val="Arial"/>
      <family val="2"/>
    </font>
    <font>
      <b/>
      <sz val="10"/>
      <color theme="1"/>
      <name val="Arial"/>
      <family val="2"/>
    </font>
    <font>
      <sz val="8"/>
      <color theme="1"/>
      <name val="Calibri"/>
      <family val="2"/>
      <scheme val="minor"/>
    </font>
    <font>
      <sz val="9"/>
      <color theme="1"/>
      <name val="Arial"/>
      <family val="2"/>
    </font>
    <font>
      <sz val="9"/>
      <color theme="1"/>
      <name val="Calibri"/>
      <family val="2"/>
      <scheme val="minor"/>
    </font>
    <font>
      <sz val="10"/>
      <color theme="1"/>
      <name val="Calibri"/>
      <family val="2"/>
      <scheme val="minor"/>
    </font>
    <font>
      <sz val="10"/>
      <name val="Arial"/>
      <family val="2"/>
    </font>
    <font>
      <b/>
      <sz val="10"/>
      <name val="Aptos"/>
      <family val="2"/>
    </font>
    <font>
      <sz val="9"/>
      <name val="Aptos"/>
      <family val="2"/>
    </font>
    <font>
      <sz val="9"/>
      <color theme="1"/>
      <name val="Aptos"/>
      <family val="2"/>
    </font>
    <font>
      <sz val="9"/>
      <color rgb="FFFF0000"/>
      <name val="Aptos"/>
      <family val="2"/>
    </font>
    <font>
      <sz val="10"/>
      <name val="Aptos"/>
      <family val="2"/>
    </font>
    <font>
      <sz val="8"/>
      <name val="Arial"/>
      <family val="2"/>
    </font>
    <font>
      <b/>
      <sz val="8"/>
      <name val="Arial"/>
      <family val="2"/>
    </font>
    <font>
      <b/>
      <sz val="6"/>
      <name val="Arial"/>
      <family val="2"/>
    </font>
    <font>
      <vertAlign val="superscript"/>
      <sz val="10"/>
      <name val="Arial"/>
      <family val="2"/>
    </font>
    <font>
      <sz val="10"/>
      <color indexed="14"/>
      <name val="Arial"/>
      <family val="2"/>
    </font>
    <font>
      <b/>
      <sz val="10"/>
      <name val="Arial"/>
      <family val="2"/>
    </font>
    <font>
      <sz val="10"/>
      <color rgb="FFFF0000"/>
      <name val="Arial"/>
      <family val="2"/>
    </font>
    <font>
      <sz val="12"/>
      <name val="Calibri"/>
      <family val="2"/>
      <scheme val="minor"/>
    </font>
    <font>
      <sz val="10"/>
      <color theme="5"/>
      <name val="Aptos"/>
      <family val="2"/>
    </font>
    <font>
      <sz val="10"/>
      <color theme="1"/>
      <name val="Aptos"/>
      <family val="2"/>
    </font>
    <font>
      <sz val="10"/>
      <color theme="4"/>
      <name val="Aptos"/>
      <family val="2"/>
    </font>
    <font>
      <sz val="10"/>
      <color theme="5" tint="-0.249977111117893"/>
      <name val="Aptos"/>
      <family val="2"/>
    </font>
    <font>
      <sz val="16"/>
      <name val="Symbol"/>
      <family val="1"/>
      <charset val="2"/>
    </font>
    <font>
      <sz val="10"/>
      <name val="Symbol"/>
      <family val="1"/>
      <charset val="2"/>
    </font>
    <font>
      <sz val="14"/>
      <name val="Symbol"/>
      <family val="1"/>
      <charset val="2"/>
    </font>
    <font>
      <sz val="14"/>
      <name val="Arial"/>
      <family val="2"/>
    </font>
    <font>
      <vertAlign val="subscript"/>
      <sz val="10"/>
      <name val="Arial"/>
      <family val="2"/>
    </font>
    <font>
      <sz val="12"/>
      <color theme="1"/>
      <name val="Symbol"/>
      <family val="1"/>
      <charset val="2"/>
    </font>
    <font>
      <sz val="10"/>
      <color rgb="FFFF0000"/>
      <name val="Aptos"/>
      <family val="2"/>
    </font>
    <font>
      <sz val="10"/>
      <color indexed="8"/>
      <name val="Aptos"/>
      <family val="2"/>
    </font>
    <font>
      <sz val="10"/>
      <name val="Aptos"/>
      <family val="2"/>
    </font>
    <font>
      <sz val="10"/>
      <name val="Courier"/>
      <charset val="1"/>
    </font>
    <font>
      <vertAlign val="superscript"/>
      <sz val="10"/>
      <name val="Aptos"/>
      <family val="2"/>
    </font>
    <font>
      <sz val="10"/>
      <color indexed="14"/>
      <name val="Aptos"/>
      <family val="2"/>
    </font>
    <font>
      <sz val="10"/>
      <color theme="3" tint="0.39997558519241921"/>
      <name val="Aptos"/>
      <family val="2"/>
    </font>
    <font>
      <b/>
      <sz val="8"/>
      <name val="Aptos"/>
      <family val="2"/>
    </font>
    <font>
      <sz val="8"/>
      <name val="Aptos"/>
      <family val="2"/>
    </font>
    <font>
      <b/>
      <sz val="10"/>
      <color indexed="10"/>
      <name val="Aptos"/>
      <family val="2"/>
    </font>
    <font>
      <b/>
      <sz val="10"/>
      <color rgb="FFFF0000"/>
      <name val="Aptos"/>
      <family val="2"/>
    </font>
    <font>
      <b/>
      <sz val="9"/>
      <color rgb="FFFF0000"/>
      <name val="Aptos"/>
      <family val="2"/>
    </font>
    <font>
      <b/>
      <sz val="10"/>
      <color indexed="12"/>
      <name val="Aptos"/>
      <family val="2"/>
    </font>
    <font>
      <sz val="10"/>
      <color indexed="12"/>
      <name val="Aptos"/>
      <family val="2"/>
    </font>
    <font>
      <sz val="10"/>
      <color indexed="17"/>
      <name val="Aptos"/>
      <family val="2"/>
    </font>
    <font>
      <sz val="8"/>
      <color indexed="10"/>
      <name val="Aptos"/>
      <family val="2"/>
    </font>
    <font>
      <sz val="8"/>
      <color indexed="12"/>
      <name val="Aptos"/>
      <family val="2"/>
    </font>
    <font>
      <sz val="8"/>
      <color indexed="17"/>
      <name val="Aptos"/>
      <family val="2"/>
    </font>
    <font>
      <sz val="8"/>
      <color rgb="FFFF0000"/>
      <name val="Aptos"/>
      <family val="2"/>
    </font>
    <font>
      <b/>
      <sz val="8"/>
      <color indexed="17"/>
      <name val="Aptos"/>
      <family val="2"/>
    </font>
    <font>
      <b/>
      <sz val="9"/>
      <name val="Aptos"/>
      <family val="2"/>
    </font>
    <font>
      <sz val="7"/>
      <name val="Aptos"/>
      <family val="2"/>
    </font>
    <font>
      <vertAlign val="superscript"/>
      <sz val="7"/>
      <name val="Aptos"/>
      <family val="2"/>
    </font>
    <font>
      <sz val="6"/>
      <name val="Aptos"/>
      <family val="2"/>
    </font>
    <font>
      <sz val="12"/>
      <color theme="1"/>
      <name val="Calibri"/>
      <family val="2"/>
      <charset val="2"/>
      <scheme val="minor"/>
    </font>
    <font>
      <sz val="8"/>
      <color indexed="8"/>
      <name val="Aptos"/>
      <family val="2"/>
    </font>
    <font>
      <sz val="12"/>
      <name val="Symbol"/>
      <family val="1"/>
      <charset val="2"/>
    </font>
    <font>
      <sz val="12"/>
      <name val="Arial"/>
      <family val="2"/>
    </font>
    <font>
      <sz val="12"/>
      <color theme="0"/>
      <name val="Calibri"/>
      <family val="2"/>
      <scheme val="minor"/>
    </font>
    <font>
      <sz val="8"/>
      <color theme="0" tint="-0.499984740745262"/>
      <name val="Arial"/>
      <family val="2"/>
    </font>
    <font>
      <b/>
      <sz val="11"/>
      <color theme="1"/>
      <name val="Arial"/>
      <family val="2"/>
    </font>
    <font>
      <i/>
      <sz val="11"/>
      <color theme="1"/>
      <name val="Arial"/>
      <family val="2"/>
    </font>
    <font>
      <i/>
      <sz val="10"/>
      <color theme="1"/>
      <name val="Arial"/>
      <family val="2"/>
    </font>
    <font>
      <sz val="10"/>
      <color theme="0"/>
      <name val="Arial"/>
      <family val="2"/>
    </font>
    <font>
      <sz val="11"/>
      <color theme="0"/>
      <name val="Arial"/>
      <family val="2"/>
    </font>
    <font>
      <i/>
      <sz val="8"/>
      <color theme="1" tint="0.34998626667073579"/>
      <name val="Arial"/>
      <family val="2"/>
    </font>
    <font>
      <sz val="8"/>
      <color theme="2" tint="-0.749992370372631"/>
      <name val="Arial"/>
      <family val="2"/>
    </font>
    <font>
      <b/>
      <sz val="11"/>
      <color theme="0"/>
      <name val="Arial"/>
      <family val="2"/>
    </font>
    <font>
      <sz val="8"/>
      <color theme="2" tint="-0.499984740745262"/>
      <name val="Arial"/>
      <family val="2"/>
    </font>
    <font>
      <sz val="8"/>
      <color theme="0"/>
      <name val="Arial"/>
      <family val="2"/>
    </font>
    <font>
      <sz val="9"/>
      <color theme="2" tint="-0.499984740745262"/>
      <name val="Arial"/>
      <family val="2"/>
    </font>
    <font>
      <b/>
      <sz val="9"/>
      <color theme="1"/>
      <name val="Arial"/>
      <family val="2"/>
    </font>
    <font>
      <i/>
      <sz val="9"/>
      <color theme="1"/>
      <name val="Arial"/>
      <family val="2"/>
    </font>
    <font>
      <b/>
      <sz val="16"/>
      <color theme="4" tint="-0.249977111117893"/>
      <name val="Arial"/>
      <family val="2"/>
    </font>
    <font>
      <b/>
      <sz val="12"/>
      <color theme="2" tint="-0.499984740745262"/>
      <name val="Arial"/>
      <family val="2"/>
    </font>
    <font>
      <b/>
      <sz val="18"/>
      <color theme="4" tint="-0.249977111117893"/>
      <name val="Arial"/>
      <family val="2"/>
    </font>
    <font>
      <sz val="7"/>
      <color theme="2" tint="-0.249977111117893"/>
      <name val="Arial"/>
      <family val="2"/>
    </font>
    <font>
      <vertAlign val="superscript"/>
      <sz val="10"/>
      <color theme="1"/>
      <name val="Aptos"/>
      <family val="2"/>
    </font>
    <font>
      <vertAlign val="subscript"/>
      <sz val="10"/>
      <color theme="1"/>
      <name val="Aptos"/>
      <family val="2"/>
    </font>
    <font>
      <sz val="12"/>
      <color theme="1"/>
      <name val="Aptos"/>
      <family val="2"/>
    </font>
    <font>
      <b/>
      <sz val="10"/>
      <color theme="1"/>
      <name val="Aptos"/>
      <family val="2"/>
    </font>
    <font>
      <b/>
      <vertAlign val="subscript"/>
      <sz val="10"/>
      <color theme="1"/>
      <name val="Aptos"/>
      <family val="2"/>
    </font>
    <font>
      <sz val="10"/>
      <name val="Courier"/>
    </font>
    <font>
      <sz val="14"/>
      <color indexed="8"/>
      <name val="Aptos"/>
      <family val="2"/>
    </font>
    <font>
      <sz val="12"/>
      <color rgb="FFFF0000"/>
      <name val="Aptos"/>
      <family val="2"/>
    </font>
    <font>
      <sz val="11"/>
      <color theme="1"/>
      <name val="Calibri"/>
      <family val="2"/>
      <scheme val="minor"/>
    </font>
    <font>
      <sz val="10"/>
      <color rgb="FFFF0000"/>
      <name val="Calibri"/>
      <family val="2"/>
      <scheme val="minor"/>
    </font>
    <font>
      <b/>
      <sz val="10"/>
      <color theme="1"/>
      <name val="Calibri"/>
      <family val="2"/>
      <scheme val="minor"/>
    </font>
    <font>
      <i/>
      <sz val="10"/>
      <color theme="1"/>
      <name val="Aptos"/>
      <family val="2"/>
    </font>
    <font>
      <b/>
      <sz val="10"/>
      <color theme="0"/>
      <name val="Aptos"/>
      <family val="2"/>
    </font>
    <font>
      <sz val="10"/>
      <color rgb="FF595959"/>
      <name val="Aptos"/>
      <family val="2"/>
    </font>
    <font>
      <sz val="11"/>
      <color indexed="8"/>
      <name val="Aptos"/>
      <family val="2"/>
    </font>
    <font>
      <sz val="11"/>
      <color indexed="10"/>
      <name val="Aptos"/>
      <family val="2"/>
    </font>
    <font>
      <b/>
      <sz val="12"/>
      <color indexed="8"/>
      <name val="Aptos"/>
      <family val="2"/>
    </font>
    <font>
      <sz val="11"/>
      <color theme="1"/>
      <name val="Aptos"/>
      <family val="2"/>
    </font>
    <font>
      <sz val="10"/>
      <color rgb="FF0070C0"/>
      <name val="Aptos"/>
      <family val="2"/>
    </font>
    <font>
      <sz val="12"/>
      <color rgb="FF000000"/>
      <name val="Calibri"/>
      <family val="2"/>
      <scheme val="minor"/>
    </font>
    <font>
      <sz val="10"/>
      <color theme="1"/>
      <name val="Symbol"/>
      <family val="1"/>
      <charset val="2"/>
    </font>
    <font>
      <sz val="10"/>
      <color theme="1"/>
      <name val="Aptos"/>
      <family val="2"/>
      <charset val="2"/>
    </font>
    <font>
      <sz val="12"/>
      <color rgb="FF1F1F1F"/>
      <name val="Arial"/>
      <family val="2"/>
    </font>
    <font>
      <b/>
      <sz val="12"/>
      <color rgb="FF1F1F1F"/>
      <name val="Arial"/>
      <family val="2"/>
    </font>
    <font>
      <sz val="8"/>
      <color theme="1" tint="0.34998626667073579"/>
      <name val="Arial"/>
      <family val="2"/>
    </font>
    <font>
      <sz val="6"/>
      <color theme="2" tint="-0.749992370372631"/>
      <name val="Arial"/>
      <family val="2"/>
    </font>
    <font>
      <vertAlign val="superscript"/>
      <sz val="9"/>
      <color theme="1"/>
      <name val="Arial"/>
      <family val="2"/>
    </font>
    <font>
      <vertAlign val="superscript"/>
      <sz val="10"/>
      <color theme="1"/>
      <name val="Arial"/>
      <family val="2"/>
    </font>
    <font>
      <sz val="11"/>
      <color theme="1"/>
      <name val="Arial"/>
      <family val="2"/>
    </font>
    <font>
      <sz val="12"/>
      <color theme="0"/>
      <name val="Aptos"/>
      <family val="2"/>
    </font>
    <font>
      <sz val="12"/>
      <color rgb="FFFF0000"/>
      <name val="Calibri"/>
      <family val="2"/>
      <scheme val="minor"/>
    </font>
    <font>
      <sz val="12"/>
      <color rgb="FFFF0000"/>
      <name val="Aptos"/>
      <family val="2"/>
    </font>
    <font>
      <b/>
      <sz val="18"/>
      <color theme="1"/>
      <name val="Arial"/>
      <family val="2"/>
    </font>
    <font>
      <sz val="14"/>
      <color theme="2" tint="-0.499984740745262"/>
      <name val="Arial"/>
      <family val="2"/>
    </font>
    <font>
      <b/>
      <sz val="12"/>
      <color theme="1"/>
      <name val="Aptos"/>
      <family val="2"/>
    </font>
    <font>
      <sz val="16"/>
      <color theme="1"/>
      <name val="Calibri"/>
      <family val="2"/>
      <scheme val="minor"/>
    </font>
    <font>
      <sz val="16"/>
      <color theme="1"/>
      <name val="Arial"/>
      <family val="2"/>
    </font>
    <font>
      <sz val="14"/>
      <color theme="1"/>
      <name val="Arial"/>
      <family val="2"/>
    </font>
    <font>
      <sz val="11"/>
      <name val="Arial"/>
      <family val="2"/>
    </font>
    <font>
      <b/>
      <sz val="12"/>
      <color theme="1"/>
      <name val="Arial"/>
      <family val="2"/>
    </font>
    <font>
      <i/>
      <sz val="16"/>
      <color theme="1"/>
      <name val="Arial"/>
      <family val="2"/>
    </font>
    <font>
      <sz val="12"/>
      <color theme="0" tint="-0.249977111117893"/>
      <name val="Calibri"/>
      <family val="2"/>
      <scheme val="minor"/>
    </font>
    <font>
      <sz val="9"/>
      <name val="Arial"/>
      <family val="2"/>
    </font>
    <font>
      <sz val="9"/>
      <color theme="2" tint="-0.249977111117893"/>
      <name val="Arial"/>
      <family val="2"/>
    </font>
    <font>
      <sz val="9"/>
      <color theme="2" tint="-0.749992370372631"/>
      <name val="Arial"/>
      <family val="2"/>
    </font>
    <font>
      <sz val="9"/>
      <color theme="2" tint="-0.89999084444715716"/>
      <name val="Arial"/>
      <family val="2"/>
    </font>
    <font>
      <sz val="11"/>
      <color theme="3" tint="0.79998168889431442"/>
      <name val="Arial"/>
      <family val="2"/>
    </font>
    <font>
      <vertAlign val="subscript"/>
      <sz val="9"/>
      <color theme="1"/>
      <name val="Arial"/>
      <family val="2"/>
    </font>
    <font>
      <sz val="9"/>
      <color theme="1"/>
      <name val="Symbol"/>
      <family val="1"/>
      <charset val="2"/>
    </font>
    <font>
      <sz val="11"/>
      <color theme="1"/>
      <name val="Calibri"/>
      <family val="2"/>
      <charset val="2"/>
    </font>
    <font>
      <sz val="11"/>
      <color theme="1"/>
      <name val="Symbol"/>
      <family val="1"/>
      <charset val="2"/>
    </font>
    <font>
      <sz val="14"/>
      <color theme="1"/>
      <name val="Calibri"/>
      <family val="2"/>
      <scheme val="minor"/>
    </font>
    <font>
      <sz val="14"/>
      <color indexed="14"/>
      <name val="Arial"/>
      <family val="2"/>
    </font>
    <font>
      <b/>
      <sz val="14"/>
      <color theme="1"/>
      <name val="Calibri"/>
      <family val="2"/>
      <scheme val="minor"/>
    </font>
    <font>
      <b/>
      <sz val="14"/>
      <color indexed="14"/>
      <name val="Arial"/>
      <family val="2"/>
    </font>
    <font>
      <sz val="14"/>
      <color rgb="FFFF0000"/>
      <name val="Calibri"/>
      <family val="2"/>
      <scheme val="minor"/>
    </font>
    <font>
      <sz val="8"/>
      <color rgb="FF595959"/>
      <name val="Arial"/>
      <family val="2"/>
    </font>
    <font>
      <sz val="10"/>
      <color rgb="FF595959"/>
      <name val="Calibri"/>
      <family val="2"/>
      <scheme val="minor"/>
    </font>
    <font>
      <vertAlign val="subscript"/>
      <sz val="8"/>
      <color rgb="FF595959"/>
      <name val="Arial"/>
      <family val="2"/>
    </font>
    <font>
      <b/>
      <sz val="8"/>
      <color rgb="FF7F7F7F"/>
      <name val="Aptos"/>
      <family val="2"/>
    </font>
    <font>
      <vertAlign val="subscript"/>
      <sz val="12"/>
      <color theme="1"/>
      <name val="Calibri (Body)"/>
    </font>
    <font>
      <b/>
      <vertAlign val="superscript"/>
      <sz val="9"/>
      <color theme="1"/>
      <name val="Arial"/>
      <family val="2"/>
    </font>
    <font>
      <i/>
      <sz val="9"/>
      <color theme="1"/>
      <name val="Calibri"/>
      <family val="2"/>
      <scheme val="minor"/>
    </font>
    <font>
      <i/>
      <sz val="8"/>
      <color theme="1"/>
      <name val="Calibri"/>
      <family val="2"/>
      <scheme val="minor"/>
    </font>
    <font>
      <b/>
      <sz val="11"/>
      <color rgb="FF000000"/>
      <name val="Arial"/>
      <family val="2"/>
    </font>
    <font>
      <b/>
      <sz val="11"/>
      <color rgb="FFFFFFFF"/>
      <name val="Arial"/>
      <family val="2"/>
    </font>
    <font>
      <i/>
      <sz val="10"/>
      <color rgb="FF000000"/>
      <name val="Arial"/>
      <family val="2"/>
    </font>
    <font>
      <b/>
      <sz val="11"/>
      <color theme="1"/>
      <name val="Aptos"/>
      <family val="2"/>
    </font>
    <font>
      <vertAlign val="superscript"/>
      <sz val="12"/>
      <color theme="1"/>
      <name val="Calibri (Body)"/>
    </font>
    <font>
      <sz val="11"/>
      <name val="Aptos"/>
      <family val="2"/>
    </font>
    <font>
      <b/>
      <sz val="11"/>
      <name val="Aptos"/>
      <family val="2"/>
    </font>
    <font>
      <vertAlign val="superscript"/>
      <sz val="11"/>
      <name val="Aptos"/>
      <family val="2"/>
    </font>
    <font>
      <b/>
      <sz val="10"/>
      <color indexed="8"/>
      <name val="Aptos"/>
      <family val="2"/>
    </font>
    <font>
      <sz val="12"/>
      <color theme="4"/>
      <name val="Calibri"/>
      <family val="2"/>
      <scheme val="minor"/>
    </font>
    <font>
      <sz val="12"/>
      <color theme="2" tint="-9.9978637043366805E-2"/>
      <name val="Calibri"/>
      <family val="2"/>
      <scheme val="minor"/>
    </font>
    <font>
      <sz val="8"/>
      <color theme="1"/>
      <name val="Calibri (Body)"/>
    </font>
    <font>
      <i/>
      <sz val="8"/>
      <color theme="1"/>
      <name val="Arial"/>
      <family val="2"/>
    </font>
    <font>
      <b/>
      <i/>
      <sz val="9"/>
      <color theme="1"/>
      <name val="Arial"/>
      <family val="2"/>
    </font>
    <font>
      <b/>
      <i/>
      <sz val="8"/>
      <color theme="1"/>
      <name val="Arial"/>
      <family val="2"/>
    </font>
    <font>
      <sz val="7"/>
      <color theme="1"/>
      <name val="Arial"/>
      <family val="2"/>
    </font>
    <font>
      <b/>
      <sz val="8"/>
      <color theme="0"/>
      <name val="Arial"/>
      <family val="2"/>
    </font>
    <font>
      <b/>
      <sz val="10"/>
      <color theme="0"/>
      <name val="Arial"/>
      <family val="2"/>
    </font>
    <font>
      <b/>
      <i/>
      <sz val="10"/>
      <color theme="1"/>
      <name val="Arial"/>
      <family val="2"/>
    </font>
    <font>
      <b/>
      <sz val="14"/>
      <color theme="1"/>
      <name val="Arial"/>
      <family val="2"/>
    </font>
    <font>
      <i/>
      <sz val="7"/>
      <color theme="1"/>
      <name val="Arial"/>
      <family val="2"/>
    </font>
    <font>
      <b/>
      <i/>
      <sz val="10"/>
      <color theme="0"/>
      <name val="Arial"/>
      <family val="2"/>
    </font>
    <font>
      <b/>
      <sz val="9"/>
      <color theme="1"/>
      <name val="Calibri"/>
      <family val="2"/>
      <scheme val="minor"/>
    </font>
    <font>
      <i/>
      <sz val="12"/>
      <color theme="1"/>
      <name val="Calibri"/>
      <family val="2"/>
      <scheme val="minor"/>
    </font>
    <font>
      <sz val="7"/>
      <color theme="2" tint="-0.499984740745262"/>
      <name val="Arial"/>
      <family val="2"/>
    </font>
    <font>
      <b/>
      <sz val="12"/>
      <color rgb="FFFF0000"/>
      <name val="Calibri"/>
      <family val="2"/>
      <scheme val="minor"/>
    </font>
    <font>
      <sz val="6"/>
      <color theme="2" tint="-0.499984740745262"/>
      <name val="Arial"/>
      <family val="2"/>
    </font>
    <font>
      <sz val="8"/>
      <color theme="0" tint="-4.9989318521683403E-2"/>
      <name val="Arial"/>
      <family val="2"/>
    </font>
    <font>
      <sz val="8"/>
      <color rgb="FFFF0000"/>
      <name val="Arial"/>
      <family val="2"/>
    </font>
    <font>
      <b/>
      <i/>
      <sz val="12"/>
      <color theme="1"/>
      <name val="Calibri"/>
      <family val="2"/>
      <scheme val="minor"/>
    </font>
    <font>
      <vertAlign val="superscript"/>
      <sz val="9"/>
      <name val="Arial"/>
      <family val="2"/>
    </font>
    <font>
      <b/>
      <sz val="12"/>
      <color theme="0"/>
      <name val="Calibri"/>
      <family val="2"/>
      <scheme val="minor"/>
    </font>
    <font>
      <sz val="10"/>
      <name val="Calibri"/>
      <family val="2"/>
      <scheme val="minor"/>
    </font>
    <font>
      <b/>
      <sz val="18"/>
      <color theme="1"/>
      <name val="Calibri"/>
      <family val="2"/>
      <scheme val="minor"/>
    </font>
    <font>
      <sz val="18"/>
      <color theme="1"/>
      <name val="Calibri"/>
      <family val="2"/>
      <scheme val="minor"/>
    </font>
    <font>
      <b/>
      <vertAlign val="subscript"/>
      <sz val="10"/>
      <name val="Aptos"/>
      <family val="2"/>
    </font>
    <font>
      <b/>
      <sz val="12"/>
      <color theme="4" tint="-0.249977111117893"/>
      <name val="Arial"/>
      <family val="2"/>
    </font>
    <font>
      <b/>
      <sz val="14"/>
      <color theme="4" tint="-0.249977111117893"/>
      <name val="Arial"/>
      <family val="2"/>
    </font>
    <font>
      <b/>
      <sz val="14"/>
      <color rgb="FFFF0000"/>
      <name val="Arial"/>
      <family val="2"/>
    </font>
    <font>
      <b/>
      <sz val="16"/>
      <color rgb="FFFF0000"/>
      <name val="Arial"/>
      <family val="2"/>
    </font>
    <font>
      <b/>
      <sz val="8"/>
      <color theme="1"/>
      <name val="Aptos"/>
      <family val="2"/>
    </font>
    <font>
      <sz val="9"/>
      <color rgb="FFFF0000"/>
      <name val="Arial"/>
      <family val="2"/>
    </font>
    <font>
      <b/>
      <sz val="9"/>
      <color rgb="FFFF0000"/>
      <name val="Arial"/>
      <family val="2"/>
    </font>
    <font>
      <i/>
      <sz val="9"/>
      <color rgb="FFFF0000"/>
      <name val="Arial"/>
      <family val="2"/>
    </font>
    <font>
      <sz val="10"/>
      <color theme="0"/>
      <name val="Calibri"/>
      <family val="2"/>
      <scheme val="minor"/>
    </font>
    <font>
      <b/>
      <sz val="8"/>
      <color theme="1"/>
      <name val="Calibri"/>
      <family val="2"/>
      <scheme val="minor"/>
    </font>
    <font>
      <b/>
      <sz val="10"/>
      <color rgb="FFFF0000"/>
      <name val="Arial"/>
      <family val="2"/>
    </font>
    <font>
      <i/>
      <sz val="10"/>
      <color rgb="FFFF0000"/>
      <name val="Arial"/>
      <family val="2"/>
    </font>
    <font>
      <sz val="11"/>
      <color rgb="FFFF0000"/>
      <name val="Arial"/>
      <family val="2"/>
    </font>
    <font>
      <b/>
      <sz val="11"/>
      <color rgb="FFFF0000"/>
      <name val="Arial"/>
      <family val="2"/>
    </font>
    <font>
      <i/>
      <sz val="11"/>
      <color rgb="FFFF0000"/>
      <name val="Arial"/>
      <family val="2"/>
    </font>
    <font>
      <b/>
      <sz val="11"/>
      <name val="Calibri"/>
      <family val="2"/>
    </font>
    <font>
      <b/>
      <sz val="11"/>
      <name val="Calibri"/>
      <family val="2"/>
    </font>
    <font>
      <b/>
      <sz val="9"/>
      <color theme="1"/>
      <name val="Aptos"/>
      <family val="2"/>
    </font>
    <font>
      <sz val="10"/>
      <color theme="1"/>
      <name val="Arial Unicode MS"/>
    </font>
    <font>
      <sz val="13.5"/>
      <color theme="1"/>
      <name val="Calibri"/>
      <family val="2"/>
      <scheme val="minor"/>
    </font>
    <font>
      <b/>
      <sz val="12"/>
      <color theme="0"/>
      <name val="Aptos"/>
      <family val="2"/>
    </font>
  </fonts>
  <fills count="32">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8"/>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9"/>
        <bgColor indexed="64"/>
      </patternFill>
    </fill>
    <fill>
      <patternFill patternType="solid">
        <fgColor theme="4"/>
        <bgColor indexed="64"/>
      </patternFill>
    </fill>
    <fill>
      <patternFill patternType="solid">
        <fgColor theme="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BDD7EE"/>
        <bgColor rgb="FF000000"/>
      </patternFill>
    </fill>
    <fill>
      <patternFill patternType="solid">
        <fgColor rgb="FF305496"/>
        <bgColor rgb="FF000000"/>
      </patternFill>
    </fill>
    <fill>
      <patternFill patternType="solid">
        <fgColor theme="7"/>
        <bgColor indexed="64"/>
      </patternFill>
    </fill>
    <fill>
      <patternFill patternType="solid">
        <fgColor theme="5"/>
        <bgColor indexed="64"/>
      </patternFill>
    </fill>
    <fill>
      <patternFill patternType="solid">
        <fgColor indexed="26"/>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00B050"/>
        <bgColor indexed="64"/>
      </patternFill>
    </fill>
    <fill>
      <patternFill patternType="solid">
        <fgColor theme="4" tint="-0.499984740745262"/>
        <bgColor indexed="64"/>
      </patternFill>
    </fill>
    <fill>
      <patternFill patternType="solid">
        <fgColor theme="7" tint="-0.249977111117893"/>
        <bgColor indexed="64"/>
      </patternFill>
    </fill>
  </fills>
  <borders count="15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thin">
        <color indexed="64"/>
      </left>
      <right style="hair">
        <color indexed="64"/>
      </right>
      <top/>
      <bottom/>
      <diagonal/>
    </border>
    <border>
      <left/>
      <right style="hair">
        <color indexed="64"/>
      </right>
      <top/>
      <bottom/>
      <diagonal/>
    </border>
    <border>
      <left style="thin">
        <color indexed="64"/>
      </left>
      <right style="hair">
        <color indexed="64"/>
      </right>
      <top/>
      <bottom style="thin">
        <color indexed="64"/>
      </bottom>
      <diagonal/>
    </border>
    <border>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style="thin">
        <color theme="4" tint="0.39997558519241921"/>
      </top>
      <bottom style="thin">
        <color theme="4" tint="0.39997558519241921"/>
      </bottom>
      <diagonal/>
    </border>
    <border>
      <left/>
      <right/>
      <top/>
      <bottom style="medium">
        <color theme="1" tint="0.34998626667073579"/>
      </bottom>
      <diagonal/>
    </border>
    <border>
      <left style="thin">
        <color theme="8" tint="0.79998168889431442"/>
      </left>
      <right style="thin">
        <color theme="8" tint="0.79998168889431442"/>
      </right>
      <top style="thin">
        <color theme="8" tint="0.79998168889431442"/>
      </top>
      <bottom style="thin">
        <color theme="8" tint="0.79998168889431442"/>
      </bottom>
      <diagonal/>
    </border>
    <border>
      <left/>
      <right/>
      <top/>
      <bottom style="medium">
        <color theme="8" tint="0.79998168889431442"/>
      </bottom>
      <diagonal/>
    </border>
    <border>
      <left/>
      <right/>
      <top style="medium">
        <color theme="8" tint="0.79998168889431442"/>
      </top>
      <bottom/>
      <diagonal/>
    </border>
    <border>
      <left/>
      <right/>
      <top/>
      <bottom style="thin">
        <color theme="4" tint="0.59999389629810485"/>
      </bottom>
      <diagonal/>
    </border>
    <border>
      <left/>
      <right/>
      <top style="thin">
        <color theme="4" tint="0.59999389629810485"/>
      </top>
      <bottom/>
      <diagonal/>
    </border>
    <border>
      <left/>
      <right style="thin">
        <color theme="4" tint="0.59999389629810485"/>
      </right>
      <top style="thin">
        <color theme="4" tint="0.59999389629810485"/>
      </top>
      <bottom/>
      <diagonal/>
    </border>
    <border>
      <left/>
      <right style="thin">
        <color theme="4" tint="0.59999389629810485"/>
      </right>
      <top/>
      <bottom/>
      <diagonal/>
    </border>
    <border>
      <left style="thin">
        <color theme="4" tint="0.59999389629810485"/>
      </left>
      <right/>
      <top/>
      <bottom style="thin">
        <color theme="4" tint="0.59999389629810485"/>
      </bottom>
      <diagonal/>
    </border>
    <border>
      <left/>
      <right style="thin">
        <color theme="4" tint="0.59999389629810485"/>
      </right>
      <top/>
      <bottom style="thin">
        <color theme="4" tint="0.59999389629810485"/>
      </bottom>
      <diagonal/>
    </border>
    <border>
      <left style="thin">
        <color theme="4" tint="0.59999389629810485"/>
      </left>
      <right/>
      <top style="thin">
        <color theme="4" tint="0.59999389629810485"/>
      </top>
      <bottom/>
      <diagonal/>
    </border>
    <border>
      <left style="thin">
        <color theme="4" tint="0.59999389629810485"/>
      </left>
      <right/>
      <top/>
      <bottom/>
      <diagonal/>
    </border>
    <border>
      <left style="thin">
        <color theme="4" tint="0.39997558519241921"/>
      </left>
      <right style="thin">
        <color theme="4" tint="0.39997558519241921"/>
      </right>
      <top/>
      <bottom/>
      <diagonal/>
    </border>
    <border>
      <left style="thin">
        <color indexed="64"/>
      </left>
      <right/>
      <top/>
      <bottom style="hair">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right/>
      <top/>
      <bottom style="thin">
        <color theme="8" tint="0.59999389629810485"/>
      </bottom>
      <diagonal/>
    </border>
    <border>
      <left/>
      <right style="thin">
        <color theme="8" tint="0.59999389629810485"/>
      </right>
      <top/>
      <bottom style="thin">
        <color theme="8" tint="0.59999389629810485"/>
      </bottom>
      <diagonal/>
    </border>
    <border>
      <left/>
      <right style="thin">
        <color theme="8" tint="0.59999389629810485"/>
      </right>
      <top/>
      <bottom/>
      <diagonal/>
    </border>
    <border>
      <left/>
      <right style="thin">
        <color theme="8" tint="0.59999389629810485"/>
      </right>
      <top style="thin">
        <color theme="8" tint="0.59999389629810485"/>
      </top>
      <bottom style="thin">
        <color theme="8" tint="0.59999389629810485"/>
      </bottom>
      <diagonal/>
    </border>
    <border>
      <left style="thin">
        <color theme="8" tint="0.59999389629810485"/>
      </left>
      <right/>
      <top style="thin">
        <color theme="8" tint="0.59999389629810485"/>
      </top>
      <bottom/>
      <diagonal/>
    </border>
    <border>
      <left/>
      <right style="thin">
        <color theme="8" tint="0.59999389629810485"/>
      </right>
      <top style="thin">
        <color theme="8" tint="0.59999389629810485"/>
      </top>
      <bottom/>
      <diagonal/>
    </border>
    <border>
      <left style="thin">
        <color theme="8" tint="0.59999389629810485"/>
      </left>
      <right/>
      <top/>
      <bottom/>
      <diagonal/>
    </border>
    <border>
      <left style="thin">
        <color theme="8" tint="0.59999389629810485"/>
      </left>
      <right/>
      <top/>
      <bottom style="thin">
        <color theme="8" tint="0.59999389629810485"/>
      </bottom>
      <diagonal/>
    </border>
    <border>
      <left style="thin">
        <color theme="8" tint="0.59999389629810485"/>
      </left>
      <right style="thin">
        <color theme="8" tint="0.59999389629810485"/>
      </right>
      <top/>
      <bottom style="thin">
        <color theme="8" tint="0.59999389629810485"/>
      </bottom>
      <diagonal/>
    </border>
    <border>
      <left/>
      <right/>
      <top style="thin">
        <color theme="8" tint="0.59999389629810485"/>
      </top>
      <bottom/>
      <diagonal/>
    </border>
    <border>
      <left style="thin">
        <color theme="8" tint="0.59999389629810485"/>
      </left>
      <right/>
      <top style="thin">
        <color theme="8" tint="0.59999389629810485"/>
      </top>
      <bottom style="thin">
        <color theme="8" tint="0.59999389629810485"/>
      </bottom>
      <diagonal/>
    </border>
    <border>
      <left/>
      <right/>
      <top style="thin">
        <color theme="8" tint="0.59999389629810485"/>
      </top>
      <bottom style="thin">
        <color theme="8" tint="0.59999389629810485"/>
      </bottom>
      <diagonal/>
    </border>
    <border>
      <left/>
      <right/>
      <top/>
      <bottom style="hair">
        <color theme="8" tint="0.39997558519241921"/>
      </bottom>
      <diagonal/>
    </border>
    <border>
      <left/>
      <right style="hair">
        <color theme="8" tint="0.39997558519241921"/>
      </right>
      <top/>
      <bottom/>
      <diagonal/>
    </border>
    <border>
      <left style="thin">
        <color theme="8" tint="0.59999389629810485"/>
      </left>
      <right style="thin">
        <color theme="8" tint="0.59999389629810485"/>
      </right>
      <top style="thin">
        <color theme="8" tint="0.59999389629810485"/>
      </top>
      <bottom/>
      <diagonal/>
    </border>
    <border>
      <left style="thin">
        <color theme="8" tint="0.39997558519241921"/>
      </left>
      <right/>
      <top/>
      <bottom/>
      <diagonal/>
    </border>
    <border>
      <left/>
      <right/>
      <top/>
      <bottom style="thin">
        <color theme="8" tint="0.39997558519241921"/>
      </bottom>
      <diagonal/>
    </border>
    <border>
      <left style="thin">
        <color theme="8" tint="0.39997558519241921"/>
      </left>
      <right/>
      <top/>
      <bottom style="thin">
        <color theme="8" tint="0.39997558519241921"/>
      </bottom>
      <diagonal/>
    </border>
    <border>
      <left/>
      <right style="thin">
        <color theme="8" tint="0.39997558519241921"/>
      </right>
      <top style="thin">
        <color theme="8" tint="0.39997558519241921"/>
      </top>
      <bottom/>
      <diagonal/>
    </border>
    <border>
      <left/>
      <right style="thin">
        <color theme="8" tint="0.39997558519241921"/>
      </right>
      <top/>
      <bottom/>
      <diagonal/>
    </border>
    <border>
      <left/>
      <right style="thin">
        <color theme="8" tint="0.39997558519241921"/>
      </right>
      <top/>
      <bottom style="thin">
        <color theme="8" tint="0.39997558519241921"/>
      </bottom>
      <diagonal/>
    </border>
    <border>
      <left style="thin">
        <color theme="8" tint="0.39997558519241921"/>
      </left>
      <right/>
      <top style="thin">
        <color theme="8" tint="0.39997558519241921"/>
      </top>
      <bottom/>
      <diagonal/>
    </border>
    <border>
      <left/>
      <right/>
      <top style="thin">
        <color theme="8" tint="0.39997558519241921"/>
      </top>
      <bottom/>
      <diagonal/>
    </border>
    <border>
      <left style="thin">
        <color theme="8" tint="0.79998168889431442"/>
      </left>
      <right/>
      <top style="thin">
        <color theme="8" tint="0.79998168889431442"/>
      </top>
      <bottom style="thin">
        <color theme="8" tint="0.79998168889431442"/>
      </bottom>
      <diagonal/>
    </border>
    <border>
      <left/>
      <right/>
      <top style="thin">
        <color theme="8" tint="0.79998168889431442"/>
      </top>
      <bottom style="thin">
        <color theme="8" tint="0.79998168889431442"/>
      </bottom>
      <diagonal/>
    </border>
    <border>
      <left/>
      <right style="thin">
        <color theme="8" tint="0.79998168889431442"/>
      </right>
      <top style="thin">
        <color theme="8" tint="0.79998168889431442"/>
      </top>
      <bottom style="thin">
        <color theme="8" tint="0.79998168889431442"/>
      </bottom>
      <diagonal/>
    </border>
    <border>
      <left/>
      <right/>
      <top/>
      <bottom style="thin">
        <color theme="8" tint="0.79998168889431442"/>
      </bottom>
      <diagonal/>
    </border>
    <border>
      <left/>
      <right style="thin">
        <color theme="8" tint="0.79998168889431442"/>
      </right>
      <top/>
      <bottom/>
      <diagonal/>
    </border>
    <border>
      <left/>
      <right style="thin">
        <color theme="8" tint="0.79998168889431442"/>
      </right>
      <top/>
      <bottom style="thin">
        <color theme="8" tint="0.79998168889431442"/>
      </bottom>
      <diagonal/>
    </border>
    <border>
      <left style="thin">
        <color theme="8" tint="0.79998168889431442"/>
      </left>
      <right/>
      <top/>
      <bottom style="thin">
        <color theme="8" tint="0.79998168889431442"/>
      </bottom>
      <diagonal/>
    </border>
    <border>
      <left/>
      <right style="thin">
        <color indexed="64"/>
      </right>
      <top/>
      <bottom style="hair">
        <color indexed="64"/>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indexed="64"/>
      </left>
      <right style="thin">
        <color indexed="64"/>
      </right>
      <top style="thin">
        <color theme="8" tint="0.79998168889431442"/>
      </top>
      <bottom style="thin">
        <color theme="8" tint="0.79998168889431442"/>
      </bottom>
      <diagonal/>
    </border>
    <border>
      <left style="thin">
        <color indexed="64"/>
      </left>
      <right style="thin">
        <color theme="8" tint="0.79998168889431442"/>
      </right>
      <top style="thin">
        <color theme="8" tint="0.79998168889431442"/>
      </top>
      <bottom style="thin">
        <color theme="8" tint="0.79998168889431442"/>
      </bottom>
      <diagonal/>
    </border>
    <border>
      <left/>
      <right style="thin">
        <color indexed="64"/>
      </right>
      <top style="thin">
        <color theme="8" tint="0.79998168889431442"/>
      </top>
      <bottom style="thin">
        <color theme="8" tint="0.79998168889431442"/>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right/>
      <top style="thin">
        <color theme="8" tint="0.79998168889431442"/>
      </top>
      <bottom/>
      <diagonal/>
    </border>
    <border>
      <left/>
      <right/>
      <top/>
      <bottom style="thin">
        <color theme="0"/>
      </bottom>
      <diagonal/>
    </border>
    <border>
      <left/>
      <right/>
      <top/>
      <bottom style="thin">
        <color theme="1" tint="0.14999847407452621"/>
      </bottom>
      <diagonal/>
    </border>
    <border>
      <left style="thin">
        <color theme="8" tint="0.79998168889431442"/>
      </left>
      <right/>
      <top style="thin">
        <color theme="8" tint="0.79998168889431442"/>
      </top>
      <bottom/>
      <diagonal/>
    </border>
    <border>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
      <left style="thin">
        <color indexed="64"/>
      </left>
      <right style="thin">
        <color theme="8" tint="0.79998168889431442"/>
      </right>
      <top style="thin">
        <color theme="8" tint="0.79998168889431442"/>
      </top>
      <bottom style="thin">
        <color auto="1"/>
      </bottom>
      <diagonal/>
    </border>
    <border>
      <left style="thin">
        <color indexed="64"/>
      </left>
      <right style="thin">
        <color indexed="64"/>
      </right>
      <top style="thin">
        <color theme="8" tint="0.79998168889431442"/>
      </top>
      <bottom style="thin">
        <color indexed="64"/>
      </bottom>
      <diagonal/>
    </border>
    <border>
      <left/>
      <right style="thin">
        <color indexed="64"/>
      </right>
      <top style="thin">
        <color theme="8" tint="0.79998168889431442"/>
      </top>
      <bottom style="thin">
        <color indexed="64"/>
      </bottom>
      <diagonal/>
    </border>
    <border>
      <left style="thin">
        <color indexed="64"/>
      </left>
      <right style="thin">
        <color auto="1"/>
      </right>
      <top style="thin">
        <color indexed="64"/>
      </top>
      <bottom style="thin">
        <color theme="8" tint="0.79998168889431442"/>
      </bottom>
      <diagonal/>
    </border>
    <border>
      <left style="thin">
        <color indexed="64"/>
      </left>
      <right style="thin">
        <color theme="8" tint="0.79998168889431442"/>
      </right>
      <top style="thin">
        <color indexed="64"/>
      </top>
      <bottom style="thin">
        <color theme="8" tint="0.79998168889431442"/>
      </bottom>
      <diagonal/>
    </border>
    <border>
      <left/>
      <right style="thin">
        <color indexed="64"/>
      </right>
      <top style="thin">
        <color indexed="64"/>
      </top>
      <bottom style="thin">
        <color theme="8" tint="0.79998168889431442"/>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theme="8" tint="0.79998168889431442"/>
      </left>
      <right/>
      <top/>
      <bottom/>
      <diagonal/>
    </border>
    <border>
      <left/>
      <right/>
      <top/>
      <bottom style="thin">
        <color theme="8" tint="-0.249977111117893"/>
      </bottom>
      <diagonal/>
    </border>
    <border>
      <left/>
      <right style="thin">
        <color theme="8" tint="-0.249977111117893"/>
      </right>
      <top/>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medium">
        <color theme="8" tint="0.79998168889431442"/>
      </left>
      <right/>
      <top/>
      <bottom/>
      <diagonal/>
    </border>
    <border>
      <left/>
      <right style="medium">
        <color theme="8" tint="0.79998168889431442"/>
      </right>
      <top/>
      <bottom/>
      <diagonal/>
    </border>
    <border>
      <left style="thin">
        <color theme="8" tint="0.39997558519241921"/>
      </left>
      <right style="thin">
        <color theme="8" tint="0.39997558519241921"/>
      </right>
      <top/>
      <bottom/>
      <diagonal/>
    </border>
    <border>
      <left style="thin">
        <color theme="8" tint="0.79998168889431442"/>
      </left>
      <right style="thin">
        <color theme="8" tint="0.79998168889431442"/>
      </right>
      <top/>
      <bottom/>
      <diagonal/>
    </border>
    <border>
      <left style="thin">
        <color theme="8" tint="0.79998168889431442"/>
      </left>
      <right/>
      <top style="thin">
        <color indexed="64"/>
      </top>
      <bottom/>
      <diagonal/>
    </border>
    <border>
      <left/>
      <right style="thin">
        <color theme="8" tint="0.79998168889431442"/>
      </right>
      <top style="thin">
        <color indexed="64"/>
      </top>
      <bottom/>
      <diagonal/>
    </border>
  </borders>
  <cellStyleXfs count="16">
    <xf numFmtId="0" fontId="0" fillId="0" borderId="0"/>
    <xf numFmtId="0" fontId="2" fillId="0" borderId="0" applyNumberFormat="0" applyFill="0" applyBorder="0" applyAlignment="0" applyProtection="0"/>
    <xf numFmtId="43" fontId="1" fillId="0" borderId="0" applyFont="0" applyFill="0" applyBorder="0" applyAlignment="0" applyProtection="0"/>
    <xf numFmtId="0" fontId="13" fillId="0" borderId="0"/>
    <xf numFmtId="0" fontId="40" fillId="0" borderId="0"/>
    <xf numFmtId="0" fontId="13" fillId="0" borderId="0"/>
    <xf numFmtId="0" fontId="13" fillId="0" borderId="0"/>
    <xf numFmtId="0" fontId="89" fillId="0" borderId="0"/>
    <xf numFmtId="0" fontId="92" fillId="0" borderId="0"/>
    <xf numFmtId="0" fontId="13" fillId="0" borderId="0"/>
    <xf numFmtId="0" fontId="92" fillId="0" borderId="0"/>
    <xf numFmtId="0" fontId="64" fillId="0" borderId="0"/>
    <xf numFmtId="0" fontId="64" fillId="0" borderId="0"/>
    <xf numFmtId="0" fontId="13" fillId="0" borderId="0"/>
    <xf numFmtId="0" fontId="92" fillId="0" borderId="0"/>
    <xf numFmtId="44" fontId="13" fillId="0" borderId="0" applyFont="0" applyFill="0" applyBorder="0" applyAlignment="0" applyProtection="0"/>
  </cellStyleXfs>
  <cellXfs count="2151">
    <xf numFmtId="0" fontId="0" fillId="0" borderId="0" xfId="0"/>
    <xf numFmtId="164" fontId="10" fillId="0" borderId="0" xfId="0" applyNumberFormat="1" applyFont="1" applyAlignment="1">
      <alignment horizontal="center" vertical="center"/>
    </xf>
    <xf numFmtId="2" fontId="4" fillId="0" borderId="0" xfId="0" applyNumberFormat="1" applyFont="1"/>
    <xf numFmtId="0" fontId="94" fillId="0" borderId="0" xfId="0" applyFont="1" applyAlignment="1">
      <alignment horizontal="center" vertical="center"/>
    </xf>
    <xf numFmtId="0" fontId="0" fillId="0" borderId="0" xfId="0" applyAlignment="1">
      <alignment horizontal="left"/>
    </xf>
    <xf numFmtId="0" fontId="0" fillId="0" borderId="0" xfId="0" applyAlignment="1">
      <alignment vertical="center" wrapText="1"/>
    </xf>
    <xf numFmtId="0" fontId="0" fillId="0" borderId="0" xfId="0" applyAlignment="1">
      <alignment horizontal="left" wrapText="1"/>
    </xf>
    <xf numFmtId="0" fontId="86" fillId="0" borderId="0" xfId="0" applyFont="1" applyAlignment="1">
      <alignment horizontal="left" vertical="center"/>
    </xf>
    <xf numFmtId="170" fontId="0" fillId="0" borderId="84" xfId="0" applyNumberFormat="1" applyBorder="1" applyAlignment="1">
      <alignment horizontal="center" vertical="center" wrapText="1"/>
    </xf>
    <xf numFmtId="0" fontId="86" fillId="0" borderId="0" xfId="0" applyFont="1" applyAlignment="1">
      <alignment horizontal="left" vertical="center" wrapText="1"/>
    </xf>
    <xf numFmtId="0" fontId="4" fillId="14" borderId="0" xfId="0" applyFont="1" applyFill="1" applyAlignment="1">
      <alignment horizontal="center" vertical="center"/>
    </xf>
    <xf numFmtId="0" fontId="86" fillId="0" borderId="13" xfId="0" applyFont="1" applyBorder="1" applyAlignment="1">
      <alignment horizontal="center" vertical="center"/>
    </xf>
    <xf numFmtId="2" fontId="10" fillId="0" borderId="84" xfId="0" applyNumberFormat="1" applyFont="1" applyBorder="1" applyAlignment="1">
      <alignment horizontal="center" vertical="center"/>
    </xf>
    <xf numFmtId="0" fontId="10" fillId="0" borderId="0" xfId="0" applyFont="1" applyAlignment="1">
      <alignment vertical="center"/>
    </xf>
    <xf numFmtId="0" fontId="86" fillId="0" borderId="0" xfId="0" applyFont="1" applyAlignment="1">
      <alignment horizontal="center" vertical="center"/>
    </xf>
    <xf numFmtId="0" fontId="10" fillId="0" borderId="0" xfId="0" applyFont="1"/>
    <xf numFmtId="0" fontId="4" fillId="0" borderId="0" xfId="0" applyFont="1" applyAlignment="1">
      <alignment horizontal="left" vertical="top"/>
    </xf>
    <xf numFmtId="0" fontId="112" fillId="0" borderId="0" xfId="0" applyFont="1" applyAlignment="1">
      <alignment horizontal="center" vertical="center"/>
    </xf>
    <xf numFmtId="0" fontId="112" fillId="0" borderId="0" xfId="0" applyFont="1" applyAlignment="1">
      <alignment horizontal="center" vertical="center" textRotation="90"/>
    </xf>
    <xf numFmtId="0" fontId="5" fillId="0" borderId="0" xfId="0" applyFont="1"/>
    <xf numFmtId="0" fontId="7" fillId="0" borderId="0" xfId="0" applyFont="1"/>
    <xf numFmtId="0" fontId="0" fillId="0" borderId="0" xfId="0" applyAlignment="1">
      <alignment horizontal="center"/>
    </xf>
    <xf numFmtId="0" fontId="0" fillId="0" borderId="9" xfId="0" applyBorder="1"/>
    <xf numFmtId="0" fontId="9" fillId="0" borderId="0" xfId="0" applyFont="1"/>
    <xf numFmtId="0" fontId="15" fillId="0" borderId="9" xfId="3" applyFont="1" applyBorder="1" applyAlignment="1">
      <alignment vertical="center"/>
    </xf>
    <xf numFmtId="0" fontId="15" fillId="0" borderId="9" xfId="3" applyFont="1" applyBorder="1" applyAlignment="1">
      <alignment horizontal="center" vertical="center"/>
    </xf>
    <xf numFmtId="166" fontId="15" fillId="0" borderId="9" xfId="2" applyNumberFormat="1" applyFont="1" applyBorder="1" applyAlignment="1">
      <alignment vertical="center"/>
    </xf>
    <xf numFmtId="0" fontId="15" fillId="0" borderId="0" xfId="3" applyFont="1" applyAlignment="1">
      <alignment vertical="center"/>
    </xf>
    <xf numFmtId="0" fontId="15" fillId="0" borderId="10" xfId="3" applyFont="1" applyBorder="1" applyAlignment="1">
      <alignment vertical="center"/>
    </xf>
    <xf numFmtId="0" fontId="15" fillId="0" borderId="11" xfId="3" applyFont="1" applyBorder="1" applyAlignment="1">
      <alignment vertical="center"/>
    </xf>
    <xf numFmtId="0" fontId="14" fillId="3" borderId="10" xfId="3" applyFont="1" applyFill="1" applyBorder="1" applyAlignment="1">
      <alignment vertical="center"/>
    </xf>
    <xf numFmtId="0" fontId="14" fillId="3" borderId="11" xfId="3" applyFont="1" applyFill="1" applyBorder="1" applyAlignment="1">
      <alignment vertical="center"/>
    </xf>
    <xf numFmtId="0" fontId="14" fillId="3" borderId="12" xfId="3" applyFont="1" applyFill="1" applyBorder="1" applyAlignment="1">
      <alignment vertical="center"/>
    </xf>
    <xf numFmtId="167" fontId="9" fillId="0" borderId="0" xfId="0" applyNumberFormat="1" applyFont="1"/>
    <xf numFmtId="168" fontId="9" fillId="0" borderId="0" xfId="0" applyNumberFormat="1" applyFont="1"/>
    <xf numFmtId="0" fontId="17" fillId="0" borderId="0" xfId="3" applyFont="1" applyAlignment="1">
      <alignment vertical="center"/>
    </xf>
    <xf numFmtId="0" fontId="18" fillId="0" borderId="10" xfId="3" applyFont="1" applyBorder="1" applyAlignment="1">
      <alignment vertical="center"/>
    </xf>
    <xf numFmtId="0" fontId="18" fillId="0" borderId="11" xfId="3" applyFont="1" applyBorder="1" applyAlignment="1">
      <alignment vertical="center"/>
    </xf>
    <xf numFmtId="0" fontId="18" fillId="0" borderId="12" xfId="3" applyFont="1" applyBorder="1" applyAlignment="1">
      <alignment vertical="center"/>
    </xf>
    <xf numFmtId="0" fontId="18" fillId="0" borderId="0" xfId="3" applyFont="1" applyAlignment="1">
      <alignment vertical="center"/>
    </xf>
    <xf numFmtId="0" fontId="5" fillId="0" borderId="23" xfId="0" applyFont="1" applyBorder="1" applyAlignment="1">
      <alignment horizontal="center"/>
    </xf>
    <xf numFmtId="0" fontId="15" fillId="2" borderId="0" xfId="3" applyFont="1" applyFill="1" applyAlignment="1">
      <alignment vertical="center"/>
    </xf>
    <xf numFmtId="2" fontId="0" fillId="0" borderId="0" xfId="0" applyNumberFormat="1"/>
    <xf numFmtId="167" fontId="0" fillId="0" borderId="0" xfId="0" applyNumberFormat="1"/>
    <xf numFmtId="0" fontId="0" fillId="0" borderId="2" xfId="0" applyBorder="1" applyAlignment="1">
      <alignment horizontal="center" wrapText="1"/>
    </xf>
    <xf numFmtId="0" fontId="0" fillId="0" borderId="13" xfId="0" applyBorder="1" applyAlignment="1">
      <alignment horizontal="center" wrapText="1"/>
    </xf>
    <xf numFmtId="170" fontId="0" fillId="0" borderId="13" xfId="0" applyNumberFormat="1" applyBorder="1" applyAlignment="1">
      <alignment horizontal="center" wrapText="1"/>
    </xf>
    <xf numFmtId="0" fontId="0" fillId="0" borderId="7" xfId="0" applyBorder="1" applyAlignment="1">
      <alignment horizontal="center" vertical="center"/>
    </xf>
    <xf numFmtId="0" fontId="0" fillId="0" borderId="24" xfId="0" applyBorder="1" applyAlignment="1">
      <alignment horizontal="center" vertical="center"/>
    </xf>
    <xf numFmtId="170" fontId="0" fillId="0" borderId="24" xfId="0" applyNumberFormat="1" applyBorder="1" applyAlignment="1">
      <alignment horizontal="center" vertical="center"/>
    </xf>
    <xf numFmtId="0" fontId="0" fillId="0" borderId="9" xfId="0" applyBorder="1" applyAlignment="1">
      <alignment horizontal="center" vertical="center"/>
    </xf>
    <xf numFmtId="0" fontId="0" fillId="0" borderId="9" xfId="0" quotePrefix="1" applyBorder="1" applyAlignment="1">
      <alignment horizontal="center" wrapText="1"/>
    </xf>
    <xf numFmtId="0" fontId="13" fillId="0" borderId="14" xfId="0" applyFont="1" applyBorder="1"/>
    <xf numFmtId="0" fontId="13" fillId="0" borderId="16" xfId="0" applyFont="1" applyBorder="1"/>
    <xf numFmtId="0" fontId="0" fillId="0" borderId="25" xfId="0" applyBorder="1"/>
    <xf numFmtId="0" fontId="0" fillId="0" borderId="25" xfId="0" applyBorder="1" applyAlignment="1">
      <alignment horizontal="center"/>
    </xf>
    <xf numFmtId="170" fontId="0" fillId="0" borderId="25" xfId="0" applyNumberFormat="1" applyBorder="1" applyAlignment="1">
      <alignment horizontal="center"/>
    </xf>
    <xf numFmtId="170" fontId="0" fillId="0" borderId="25" xfId="0" applyNumberFormat="1" applyBorder="1" applyAlignment="1">
      <alignment horizontal="centerContinuous"/>
    </xf>
    <xf numFmtId="0" fontId="0" fillId="0" borderId="15" xfId="0" applyBorder="1" applyAlignment="1">
      <alignment horizontal="left"/>
    </xf>
    <xf numFmtId="0" fontId="23" fillId="0" borderId="17"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0" fillId="0" borderId="26" xfId="0" applyBorder="1" applyAlignment="1">
      <alignment horizontal="center"/>
    </xf>
    <xf numFmtId="170" fontId="0" fillId="0" borderId="26" xfId="0" applyNumberFormat="1" applyBorder="1" applyAlignment="1">
      <alignment horizontal="center"/>
    </xf>
    <xf numFmtId="170" fontId="0" fillId="0" borderId="26" xfId="0" applyNumberFormat="1" applyBorder="1" applyAlignment="1">
      <alignment horizontal="centerContinuous"/>
    </xf>
    <xf numFmtId="0" fontId="0" fillId="0" borderId="18" xfId="0" applyBorder="1" applyAlignment="1">
      <alignment horizontal="left"/>
    </xf>
    <xf numFmtId="0" fontId="0" fillId="0" borderId="26" xfId="0" applyBorder="1"/>
    <xf numFmtId="2" fontId="0" fillId="0" borderId="26" xfId="0" applyNumberFormat="1" applyBorder="1" applyAlignment="1">
      <alignment horizontal="center"/>
    </xf>
    <xf numFmtId="0" fontId="0" fillId="0" borderId="26" xfId="0" applyBorder="1" applyAlignment="1" applyProtection="1">
      <alignment horizontal="center"/>
      <protection locked="0"/>
    </xf>
    <xf numFmtId="170" fontId="0" fillId="0" borderId="26" xfId="0" applyNumberFormat="1" applyBorder="1" applyAlignment="1" applyProtection="1">
      <alignment horizontal="centerContinuous"/>
      <protection locked="0"/>
    </xf>
    <xf numFmtId="170" fontId="23" fillId="0" borderId="26" xfId="0" applyNumberFormat="1" applyFont="1" applyBorder="1" applyAlignment="1" applyProtection="1">
      <alignment horizontal="center"/>
      <protection locked="0"/>
    </xf>
    <xf numFmtId="0" fontId="0" fillId="0" borderId="26" xfId="0" applyBorder="1" applyProtection="1">
      <protection locked="0"/>
    </xf>
    <xf numFmtId="0" fontId="0" fillId="0" borderId="26" xfId="0" applyBorder="1" applyAlignment="1" applyProtection="1">
      <alignment horizontal="centerContinuous"/>
      <protection locked="0"/>
    </xf>
    <xf numFmtId="0" fontId="0" fillId="0" borderId="18" xfId="0" applyBorder="1" applyAlignment="1">
      <alignment horizontal="centerContinuous"/>
    </xf>
    <xf numFmtId="0" fontId="0" fillId="0" borderId="18" xfId="0" applyBorder="1"/>
    <xf numFmtId="170" fontId="0" fillId="0" borderId="26" xfId="0" applyNumberFormat="1" applyBorder="1"/>
    <xf numFmtId="0" fontId="13" fillId="0" borderId="0" xfId="0" applyFont="1"/>
    <xf numFmtId="0" fontId="24" fillId="0" borderId="0" xfId="0" applyFont="1"/>
    <xf numFmtId="170" fontId="0" fillId="0" borderId="0" xfId="0" applyNumberFormat="1" applyAlignment="1">
      <alignment horizontal="center"/>
    </xf>
    <xf numFmtId="2" fontId="0" fillId="0" borderId="0" xfId="0" applyNumberFormat="1" applyAlignment="1">
      <alignment horizontal="center"/>
    </xf>
    <xf numFmtId="0" fontId="23" fillId="0" borderId="0" xfId="0" applyFont="1" applyAlignment="1">
      <alignment horizontal="center"/>
    </xf>
    <xf numFmtId="1" fontId="0" fillId="0" borderId="0" xfId="0" applyNumberFormat="1"/>
    <xf numFmtId="0" fontId="13" fillId="0" borderId="9" xfId="0" applyFont="1" applyBorder="1" applyAlignment="1">
      <alignment horizontal="center"/>
    </xf>
    <xf numFmtId="0" fontId="0" fillId="0" borderId="9" xfId="0" applyBorder="1" applyAlignment="1">
      <alignment horizontal="center"/>
    </xf>
    <xf numFmtId="171" fontId="13" fillId="0" borderId="9" xfId="0" quotePrefix="1" applyNumberFormat="1" applyFont="1" applyBorder="1"/>
    <xf numFmtId="21" fontId="23" fillId="0" borderId="9" xfId="0" applyNumberFormat="1" applyFont="1" applyBorder="1"/>
    <xf numFmtId="2" fontId="23" fillId="0" borderId="9" xfId="0" applyNumberFormat="1" applyFont="1" applyBorder="1" applyAlignment="1">
      <alignment horizontal="center"/>
    </xf>
    <xf numFmtId="170" fontId="0" fillId="0" borderId="9" xfId="0" applyNumberFormat="1" applyBorder="1" applyAlignment="1">
      <alignment horizontal="center"/>
    </xf>
    <xf numFmtId="2" fontId="23" fillId="0" borderId="9" xfId="0" applyNumberFormat="1" applyFont="1" applyBorder="1" applyAlignment="1" applyProtection="1">
      <alignment horizontal="center"/>
      <protection locked="0"/>
    </xf>
    <xf numFmtId="2" fontId="0" fillId="0" borderId="9" xfId="0" applyNumberFormat="1" applyBorder="1" applyAlignment="1">
      <alignment horizontal="center"/>
    </xf>
    <xf numFmtId="1" fontId="0" fillId="0" borderId="9" xfId="0" applyNumberFormat="1" applyBorder="1" applyAlignment="1">
      <alignment horizontal="center"/>
    </xf>
    <xf numFmtId="170" fontId="0" fillId="0" borderId="9" xfId="0" applyNumberFormat="1" applyBorder="1" applyAlignment="1">
      <alignment horizontal="centerContinuous"/>
    </xf>
    <xf numFmtId="0" fontId="13" fillId="0" borderId="9" xfId="0" applyFont="1" applyBorder="1"/>
    <xf numFmtId="21" fontId="0" fillId="0" borderId="9" xfId="0" applyNumberFormat="1" applyBorder="1"/>
    <xf numFmtId="1" fontId="23" fillId="0" borderId="9" xfId="0" applyNumberFormat="1" applyFont="1" applyBorder="1" applyAlignment="1" applyProtection="1">
      <alignment horizontal="center"/>
      <protection locked="0"/>
    </xf>
    <xf numFmtId="0" fontId="13" fillId="0" borderId="9" xfId="0" quotePrefix="1" applyFont="1" applyBorder="1"/>
    <xf numFmtId="0" fontId="23" fillId="0" borderId="0" xfId="0" applyFont="1"/>
    <xf numFmtId="0" fontId="0" fillId="0" borderId="0" xfId="0" applyAlignment="1">
      <alignment horizontal="right"/>
    </xf>
    <xf numFmtId="0" fontId="0" fillId="0" borderId="9" xfId="0" applyBorder="1" applyAlignment="1">
      <alignment horizontal="right"/>
    </xf>
    <xf numFmtId="2" fontId="0" fillId="0" borderId="9" xfId="0" applyNumberFormat="1" applyBorder="1"/>
    <xf numFmtId="0" fontId="13" fillId="0" borderId="0" xfId="0" applyFont="1" applyProtection="1">
      <protection locked="0"/>
    </xf>
    <xf numFmtId="0" fontId="0" fillId="4" borderId="0" xfId="0" applyFill="1" applyAlignment="1">
      <alignment horizontal="center"/>
    </xf>
    <xf numFmtId="0" fontId="0" fillId="5" borderId="0" xfId="0" applyFill="1" applyAlignment="1">
      <alignment horizontal="center"/>
    </xf>
    <xf numFmtId="0" fontId="0" fillId="2" borderId="0" xfId="0" applyFill="1"/>
    <xf numFmtId="170" fontId="13" fillId="0" borderId="0" xfId="0" applyNumberFormat="1" applyFont="1" applyAlignment="1">
      <alignment horizontal="center"/>
    </xf>
    <xf numFmtId="170" fontId="13" fillId="0" borderId="0" xfId="0" applyNumberFormat="1" applyFont="1"/>
    <xf numFmtId="0" fontId="26" fillId="0" borderId="0" xfId="0" applyFont="1" applyAlignment="1">
      <alignment horizontal="center"/>
    </xf>
    <xf numFmtId="0" fontId="13" fillId="2" borderId="0" xfId="0" applyFont="1" applyFill="1" applyProtection="1">
      <protection locked="0"/>
    </xf>
    <xf numFmtId="2" fontId="13" fillId="2" borderId="9" xfId="0" applyNumberFormat="1" applyFont="1" applyFill="1" applyBorder="1"/>
    <xf numFmtId="2" fontId="13" fillId="2" borderId="9" xfId="0" applyNumberFormat="1" applyFont="1" applyFill="1" applyBorder="1" applyProtection="1">
      <protection locked="0"/>
    </xf>
    <xf numFmtId="0" fontId="23" fillId="0" borderId="0" xfId="0" applyFont="1" applyAlignment="1" applyProtection="1">
      <alignment horizontal="center"/>
      <protection locked="0"/>
    </xf>
    <xf numFmtId="170" fontId="23" fillId="0" borderId="0" xfId="0" applyNumberFormat="1" applyFont="1" applyAlignment="1" applyProtection="1">
      <alignment horizontal="center"/>
      <protection locked="0"/>
    </xf>
    <xf numFmtId="170" fontId="0" fillId="0" borderId="0" xfId="0" applyNumberFormat="1"/>
    <xf numFmtId="0" fontId="0" fillId="0" borderId="0" xfId="0" applyProtection="1">
      <protection locked="0"/>
    </xf>
    <xf numFmtId="0" fontId="23" fillId="2" borderId="26" xfId="0" applyFont="1" applyFill="1" applyBorder="1" applyAlignment="1" applyProtection="1">
      <alignment horizontal="center"/>
      <protection locked="0"/>
    </xf>
    <xf numFmtId="170" fontId="23" fillId="2" borderId="26" xfId="0" applyNumberFormat="1" applyFont="1" applyFill="1" applyBorder="1" applyAlignment="1" applyProtection="1">
      <alignment horizontal="center"/>
      <protection locked="0"/>
    </xf>
    <xf numFmtId="170" fontId="13" fillId="0" borderId="26" xfId="0" applyNumberFormat="1" applyFont="1" applyBorder="1" applyAlignment="1" applyProtection="1">
      <alignment horizontal="center"/>
      <protection locked="0"/>
    </xf>
    <xf numFmtId="0" fontId="2" fillId="0" borderId="0" xfId="0" applyFont="1"/>
    <xf numFmtId="2" fontId="13" fillId="2" borderId="9" xfId="0" applyNumberFormat="1" applyFont="1" applyFill="1" applyBorder="1" applyAlignment="1" applyProtection="1">
      <alignment horizontal="center"/>
      <protection locked="0"/>
    </xf>
    <xf numFmtId="1" fontId="13" fillId="2" borderId="9" xfId="0" applyNumberFormat="1" applyFont="1" applyFill="1" applyBorder="1" applyAlignment="1" applyProtection="1">
      <alignment horizontal="center"/>
      <protection locked="0"/>
    </xf>
    <xf numFmtId="2" fontId="13" fillId="0" borderId="9" xfId="0" applyNumberFormat="1" applyFont="1" applyBorder="1" applyAlignment="1">
      <alignment horizontal="center"/>
    </xf>
    <xf numFmtId="21" fontId="13" fillId="2" borderId="9" xfId="0" applyNumberFormat="1" applyFont="1" applyFill="1" applyBorder="1"/>
    <xf numFmtId="171" fontId="13" fillId="2" borderId="9" xfId="0" quotePrefix="1" applyNumberFormat="1" applyFont="1" applyFill="1" applyBorder="1"/>
    <xf numFmtId="0" fontId="28" fillId="0" borderId="9" xfId="0" applyFont="1" applyBorder="1" applyAlignment="1">
      <alignment horizontal="center" vertical="center"/>
    </xf>
    <xf numFmtId="0" fontId="28" fillId="0" borderId="9" xfId="0" applyFont="1" applyBorder="1" applyAlignment="1">
      <alignment horizontal="left" vertical="center"/>
    </xf>
    <xf numFmtId="0" fontId="28" fillId="2" borderId="9" xfId="0" applyFont="1" applyFill="1" applyBorder="1" applyAlignment="1">
      <alignment horizontal="left" vertical="center"/>
    </xf>
    <xf numFmtId="2" fontId="28" fillId="0" borderId="9" xfId="0" applyNumberFormat="1" applyFont="1" applyBorder="1" applyAlignment="1">
      <alignment horizontal="center" vertical="center"/>
    </xf>
    <xf numFmtId="170" fontId="0" fillId="0" borderId="0" xfId="0" applyNumberFormat="1" applyAlignment="1">
      <alignment horizontal="left"/>
    </xf>
    <xf numFmtId="0" fontId="28" fillId="2" borderId="9" xfId="0" applyFont="1" applyFill="1" applyBorder="1" applyAlignment="1">
      <alignment horizontal="center" vertical="center"/>
    </xf>
    <xf numFmtId="170" fontId="23" fillId="0" borderId="19" xfId="0" applyNumberFormat="1" applyFont="1" applyBorder="1" applyAlignment="1" applyProtection="1">
      <alignment horizontal="right"/>
      <protection locked="0"/>
    </xf>
    <xf numFmtId="170" fontId="23" fillId="0" borderId="26" xfId="0" applyNumberFormat="1" applyFont="1" applyBorder="1" applyAlignment="1" applyProtection="1">
      <alignment horizontal="right"/>
      <protection locked="0"/>
    </xf>
    <xf numFmtId="0" fontId="13" fillId="0" borderId="0" xfId="0" applyFont="1" applyAlignment="1">
      <alignment horizontal="left"/>
    </xf>
    <xf numFmtId="170" fontId="13" fillId="0" borderId="0" xfId="0" applyNumberFormat="1" applyFont="1" applyAlignment="1">
      <alignment horizontal="left"/>
    </xf>
    <xf numFmtId="0" fontId="0" fillId="0" borderId="9" xfId="0" applyBorder="1" applyAlignment="1">
      <alignment horizontal="center" vertical="center" wrapText="1"/>
    </xf>
    <xf numFmtId="0" fontId="33" fillId="0" borderId="0" xfId="0" applyFont="1" applyAlignment="1">
      <alignment horizontal="center" vertical="center" wrapText="1"/>
    </xf>
    <xf numFmtId="0" fontId="23" fillId="0" borderId="0" xfId="0" applyFont="1" applyAlignment="1" applyProtection="1">
      <alignment horizontal="right"/>
      <protection locked="0"/>
    </xf>
    <xf numFmtId="2" fontId="0" fillId="0" borderId="0" xfId="0" applyNumberFormat="1" applyAlignment="1">
      <alignment horizontal="right"/>
    </xf>
    <xf numFmtId="170" fontId="0" fillId="0" borderId="0" xfId="0" applyNumberFormat="1" applyAlignment="1">
      <alignment horizontal="right"/>
    </xf>
    <xf numFmtId="1" fontId="0" fillId="0" borderId="0" xfId="0" applyNumberFormat="1" applyAlignment="1">
      <alignment horizontal="right"/>
    </xf>
    <xf numFmtId="2" fontId="13" fillId="0" borderId="0" xfId="0" applyNumberFormat="1" applyFont="1" applyAlignment="1">
      <alignment horizontal="right"/>
    </xf>
    <xf numFmtId="170" fontId="23" fillId="0" borderId="0" xfId="0" applyNumberFormat="1" applyFont="1" applyAlignment="1" applyProtection="1">
      <alignment horizontal="right"/>
      <protection locked="0"/>
    </xf>
    <xf numFmtId="0" fontId="13" fillId="0" borderId="0" xfId="0" applyFont="1" applyAlignment="1">
      <alignment horizontal="right"/>
    </xf>
    <xf numFmtId="0" fontId="32" fillId="0" borderId="9" xfId="0" applyFont="1" applyBorder="1" applyAlignment="1">
      <alignment horizontal="center" vertical="center" wrapText="1"/>
    </xf>
    <xf numFmtId="0" fontId="0" fillId="0" borderId="9" xfId="0" applyBorder="1" applyAlignment="1">
      <alignment vertical="center"/>
    </xf>
    <xf numFmtId="0" fontId="33" fillId="0" borderId="9" xfId="0" applyFont="1" applyBorder="1" applyAlignment="1">
      <alignment horizontal="center" vertical="center" wrapText="1"/>
    </xf>
    <xf numFmtId="0" fontId="0" fillId="0" borderId="9" xfId="0" applyBorder="1" applyAlignment="1">
      <alignment horizontal="left"/>
    </xf>
    <xf numFmtId="0" fontId="23" fillId="0" borderId="9" xfId="0" applyFont="1" applyBorder="1" applyAlignment="1" applyProtection="1">
      <alignment horizontal="right"/>
      <protection locked="0"/>
    </xf>
    <xf numFmtId="2" fontId="13" fillId="0" borderId="9" xfId="0" quotePrefix="1" applyNumberFormat="1" applyFont="1" applyBorder="1" applyAlignment="1">
      <alignment horizontal="right"/>
    </xf>
    <xf numFmtId="2" fontId="0" fillId="0" borderId="9" xfId="0" applyNumberFormat="1" applyBorder="1" applyAlignment="1">
      <alignment horizontal="right"/>
    </xf>
    <xf numFmtId="170" fontId="0" fillId="0" borderId="9" xfId="0" applyNumberFormat="1" applyBorder="1" applyAlignment="1">
      <alignment horizontal="right"/>
    </xf>
    <xf numFmtId="170" fontId="13" fillId="0" borderId="9" xfId="0" applyNumberFormat="1" applyFont="1" applyBorder="1" applyAlignment="1">
      <alignment horizontal="right"/>
    </xf>
    <xf numFmtId="1" fontId="0" fillId="0" borderId="9" xfId="0" applyNumberFormat="1" applyBorder="1" applyAlignment="1">
      <alignment horizontal="right"/>
    </xf>
    <xf numFmtId="2" fontId="13" fillId="0" borderId="9" xfId="0" applyNumberFormat="1" applyFont="1" applyBorder="1" applyAlignment="1">
      <alignment horizontal="right"/>
    </xf>
    <xf numFmtId="170" fontId="23" fillId="0" borderId="9" xfId="0" applyNumberFormat="1" applyFont="1" applyBorder="1" applyAlignment="1" applyProtection="1">
      <alignment horizontal="right"/>
      <protection locked="0"/>
    </xf>
    <xf numFmtId="0" fontId="31" fillId="0" borderId="9" xfId="0" applyFont="1" applyBorder="1" applyAlignment="1">
      <alignment horizontal="center" vertical="center"/>
    </xf>
    <xf numFmtId="0" fontId="13" fillId="0" borderId="0" xfId="0" applyFont="1" applyAlignment="1" applyProtection="1">
      <alignment horizontal="left"/>
      <protection locked="0"/>
    </xf>
    <xf numFmtId="1" fontId="33" fillId="0" borderId="0" xfId="0" applyNumberFormat="1" applyFont="1" applyAlignment="1">
      <alignment horizontal="left"/>
    </xf>
    <xf numFmtId="1" fontId="0" fillId="0" borderId="0" xfId="0" applyNumberFormat="1" applyAlignment="1">
      <alignment horizontal="left"/>
    </xf>
    <xf numFmtId="170" fontId="0" fillId="0" borderId="0" xfId="0" applyNumberFormat="1" applyAlignment="1">
      <alignment horizontal="centerContinuous"/>
    </xf>
    <xf numFmtId="1" fontId="0" fillId="0" borderId="0" xfId="0" applyNumberFormat="1" applyAlignment="1">
      <alignment horizontal="centerContinuous"/>
    </xf>
    <xf numFmtId="0" fontId="32" fillId="0" borderId="0" xfId="0" applyFont="1"/>
    <xf numFmtId="0" fontId="36" fillId="0" borderId="0" xfId="0" applyFont="1"/>
    <xf numFmtId="0" fontId="23" fillId="2" borderId="9" xfId="0" applyFont="1" applyFill="1" applyBorder="1" applyAlignment="1" applyProtection="1">
      <alignment horizontal="right"/>
      <protection locked="0"/>
    </xf>
    <xf numFmtId="0" fontId="23" fillId="0" borderId="0" xfId="0" applyFont="1" applyAlignment="1" applyProtection="1">
      <alignment horizontal="left"/>
      <protection locked="0"/>
    </xf>
    <xf numFmtId="0" fontId="37" fillId="0" borderId="9" xfId="0" applyFont="1" applyBorder="1" applyAlignment="1">
      <alignment horizontal="center"/>
    </xf>
    <xf numFmtId="170" fontId="37" fillId="0" borderId="9" xfId="0" applyNumberFormat="1" applyFont="1" applyBorder="1" applyAlignment="1">
      <alignment horizontal="center"/>
    </xf>
    <xf numFmtId="0" fontId="37" fillId="0" borderId="9" xfId="0" applyFont="1" applyBorder="1"/>
    <xf numFmtId="170" fontId="38" fillId="0" borderId="12" xfId="0" applyNumberFormat="1" applyFont="1" applyBorder="1" applyAlignment="1">
      <alignment horizontal="center"/>
    </xf>
    <xf numFmtId="0" fontId="38" fillId="0" borderId="11" xfId="0" applyFont="1" applyBorder="1" applyAlignment="1">
      <alignment horizontal="left"/>
    </xf>
    <xf numFmtId="0" fontId="0" fillId="0" borderId="1" xfId="0" applyBorder="1" applyAlignment="1">
      <alignment vertical="center"/>
    </xf>
    <xf numFmtId="0" fontId="14" fillId="0" borderId="0" xfId="5" applyFont="1" applyAlignment="1">
      <alignment horizontal="left" vertical="center"/>
    </xf>
    <xf numFmtId="0" fontId="14" fillId="0" borderId="0" xfId="5" applyFont="1" applyAlignment="1">
      <alignment horizontal="center" vertical="center"/>
    </xf>
    <xf numFmtId="0" fontId="39" fillId="0" borderId="0" xfId="5" applyFont="1" applyAlignment="1">
      <alignment horizontal="center" vertical="center"/>
    </xf>
    <xf numFmtId="0" fontId="39" fillId="0" borderId="10" xfId="5" applyFont="1" applyBorder="1" applyAlignment="1">
      <alignment horizontal="left" vertical="center"/>
    </xf>
    <xf numFmtId="0" fontId="39" fillId="0" borderId="11" xfId="5" applyFont="1" applyBorder="1" applyAlignment="1">
      <alignment horizontal="center" vertical="center"/>
    </xf>
    <xf numFmtId="0" fontId="39" fillId="0" borderId="9" xfId="5" applyFont="1" applyBorder="1" applyAlignment="1">
      <alignment horizontal="center" vertical="center"/>
    </xf>
    <xf numFmtId="0" fontId="39" fillId="0" borderId="12" xfId="5" applyFont="1" applyBorder="1" applyAlignment="1">
      <alignment horizontal="center" vertical="center"/>
    </xf>
    <xf numFmtId="0" fontId="39" fillId="0" borderId="7" xfId="5" applyFont="1" applyBorder="1" applyAlignment="1">
      <alignment horizontal="left" vertical="center"/>
    </xf>
    <xf numFmtId="0" fontId="39" fillId="0" borderId="1" xfId="5" applyFont="1" applyBorder="1" applyAlignment="1">
      <alignment horizontal="center" vertical="center"/>
    </xf>
    <xf numFmtId="167" fontId="42" fillId="2" borderId="24" xfId="5" applyNumberFormat="1" applyFont="1" applyFill="1" applyBorder="1" applyAlignment="1" applyProtection="1">
      <alignment horizontal="center" vertical="center"/>
      <protection locked="0"/>
    </xf>
    <xf numFmtId="0" fontId="39" fillId="0" borderId="1" xfId="5" applyFont="1" applyBorder="1" applyAlignment="1">
      <alignment horizontal="left" vertical="center"/>
    </xf>
    <xf numFmtId="0" fontId="39" fillId="0" borderId="8" xfId="5" applyFont="1" applyBorder="1" applyAlignment="1">
      <alignment horizontal="center" vertical="center"/>
    </xf>
    <xf numFmtId="167" fontId="39" fillId="0" borderId="8" xfId="5" applyNumberFormat="1" applyFont="1" applyBorder="1" applyAlignment="1" applyProtection="1">
      <alignment horizontal="center" vertical="center"/>
      <protection locked="0"/>
    </xf>
    <xf numFmtId="0" fontId="39" fillId="0" borderId="7" xfId="5" applyFont="1" applyBorder="1" applyAlignment="1">
      <alignment horizontal="center" vertical="center"/>
    </xf>
    <xf numFmtId="0" fontId="14" fillId="0" borderId="1" xfId="5" applyFont="1" applyBorder="1" applyAlignment="1">
      <alignment horizontal="center" vertical="center"/>
    </xf>
    <xf numFmtId="0" fontId="14" fillId="0" borderId="7" xfId="5" applyFont="1" applyBorder="1" applyAlignment="1" applyProtection="1">
      <alignment horizontal="center" vertical="center"/>
      <protection locked="0"/>
    </xf>
    <xf numFmtId="167" fontId="39" fillId="0" borderId="24" xfId="5" applyNumberFormat="1" applyFont="1" applyBorder="1" applyAlignment="1">
      <alignment horizontal="center" vertical="center"/>
    </xf>
    <xf numFmtId="0" fontId="42" fillId="0" borderId="0" xfId="5" applyFont="1" applyAlignment="1">
      <alignment horizontal="center" vertical="center"/>
    </xf>
    <xf numFmtId="0" fontId="42" fillId="0" borderId="1" xfId="5" applyFont="1" applyBorder="1" applyAlignment="1">
      <alignment horizontal="center" vertical="center"/>
    </xf>
    <xf numFmtId="0" fontId="38" fillId="0" borderId="24" xfId="5" applyFont="1" applyBorder="1" applyAlignment="1">
      <alignment horizontal="center" vertical="center"/>
    </xf>
    <xf numFmtId="167" fontId="37" fillId="0" borderId="8" xfId="5" applyNumberFormat="1" applyFont="1" applyBorder="1" applyAlignment="1" applyProtection="1">
      <alignment horizontal="center" vertical="center"/>
      <protection locked="0"/>
    </xf>
    <xf numFmtId="167" fontId="42" fillId="2" borderId="9" xfId="5" applyNumberFormat="1" applyFont="1" applyFill="1" applyBorder="1" applyAlignment="1" applyProtection="1">
      <alignment horizontal="center" vertical="center"/>
      <protection locked="0"/>
    </xf>
    <xf numFmtId="167" fontId="38" fillId="0" borderId="12" xfId="5" applyNumberFormat="1" applyFont="1" applyBorder="1" applyAlignment="1">
      <alignment horizontal="center" vertical="center"/>
    </xf>
    <xf numFmtId="167" fontId="39" fillId="0" borderId="9" xfId="5" applyNumberFormat="1" applyFont="1" applyBorder="1" applyAlignment="1">
      <alignment horizontal="center" vertical="center"/>
    </xf>
    <xf numFmtId="2" fontId="42" fillId="0" borderId="0" xfId="5" applyNumberFormat="1" applyFont="1" applyAlignment="1">
      <alignment horizontal="center" vertical="center"/>
    </xf>
    <xf numFmtId="2" fontId="42" fillId="0" borderId="8" xfId="5" applyNumberFormat="1" applyFont="1" applyBorder="1" applyAlignment="1">
      <alignment horizontal="center" vertical="center"/>
    </xf>
    <xf numFmtId="2" fontId="39" fillId="0" borderId="8" xfId="5" applyNumberFormat="1" applyFont="1" applyBorder="1" applyAlignment="1">
      <alignment horizontal="center" vertical="center"/>
    </xf>
    <xf numFmtId="0" fontId="39" fillId="0" borderId="11" xfId="5" applyFont="1" applyBorder="1" applyAlignment="1">
      <alignment horizontal="left" vertical="center"/>
    </xf>
    <xf numFmtId="167" fontId="42" fillId="0" borderId="8" xfId="5" applyNumberFormat="1" applyFont="1" applyBorder="1" applyAlignment="1" applyProtection="1">
      <alignment horizontal="center" vertical="center"/>
      <protection locked="0"/>
    </xf>
    <xf numFmtId="0" fontId="39" fillId="0" borderId="8" xfId="5" applyFont="1" applyBorder="1" applyAlignment="1" applyProtection="1">
      <alignment horizontal="center" vertical="center"/>
      <protection locked="0"/>
    </xf>
    <xf numFmtId="167" fontId="38" fillId="0" borderId="8" xfId="5" applyNumberFormat="1" applyFont="1" applyBorder="1" applyAlignment="1">
      <alignment horizontal="center" vertical="center"/>
    </xf>
    <xf numFmtId="167" fontId="43" fillId="0" borderId="8" xfId="5" applyNumberFormat="1" applyFont="1" applyBorder="1" applyAlignment="1" applyProtection="1">
      <alignment horizontal="center" vertical="center"/>
      <protection locked="0"/>
    </xf>
    <xf numFmtId="0" fontId="39" fillId="0" borderId="3" xfId="5" applyFont="1" applyBorder="1" applyAlignment="1">
      <alignment horizontal="center" vertical="center"/>
    </xf>
    <xf numFmtId="0" fontId="42" fillId="0" borderId="3" xfId="5" applyFont="1" applyBorder="1" applyAlignment="1">
      <alignment horizontal="center" vertical="center"/>
    </xf>
    <xf numFmtId="0" fontId="38" fillId="0" borderId="3" xfId="5" applyFont="1" applyBorder="1" applyAlignment="1">
      <alignment horizontal="center" vertical="center"/>
    </xf>
    <xf numFmtId="0" fontId="42" fillId="0" borderId="3" xfId="5" applyFont="1" applyBorder="1" applyAlignment="1" applyProtection="1">
      <alignment horizontal="center" vertical="center"/>
      <protection locked="0"/>
    </xf>
    <xf numFmtId="0" fontId="39" fillId="0" borderId="13" xfId="5" applyFont="1" applyBorder="1" applyAlignment="1">
      <alignment horizontal="center" vertical="center"/>
    </xf>
    <xf numFmtId="0" fontId="39" fillId="0" borderId="2" xfId="5" applyFont="1" applyBorder="1" applyAlignment="1">
      <alignment horizontal="center" vertical="center"/>
    </xf>
    <xf numFmtId="0" fontId="39" fillId="0" borderId="4" xfId="5" applyFont="1" applyBorder="1" applyAlignment="1">
      <alignment horizontal="center" vertical="center"/>
    </xf>
    <xf numFmtId="0" fontId="39" fillId="0" borderId="0" xfId="5" applyFont="1" applyAlignment="1">
      <alignment horizontal="left" vertical="center"/>
    </xf>
    <xf numFmtId="0" fontId="39" fillId="0" borderId="5" xfId="5" applyFont="1" applyBorder="1" applyAlignment="1">
      <alignment horizontal="center" vertical="center"/>
    </xf>
    <xf numFmtId="167" fontId="39" fillId="0" borderId="23" xfId="5" applyNumberFormat="1" applyFont="1" applyBorder="1" applyAlignment="1">
      <alignment horizontal="center" vertical="center"/>
    </xf>
    <xf numFmtId="167" fontId="39" fillId="0" borderId="6" xfId="5" applyNumberFormat="1" applyFont="1" applyBorder="1" applyAlignment="1">
      <alignment horizontal="center" vertical="center"/>
    </xf>
    <xf numFmtId="0" fontId="39" fillId="0" borderId="24" xfId="5" applyFont="1" applyBorder="1" applyAlignment="1">
      <alignment horizontal="center" vertical="center"/>
    </xf>
    <xf numFmtId="167" fontId="39" fillId="0" borderId="0" xfId="5" applyNumberFormat="1" applyFont="1" applyAlignment="1">
      <alignment horizontal="center" vertical="center"/>
    </xf>
    <xf numFmtId="0" fontId="44" fillId="0" borderId="10" xfId="5" applyFont="1" applyBorder="1" applyAlignment="1">
      <alignment vertical="center"/>
    </xf>
    <xf numFmtId="0" fontId="45" fillId="0" borderId="11" xfId="5" applyFont="1" applyBorder="1" applyAlignment="1">
      <alignment vertical="center"/>
    </xf>
    <xf numFmtId="0" fontId="45" fillId="0" borderId="0" xfId="5" applyFont="1" applyAlignment="1">
      <alignment vertical="center"/>
    </xf>
    <xf numFmtId="0" fontId="46" fillId="0" borderId="0" xfId="5" applyFont="1" applyAlignment="1">
      <alignment horizontal="center" vertical="center"/>
    </xf>
    <xf numFmtId="0" fontId="49" fillId="0" borderId="0" xfId="5" applyFont="1" applyAlignment="1">
      <alignment horizontal="center" vertical="center"/>
    </xf>
    <xf numFmtId="0" fontId="51" fillId="0" borderId="0" xfId="5" applyFont="1" applyAlignment="1">
      <alignment vertical="center"/>
    </xf>
    <xf numFmtId="0" fontId="15" fillId="0" borderId="14" xfId="5" applyFont="1" applyBorder="1" applyAlignment="1">
      <alignment vertical="center"/>
    </xf>
    <xf numFmtId="0" fontId="15" fillId="0" borderId="15" xfId="5" applyFont="1" applyBorder="1" applyAlignment="1">
      <alignment vertical="center"/>
    </xf>
    <xf numFmtId="0" fontId="45" fillId="0" borderId="15" xfId="5" applyFont="1" applyBorder="1" applyAlignment="1">
      <alignment horizontal="left" vertical="center"/>
    </xf>
    <xf numFmtId="0" fontId="15" fillId="0" borderId="17" xfId="5" applyFont="1" applyBorder="1" applyAlignment="1">
      <alignment vertical="center"/>
    </xf>
    <xf numFmtId="0" fontId="15" fillId="0" borderId="18" xfId="5" applyFont="1" applyBorder="1" applyAlignment="1">
      <alignment vertical="center"/>
    </xf>
    <xf numFmtId="0" fontId="45" fillId="0" borderId="18" xfId="5" applyFont="1" applyBorder="1" applyAlignment="1">
      <alignment horizontal="left" vertical="center"/>
    </xf>
    <xf numFmtId="0" fontId="15" fillId="0" borderId="20" xfId="5" applyFont="1" applyBorder="1" applyAlignment="1">
      <alignment vertical="center"/>
    </xf>
    <xf numFmtId="0" fontId="15" fillId="0" borderId="21" xfId="5" applyFont="1" applyBorder="1" applyAlignment="1">
      <alignment vertical="center"/>
    </xf>
    <xf numFmtId="0" fontId="45" fillId="0" borderId="21" xfId="5" applyFont="1" applyBorder="1" applyAlignment="1">
      <alignment horizontal="left" vertical="center"/>
    </xf>
    <xf numFmtId="0" fontId="15" fillId="0" borderId="0" xfId="5" applyFont="1" applyAlignment="1">
      <alignment vertical="center"/>
    </xf>
    <xf numFmtId="0" fontId="45" fillId="0" borderId="0" xfId="5" applyFont="1" applyAlignment="1">
      <alignment horizontal="left" vertical="center"/>
    </xf>
    <xf numFmtId="0" fontId="15" fillId="0" borderId="7" xfId="5" applyFont="1" applyBorder="1" applyAlignment="1">
      <alignment vertical="center"/>
    </xf>
    <xf numFmtId="0" fontId="15" fillId="0" borderId="1" xfId="5" applyFont="1" applyBorder="1" applyAlignment="1">
      <alignment vertical="center"/>
    </xf>
    <xf numFmtId="0" fontId="45" fillId="0" borderId="1" xfId="5" applyFont="1" applyBorder="1" applyAlignment="1">
      <alignment horizontal="left" vertical="center"/>
    </xf>
    <xf numFmtId="0" fontId="46" fillId="0" borderId="10" xfId="5" applyFont="1" applyBorder="1" applyAlignment="1">
      <alignment horizontal="center" vertical="center"/>
    </xf>
    <xf numFmtId="2" fontId="45" fillId="0" borderId="20" xfId="6" applyNumberFormat="1" applyFont="1" applyBorder="1" applyAlignment="1">
      <alignment horizontal="center" vertical="center"/>
    </xf>
    <xf numFmtId="167" fontId="52" fillId="0" borderId="0" xfId="5" applyNumberFormat="1" applyFont="1" applyAlignment="1">
      <alignment horizontal="center" vertical="center"/>
    </xf>
    <xf numFmtId="167" fontId="55" fillId="2" borderId="14" xfId="5" applyNumberFormat="1" applyFont="1" applyFill="1" applyBorder="1" applyAlignment="1">
      <alignment horizontal="center" vertical="center"/>
    </xf>
    <xf numFmtId="167" fontId="45" fillId="0" borderId="17" xfId="5" applyNumberFormat="1" applyFont="1" applyBorder="1" applyAlignment="1">
      <alignment horizontal="center" vertical="center"/>
    </xf>
    <xf numFmtId="167" fontId="45" fillId="0" borderId="20" xfId="5" applyNumberFormat="1" applyFont="1" applyBorder="1" applyAlignment="1">
      <alignment horizontal="center" vertical="center"/>
    </xf>
    <xf numFmtId="167" fontId="45" fillId="0" borderId="22" xfId="5" applyNumberFormat="1" applyFont="1" applyBorder="1" applyAlignment="1">
      <alignment horizontal="center" vertical="center"/>
    </xf>
    <xf numFmtId="0" fontId="47" fillId="0" borderId="10" xfId="5" applyFont="1" applyBorder="1" applyAlignment="1">
      <alignment horizontal="center" vertical="center"/>
    </xf>
    <xf numFmtId="167" fontId="53" fillId="0" borderId="0" xfId="5" applyNumberFormat="1" applyFont="1" applyAlignment="1">
      <alignment horizontal="center" vertical="center"/>
    </xf>
    <xf numFmtId="0" fontId="48" fillId="0" borderId="10" xfId="5" applyFont="1" applyBorder="1" applyAlignment="1">
      <alignment horizontal="center" vertical="center"/>
    </xf>
    <xf numFmtId="167" fontId="54" fillId="0" borderId="0" xfId="5" applyNumberFormat="1" applyFont="1" applyAlignment="1">
      <alignment horizontal="center" vertical="center"/>
    </xf>
    <xf numFmtId="167" fontId="55" fillId="2" borderId="14" xfId="5" quotePrefix="1" applyNumberFormat="1" applyFont="1" applyFill="1" applyBorder="1" applyAlignment="1">
      <alignment horizontal="center" vertical="center"/>
    </xf>
    <xf numFmtId="2" fontId="45" fillId="2" borderId="14" xfId="5" applyNumberFormat="1" applyFont="1" applyFill="1" applyBorder="1" applyAlignment="1">
      <alignment horizontal="center" vertical="center"/>
    </xf>
    <xf numFmtId="2" fontId="45" fillId="2" borderId="17" xfId="5" applyNumberFormat="1" applyFont="1" applyFill="1" applyBorder="1" applyAlignment="1">
      <alignment horizontal="center" vertical="center"/>
    </xf>
    <xf numFmtId="0" fontId="47" fillId="0" borderId="0" xfId="5" applyFont="1" applyAlignment="1">
      <alignment horizontal="center" vertical="center"/>
    </xf>
    <xf numFmtId="0" fontId="50" fillId="0" borderId="0" xfId="5" applyFont="1" applyAlignment="1">
      <alignment vertical="center"/>
    </xf>
    <xf numFmtId="2" fontId="45" fillId="0" borderId="0" xfId="5" applyNumberFormat="1" applyFont="1" applyAlignment="1">
      <alignment horizontal="center" vertical="center"/>
    </xf>
    <xf numFmtId="2" fontId="45" fillId="0" borderId="0" xfId="6" applyNumberFormat="1" applyFont="1" applyAlignment="1">
      <alignment vertical="center"/>
    </xf>
    <xf numFmtId="167" fontId="45" fillId="0" borderId="0" xfId="5" applyNumberFormat="1" applyFont="1" applyAlignment="1">
      <alignment horizontal="center" vertical="center"/>
    </xf>
    <xf numFmtId="167" fontId="55" fillId="0" borderId="0" xfId="5" applyNumberFormat="1" applyFont="1" applyAlignment="1">
      <alignment horizontal="center" vertical="center"/>
    </xf>
    <xf numFmtId="167" fontId="54" fillId="0" borderId="0" xfId="5" quotePrefix="1" applyNumberFormat="1" applyFont="1" applyAlignment="1">
      <alignment horizontal="center" vertical="center"/>
    </xf>
    <xf numFmtId="167" fontId="44" fillId="0" borderId="0" xfId="5" applyNumberFormat="1" applyFont="1" applyAlignment="1">
      <alignment horizontal="center" vertical="center"/>
    </xf>
    <xf numFmtId="167" fontId="56" fillId="0" borderId="0" xfId="5" applyNumberFormat="1" applyFont="1" applyAlignment="1">
      <alignment horizontal="center" vertical="center"/>
    </xf>
    <xf numFmtId="167" fontId="45" fillId="0" borderId="0" xfId="5" quotePrefix="1" applyNumberFormat="1" applyFont="1" applyAlignment="1">
      <alignment horizontal="center" vertical="center"/>
    </xf>
    <xf numFmtId="0" fontId="57" fillId="0" borderId="10" xfId="5" applyFont="1" applyBorder="1" applyAlignment="1">
      <alignment horizontal="centerContinuous" vertical="center"/>
    </xf>
    <xf numFmtId="0" fontId="15" fillId="0" borderId="11" xfId="5" applyFont="1" applyBorder="1" applyAlignment="1">
      <alignment horizontal="centerContinuous" vertical="center"/>
    </xf>
    <xf numFmtId="0" fontId="15" fillId="0" borderId="12" xfId="5" applyFont="1" applyBorder="1" applyAlignment="1">
      <alignment horizontal="centerContinuous" vertical="center"/>
    </xf>
    <xf numFmtId="0" fontId="58" fillId="0" borderId="29" xfId="5" applyFont="1" applyBorder="1" applyAlignment="1">
      <alignment horizontal="center" vertical="center"/>
    </xf>
    <xf numFmtId="0" fontId="58" fillId="0" borderId="30" xfId="5" applyFont="1" applyBorder="1" applyAlignment="1">
      <alignment horizontal="center" vertical="center"/>
    </xf>
    <xf numFmtId="0" fontId="58" fillId="0" borderId="4" xfId="5" applyFont="1" applyBorder="1" applyAlignment="1">
      <alignment horizontal="center" vertical="center"/>
    </xf>
    <xf numFmtId="0" fontId="58" fillId="0" borderId="0" xfId="5" applyFont="1" applyAlignment="1">
      <alignment horizontal="center" vertical="center"/>
    </xf>
    <xf numFmtId="0" fontId="58" fillId="0" borderId="31" xfId="5" applyFont="1" applyBorder="1" applyAlignment="1">
      <alignment horizontal="center" vertical="center"/>
    </xf>
    <xf numFmtId="0" fontId="58" fillId="0" borderId="32" xfId="5" applyFont="1" applyBorder="1" applyAlignment="1">
      <alignment horizontal="center" vertical="center"/>
    </xf>
    <xf numFmtId="0" fontId="58" fillId="0" borderId="6" xfId="5" applyFont="1" applyBorder="1" applyAlignment="1">
      <alignment horizontal="center" vertical="center"/>
    </xf>
    <xf numFmtId="0" fontId="58" fillId="0" borderId="33" xfId="5" applyFont="1" applyBorder="1" applyAlignment="1">
      <alignment horizontal="center" vertical="center"/>
    </xf>
    <xf numFmtId="0" fontId="58" fillId="0" borderId="34" xfId="5" applyFont="1" applyBorder="1" applyAlignment="1">
      <alignment horizontal="center" vertical="center"/>
    </xf>
    <xf numFmtId="0" fontId="58" fillId="0" borderId="8" xfId="5" applyFont="1" applyBorder="1" applyAlignment="1">
      <alignment horizontal="center" vertical="center"/>
    </xf>
    <xf numFmtId="0" fontId="60" fillId="0" borderId="5" xfId="5" applyFont="1" applyBorder="1" applyAlignment="1">
      <alignment horizontal="center" vertical="center"/>
    </xf>
    <xf numFmtId="0" fontId="60" fillId="0" borderId="0" xfId="5" applyFont="1" applyAlignment="1">
      <alignment horizontal="center" vertical="center"/>
    </xf>
    <xf numFmtId="0" fontId="60" fillId="0" borderId="6" xfId="5" applyFont="1" applyBorder="1" applyAlignment="1">
      <alignment horizontal="center" vertical="center"/>
    </xf>
    <xf numFmtId="0" fontId="44" fillId="0" borderId="35" xfId="5" applyFont="1" applyBorder="1" applyAlignment="1">
      <alignment horizontal="center" vertical="center"/>
    </xf>
    <xf numFmtId="0" fontId="44" fillId="0" borderId="36" xfId="5" applyFont="1" applyBorder="1" applyAlignment="1">
      <alignment horizontal="center" vertical="center"/>
    </xf>
    <xf numFmtId="0" fontId="44" fillId="0" borderId="12" xfId="5" applyFont="1" applyBorder="1" applyAlignment="1">
      <alignment horizontal="center" vertical="center"/>
    </xf>
    <xf numFmtId="0" fontId="44" fillId="0" borderId="29" xfId="5" applyFont="1" applyBorder="1" applyAlignment="1">
      <alignment horizontal="center" vertical="center"/>
    </xf>
    <xf numFmtId="0" fontId="44" fillId="0" borderId="30" xfId="5" applyFont="1" applyBorder="1" applyAlignment="1">
      <alignment horizontal="center" vertical="center"/>
    </xf>
    <xf numFmtId="0" fontId="44" fillId="0" borderId="4" xfId="5" applyFont="1" applyBorder="1" applyAlignment="1">
      <alignment horizontal="center" vertical="center"/>
    </xf>
    <xf numFmtId="0" fontId="45" fillId="0" borderId="29" xfId="5" applyFont="1" applyBorder="1" applyAlignment="1">
      <alignment horizontal="center" vertical="center"/>
    </xf>
    <xf numFmtId="167" fontId="45" fillId="0" borderId="30" xfId="5" applyNumberFormat="1" applyFont="1" applyBorder="1" applyAlignment="1">
      <alignment horizontal="center" vertical="center"/>
    </xf>
    <xf numFmtId="167" fontId="45" fillId="0" borderId="4" xfId="5" applyNumberFormat="1" applyFont="1" applyBorder="1" applyAlignment="1">
      <alignment horizontal="center" vertical="center"/>
    </xf>
    <xf numFmtId="0" fontId="45" fillId="0" borderId="37" xfId="5" applyFont="1" applyBorder="1" applyAlignment="1">
      <alignment horizontal="center" vertical="center"/>
    </xf>
    <xf numFmtId="2" fontId="45" fillId="0" borderId="38" xfId="5" applyNumberFormat="1" applyFont="1" applyBorder="1" applyAlignment="1">
      <alignment horizontal="center" vertical="center"/>
    </xf>
    <xf numFmtId="167" fontId="45" fillId="0" borderId="38" xfId="5" applyNumberFormat="1" applyFont="1" applyBorder="1" applyAlignment="1">
      <alignment horizontal="center" vertical="center"/>
    </xf>
    <xf numFmtId="167" fontId="45" fillId="0" borderId="28" xfId="5" applyNumberFormat="1" applyFont="1" applyBorder="1" applyAlignment="1">
      <alignment horizontal="center" vertical="center"/>
    </xf>
    <xf numFmtId="0" fontId="45" fillId="0" borderId="39" xfId="5" applyFont="1" applyBorder="1" applyAlignment="1">
      <alignment horizontal="center" vertical="center"/>
    </xf>
    <xf numFmtId="2" fontId="45" fillId="0" borderId="40" xfId="5" applyNumberFormat="1" applyFont="1" applyBorder="1" applyAlignment="1">
      <alignment horizontal="center" vertical="center"/>
    </xf>
    <xf numFmtId="167" fontId="45" fillId="0" borderId="40" xfId="5" applyNumberFormat="1" applyFont="1" applyBorder="1" applyAlignment="1">
      <alignment horizontal="center" vertical="center"/>
    </xf>
    <xf numFmtId="0" fontId="45" fillId="0" borderId="9" xfId="5" applyFont="1" applyBorder="1" applyAlignment="1">
      <alignment horizontal="center" vertical="center"/>
    </xf>
    <xf numFmtId="2" fontId="45" fillId="2" borderId="30" xfId="5" applyNumberFormat="1" applyFont="1" applyFill="1" applyBorder="1" applyAlignment="1">
      <alignment horizontal="center" vertical="center"/>
    </xf>
    <xf numFmtId="2" fontId="45" fillId="2" borderId="38" xfId="5" applyNumberFormat="1" applyFont="1" applyFill="1" applyBorder="1" applyAlignment="1">
      <alignment horizontal="center" vertical="center"/>
    </xf>
    <xf numFmtId="167" fontId="55" fillId="2" borderId="17" xfId="5" applyNumberFormat="1" applyFont="1" applyFill="1" applyBorder="1" applyAlignment="1">
      <alignment horizontal="center" vertical="center"/>
    </xf>
    <xf numFmtId="167" fontId="55" fillId="2" borderId="20" xfId="5" applyNumberFormat="1" applyFont="1" applyFill="1" applyBorder="1" applyAlignment="1">
      <alignment horizontal="center" vertical="center"/>
    </xf>
    <xf numFmtId="2" fontId="13" fillId="0" borderId="9" xfId="0" applyNumberFormat="1" applyFont="1" applyBorder="1" applyAlignment="1" applyProtection="1">
      <alignment horizontal="center"/>
      <protection locked="0"/>
    </xf>
    <xf numFmtId="2" fontId="4" fillId="0" borderId="9" xfId="0" applyNumberFormat="1" applyFont="1" applyBorder="1" applyAlignment="1" applyProtection="1">
      <alignment horizontal="center"/>
      <protection locked="0"/>
    </xf>
    <xf numFmtId="0" fontId="4" fillId="0" borderId="9" xfId="0" applyFont="1" applyBorder="1" applyAlignment="1" applyProtection="1">
      <alignment horizontal="center"/>
      <protection locked="0"/>
    </xf>
    <xf numFmtId="0" fontId="4" fillId="2" borderId="9" xfId="0" applyFont="1" applyFill="1" applyBorder="1" applyAlignment="1" applyProtection="1">
      <alignment horizontal="center"/>
      <protection locked="0"/>
    </xf>
    <xf numFmtId="0" fontId="2" fillId="0" borderId="0" xfId="0" applyFont="1" applyAlignment="1">
      <alignment horizontal="center"/>
    </xf>
    <xf numFmtId="0" fontId="61" fillId="0" borderId="0" xfId="0" applyFont="1"/>
    <xf numFmtId="0" fontId="45" fillId="0" borderId="13" xfId="5" applyFont="1" applyBorder="1" applyAlignment="1">
      <alignment horizontal="center" vertical="center"/>
    </xf>
    <xf numFmtId="0" fontId="45" fillId="0" borderId="23" xfId="5" applyFont="1" applyBorder="1" applyAlignment="1">
      <alignment horizontal="center" vertical="center"/>
    </xf>
    <xf numFmtId="0" fontId="62" fillId="0" borderId="24" xfId="5" applyFont="1" applyBorder="1" applyAlignment="1">
      <alignment horizontal="center" vertical="center"/>
    </xf>
    <xf numFmtId="0" fontId="45" fillId="0" borderId="2" xfId="5" applyFont="1" applyBorder="1" applyAlignment="1">
      <alignment horizontal="center" vertical="center"/>
    </xf>
    <xf numFmtId="0" fontId="45" fillId="0" borderId="5" xfId="5" applyFont="1" applyBorder="1" applyAlignment="1">
      <alignment horizontal="center" vertical="center"/>
    </xf>
    <xf numFmtId="0" fontId="45" fillId="0" borderId="7" xfId="5" applyFont="1" applyBorder="1" applyAlignment="1">
      <alignment horizontal="center" vertical="center"/>
    </xf>
    <xf numFmtId="0" fontId="14" fillId="0" borderId="0" xfId="5" applyFont="1" applyAlignment="1" applyProtection="1">
      <alignment horizontal="center" vertical="center"/>
      <protection locked="0"/>
    </xf>
    <xf numFmtId="0" fontId="38" fillId="0" borderId="0" xfId="5" applyFont="1" applyAlignment="1">
      <alignment horizontal="center" vertical="center"/>
    </xf>
    <xf numFmtId="167" fontId="37" fillId="0" borderId="0" xfId="5" applyNumberFormat="1" applyFont="1" applyAlignment="1" applyProtection="1">
      <alignment horizontal="center" vertical="center"/>
      <protection locked="0"/>
    </xf>
    <xf numFmtId="167" fontId="43" fillId="0" borderId="0" xfId="5" applyNumberFormat="1" applyFont="1" applyAlignment="1" applyProtection="1">
      <alignment horizontal="center" vertical="center"/>
      <protection locked="0"/>
    </xf>
    <xf numFmtId="0" fontId="45" fillId="0" borderId="0" xfId="5" applyFont="1" applyAlignment="1">
      <alignment horizontal="center" vertical="center"/>
    </xf>
    <xf numFmtId="0" fontId="62" fillId="0" borderId="9" xfId="5" applyFont="1" applyBorder="1" applyAlignment="1">
      <alignment horizontal="center" vertical="center"/>
    </xf>
    <xf numFmtId="1" fontId="63" fillId="0" borderId="0" xfId="0" applyNumberFormat="1" applyFont="1" applyAlignment="1">
      <alignment horizontal="center"/>
    </xf>
    <xf numFmtId="1" fontId="26" fillId="0" borderId="0" xfId="0" applyNumberFormat="1" applyFont="1" applyAlignment="1">
      <alignment horizontal="center"/>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9" xfId="0" applyBorder="1" applyAlignment="1">
      <alignment vertical="center" wrapText="1"/>
    </xf>
    <xf numFmtId="0" fontId="23" fillId="0" borderId="13" xfId="0" applyFont="1" applyBorder="1" applyAlignment="1" applyProtection="1">
      <alignment horizontal="right"/>
      <protection locked="0"/>
    </xf>
    <xf numFmtId="2" fontId="13" fillId="0" borderId="13" xfId="0" applyNumberFormat="1" applyFont="1" applyBorder="1" applyAlignment="1">
      <alignment horizontal="right"/>
    </xf>
    <xf numFmtId="2" fontId="0" fillId="0" borderId="13" xfId="0" applyNumberFormat="1" applyBorder="1" applyAlignment="1">
      <alignment horizontal="right"/>
    </xf>
    <xf numFmtId="170" fontId="23" fillId="0" borderId="41" xfId="0" applyNumberFormat="1" applyFont="1" applyBorder="1" applyAlignment="1" applyProtection="1">
      <alignment horizontal="right"/>
      <protection locked="0"/>
    </xf>
    <xf numFmtId="170" fontId="0" fillId="0" borderId="13" xfId="0" applyNumberFormat="1" applyBorder="1" applyAlignment="1">
      <alignment horizontal="right"/>
    </xf>
    <xf numFmtId="1" fontId="0" fillId="0" borderId="13" xfId="0" applyNumberFormat="1" applyBorder="1" applyAlignment="1">
      <alignment horizontal="right"/>
    </xf>
    <xf numFmtId="170" fontId="23" fillId="2" borderId="9" xfId="0" applyNumberFormat="1" applyFont="1" applyFill="1" applyBorder="1" applyAlignment="1" applyProtection="1">
      <alignment horizontal="right"/>
      <protection locked="0"/>
    </xf>
    <xf numFmtId="0" fontId="0" fillId="0" borderId="0" xfId="0" applyAlignment="1">
      <alignment vertical="center"/>
    </xf>
    <xf numFmtId="164" fontId="4" fillId="0" borderId="0" xfId="0" applyNumberFormat="1" applyFont="1" applyAlignment="1">
      <alignment horizontal="center"/>
    </xf>
    <xf numFmtId="0" fontId="0" fillId="0" borderId="42" xfId="0" applyBorder="1"/>
    <xf numFmtId="0" fontId="0" fillId="0" borderId="43" xfId="0" applyBorder="1"/>
    <xf numFmtId="0" fontId="0" fillId="0" borderId="44" xfId="0" applyBorder="1"/>
    <xf numFmtId="0" fontId="0" fillId="0" borderId="46" xfId="0" applyBorder="1"/>
    <xf numFmtId="0" fontId="0" fillId="0" borderId="47" xfId="0" applyBorder="1"/>
    <xf numFmtId="0" fontId="0" fillId="0" borderId="48" xfId="0" applyBorder="1"/>
    <xf numFmtId="0" fontId="0" fillId="0" borderId="49" xfId="0" applyBorder="1"/>
    <xf numFmtId="0" fontId="4" fillId="0" borderId="0" xfId="0" applyFont="1"/>
    <xf numFmtId="0" fontId="65" fillId="8" borderId="0" xfId="0" applyFont="1" applyFill="1"/>
    <xf numFmtId="0" fontId="0" fillId="0" borderId="48" xfId="0" applyBorder="1" applyAlignment="1">
      <alignment horizontal="left"/>
    </xf>
    <xf numFmtId="0" fontId="4" fillId="0" borderId="0" xfId="0" applyFont="1" applyAlignment="1">
      <alignment horizontal="left"/>
    </xf>
    <xf numFmtId="0" fontId="0" fillId="0" borderId="0" xfId="0" applyAlignment="1">
      <alignment vertical="top"/>
    </xf>
    <xf numFmtId="0" fontId="4" fillId="0" borderId="0" xfId="0" applyFont="1" applyAlignment="1">
      <alignment vertical="top"/>
    </xf>
    <xf numFmtId="0" fontId="4" fillId="0" borderId="46" xfId="0" applyFont="1" applyBorder="1" applyAlignment="1">
      <alignment vertical="top"/>
    </xf>
    <xf numFmtId="0" fontId="0" fillId="0" borderId="47" xfId="0" applyBorder="1" applyAlignment="1">
      <alignment vertical="top"/>
    </xf>
    <xf numFmtId="0" fontId="0" fillId="0" borderId="48" xfId="0" applyBorder="1" applyAlignment="1">
      <alignment vertical="top"/>
    </xf>
    <xf numFmtId="0" fontId="0" fillId="0" borderId="48" xfId="0" applyBorder="1" applyAlignment="1">
      <alignment horizontal="left" vertical="top"/>
    </xf>
    <xf numFmtId="0" fontId="0" fillId="0" borderId="49" xfId="0" applyBorder="1" applyAlignment="1">
      <alignment vertical="top"/>
    </xf>
    <xf numFmtId="0" fontId="70" fillId="8" borderId="43" xfId="0" applyFont="1" applyFill="1" applyBorder="1" applyAlignment="1">
      <alignment vertical="top"/>
    </xf>
    <xf numFmtId="0" fontId="70" fillId="8" borderId="44" xfId="0" applyFont="1" applyFill="1" applyBorder="1" applyAlignment="1">
      <alignment vertical="top"/>
    </xf>
    <xf numFmtId="0" fontId="4" fillId="0" borderId="45" xfId="0" applyFont="1" applyBorder="1" applyAlignment="1">
      <alignment vertical="top"/>
    </xf>
    <xf numFmtId="0" fontId="4" fillId="0" borderId="47" xfId="0" applyFont="1" applyBorder="1" applyAlignment="1">
      <alignment vertical="top"/>
    </xf>
    <xf numFmtId="0" fontId="4" fillId="0" borderId="48" xfId="0" applyFont="1" applyBorder="1" applyAlignment="1">
      <alignment vertical="top"/>
    </xf>
    <xf numFmtId="0" fontId="4" fillId="0" borderId="49" xfId="0" applyFont="1" applyBorder="1" applyAlignment="1">
      <alignment vertical="top"/>
    </xf>
    <xf numFmtId="0" fontId="65" fillId="8" borderId="43" xfId="0" applyFont="1" applyFill="1" applyBorder="1" applyAlignment="1">
      <alignment vertical="top"/>
    </xf>
    <xf numFmtId="0" fontId="66" fillId="0" borderId="0" xfId="0" applyFont="1"/>
    <xf numFmtId="0" fontId="4" fillId="0" borderId="44" xfId="0" applyFont="1" applyBorder="1" applyAlignment="1">
      <alignment vertical="top"/>
    </xf>
    <xf numFmtId="164" fontId="4" fillId="0" borderId="49" xfId="0" applyNumberFormat="1" applyFont="1" applyBorder="1" applyAlignment="1">
      <alignment horizontal="center" vertical="top"/>
    </xf>
    <xf numFmtId="0" fontId="73" fillId="0" borderId="0" xfId="0" applyFont="1"/>
    <xf numFmtId="0" fontId="0" fillId="0" borderId="45" xfId="0" applyBorder="1"/>
    <xf numFmtId="0" fontId="75" fillId="0" borderId="0" xfId="0" applyFont="1"/>
    <xf numFmtId="0" fontId="4" fillId="0" borderId="0" xfId="0" applyFont="1" applyAlignment="1">
      <alignment wrapText="1"/>
    </xf>
    <xf numFmtId="0" fontId="4" fillId="0" borderId="46" xfId="0" applyFont="1" applyBorder="1" applyAlignment="1">
      <alignment wrapText="1"/>
    </xf>
    <xf numFmtId="0" fontId="76" fillId="8" borderId="0" xfId="0" applyFont="1" applyFill="1"/>
    <xf numFmtId="0" fontId="73" fillId="0" borderId="0" xfId="0" applyFont="1" applyAlignment="1">
      <alignment horizontal="center"/>
    </xf>
    <xf numFmtId="0" fontId="0" fillId="0" borderId="46" xfId="0" applyBorder="1" applyAlignment="1">
      <alignment horizontal="left"/>
    </xf>
    <xf numFmtId="0" fontId="77" fillId="0" borderId="0" xfId="0" applyFont="1"/>
    <xf numFmtId="0" fontId="77" fillId="0" borderId="46" xfId="0" applyFont="1" applyBorder="1"/>
    <xf numFmtId="0" fontId="77" fillId="0" borderId="45" xfId="0" applyFont="1" applyBorder="1"/>
    <xf numFmtId="49" fontId="83" fillId="0" borderId="0" xfId="0" applyNumberFormat="1" applyFont="1" applyAlignment="1">
      <alignment vertical="top"/>
    </xf>
    <xf numFmtId="0" fontId="86" fillId="0" borderId="9" xfId="0" applyFont="1" applyBorder="1"/>
    <xf numFmtId="0" fontId="86" fillId="0" borderId="9" xfId="0" applyFont="1" applyBorder="1" applyAlignment="1">
      <alignment horizontal="left" vertical="center"/>
    </xf>
    <xf numFmtId="0" fontId="86" fillId="0" borderId="0" xfId="0" applyFont="1"/>
    <xf numFmtId="0" fontId="90" fillId="0" borderId="0" xfId="7" applyFont="1" applyAlignment="1">
      <alignment horizontal="left"/>
    </xf>
    <xf numFmtId="0" fontId="90" fillId="0" borderId="0" xfId="7" applyFont="1"/>
    <xf numFmtId="0" fontId="86" fillId="10" borderId="0" xfId="0" applyFont="1" applyFill="1" applyAlignment="1">
      <alignment horizontal="center" vertical="center"/>
    </xf>
    <xf numFmtId="0" fontId="86" fillId="10" borderId="0" xfId="0" applyFont="1" applyFill="1"/>
    <xf numFmtId="0" fontId="86" fillId="6" borderId="0" xfId="0" applyFont="1" applyFill="1"/>
    <xf numFmtId="0" fontId="86" fillId="2" borderId="0" xfId="0" applyFont="1" applyFill="1" applyAlignment="1">
      <alignment horizontal="center" vertical="center"/>
    </xf>
    <xf numFmtId="0" fontId="86" fillId="2" borderId="9" xfId="0" applyFont="1" applyFill="1" applyBorder="1"/>
    <xf numFmtId="0" fontId="91" fillId="0" borderId="9" xfId="0" applyFont="1" applyBorder="1"/>
    <xf numFmtId="170" fontId="86" fillId="0" borderId="9" xfId="0" applyNumberFormat="1" applyFont="1" applyBorder="1" applyAlignment="1">
      <alignment horizontal="center"/>
    </xf>
    <xf numFmtId="0" fontId="86" fillId="2" borderId="0" xfId="0" applyFont="1" applyFill="1"/>
    <xf numFmtId="0" fontId="86" fillId="0" borderId="9" xfId="0" applyFont="1" applyBorder="1" applyAlignment="1">
      <alignment horizontal="center" vertical="center"/>
    </xf>
    <xf numFmtId="2" fontId="26" fillId="0" borderId="0" xfId="0" applyNumberFormat="1" applyFont="1"/>
    <xf numFmtId="0" fontId="28" fillId="0" borderId="9" xfId="2" applyNumberFormat="1" applyFont="1" applyBorder="1" applyAlignment="1">
      <alignment horizontal="center" vertical="center"/>
    </xf>
    <xf numFmtId="167" fontId="28" fillId="0" borderId="9" xfId="0" applyNumberFormat="1" applyFont="1" applyBorder="1" applyAlignment="1">
      <alignment horizontal="center" vertical="center"/>
    </xf>
    <xf numFmtId="0" fontId="12" fillId="0" borderId="9" xfId="2" applyNumberFormat="1" applyFont="1" applyBorder="1" applyAlignment="1">
      <alignment horizontal="center" vertical="center"/>
    </xf>
    <xf numFmtId="167" fontId="93" fillId="0" borderId="9" xfId="8" applyNumberFormat="1" applyFont="1" applyBorder="1" applyAlignment="1" applyProtection="1">
      <alignment horizontal="center" vertical="center"/>
      <protection locked="0"/>
    </xf>
    <xf numFmtId="167" fontId="93" fillId="0" borderId="9" xfId="8" applyNumberFormat="1" applyFont="1" applyBorder="1" applyAlignment="1">
      <alignment horizontal="center" vertical="center"/>
    </xf>
    <xf numFmtId="0" fontId="12" fillId="0" borderId="9" xfId="2" applyNumberFormat="1" applyFont="1" applyBorder="1" applyAlignment="1" applyProtection="1">
      <alignment horizontal="center" vertical="center"/>
      <protection locked="0"/>
    </xf>
    <xf numFmtId="167" fontId="12" fillId="0" borderId="9" xfId="8" applyNumberFormat="1" applyFont="1" applyBorder="1" applyAlignment="1" applyProtection="1">
      <alignment horizontal="center" vertical="center"/>
      <protection locked="0"/>
    </xf>
    <xf numFmtId="0" fontId="94" fillId="0" borderId="9" xfId="2" applyNumberFormat="1" applyFont="1" applyBorder="1" applyAlignment="1" applyProtection="1">
      <alignment horizontal="center" vertical="center"/>
      <protection locked="0"/>
    </xf>
    <xf numFmtId="167" fontId="12" fillId="0" borderId="9" xfId="8" applyNumberFormat="1" applyFont="1" applyBorder="1" applyAlignment="1">
      <alignment horizontal="center" vertical="center"/>
    </xf>
    <xf numFmtId="0" fontId="28" fillId="0" borderId="9" xfId="0" applyFont="1" applyBorder="1" applyAlignment="1">
      <alignment horizontal="center"/>
    </xf>
    <xf numFmtId="167" fontId="28" fillId="0" borderId="9" xfId="0" applyNumberFormat="1" applyFont="1" applyBorder="1" applyAlignment="1">
      <alignment horizontal="center"/>
    </xf>
    <xf numFmtId="0" fontId="28" fillId="0" borderId="10" xfId="0" applyFont="1" applyBorder="1" applyAlignment="1">
      <alignment vertical="center"/>
    </xf>
    <xf numFmtId="0" fontId="28" fillId="0" borderId="11" xfId="0" applyFont="1" applyBorder="1" applyAlignment="1">
      <alignment vertical="center"/>
    </xf>
    <xf numFmtId="0" fontId="87" fillId="0" borderId="10" xfId="0" applyFont="1" applyBorder="1" applyAlignment="1">
      <alignment vertical="center"/>
    </xf>
    <xf numFmtId="167" fontId="28" fillId="0" borderId="10" xfId="0" applyNumberFormat="1" applyFont="1" applyBorder="1" applyAlignment="1">
      <alignment vertical="center"/>
    </xf>
    <xf numFmtId="0" fontId="87" fillId="0" borderId="0" xfId="0" applyFont="1" applyAlignment="1">
      <alignment vertical="center"/>
    </xf>
    <xf numFmtId="0" fontId="28" fillId="0" borderId="0" xfId="0" applyFont="1" applyAlignment="1">
      <alignment vertical="center"/>
    </xf>
    <xf numFmtId="0" fontId="28" fillId="0" borderId="0" xfId="0" applyFont="1" applyAlignment="1">
      <alignment horizontal="center" vertical="center"/>
    </xf>
    <xf numFmtId="0" fontId="87" fillId="0" borderId="9" xfId="0" applyFont="1" applyBorder="1" applyAlignment="1">
      <alignment vertical="center"/>
    </xf>
    <xf numFmtId="167" fontId="28" fillId="0" borderId="9" xfId="0" applyNumberFormat="1" applyFont="1" applyBorder="1" applyAlignment="1">
      <alignment vertical="center"/>
    </xf>
    <xf numFmtId="0" fontId="28" fillId="0" borderId="10" xfId="0" applyFont="1" applyBorder="1" applyAlignment="1">
      <alignment horizontal="left" vertical="center"/>
    </xf>
    <xf numFmtId="0" fontId="96" fillId="4" borderId="9" xfId="0" applyFont="1" applyFill="1" applyBorder="1" applyAlignment="1">
      <alignment vertical="center"/>
    </xf>
    <xf numFmtId="167" fontId="87" fillId="0" borderId="10" xfId="0" applyNumberFormat="1" applyFont="1" applyBorder="1" applyAlignment="1">
      <alignment vertical="center"/>
    </xf>
    <xf numFmtId="0" fontId="28" fillId="0" borderId="9" xfId="0" applyFont="1" applyBorder="1" applyAlignment="1">
      <alignment vertical="center"/>
    </xf>
    <xf numFmtId="2" fontId="28" fillId="2" borderId="9" xfId="0" applyNumberFormat="1" applyFont="1" applyFill="1" applyBorder="1" applyAlignment="1">
      <alignment horizontal="center" vertical="center"/>
    </xf>
    <xf numFmtId="0" fontId="28" fillId="0" borderId="0" xfId="0" applyFont="1" applyAlignment="1">
      <alignment horizontal="left" vertical="center"/>
    </xf>
    <xf numFmtId="0" fontId="28" fillId="0" borderId="0" xfId="0" applyFont="1"/>
    <xf numFmtId="0" fontId="28" fillId="0" borderId="13" xfId="0" applyFont="1" applyBorder="1"/>
    <xf numFmtId="0" fontId="97" fillId="0" borderId="13" xfId="0" applyFont="1" applyBorder="1" applyAlignment="1">
      <alignment horizontal="center" vertical="center" readingOrder="1"/>
    </xf>
    <xf numFmtId="0" fontId="87" fillId="0" borderId="13" xfId="0" applyFont="1" applyBorder="1" applyAlignment="1">
      <alignment vertical="center" wrapText="1"/>
    </xf>
    <xf numFmtId="0" fontId="28" fillId="0" borderId="24" xfId="0" applyFont="1" applyBorder="1" applyAlignment="1">
      <alignment horizontal="center" vertical="center"/>
    </xf>
    <xf numFmtId="1" fontId="28" fillId="0" borderId="9" xfId="0" applyNumberFormat="1" applyFont="1" applyBorder="1" applyAlignment="1">
      <alignment horizontal="center" vertical="center"/>
    </xf>
    <xf numFmtId="0" fontId="96" fillId="11" borderId="0" xfId="0" applyFont="1" applyFill="1"/>
    <xf numFmtId="2" fontId="96" fillId="11" borderId="0" xfId="0" applyNumberFormat="1" applyFont="1" applyFill="1" applyAlignment="1">
      <alignment horizontal="center" vertical="center"/>
    </xf>
    <xf numFmtId="0" fontId="96" fillId="11" borderId="0" xfId="0" applyFont="1" applyFill="1" applyAlignment="1">
      <alignment vertical="center"/>
    </xf>
    <xf numFmtId="167" fontId="87" fillId="0" borderId="9" xfId="0" applyNumberFormat="1" applyFont="1" applyBorder="1" applyAlignment="1">
      <alignment vertical="center"/>
    </xf>
    <xf numFmtId="170" fontId="28" fillId="0" borderId="9" xfId="0" applyNumberFormat="1" applyFont="1" applyBorder="1" applyAlignment="1">
      <alignment horizontal="center" vertical="center"/>
    </xf>
    <xf numFmtId="2" fontId="28" fillId="0" borderId="0" xfId="0" applyNumberFormat="1" applyFont="1"/>
    <xf numFmtId="0" fontId="98" fillId="0" borderId="50" xfId="9" applyFont="1" applyBorder="1" applyAlignment="1">
      <alignment horizontal="center"/>
    </xf>
    <xf numFmtId="0" fontId="98" fillId="0" borderId="51" xfId="9" applyFont="1" applyBorder="1" applyAlignment="1">
      <alignment horizontal="center"/>
    </xf>
    <xf numFmtId="0" fontId="98" fillId="0" borderId="23" xfId="9" applyFont="1" applyBorder="1" applyAlignment="1">
      <alignment horizontal="center"/>
    </xf>
    <xf numFmtId="0" fontId="98" fillId="0" borderId="5" xfId="9" applyFont="1" applyBorder="1" applyAlignment="1">
      <alignment horizontal="center"/>
    </xf>
    <xf numFmtId="0" fontId="98" fillId="0" borderId="52" xfId="9" applyFont="1" applyBorder="1" applyAlignment="1">
      <alignment horizontal="center"/>
    </xf>
    <xf numFmtId="0" fontId="98" fillId="0" borderId="53" xfId="9" applyFont="1" applyBorder="1" applyAlignment="1">
      <alignment horizontal="center"/>
    </xf>
    <xf numFmtId="0" fontId="98" fillId="0" borderId="24" xfId="9" applyFont="1" applyBorder="1" applyAlignment="1">
      <alignment horizontal="center"/>
    </xf>
    <xf numFmtId="167" fontId="98" fillId="0" borderId="24" xfId="9" applyNumberFormat="1" applyFont="1" applyBorder="1" applyAlignment="1">
      <alignment horizontal="center"/>
    </xf>
    <xf numFmtId="2" fontId="98" fillId="0" borderId="24" xfId="9" applyNumberFormat="1" applyFont="1" applyBorder="1" applyAlignment="1">
      <alignment horizontal="center"/>
    </xf>
    <xf numFmtId="167" fontId="98" fillId="0" borderId="5" xfId="9" applyNumberFormat="1" applyFont="1" applyBorder="1" applyAlignment="1">
      <alignment horizontal="center"/>
    </xf>
    <xf numFmtId="0" fontId="98" fillId="0" borderId="13" xfId="9" applyFont="1" applyBorder="1" applyAlignment="1">
      <alignment horizontal="center"/>
    </xf>
    <xf numFmtId="167" fontId="98" fillId="0" borderId="2" xfId="9" applyNumberFormat="1" applyFont="1" applyBorder="1" applyAlignment="1">
      <alignment horizontal="center"/>
    </xf>
    <xf numFmtId="0" fontId="98" fillId="0" borderId="9" xfId="9" applyFont="1" applyBorder="1" applyAlignment="1">
      <alignment horizontal="center"/>
    </xf>
    <xf numFmtId="167" fontId="98" fillId="0" borderId="10" xfId="9" applyNumberFormat="1" applyFont="1" applyBorder="1" applyAlignment="1">
      <alignment horizontal="center"/>
    </xf>
    <xf numFmtId="2" fontId="98" fillId="0" borderId="9" xfId="9" applyNumberFormat="1" applyFont="1" applyBorder="1" applyAlignment="1">
      <alignment horizontal="center"/>
    </xf>
    <xf numFmtId="167" fontId="98" fillId="0" borderId="7" xfId="9" applyNumberFormat="1" applyFont="1" applyBorder="1" applyAlignment="1">
      <alignment horizontal="center"/>
    </xf>
    <xf numFmtId="0" fontId="98" fillId="0" borderId="10" xfId="9" applyFont="1" applyBorder="1" applyAlignment="1">
      <alignment horizontal="center"/>
    </xf>
    <xf numFmtId="2" fontId="98" fillId="0" borderId="9" xfId="5" applyNumberFormat="1" applyFont="1" applyBorder="1" applyAlignment="1">
      <alignment horizontal="center"/>
    </xf>
    <xf numFmtId="2" fontId="98" fillId="0" borderId="9" xfId="9" applyNumberFormat="1" applyFont="1" applyBorder="1" applyAlignment="1">
      <alignment horizontal="right"/>
    </xf>
    <xf numFmtId="0" fontId="98" fillId="0" borderId="0" xfId="9" applyFont="1" applyAlignment="1">
      <alignment horizontal="center"/>
    </xf>
    <xf numFmtId="167" fontId="98" fillId="0" borderId="0" xfId="9" applyNumberFormat="1" applyFont="1" applyAlignment="1">
      <alignment horizontal="center"/>
    </xf>
    <xf numFmtId="167" fontId="99" fillId="0" borderId="0" xfId="5" applyNumberFormat="1" applyFont="1" applyAlignment="1" applyProtection="1">
      <alignment horizontal="center"/>
      <protection locked="0"/>
    </xf>
    <xf numFmtId="2" fontId="98" fillId="0" borderId="0" xfId="9" applyNumberFormat="1" applyFont="1" applyAlignment="1">
      <alignment horizontal="center"/>
    </xf>
    <xf numFmtId="0" fontId="100" fillId="0" borderId="0" xfId="9" applyFont="1"/>
    <xf numFmtId="0" fontId="38" fillId="0" borderId="0" xfId="9" applyFont="1"/>
    <xf numFmtId="0" fontId="98" fillId="0" borderId="0" xfId="9" applyFont="1"/>
    <xf numFmtId="0" fontId="98" fillId="0" borderId="0" xfId="9" applyFont="1" applyAlignment="1">
      <alignment horizontal="right"/>
    </xf>
    <xf numFmtId="0" fontId="99" fillId="0" borderId="0" xfId="9" applyFont="1" applyAlignment="1" applyProtection="1">
      <alignment horizontal="left"/>
      <protection locked="0"/>
    </xf>
    <xf numFmtId="0" fontId="98" fillId="0" borderId="0" xfId="9" applyFont="1" applyProtection="1">
      <protection locked="0"/>
    </xf>
    <xf numFmtId="0" fontId="98" fillId="0" borderId="0" xfId="9" applyFont="1" applyAlignment="1" applyProtection="1">
      <alignment horizontal="left"/>
      <protection locked="0"/>
    </xf>
    <xf numFmtId="20" fontId="99" fillId="0" borderId="9" xfId="9" applyNumberFormat="1" applyFont="1" applyBorder="1" applyAlignment="1" applyProtection="1">
      <alignment horizontal="center"/>
      <protection locked="0"/>
    </xf>
    <xf numFmtId="0" fontId="98" fillId="0" borderId="9" xfId="9" applyFont="1" applyBorder="1" applyAlignment="1" applyProtection="1">
      <alignment horizontal="center"/>
      <protection locked="0"/>
    </xf>
    <xf numFmtId="167" fontId="98" fillId="0" borderId="9" xfId="9" applyNumberFormat="1" applyFont="1" applyBorder="1" applyAlignment="1">
      <alignment horizontal="center"/>
    </xf>
    <xf numFmtId="170" fontId="98" fillId="0" borderId="9" xfId="9" applyNumberFormat="1" applyFont="1" applyBorder="1" applyAlignment="1">
      <alignment horizontal="center"/>
    </xf>
    <xf numFmtId="169" fontId="98" fillId="0" borderId="9" xfId="9" applyNumberFormat="1" applyFont="1" applyBorder="1" applyAlignment="1">
      <alignment horizontal="center"/>
    </xf>
    <xf numFmtId="2" fontId="98" fillId="0" borderId="12" xfId="9" applyNumberFormat="1" applyFont="1" applyBorder="1" applyAlignment="1">
      <alignment horizontal="center"/>
    </xf>
    <xf numFmtId="20" fontId="99" fillId="0" borderId="9" xfId="9" applyNumberFormat="1" applyFont="1" applyBorder="1" applyAlignment="1">
      <alignment horizontal="center"/>
    </xf>
    <xf numFmtId="0" fontId="98" fillId="0" borderId="0" xfId="9" applyFont="1" applyAlignment="1">
      <alignment horizontal="left"/>
    </xf>
    <xf numFmtId="0" fontId="28" fillId="0" borderId="13" xfId="10" applyFont="1" applyBorder="1" applyAlignment="1" applyProtection="1">
      <alignment horizontal="center" vertical="center" wrapText="1"/>
      <protection locked="0"/>
    </xf>
    <xf numFmtId="0" fontId="28" fillId="0" borderId="13" xfId="10" applyFont="1" applyBorder="1" applyAlignment="1" applyProtection="1">
      <alignment horizontal="center" vertical="center"/>
      <protection locked="0"/>
    </xf>
    <xf numFmtId="0" fontId="28" fillId="0" borderId="24" xfId="10" applyFont="1" applyBorder="1" applyAlignment="1" applyProtection="1">
      <alignment horizontal="center" vertical="center" wrapText="1"/>
      <protection locked="0"/>
    </xf>
    <xf numFmtId="0" fontId="28" fillId="0" borderId="24" xfId="10" applyFont="1" applyBorder="1" applyAlignment="1" applyProtection="1">
      <alignment horizontal="center" vertical="center"/>
      <protection locked="0"/>
    </xf>
    <xf numFmtId="0" fontId="28" fillId="0" borderId="25" xfId="10" applyFont="1" applyBorder="1" applyAlignment="1" applyProtection="1">
      <alignment horizontal="center" vertical="center"/>
      <protection locked="0"/>
    </xf>
    <xf numFmtId="2" fontId="28" fillId="0" borderId="25" xfId="10" applyNumberFormat="1" applyFont="1" applyBorder="1" applyAlignment="1" applyProtection="1">
      <alignment horizontal="center" vertical="center"/>
      <protection locked="0"/>
    </xf>
    <xf numFmtId="2" fontId="28" fillId="0" borderId="25" xfId="10" applyNumberFormat="1" applyFont="1" applyBorder="1" applyAlignment="1">
      <alignment horizontal="center" vertical="center"/>
    </xf>
    <xf numFmtId="0" fontId="28" fillId="0" borderId="26" xfId="10" applyFont="1" applyBorder="1" applyAlignment="1" applyProtection="1">
      <alignment horizontal="center" vertical="center"/>
      <protection locked="0"/>
    </xf>
    <xf numFmtId="2" fontId="28" fillId="0" borderId="26" xfId="10" applyNumberFormat="1" applyFont="1" applyBorder="1" applyAlignment="1" applyProtection="1">
      <alignment horizontal="center" vertical="center"/>
      <protection locked="0"/>
    </xf>
    <xf numFmtId="2" fontId="28" fillId="0" borderId="26" xfId="10" applyNumberFormat="1" applyFont="1" applyBorder="1" applyAlignment="1">
      <alignment horizontal="center" vertical="center"/>
    </xf>
    <xf numFmtId="0" fontId="28" fillId="2" borderId="26" xfId="10" applyFont="1" applyFill="1" applyBorder="1" applyAlignment="1" applyProtection="1">
      <alignment horizontal="center" vertical="center"/>
      <protection locked="0"/>
    </xf>
    <xf numFmtId="2" fontId="28" fillId="2" borderId="26" xfId="10" applyNumberFormat="1" applyFont="1" applyFill="1" applyBorder="1" applyAlignment="1" applyProtection="1">
      <alignment horizontal="center" vertical="center"/>
      <protection locked="0"/>
    </xf>
    <xf numFmtId="2" fontId="28" fillId="2" borderId="26" xfId="10" applyNumberFormat="1" applyFont="1" applyFill="1" applyBorder="1" applyAlignment="1">
      <alignment horizontal="center" vertical="center"/>
    </xf>
    <xf numFmtId="0" fontId="28" fillId="0" borderId="14" xfId="10" applyFont="1" applyBorder="1" applyAlignment="1" applyProtection="1">
      <alignment vertical="center"/>
      <protection locked="0"/>
    </xf>
    <xf numFmtId="0" fontId="28" fillId="0" borderId="17" xfId="10" applyFont="1" applyBorder="1" applyAlignment="1" applyProtection="1">
      <alignment vertical="center"/>
      <protection locked="0"/>
    </xf>
    <xf numFmtId="0" fontId="28" fillId="0" borderId="20" xfId="10" applyFont="1" applyBorder="1" applyAlignment="1" applyProtection="1">
      <alignment vertical="center"/>
      <protection locked="0"/>
    </xf>
    <xf numFmtId="0" fontId="28" fillId="0" borderId="9" xfId="10" applyFont="1" applyBorder="1" applyAlignment="1" applyProtection="1">
      <alignment vertical="center"/>
      <protection locked="0"/>
    </xf>
    <xf numFmtId="2" fontId="28" fillId="0" borderId="9" xfId="10" applyNumberFormat="1" applyFont="1" applyBorder="1" applyAlignment="1">
      <alignment vertical="center"/>
    </xf>
    <xf numFmtId="2" fontId="39" fillId="2" borderId="9" xfId="10" applyNumberFormat="1" applyFont="1" applyFill="1" applyBorder="1" applyAlignment="1" applyProtection="1">
      <alignment vertical="center"/>
      <protection locked="0"/>
    </xf>
    <xf numFmtId="2" fontId="39" fillId="12" borderId="9" xfId="10" applyNumberFormat="1" applyFont="1" applyFill="1" applyBorder="1" applyAlignment="1" applyProtection="1">
      <alignment vertical="center"/>
      <protection locked="0"/>
    </xf>
    <xf numFmtId="2" fontId="39" fillId="0" borderId="9" xfId="10" applyNumberFormat="1" applyFont="1" applyBorder="1" applyAlignment="1">
      <alignment vertical="center"/>
    </xf>
    <xf numFmtId="167" fontId="28" fillId="0" borderId="9" xfId="10" applyNumberFormat="1" applyFont="1" applyBorder="1" applyAlignment="1">
      <alignment vertical="center"/>
    </xf>
    <xf numFmtId="0" fontId="28" fillId="0" borderId="0" xfId="10" applyFont="1" applyAlignment="1" applyProtection="1">
      <alignment horizontal="center" vertical="center"/>
      <protection locked="0"/>
    </xf>
    <xf numFmtId="0" fontId="28" fillId="0" borderId="0" xfId="10" applyFont="1" applyAlignment="1" applyProtection="1">
      <alignment vertical="center" wrapText="1"/>
      <protection locked="0"/>
    </xf>
    <xf numFmtId="0" fontId="28" fillId="0" borderId="0" xfId="10" applyFont="1" applyAlignment="1" applyProtection="1">
      <alignment vertical="center"/>
      <protection locked="0"/>
    </xf>
    <xf numFmtId="0" fontId="28" fillId="0" borderId="9" xfId="10" applyFont="1" applyBorder="1" applyAlignment="1" applyProtection="1">
      <alignment vertical="center" wrapText="1"/>
      <protection locked="0"/>
    </xf>
    <xf numFmtId="167" fontId="39" fillId="0" borderId="9" xfId="10" applyNumberFormat="1" applyFont="1" applyBorder="1" applyAlignment="1">
      <alignment vertical="center"/>
    </xf>
    <xf numFmtId="2" fontId="39" fillId="0" borderId="0" xfId="10" applyNumberFormat="1" applyFont="1" applyAlignment="1" applyProtection="1">
      <alignment vertical="center"/>
      <protection locked="0"/>
    </xf>
    <xf numFmtId="170" fontId="39" fillId="0" borderId="0" xfId="10" applyNumberFormat="1" applyFont="1" applyAlignment="1">
      <alignment vertical="center"/>
    </xf>
    <xf numFmtId="2" fontId="39" fillId="0" borderId="0" xfId="10" applyNumberFormat="1" applyFont="1" applyAlignment="1">
      <alignment vertical="center"/>
    </xf>
    <xf numFmtId="167" fontId="102" fillId="0" borderId="0" xfId="10" applyNumberFormat="1" applyFont="1" applyAlignment="1" applyProtection="1">
      <alignment vertical="center"/>
      <protection locked="0"/>
    </xf>
    <xf numFmtId="2" fontId="28" fillId="0" borderId="0" xfId="10" applyNumberFormat="1" applyFont="1" applyAlignment="1" applyProtection="1">
      <alignment vertical="center"/>
      <protection locked="0"/>
    </xf>
    <xf numFmtId="170" fontId="102" fillId="0" borderId="0" xfId="10" applyNumberFormat="1" applyFont="1" applyAlignment="1" applyProtection="1">
      <alignment vertical="center"/>
      <protection locked="0"/>
    </xf>
    <xf numFmtId="2" fontId="28" fillId="0" borderId="0" xfId="10" applyNumberFormat="1" applyFont="1" applyAlignment="1">
      <alignment vertical="center"/>
    </xf>
    <xf numFmtId="0" fontId="28" fillId="0" borderId="24" xfId="10" applyFont="1" applyBorder="1" applyAlignment="1" applyProtection="1">
      <alignment vertical="center"/>
      <protection locked="0"/>
    </xf>
    <xf numFmtId="0" fontId="28" fillId="0" borderId="23" xfId="10" applyFont="1" applyBorder="1" applyAlignment="1" applyProtection="1">
      <alignment horizontal="center" vertical="center" wrapText="1"/>
      <protection locked="0"/>
    </xf>
    <xf numFmtId="170" fontId="39" fillId="2" borderId="9" xfId="10" applyNumberFormat="1" applyFont="1" applyFill="1" applyBorder="1" applyAlignment="1" applyProtection="1">
      <alignment vertical="center"/>
      <protection locked="0"/>
    </xf>
    <xf numFmtId="2" fontId="39" fillId="13" borderId="9" xfId="10" applyNumberFormat="1" applyFont="1" applyFill="1" applyBorder="1" applyAlignment="1" applyProtection="1">
      <alignment vertical="center"/>
      <protection locked="0"/>
    </xf>
    <xf numFmtId="2" fontId="28" fillId="13" borderId="9" xfId="10" applyNumberFormat="1" applyFont="1" applyFill="1" applyBorder="1" applyAlignment="1">
      <alignment vertical="center"/>
    </xf>
    <xf numFmtId="0" fontId="0" fillId="13" borderId="0" xfId="0" applyFill="1"/>
    <xf numFmtId="0" fontId="0" fillId="4" borderId="0" xfId="0" applyFill="1"/>
    <xf numFmtId="2" fontId="28" fillId="0" borderId="0" xfId="10" applyNumberFormat="1" applyFont="1" applyAlignment="1">
      <alignment horizontal="center" vertical="center"/>
    </xf>
    <xf numFmtId="2" fontId="103" fillId="0" borderId="0" xfId="0" applyNumberFormat="1" applyFont="1"/>
    <xf numFmtId="11" fontId="0" fillId="0" borderId="0" xfId="0" applyNumberFormat="1"/>
    <xf numFmtId="167" fontId="0" fillId="4" borderId="0" xfId="0" applyNumberFormat="1" applyFill="1"/>
    <xf numFmtId="11" fontId="0" fillId="4" borderId="0" xfId="0" applyNumberFormat="1" applyFill="1"/>
    <xf numFmtId="172" fontId="0" fillId="4" borderId="0" xfId="0" applyNumberFormat="1" applyFill="1"/>
    <xf numFmtId="170" fontId="102" fillId="2" borderId="0" xfId="10" applyNumberFormat="1" applyFont="1" applyFill="1" applyAlignment="1" applyProtection="1">
      <alignment vertical="center"/>
      <protection locked="0"/>
    </xf>
    <xf numFmtId="2" fontId="102" fillId="2" borderId="0" xfId="10" applyNumberFormat="1" applyFont="1" applyFill="1" applyAlignment="1" applyProtection="1">
      <alignment vertical="center"/>
      <protection locked="0"/>
    </xf>
    <xf numFmtId="167" fontId="102" fillId="2" borderId="0" xfId="10" applyNumberFormat="1" applyFont="1" applyFill="1" applyAlignment="1" applyProtection="1">
      <alignment vertical="center"/>
      <protection locked="0"/>
    </xf>
    <xf numFmtId="0" fontId="28" fillId="0" borderId="9" xfId="10" applyFont="1" applyBorder="1" applyAlignment="1">
      <alignment horizontal="center"/>
    </xf>
    <xf numFmtId="167" fontId="28" fillId="0" borderId="9" xfId="10" applyNumberFormat="1" applyFont="1" applyBorder="1" applyAlignment="1">
      <alignment horizontal="center" vertical="center"/>
    </xf>
    <xf numFmtId="167" fontId="84" fillId="0" borderId="9" xfId="10" applyNumberFormat="1" applyFont="1" applyBorder="1" applyAlignment="1">
      <alignment horizontal="center" vertical="center"/>
    </xf>
    <xf numFmtId="0" fontId="28" fillId="0" borderId="9" xfId="10" applyFont="1" applyBorder="1"/>
    <xf numFmtId="167" fontId="28" fillId="0" borderId="10" xfId="10" applyNumberFormat="1" applyFont="1" applyBorder="1" applyAlignment="1">
      <alignment vertical="center"/>
    </xf>
    <xf numFmtId="167" fontId="28" fillId="0" borderId="0" xfId="10" applyNumberFormat="1" applyFont="1" applyAlignment="1">
      <alignment vertical="center"/>
    </xf>
    <xf numFmtId="0" fontId="28" fillId="0" borderId="41" xfId="10" applyFont="1" applyBorder="1" applyAlignment="1" applyProtection="1">
      <alignment horizontal="center" vertical="center"/>
      <protection locked="0"/>
    </xf>
    <xf numFmtId="2" fontId="28" fillId="0" borderId="41" xfId="10" applyNumberFormat="1" applyFont="1" applyBorder="1" applyAlignment="1" applyProtection="1">
      <alignment horizontal="center" vertical="center"/>
      <protection locked="0"/>
    </xf>
    <xf numFmtId="2" fontId="28" fillId="0" borderId="41" xfId="10" applyNumberFormat="1" applyFont="1" applyBorder="1" applyAlignment="1">
      <alignment horizontal="center" vertical="center"/>
    </xf>
    <xf numFmtId="2" fontId="28" fillId="0" borderId="0" xfId="10" applyNumberFormat="1" applyFont="1" applyAlignment="1" applyProtection="1">
      <alignment horizontal="center" vertical="center"/>
      <protection locked="0"/>
    </xf>
    <xf numFmtId="169" fontId="0" fillId="0" borderId="0" xfId="0" applyNumberFormat="1"/>
    <xf numFmtId="167" fontId="0" fillId="0" borderId="0" xfId="0" applyNumberFormat="1" applyAlignment="1">
      <alignment horizontal="right"/>
    </xf>
    <xf numFmtId="0" fontId="107" fillId="0" borderId="0" xfId="0" applyFont="1"/>
    <xf numFmtId="3" fontId="106" fillId="0" borderId="0" xfId="0" applyNumberFormat="1" applyFont="1"/>
    <xf numFmtId="0" fontId="106" fillId="0" borderId="0" xfId="0" applyFont="1"/>
    <xf numFmtId="174" fontId="106" fillId="0" borderId="0" xfId="0" applyNumberFormat="1" applyFont="1"/>
    <xf numFmtId="173" fontId="106" fillId="0" borderId="0" xfId="0" applyNumberFormat="1" applyFont="1"/>
    <xf numFmtId="2" fontId="98" fillId="0" borderId="0" xfId="9" applyNumberFormat="1" applyFont="1" applyAlignment="1" applyProtection="1">
      <alignment horizontal="left"/>
      <protection locked="0"/>
    </xf>
    <xf numFmtId="173" fontId="98" fillId="0" borderId="0" xfId="9" applyNumberFormat="1" applyFont="1" applyAlignment="1">
      <alignment horizontal="left"/>
    </xf>
    <xf numFmtId="167" fontId="101" fillId="10" borderId="0" xfId="9" applyNumberFormat="1" applyFont="1" applyFill="1" applyAlignment="1" applyProtection="1">
      <alignment horizontal="center"/>
      <protection locked="0"/>
    </xf>
    <xf numFmtId="170" fontId="99" fillId="2" borderId="9" xfId="5" applyNumberFormat="1" applyFont="1" applyFill="1" applyBorder="1" applyAlignment="1" applyProtection="1">
      <alignment horizontal="center"/>
      <protection locked="0"/>
    </xf>
    <xf numFmtId="0" fontId="98" fillId="0" borderId="50" xfId="9" applyFont="1" applyBorder="1" applyAlignment="1">
      <alignment horizontal="center" wrapText="1"/>
    </xf>
    <xf numFmtId="0" fontId="8" fillId="0" borderId="0" xfId="0" applyFont="1"/>
    <xf numFmtId="167" fontId="28" fillId="2" borderId="9" xfId="0" applyNumberFormat="1" applyFont="1" applyFill="1" applyBorder="1" applyAlignment="1">
      <alignment vertical="center"/>
    </xf>
    <xf numFmtId="167" fontId="28" fillId="2" borderId="10" xfId="0" applyNumberFormat="1" applyFont="1" applyFill="1" applyBorder="1" applyAlignment="1">
      <alignment vertical="center"/>
    </xf>
    <xf numFmtId="1" fontId="28" fillId="2" borderId="9" xfId="0" applyNumberFormat="1" applyFont="1" applyFill="1" applyBorder="1" applyAlignment="1">
      <alignment vertical="center"/>
    </xf>
    <xf numFmtId="1" fontId="28" fillId="2" borderId="10" xfId="0" applyNumberFormat="1" applyFont="1" applyFill="1" applyBorder="1" applyAlignment="1">
      <alignment vertical="center"/>
    </xf>
    <xf numFmtId="167" fontId="28" fillId="2" borderId="9" xfId="0" quotePrefix="1" applyNumberFormat="1" applyFont="1" applyFill="1" applyBorder="1" applyAlignment="1">
      <alignment vertical="center"/>
    </xf>
    <xf numFmtId="0" fontId="39" fillId="0" borderId="11" xfId="0" applyFont="1" applyBorder="1" applyAlignment="1">
      <alignment vertical="center"/>
    </xf>
    <xf numFmtId="167" fontId="14" fillId="0" borderId="9" xfId="0" applyNumberFormat="1" applyFont="1" applyBorder="1"/>
    <xf numFmtId="0" fontId="78" fillId="0" borderId="0" xfId="0" applyFont="1" applyAlignment="1">
      <alignment vertical="center"/>
    </xf>
    <xf numFmtId="0" fontId="78" fillId="0" borderId="0" xfId="0" applyFont="1"/>
    <xf numFmtId="0" fontId="8" fillId="9" borderId="0" xfId="0" applyFont="1" applyFill="1" applyAlignment="1">
      <alignment vertical="center"/>
    </xf>
    <xf numFmtId="0" fontId="4" fillId="0" borderId="0" xfId="0" applyFont="1" applyAlignment="1">
      <alignment horizontal="center"/>
    </xf>
    <xf numFmtId="167" fontId="98" fillId="2" borderId="0" xfId="9" applyNumberFormat="1" applyFont="1" applyFill="1" applyAlignment="1">
      <alignment horizontal="center"/>
    </xf>
    <xf numFmtId="167" fontId="99" fillId="2" borderId="24" xfId="5" applyNumberFormat="1" applyFont="1" applyFill="1" applyBorder="1" applyAlignment="1" applyProtection="1">
      <alignment horizontal="center"/>
      <protection locked="0"/>
    </xf>
    <xf numFmtId="169" fontId="0" fillId="0" borderId="0" xfId="0" applyNumberFormat="1" applyAlignment="1">
      <alignment horizontal="right"/>
    </xf>
    <xf numFmtId="2" fontId="0" fillId="0" borderId="54" xfId="0" applyNumberFormat="1" applyBorder="1"/>
    <xf numFmtId="167" fontId="0" fillId="14" borderId="0" xfId="0" applyNumberFormat="1" applyFill="1" applyAlignment="1">
      <alignment horizontal="left"/>
    </xf>
    <xf numFmtId="167" fontId="98" fillId="14" borderId="0" xfId="9" applyNumberFormat="1" applyFont="1" applyFill="1" applyAlignment="1" applyProtection="1">
      <alignment horizontal="left"/>
      <protection locked="0"/>
    </xf>
    <xf numFmtId="0" fontId="112" fillId="0" borderId="0" xfId="0" applyFont="1"/>
    <xf numFmtId="0" fontId="70" fillId="0" borderId="0" xfId="0" applyFont="1" applyAlignment="1">
      <alignment vertical="top"/>
    </xf>
    <xf numFmtId="169" fontId="86" fillId="0" borderId="0" xfId="0" applyNumberFormat="1" applyFont="1"/>
    <xf numFmtId="0" fontId="28" fillId="2" borderId="0" xfId="0" applyFont="1" applyFill="1" applyAlignment="1">
      <alignment horizontal="center" vertical="center"/>
    </xf>
    <xf numFmtId="0" fontId="87" fillId="0" borderId="9" xfId="0" applyFont="1" applyBorder="1" applyAlignment="1">
      <alignment horizontal="center" vertical="center"/>
    </xf>
    <xf numFmtId="175" fontId="28" fillId="0" borderId="9" xfId="0" applyNumberFormat="1" applyFont="1" applyBorder="1" applyAlignment="1">
      <alignment horizontal="center" vertical="center"/>
    </xf>
    <xf numFmtId="0" fontId="27" fillId="0" borderId="10" xfId="0" applyFont="1" applyBorder="1" applyAlignment="1">
      <alignment vertical="center"/>
    </xf>
    <xf numFmtId="0" fontId="27" fillId="0" borderId="12" xfId="0" applyFont="1" applyBorder="1" applyAlignment="1">
      <alignment vertical="center"/>
    </xf>
    <xf numFmtId="0" fontId="29" fillId="0" borderId="10" xfId="0" applyFont="1" applyBorder="1" applyAlignment="1">
      <alignment vertical="center"/>
    </xf>
    <xf numFmtId="0" fontId="29" fillId="0" borderId="12" xfId="0" applyFont="1" applyBorder="1" applyAlignment="1">
      <alignment vertical="center"/>
    </xf>
    <xf numFmtId="0" fontId="30" fillId="0" borderId="10" xfId="0" applyFont="1" applyBorder="1" applyAlignment="1">
      <alignment vertical="center"/>
    </xf>
    <xf numFmtId="0" fontId="30" fillId="0" borderId="12" xfId="0" applyFont="1" applyBorder="1" applyAlignment="1">
      <alignment vertical="center"/>
    </xf>
    <xf numFmtId="2" fontId="28" fillId="0" borderId="0" xfId="0" applyNumberFormat="1" applyFont="1" applyAlignment="1">
      <alignment horizontal="center" vertical="center"/>
    </xf>
    <xf numFmtId="0" fontId="28" fillId="0" borderId="13" xfId="0" applyFont="1" applyBorder="1" applyAlignment="1">
      <alignment horizontal="center" vertical="center"/>
    </xf>
    <xf numFmtId="0" fontId="28" fillId="0" borderId="13" xfId="0" applyFont="1" applyBorder="1" applyAlignment="1">
      <alignment horizontal="center" vertical="center" wrapText="1"/>
    </xf>
    <xf numFmtId="173" fontId="86" fillId="0" borderId="9" xfId="0" applyNumberFormat="1" applyFont="1" applyBorder="1"/>
    <xf numFmtId="2" fontId="86" fillId="0" borderId="0" xfId="0" applyNumberFormat="1" applyFont="1" applyAlignment="1">
      <alignment horizontal="center"/>
    </xf>
    <xf numFmtId="0" fontId="113" fillId="0" borderId="0" xfId="0" applyFont="1"/>
    <xf numFmtId="0" fontId="27" fillId="0" borderId="0" xfId="0" applyFont="1" applyAlignment="1">
      <alignment horizontal="center" vertical="center"/>
    </xf>
    <xf numFmtId="175" fontId="28" fillId="0" borderId="0" xfId="0" applyNumberFormat="1"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115" fillId="0" borderId="0" xfId="0" applyFont="1"/>
    <xf numFmtId="0" fontId="91" fillId="0" borderId="0" xfId="0" applyFont="1" applyAlignment="1">
      <alignment horizontal="center" vertical="center"/>
    </xf>
    <xf numFmtId="0" fontId="91" fillId="0" borderId="0" xfId="0" applyFont="1"/>
    <xf numFmtId="169" fontId="114" fillId="0" borderId="0" xfId="0" applyNumberFormat="1" applyFont="1"/>
    <xf numFmtId="1" fontId="86" fillId="0" borderId="0" xfId="0" applyNumberFormat="1" applyFont="1"/>
    <xf numFmtId="0" fontId="4" fillId="0" borderId="0" xfId="0" applyFont="1" applyAlignment="1">
      <alignment vertical="center"/>
    </xf>
    <xf numFmtId="176" fontId="4" fillId="0" borderId="0" xfId="0" applyNumberFormat="1" applyFont="1"/>
    <xf numFmtId="0" fontId="4" fillId="16" borderId="0" xfId="0" applyFont="1" applyFill="1"/>
    <xf numFmtId="0" fontId="70" fillId="16" borderId="0" xfId="0" applyFont="1" applyFill="1" applyAlignment="1">
      <alignment vertical="center"/>
    </xf>
    <xf numFmtId="2" fontId="4" fillId="2" borderId="0" xfId="0" applyNumberFormat="1" applyFont="1" applyFill="1"/>
    <xf numFmtId="167" fontId="4" fillId="0" borderId="0" xfId="0" applyNumberFormat="1" applyFont="1" applyAlignment="1">
      <alignment horizontal="center" vertical="center"/>
    </xf>
    <xf numFmtId="2" fontId="4" fillId="0" borderId="0" xfId="0" applyNumberFormat="1" applyFont="1" applyAlignment="1">
      <alignment horizontal="right"/>
    </xf>
    <xf numFmtId="0" fontId="4" fillId="7" borderId="0" xfId="0" applyFont="1" applyFill="1" applyAlignment="1">
      <alignment horizontal="center"/>
    </xf>
    <xf numFmtId="0" fontId="4" fillId="7" borderId="0" xfId="0" applyFont="1" applyFill="1"/>
    <xf numFmtId="0" fontId="4" fillId="15" borderId="0" xfId="0" applyFont="1" applyFill="1" applyAlignment="1">
      <alignment horizontal="center"/>
    </xf>
    <xf numFmtId="0" fontId="4" fillId="17" borderId="0" xfId="0" applyFont="1" applyFill="1" applyAlignment="1">
      <alignment horizontal="center"/>
    </xf>
    <xf numFmtId="0" fontId="13" fillId="15" borderId="0" xfId="0" applyFont="1" applyFill="1"/>
    <xf numFmtId="0" fontId="10" fillId="2" borderId="0" xfId="0" applyFont="1" applyFill="1"/>
    <xf numFmtId="2" fontId="10" fillId="0" borderId="0" xfId="0" applyNumberFormat="1" applyFont="1"/>
    <xf numFmtId="0" fontId="112" fillId="0" borderId="0" xfId="0" applyFont="1" applyAlignment="1">
      <alignment horizontal="center" textRotation="90"/>
    </xf>
    <xf numFmtId="0" fontId="112" fillId="0" borderId="0" xfId="0" applyFont="1" applyAlignment="1">
      <alignment vertical="center"/>
    </xf>
    <xf numFmtId="0" fontId="3" fillId="0" borderId="0" xfId="0" applyFont="1" applyAlignment="1">
      <alignment vertical="center"/>
    </xf>
    <xf numFmtId="2" fontId="86" fillId="0" borderId="0" xfId="0" applyNumberFormat="1" applyFont="1"/>
    <xf numFmtId="0" fontId="91" fillId="2" borderId="0" xfId="0" applyFont="1" applyFill="1"/>
    <xf numFmtId="0" fontId="113" fillId="8" borderId="0" xfId="0" applyFont="1" applyFill="1" applyAlignment="1">
      <alignment horizontal="left" vertical="center"/>
    </xf>
    <xf numFmtId="0" fontId="113" fillId="8" borderId="0" xfId="0" applyFont="1" applyFill="1" applyAlignment="1">
      <alignment horizontal="center" vertical="center"/>
    </xf>
    <xf numFmtId="0" fontId="113" fillId="8" borderId="0" xfId="0" applyFont="1" applyFill="1"/>
    <xf numFmtId="0" fontId="86" fillId="0" borderId="0" xfId="0" applyFont="1" applyAlignment="1">
      <alignment horizontal="right" vertical="center"/>
    </xf>
    <xf numFmtId="0" fontId="91" fillId="0" borderId="0" xfId="0" applyFont="1" applyAlignment="1">
      <alignment horizontal="left" vertical="center"/>
    </xf>
    <xf numFmtId="169" fontId="91" fillId="0" borderId="0" xfId="0" applyNumberFormat="1" applyFont="1"/>
    <xf numFmtId="0" fontId="86" fillId="0" borderId="0" xfId="0" applyFont="1" applyAlignment="1">
      <alignment horizontal="center"/>
    </xf>
    <xf numFmtId="0" fontId="90" fillId="0" borderId="0" xfId="7" applyFont="1" applyAlignment="1">
      <alignment horizontal="center"/>
    </xf>
    <xf numFmtId="0" fontId="91" fillId="0" borderId="0" xfId="0" applyFont="1" applyAlignment="1">
      <alignment horizontal="center"/>
    </xf>
    <xf numFmtId="0" fontId="118" fillId="0" borderId="0" xfId="0" applyFont="1" applyAlignment="1">
      <alignment horizontal="left" vertical="center"/>
    </xf>
    <xf numFmtId="167" fontId="86" fillId="0" borderId="9" xfId="0" applyNumberFormat="1" applyFont="1" applyBorder="1" applyAlignment="1">
      <alignment horizontal="center" vertical="center"/>
    </xf>
    <xf numFmtId="169" fontId="86" fillId="0" borderId="9" xfId="0" applyNumberFormat="1" applyFont="1" applyBorder="1"/>
    <xf numFmtId="2" fontId="28" fillId="0" borderId="9" xfId="0" applyNumberFormat="1" applyFont="1" applyBorder="1" applyAlignment="1">
      <alignment horizontal="right" vertical="center"/>
    </xf>
    <xf numFmtId="2" fontId="86" fillId="0" borderId="0" xfId="0" applyNumberFormat="1" applyFont="1" applyAlignment="1">
      <alignment horizontal="right"/>
    </xf>
    <xf numFmtId="0" fontId="28" fillId="0" borderId="9" xfId="0" applyFont="1" applyBorder="1" applyAlignment="1">
      <alignment horizontal="right" vertical="center"/>
    </xf>
    <xf numFmtId="167" fontId="90" fillId="0" borderId="0" xfId="7" applyNumberFormat="1" applyFont="1" applyAlignment="1">
      <alignment horizontal="left"/>
    </xf>
    <xf numFmtId="169" fontId="90" fillId="0" borderId="0" xfId="7" applyNumberFormat="1" applyFont="1" applyAlignment="1">
      <alignment horizontal="left"/>
    </xf>
    <xf numFmtId="0" fontId="28" fillId="2" borderId="9" xfId="0" applyFont="1" applyFill="1" applyBorder="1" applyAlignment="1">
      <alignment horizontal="right" vertical="center"/>
    </xf>
    <xf numFmtId="167" fontId="38" fillId="0" borderId="0" xfId="7" applyNumberFormat="1" applyFont="1" applyAlignment="1">
      <alignment horizontal="center" vertical="center"/>
    </xf>
    <xf numFmtId="167" fontId="16" fillId="0" borderId="1" xfId="0" applyNumberFormat="1" applyFont="1" applyBorder="1" applyAlignment="1">
      <alignment horizontal="center" vertical="center"/>
    </xf>
    <xf numFmtId="0" fontId="86" fillId="4" borderId="0" xfId="0" applyFont="1" applyFill="1"/>
    <xf numFmtId="0" fontId="116" fillId="0" borderId="0" xfId="0" applyFont="1" applyAlignment="1">
      <alignment horizontal="center" vertical="center"/>
    </xf>
    <xf numFmtId="0" fontId="13" fillId="0" borderId="56" xfId="0" applyFont="1" applyBorder="1" applyAlignment="1" applyProtection="1">
      <alignment horizontal="center"/>
      <protection locked="0"/>
    </xf>
    <xf numFmtId="2" fontId="13" fillId="0" borderId="56" xfId="0" applyNumberFormat="1" applyFont="1" applyBorder="1" applyAlignment="1">
      <alignment horizontal="right" vertical="center"/>
    </xf>
    <xf numFmtId="2" fontId="13" fillId="0" borderId="57" xfId="0" applyNumberFormat="1" applyFont="1" applyBorder="1" applyAlignment="1">
      <alignment horizontal="right"/>
    </xf>
    <xf numFmtId="0" fontId="13" fillId="0" borderId="57" xfId="0" applyFont="1" applyBorder="1"/>
    <xf numFmtId="170" fontId="13" fillId="0" borderId="56" xfId="0" applyNumberFormat="1" applyFont="1" applyBorder="1" applyAlignment="1" applyProtection="1">
      <alignment horizontal="right" vertical="center"/>
      <protection locked="0"/>
    </xf>
    <xf numFmtId="170" fontId="13" fillId="0" borderId="18" xfId="0" applyNumberFormat="1" applyFont="1" applyBorder="1" applyAlignment="1">
      <alignment horizontal="right"/>
    </xf>
    <xf numFmtId="170" fontId="13" fillId="0" borderId="56" xfId="0" applyNumberFormat="1" applyFont="1" applyBorder="1" applyAlignment="1">
      <alignment horizontal="right" vertical="center"/>
    </xf>
    <xf numFmtId="2" fontId="13" fillId="0" borderId="57" xfId="0" applyNumberFormat="1" applyFont="1" applyBorder="1" applyAlignment="1" applyProtection="1">
      <alignment horizontal="right"/>
      <protection locked="0"/>
    </xf>
    <xf numFmtId="2" fontId="13" fillId="0" borderId="57" xfId="0" applyNumberFormat="1" applyFont="1" applyBorder="1" applyProtection="1">
      <protection locked="0"/>
    </xf>
    <xf numFmtId="0" fontId="13" fillId="0" borderId="10" xfId="0" applyFont="1" applyBorder="1"/>
    <xf numFmtId="0" fontId="13" fillId="0" borderId="60" xfId="0" applyFont="1" applyBorder="1" applyAlignment="1">
      <alignment horizontal="centerContinuous"/>
    </xf>
    <xf numFmtId="0" fontId="63" fillId="0" borderId="63" xfId="0" applyFont="1" applyBorder="1" applyAlignment="1">
      <alignment horizontal="center"/>
    </xf>
    <xf numFmtId="0" fontId="13" fillId="0" borderId="63" xfId="0" applyFont="1" applyBorder="1" applyAlignment="1">
      <alignment horizontal="center"/>
    </xf>
    <xf numFmtId="0" fontId="13" fillId="0" borderId="65" xfId="0" applyFont="1" applyBorder="1" applyAlignment="1">
      <alignment horizontal="center"/>
    </xf>
    <xf numFmtId="0" fontId="25" fillId="0" borderId="56" xfId="0" applyFont="1" applyBorder="1" applyAlignment="1" applyProtection="1">
      <alignment horizontal="center"/>
      <protection locked="0"/>
    </xf>
    <xf numFmtId="2" fontId="13" fillId="0" borderId="56" xfId="0" applyNumberFormat="1" applyFont="1" applyBorder="1" applyAlignment="1">
      <alignment horizontal="center"/>
    </xf>
    <xf numFmtId="170" fontId="25" fillId="0" borderId="56" xfId="0" applyNumberFormat="1" applyFont="1" applyBorder="1" applyAlignment="1" applyProtection="1">
      <alignment horizontal="center"/>
      <protection locked="0"/>
    </xf>
    <xf numFmtId="2" fontId="13" fillId="0" borderId="56" xfId="0" applyNumberFormat="1" applyFont="1" applyBorder="1" applyAlignment="1" applyProtection="1">
      <alignment horizontal="center"/>
      <protection locked="0"/>
    </xf>
    <xf numFmtId="2" fontId="13" fillId="0" borderId="56" xfId="0" applyNumberFormat="1" applyFont="1" applyBorder="1" applyAlignment="1">
      <alignment horizontal="left"/>
    </xf>
    <xf numFmtId="170" fontId="13" fillId="0" borderId="0" xfId="0" applyNumberFormat="1" applyFont="1" applyAlignment="1">
      <alignment horizontal="right"/>
    </xf>
    <xf numFmtId="2" fontId="13" fillId="0" borderId="0" xfId="0" applyNumberFormat="1" applyFont="1" applyAlignment="1">
      <alignment horizontal="right" vertical="center"/>
    </xf>
    <xf numFmtId="0" fontId="0" fillId="0" borderId="0" xfId="0" applyAlignment="1">
      <alignment horizontal="left" vertical="center"/>
    </xf>
    <xf numFmtId="0" fontId="13" fillId="0" borderId="65" xfId="0" applyFont="1" applyBorder="1" applyAlignment="1">
      <alignment horizontal="center" vertical="justify"/>
    </xf>
    <xf numFmtId="167" fontId="13" fillId="0" borderId="18" xfId="0" applyNumberFormat="1" applyFont="1" applyBorder="1" applyAlignment="1">
      <alignment horizontal="right"/>
    </xf>
    <xf numFmtId="167" fontId="39" fillId="2" borderId="57" xfId="13" applyNumberFormat="1" applyFont="1" applyFill="1" applyBorder="1" applyAlignment="1" applyProtection="1">
      <alignment horizontal="center" vertical="center"/>
      <protection locked="0"/>
    </xf>
    <xf numFmtId="167" fontId="39" fillId="0" borderId="57" xfId="13" applyNumberFormat="1" applyFont="1" applyBorder="1" applyAlignment="1">
      <alignment horizontal="center" vertical="center"/>
    </xf>
    <xf numFmtId="2" fontId="39" fillId="0" borderId="57" xfId="13" applyNumberFormat="1" applyFont="1" applyBorder="1" applyAlignment="1">
      <alignment horizontal="right" vertical="center"/>
    </xf>
    <xf numFmtId="0" fontId="39" fillId="0" borderId="57" xfId="13" applyFont="1" applyBorder="1" applyAlignment="1">
      <alignment vertical="center"/>
    </xf>
    <xf numFmtId="167" fontId="39" fillId="0" borderId="57" xfId="13" applyNumberFormat="1" applyFont="1" applyBorder="1" applyAlignment="1">
      <alignment horizontal="right" vertical="center"/>
    </xf>
    <xf numFmtId="2" fontId="39" fillId="0" borderId="57" xfId="13" applyNumberFormat="1" applyFont="1" applyBorder="1" applyAlignment="1" applyProtection="1">
      <alignment horizontal="right" vertical="center"/>
      <protection locked="0"/>
    </xf>
    <xf numFmtId="2" fontId="39" fillId="0" borderId="57" xfId="13" applyNumberFormat="1" applyFont="1" applyBorder="1" applyAlignment="1" applyProtection="1">
      <alignment vertical="center"/>
      <protection locked="0"/>
    </xf>
    <xf numFmtId="2" fontId="39" fillId="0" borderId="57" xfId="13" applyNumberFormat="1" applyFont="1" applyBorder="1" applyAlignment="1">
      <alignment vertical="center"/>
    </xf>
    <xf numFmtId="0" fontId="13" fillId="0" borderId="18" xfId="0" applyFont="1" applyBorder="1" applyAlignment="1">
      <alignment horizontal="right" vertical="justify"/>
    </xf>
    <xf numFmtId="0" fontId="67" fillId="0" borderId="0" xfId="0" applyFont="1"/>
    <xf numFmtId="164" fontId="112" fillId="0" borderId="0" xfId="0" applyNumberFormat="1" applyFont="1"/>
    <xf numFmtId="0" fontId="0" fillId="0" borderId="67" xfId="0" applyBorder="1" applyAlignment="1">
      <alignment vertical="top"/>
    </xf>
    <xf numFmtId="0" fontId="0" fillId="0" borderId="67" xfId="0" applyBorder="1" applyAlignment="1">
      <alignment horizontal="left" vertical="top"/>
    </xf>
    <xf numFmtId="0" fontId="0" fillId="0" borderId="43" xfId="0" applyBorder="1" applyAlignment="1">
      <alignment horizontal="left"/>
    </xf>
    <xf numFmtId="0" fontId="121" fillId="0" borderId="0" xfId="0" applyFont="1" applyAlignment="1">
      <alignment vertical="center"/>
    </xf>
    <xf numFmtId="0" fontId="4" fillId="0" borderId="0" xfId="0" applyFont="1" applyAlignment="1">
      <alignment horizontal="left" vertical="center"/>
    </xf>
    <xf numFmtId="0" fontId="71" fillId="0" borderId="0" xfId="0" applyFont="1" applyAlignment="1">
      <alignment horizontal="center" vertical="center"/>
    </xf>
    <xf numFmtId="0" fontId="122" fillId="0" borderId="0" xfId="0" applyFont="1" applyAlignment="1">
      <alignment horizontal="center" vertical="center"/>
    </xf>
    <xf numFmtId="0" fontId="122" fillId="0" borderId="0" xfId="0" applyFont="1" applyAlignment="1">
      <alignment vertical="center"/>
    </xf>
    <xf numFmtId="0" fontId="70" fillId="0" borderId="46" xfId="0" applyFont="1" applyBorder="1" applyAlignment="1">
      <alignment vertical="top"/>
    </xf>
    <xf numFmtId="0" fontId="123" fillId="0" borderId="0" xfId="0" applyFont="1"/>
    <xf numFmtId="0" fontId="116" fillId="0" borderId="48" xfId="0" applyFont="1" applyBorder="1" applyAlignment="1">
      <alignment horizontal="center" vertical="center"/>
    </xf>
    <xf numFmtId="0" fontId="116" fillId="0" borderId="0" xfId="0" applyFont="1" applyAlignment="1">
      <alignment vertical="center"/>
    </xf>
    <xf numFmtId="0" fontId="124" fillId="0" borderId="48" xfId="0" applyFont="1" applyBorder="1" applyAlignment="1">
      <alignment horizontal="left" vertical="center"/>
    </xf>
    <xf numFmtId="0" fontId="123" fillId="0" borderId="0" xfId="0" applyFont="1" applyAlignment="1">
      <alignment vertical="center"/>
    </xf>
    <xf numFmtId="0" fontId="67" fillId="0" borderId="68" xfId="0" applyFont="1" applyBorder="1"/>
    <xf numFmtId="0" fontId="67" fillId="0" borderId="68" xfId="0" applyFont="1" applyBorder="1" applyAlignment="1">
      <alignment vertical="center"/>
    </xf>
    <xf numFmtId="0" fontId="8" fillId="0" borderId="68" xfId="0" applyFont="1" applyBorder="1"/>
    <xf numFmtId="0" fontId="0" fillId="0" borderId="0" xfId="0" quotePrefix="1"/>
    <xf numFmtId="2" fontId="125" fillId="0" borderId="0" xfId="0" applyNumberFormat="1" applyFont="1"/>
    <xf numFmtId="16" fontId="4" fillId="0" borderId="0" xfId="0" applyNumberFormat="1" applyFont="1"/>
    <xf numFmtId="0" fontId="10" fillId="0" borderId="0" xfId="0" applyFont="1" applyAlignment="1">
      <alignment vertical="top"/>
    </xf>
    <xf numFmtId="0" fontId="4" fillId="9" borderId="0" xfId="0" applyFont="1" applyFill="1" applyAlignment="1">
      <alignment vertical="center"/>
    </xf>
    <xf numFmtId="0" fontId="4" fillId="9" borderId="0" xfId="0" applyFont="1" applyFill="1" applyAlignment="1">
      <alignment horizontal="left" vertical="center"/>
    </xf>
    <xf numFmtId="2" fontId="4" fillId="0" borderId="0" xfId="0" applyNumberFormat="1" applyFont="1" applyAlignment="1">
      <alignment horizontal="center"/>
    </xf>
    <xf numFmtId="0" fontId="4" fillId="0" borderId="46" xfId="0" applyFont="1" applyBorder="1"/>
    <xf numFmtId="0" fontId="10" fillId="0" borderId="69" xfId="0" applyFont="1" applyBorder="1" applyAlignment="1">
      <alignment vertical="center"/>
    </xf>
    <xf numFmtId="0" fontId="11" fillId="0" borderId="69" xfId="0" applyFont="1" applyBorder="1" applyAlignment="1">
      <alignment vertical="center"/>
    </xf>
    <xf numFmtId="0" fontId="2" fillId="9" borderId="0" xfId="0" applyFont="1" applyFill="1" applyAlignment="1">
      <alignment vertical="center"/>
    </xf>
    <xf numFmtId="0" fontId="8"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right" vertical="center" wrapText="1"/>
    </xf>
    <xf numFmtId="49" fontId="109" fillId="0" borderId="0" xfId="0" applyNumberFormat="1" applyFont="1" applyAlignment="1">
      <alignment horizontal="left" vertical="top" indent="4"/>
    </xf>
    <xf numFmtId="0" fontId="5" fillId="0" borderId="48" xfId="0" applyFont="1" applyBorder="1"/>
    <xf numFmtId="0" fontId="0" fillId="0" borderId="72" xfId="0" applyBorder="1"/>
    <xf numFmtId="0" fontId="0" fillId="0" borderId="72" xfId="0" applyBorder="1" applyAlignment="1">
      <alignment horizontal="left"/>
    </xf>
    <xf numFmtId="0" fontId="0" fillId="0" borderId="73" xfId="0" applyBorder="1"/>
    <xf numFmtId="0" fontId="0" fillId="0" borderId="73" xfId="0" applyBorder="1" applyAlignment="1">
      <alignment horizontal="left"/>
    </xf>
    <xf numFmtId="0" fontId="0" fillId="0" borderId="75" xfId="0" applyBorder="1" applyAlignment="1">
      <alignment horizontal="left"/>
    </xf>
    <xf numFmtId="0" fontId="0" fillId="0" borderId="75" xfId="0" applyBorder="1"/>
    <xf numFmtId="0" fontId="11" fillId="0" borderId="76" xfId="0" applyFont="1" applyBorder="1"/>
    <xf numFmtId="0" fontId="11" fillId="0" borderId="72" xfId="0" applyFont="1" applyBorder="1"/>
    <xf numFmtId="0" fontId="0" fillId="0" borderId="74" xfId="0" applyBorder="1"/>
    <xf numFmtId="0" fontId="75" fillId="0" borderId="75" xfId="0" applyFont="1" applyBorder="1"/>
    <xf numFmtId="0" fontId="11" fillId="0" borderId="77" xfId="0" applyFont="1" applyBorder="1"/>
    <xf numFmtId="0" fontId="0" fillId="0" borderId="79" xfId="0" applyBorder="1"/>
    <xf numFmtId="0" fontId="0" fillId="0" borderId="78" xfId="0" applyBorder="1"/>
    <xf numFmtId="0" fontId="75" fillId="0" borderId="79" xfId="0" applyFont="1" applyBorder="1"/>
    <xf numFmtId="0" fontId="8" fillId="0" borderId="0" xfId="0" applyFont="1" applyAlignment="1">
      <alignment horizontal="left"/>
    </xf>
    <xf numFmtId="0" fontId="0" fillId="0" borderId="80" xfId="0" applyBorder="1"/>
    <xf numFmtId="0" fontId="75" fillId="0" borderId="45" xfId="0" applyFont="1" applyBorder="1"/>
    <xf numFmtId="0" fontId="75" fillId="0" borderId="46" xfId="0" applyFont="1" applyBorder="1"/>
    <xf numFmtId="0" fontId="11" fillId="0" borderId="47" xfId="0" applyFont="1" applyBorder="1"/>
    <xf numFmtId="0" fontId="11" fillId="0" borderId="48" xfId="0" applyFont="1" applyBorder="1"/>
    <xf numFmtId="0" fontId="11" fillId="0" borderId="49" xfId="0" applyFont="1" applyBorder="1"/>
    <xf numFmtId="0" fontId="4" fillId="0" borderId="43" xfId="0" applyFont="1" applyBorder="1" applyAlignment="1">
      <alignment vertical="top"/>
    </xf>
    <xf numFmtId="0" fontId="117"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68" xfId="0" applyFont="1" applyBorder="1" applyAlignment="1">
      <alignment vertical="center"/>
    </xf>
    <xf numFmtId="0" fontId="4" fillId="2" borderId="0" xfId="0" applyFont="1" applyFill="1" applyAlignment="1">
      <alignment vertical="center"/>
    </xf>
    <xf numFmtId="16" fontId="4" fillId="2" borderId="0" xfId="0" applyNumberFormat="1" applyFont="1" applyFill="1"/>
    <xf numFmtId="0" fontId="10" fillId="2" borderId="0" xfId="0" applyFont="1" applyFill="1" applyAlignment="1">
      <alignment vertical="center"/>
    </xf>
    <xf numFmtId="16" fontId="10" fillId="2" borderId="0" xfId="0" applyNumberFormat="1" applyFont="1" applyFill="1"/>
    <xf numFmtId="0" fontId="78" fillId="0" borderId="68" xfId="0" applyFont="1" applyBorder="1" applyAlignment="1">
      <alignment vertical="center"/>
    </xf>
    <xf numFmtId="0" fontId="78" fillId="0" borderId="68" xfId="0" applyFont="1" applyBorder="1"/>
    <xf numFmtId="2" fontId="13" fillId="0" borderId="18" xfId="0" applyNumberFormat="1" applyFont="1" applyBorder="1" applyAlignment="1">
      <alignment horizontal="right"/>
    </xf>
    <xf numFmtId="0" fontId="13" fillId="0" borderId="18" xfId="0" applyFont="1" applyBorder="1" applyAlignment="1">
      <alignment horizontal="right"/>
    </xf>
    <xf numFmtId="0" fontId="37" fillId="2" borderId="0" xfId="10" applyFont="1" applyFill="1" applyProtection="1">
      <protection locked="0"/>
    </xf>
    <xf numFmtId="176" fontId="45" fillId="0" borderId="0" xfId="6" applyNumberFormat="1" applyFont="1" applyAlignment="1">
      <alignment horizontal="center" vertical="center"/>
    </xf>
    <xf numFmtId="0" fontId="15" fillId="0" borderId="66" xfId="5" applyFont="1" applyBorder="1" applyAlignment="1">
      <alignment vertical="center"/>
    </xf>
    <xf numFmtId="0" fontId="45" fillId="0" borderId="66" xfId="5" applyFont="1" applyBorder="1" applyAlignment="1">
      <alignment horizontal="left" vertical="center"/>
    </xf>
    <xf numFmtId="167" fontId="55" fillId="0" borderId="81" xfId="5" applyNumberFormat="1" applyFont="1" applyBorder="1" applyAlignment="1">
      <alignment horizontal="center" vertical="center"/>
    </xf>
    <xf numFmtId="167" fontId="13" fillId="0" borderId="56" xfId="0" applyNumberFormat="1" applyFont="1" applyBorder="1" applyAlignment="1">
      <alignment horizontal="center"/>
    </xf>
    <xf numFmtId="2" fontId="13" fillId="0" borderId="55" xfId="0" applyNumberFormat="1" applyFont="1" applyBorder="1" applyAlignment="1">
      <alignment horizontal="center"/>
    </xf>
    <xf numFmtId="0" fontId="13" fillId="0" borderId="18" xfId="0" applyFont="1" applyBorder="1"/>
    <xf numFmtId="0" fontId="13" fillId="0" borderId="18" xfId="0" applyFont="1" applyBorder="1" applyAlignment="1">
      <alignment horizontal="centerContinuous"/>
    </xf>
    <xf numFmtId="0" fontId="13" fillId="0" borderId="18" xfId="0" applyFont="1" applyBorder="1" applyAlignment="1">
      <alignment horizontal="center"/>
    </xf>
    <xf numFmtId="2" fontId="13" fillId="0" borderId="18" xfId="0" applyNumberFormat="1" applyFont="1" applyBorder="1" applyAlignment="1">
      <alignment horizontal="center"/>
    </xf>
    <xf numFmtId="0" fontId="13" fillId="0" borderId="65" xfId="0" applyFont="1" applyBorder="1" applyAlignment="1">
      <alignment horizontal="centerContinuous"/>
    </xf>
    <xf numFmtId="0" fontId="13" fillId="0" borderId="64" xfId="0" applyFont="1" applyBorder="1" applyAlignment="1">
      <alignment horizontal="centerContinuous"/>
    </xf>
    <xf numFmtId="0" fontId="13" fillId="0" borderId="66" xfId="0" applyFont="1" applyBorder="1" applyAlignment="1">
      <alignment horizontal="center"/>
    </xf>
    <xf numFmtId="0" fontId="13" fillId="0" borderId="63" xfId="0" applyFont="1" applyBorder="1" applyAlignment="1">
      <alignment horizontal="center" vertical="justify"/>
    </xf>
    <xf numFmtId="0" fontId="13" fillId="0" borderId="63" xfId="0" applyFont="1" applyBorder="1" applyAlignment="1">
      <alignment horizontal="centerContinuous"/>
    </xf>
    <xf numFmtId="0" fontId="13" fillId="0" borderId="62" xfId="0" applyFont="1" applyBorder="1" applyAlignment="1">
      <alignment horizontal="centerContinuous"/>
    </xf>
    <xf numFmtId="2" fontId="13" fillId="0" borderId="56" xfId="0" applyNumberFormat="1" applyFont="1" applyBorder="1" applyAlignment="1">
      <alignment horizontal="centerContinuous"/>
    </xf>
    <xf numFmtId="0" fontId="13" fillId="0" borderId="56" xfId="0" applyFont="1" applyBorder="1" applyAlignment="1">
      <alignment horizontal="centerContinuous"/>
    </xf>
    <xf numFmtId="0" fontId="13" fillId="0" borderId="60" xfId="0" applyFont="1" applyBorder="1" applyAlignment="1">
      <alignment horizontal="center" vertical="justify"/>
    </xf>
    <xf numFmtId="0" fontId="13" fillId="0" borderId="59" xfId="0" applyFont="1" applyBorder="1" applyAlignment="1">
      <alignment horizontal="centerContinuous"/>
    </xf>
    <xf numFmtId="2" fontId="13" fillId="0" borderId="61" xfId="0" applyNumberFormat="1" applyFont="1" applyBorder="1" applyAlignment="1">
      <alignment horizontal="centerContinuous"/>
    </xf>
    <xf numFmtId="0" fontId="13" fillId="0" borderId="56" xfId="0" applyFont="1" applyBorder="1" applyAlignment="1">
      <alignment horizontal="left"/>
    </xf>
    <xf numFmtId="0" fontId="13" fillId="0" borderId="17" xfId="0" applyFont="1" applyBorder="1" applyAlignment="1">
      <alignment horizontal="left"/>
    </xf>
    <xf numFmtId="0" fontId="13" fillId="0" borderId="58" xfId="0" applyFont="1" applyBorder="1" applyAlignment="1">
      <alignment horizontal="left"/>
    </xf>
    <xf numFmtId="0" fontId="13" fillId="0" borderId="56" xfId="0" applyFont="1" applyBorder="1" applyAlignment="1">
      <alignment horizontal="right" vertical="center"/>
    </xf>
    <xf numFmtId="167" fontId="13" fillId="0" borderId="56" xfId="0" applyNumberFormat="1" applyFont="1" applyBorder="1" applyAlignment="1">
      <alignment horizontal="right" vertical="center"/>
    </xf>
    <xf numFmtId="0" fontId="13" fillId="0" borderId="55" xfId="0" applyFont="1" applyBorder="1"/>
    <xf numFmtId="0" fontId="24" fillId="0" borderId="18" xfId="0" applyFont="1" applyBorder="1" applyAlignment="1">
      <alignment horizontal="left"/>
    </xf>
    <xf numFmtId="167" fontId="13" fillId="0" borderId="56" xfId="0" applyNumberFormat="1" applyFont="1" applyBorder="1" applyAlignment="1">
      <alignment horizontal="right"/>
    </xf>
    <xf numFmtId="1" fontId="13" fillId="0" borderId="56" xfId="0" applyNumberFormat="1" applyFont="1" applyBorder="1" applyAlignment="1" applyProtection="1">
      <alignment horizontal="right"/>
      <protection locked="0"/>
    </xf>
    <xf numFmtId="0" fontId="13" fillId="0" borderId="56" xfId="0" applyFont="1" applyBorder="1"/>
    <xf numFmtId="2" fontId="13" fillId="0" borderId="55" xfId="0" applyNumberFormat="1" applyFont="1" applyBorder="1" applyAlignment="1">
      <alignment horizontal="centerContinuous"/>
    </xf>
    <xf numFmtId="167" fontId="13" fillId="0" borderId="9" xfId="0" applyNumberFormat="1" applyFont="1" applyBorder="1" applyAlignment="1">
      <alignment horizontal="center"/>
    </xf>
    <xf numFmtId="0" fontId="13" fillId="2" borderId="9" xfId="0" applyFont="1" applyFill="1" applyBorder="1"/>
    <xf numFmtId="1" fontId="13" fillId="0" borderId="0" xfId="0" applyNumberFormat="1" applyFont="1" applyAlignment="1">
      <alignment horizontal="center"/>
    </xf>
    <xf numFmtId="2" fontId="13" fillId="0" borderId="0" xfId="0" applyNumberFormat="1" applyFont="1" applyAlignment="1">
      <alignment horizontal="center"/>
    </xf>
    <xf numFmtId="0" fontId="13" fillId="0" borderId="12" xfId="0" applyFont="1" applyBorder="1" applyAlignment="1">
      <alignment horizontal="right"/>
    </xf>
    <xf numFmtId="0" fontId="13" fillId="0" borderId="11" xfId="0" applyFont="1" applyBorder="1"/>
    <xf numFmtId="2" fontId="13" fillId="0" borderId="57" xfId="0" applyNumberFormat="1" applyFont="1" applyBorder="1"/>
    <xf numFmtId="0" fontId="13" fillId="0" borderId="55" xfId="0" applyFont="1" applyBorder="1" applyAlignment="1">
      <alignment horizontal="right" vertical="justify"/>
    </xf>
    <xf numFmtId="2" fontId="13" fillId="0" borderId="55" xfId="0" applyNumberFormat="1" applyFont="1" applyBorder="1" applyAlignment="1">
      <alignment horizontal="left"/>
    </xf>
    <xf numFmtId="0" fontId="13" fillId="0" borderId="55" xfId="0" applyFont="1" applyBorder="1" applyAlignment="1">
      <alignment horizontal="left"/>
    </xf>
    <xf numFmtId="0" fontId="25" fillId="2" borderId="57" xfId="0" applyFont="1" applyFill="1" applyBorder="1" applyProtection="1">
      <protection locked="0"/>
    </xf>
    <xf numFmtId="167" fontId="25" fillId="2" borderId="57" xfId="0" applyNumberFormat="1" applyFont="1" applyFill="1" applyBorder="1" applyAlignment="1">
      <alignment horizontal="right"/>
    </xf>
    <xf numFmtId="0" fontId="13" fillId="0" borderId="55" xfId="0" applyFont="1" applyBorder="1" applyAlignment="1">
      <alignment horizontal="right"/>
    </xf>
    <xf numFmtId="0" fontId="39" fillId="2" borderId="57" xfId="13" applyFont="1" applyFill="1" applyBorder="1" applyAlignment="1" applyProtection="1">
      <alignment vertical="center"/>
      <protection locked="0"/>
    </xf>
    <xf numFmtId="2" fontId="39" fillId="2" borderId="57" xfId="13" applyNumberFormat="1" applyFont="1" applyFill="1" applyBorder="1" applyAlignment="1">
      <alignment horizontal="right" vertical="center"/>
    </xf>
    <xf numFmtId="167" fontId="39" fillId="2" borderId="57" xfId="13" applyNumberFormat="1" applyFont="1" applyFill="1" applyBorder="1" applyAlignment="1">
      <alignment horizontal="center" vertical="center"/>
    </xf>
    <xf numFmtId="2" fontId="25" fillId="2" borderId="57" xfId="0" applyNumberFormat="1" applyFont="1" applyFill="1" applyBorder="1" applyProtection="1">
      <protection locked="0"/>
    </xf>
    <xf numFmtId="2" fontId="25" fillId="2" borderId="57" xfId="0" applyNumberFormat="1" applyFont="1" applyFill="1" applyBorder="1" applyAlignment="1">
      <alignment horizontal="right"/>
    </xf>
    <xf numFmtId="0" fontId="25" fillId="2" borderId="57" xfId="0" applyFont="1" applyFill="1" applyBorder="1" applyAlignment="1" applyProtection="1">
      <alignment horizontal="right"/>
      <protection locked="0"/>
    </xf>
    <xf numFmtId="0" fontId="39" fillId="2" borderId="57" xfId="13" applyFont="1" applyFill="1" applyBorder="1" applyAlignment="1" applyProtection="1">
      <alignment horizontal="right" vertical="center"/>
      <protection locked="0"/>
    </xf>
    <xf numFmtId="0" fontId="13" fillId="0" borderId="0" xfId="0" applyFont="1" applyAlignment="1">
      <alignment horizontal="center"/>
    </xf>
    <xf numFmtId="2" fontId="13" fillId="2" borderId="56" xfId="0" applyNumberFormat="1" applyFont="1" applyFill="1" applyBorder="1" applyAlignment="1">
      <alignment horizontal="right" vertical="center"/>
    </xf>
    <xf numFmtId="0" fontId="3" fillId="0" borderId="0" xfId="0" applyFont="1"/>
    <xf numFmtId="0" fontId="130" fillId="0" borderId="0" xfId="0" applyFont="1" applyAlignment="1">
      <alignment vertical="center"/>
    </xf>
    <xf numFmtId="1" fontId="55" fillId="0" borderId="0" xfId="5" applyNumberFormat="1" applyFont="1" applyAlignment="1">
      <alignment horizontal="center" vertical="center"/>
    </xf>
    <xf numFmtId="1" fontId="24" fillId="0" borderId="0" xfId="5" applyNumberFormat="1" applyFont="1" applyAlignment="1">
      <alignment horizontal="center" vertical="center"/>
    </xf>
    <xf numFmtId="1" fontId="13" fillId="0" borderId="0" xfId="5" applyNumberFormat="1" applyAlignment="1">
      <alignment horizontal="center" vertical="center"/>
    </xf>
    <xf numFmtId="167" fontId="45" fillId="0" borderId="32" xfId="5" applyNumberFormat="1" applyFont="1" applyBorder="1" applyAlignment="1">
      <alignment horizontal="center" vertical="center"/>
    </xf>
    <xf numFmtId="0" fontId="133" fillId="0" borderId="0" xfId="0" applyFont="1"/>
    <xf numFmtId="0" fontId="10" fillId="0" borderId="0" xfId="0" applyFont="1" applyAlignment="1">
      <alignment vertical="center" wrapText="1"/>
    </xf>
    <xf numFmtId="0" fontId="10" fillId="0" borderId="86" xfId="0" applyFont="1" applyBorder="1" applyAlignment="1">
      <alignment horizontal="center" vertical="center"/>
    </xf>
    <xf numFmtId="0" fontId="0" fillId="0" borderId="87" xfId="0" applyBorder="1"/>
    <xf numFmtId="0" fontId="103" fillId="0" borderId="0" xfId="0" applyFont="1"/>
    <xf numFmtId="0" fontId="10" fillId="0" borderId="0" xfId="0" applyFont="1" applyAlignment="1">
      <alignment horizontal="center" vertical="center"/>
    </xf>
    <xf numFmtId="0" fontId="23" fillId="0" borderId="84" xfId="0" applyFont="1" applyBorder="1" applyAlignment="1" applyProtection="1">
      <alignment horizontal="right"/>
      <protection locked="0"/>
    </xf>
    <xf numFmtId="2" fontId="13" fillId="0" borderId="84" xfId="0" applyNumberFormat="1" applyFont="1" applyBorder="1" applyAlignment="1">
      <alignment horizontal="right"/>
    </xf>
    <xf numFmtId="2" fontId="0" fillId="0" borderId="84" xfId="0" applyNumberFormat="1" applyBorder="1" applyAlignment="1">
      <alignment horizontal="right"/>
    </xf>
    <xf numFmtId="170" fontId="23" fillId="0" borderId="84" xfId="0" applyNumberFormat="1" applyFont="1" applyBorder="1" applyAlignment="1" applyProtection="1">
      <alignment horizontal="right"/>
      <protection locked="0"/>
    </xf>
    <xf numFmtId="170" fontId="0" fillId="0" borderId="84" xfId="0" applyNumberFormat="1" applyBorder="1" applyAlignment="1">
      <alignment horizontal="right"/>
    </xf>
    <xf numFmtId="1" fontId="0" fillId="0" borderId="84" xfId="0" applyNumberFormat="1" applyBorder="1" applyAlignment="1">
      <alignment horizontal="right"/>
    </xf>
    <xf numFmtId="0" fontId="5" fillId="0" borderId="0" xfId="0" applyFont="1" applyAlignment="1">
      <alignment horizontal="left" vertical="center" readingOrder="1"/>
    </xf>
    <xf numFmtId="0" fontId="10" fillId="0" borderId="0" xfId="0" applyFont="1" applyAlignment="1">
      <alignment horizontal="left" vertical="center"/>
    </xf>
    <xf numFmtId="0" fontId="10" fillId="0" borderId="95" xfId="0" applyFont="1" applyBorder="1" applyAlignment="1">
      <alignment wrapText="1"/>
    </xf>
    <xf numFmtId="0" fontId="10" fillId="0" borderId="82" xfId="0" applyFont="1" applyBorder="1" applyAlignment="1">
      <alignment vertical="center"/>
    </xf>
    <xf numFmtId="2" fontId="10" fillId="0" borderId="82" xfId="0" applyNumberFormat="1" applyFont="1" applyBorder="1" applyAlignment="1">
      <alignment vertical="center"/>
    </xf>
    <xf numFmtId="1" fontId="10" fillId="0" borderId="82" xfId="0" applyNumberFormat="1" applyFont="1" applyBorder="1" applyAlignment="1">
      <alignment vertical="center"/>
    </xf>
    <xf numFmtId="2" fontId="10" fillId="0" borderId="83" xfId="0" applyNumberFormat="1" applyFont="1" applyBorder="1" applyAlignment="1">
      <alignment vertical="center"/>
    </xf>
    <xf numFmtId="0" fontId="36" fillId="6" borderId="0" xfId="0" applyFont="1" applyFill="1"/>
    <xf numFmtId="0" fontId="0" fillId="6" borderId="0" xfId="0" applyFill="1"/>
    <xf numFmtId="1" fontId="10" fillId="0" borderId="83" xfId="0" applyNumberFormat="1" applyFont="1" applyBorder="1" applyAlignment="1">
      <alignment vertical="center"/>
    </xf>
    <xf numFmtId="2" fontId="10" fillId="0" borderId="0" xfId="0" applyNumberFormat="1" applyFont="1" applyAlignment="1">
      <alignment vertical="center"/>
    </xf>
    <xf numFmtId="1" fontId="10" fillId="0" borderId="0" xfId="0" applyNumberFormat="1" applyFont="1" applyAlignment="1">
      <alignment vertical="center"/>
    </xf>
    <xf numFmtId="167" fontId="10" fillId="0" borderId="82" xfId="0" applyNumberFormat="1" applyFont="1" applyBorder="1" applyAlignment="1">
      <alignment vertical="center"/>
    </xf>
    <xf numFmtId="0" fontId="10" fillId="0" borderId="96" xfId="0" applyFont="1" applyBorder="1"/>
    <xf numFmtId="0" fontId="10" fillId="0" borderId="88" xfId="0" applyFont="1" applyBorder="1"/>
    <xf numFmtId="2" fontId="10" fillId="0" borderId="88" xfId="0" applyNumberFormat="1" applyFont="1" applyBorder="1" applyAlignment="1">
      <alignment vertical="center"/>
    </xf>
    <xf numFmtId="0" fontId="10" fillId="0" borderId="85" xfId="0" applyFont="1" applyBorder="1"/>
    <xf numFmtId="2" fontId="10" fillId="0" borderId="86" xfId="0" applyNumberFormat="1" applyFont="1" applyBorder="1" applyAlignment="1">
      <alignment vertical="center"/>
    </xf>
    <xf numFmtId="2" fontId="10" fillId="0" borderId="91" xfId="0" applyNumberFormat="1" applyFont="1" applyBorder="1" applyAlignment="1">
      <alignment vertical="center"/>
    </xf>
    <xf numFmtId="2" fontId="10" fillId="0" borderId="87" xfId="0" applyNumberFormat="1" applyFont="1" applyBorder="1" applyAlignment="1">
      <alignment vertical="center"/>
    </xf>
    <xf numFmtId="0" fontId="10" fillId="0" borderId="96" xfId="0" applyFont="1" applyBorder="1" applyAlignment="1">
      <alignment wrapText="1"/>
    </xf>
    <xf numFmtId="0" fontId="10" fillId="0" borderId="89" xfId="0" applyFont="1" applyBorder="1" applyAlignment="1">
      <alignment vertical="center" wrapText="1"/>
    </xf>
    <xf numFmtId="0" fontId="10" fillId="0" borderId="94" xfId="0" applyFont="1" applyBorder="1" applyAlignment="1">
      <alignment vertical="center" wrapText="1"/>
    </xf>
    <xf numFmtId="2" fontId="10" fillId="0" borderId="90" xfId="0" applyNumberFormat="1" applyFont="1" applyBorder="1" applyAlignment="1">
      <alignment vertical="center"/>
    </xf>
    <xf numFmtId="0" fontId="10" fillId="0" borderId="95" xfId="0" applyFont="1" applyBorder="1"/>
    <xf numFmtId="0" fontId="10" fillId="0" borderId="91" xfId="0" applyFont="1" applyBorder="1" applyAlignment="1">
      <alignment vertical="center" wrapText="1"/>
    </xf>
    <xf numFmtId="0" fontId="78" fillId="0" borderId="85" xfId="0" applyFont="1" applyBorder="1"/>
    <xf numFmtId="0" fontId="78" fillId="0" borderId="86" xfId="0" applyFont="1" applyBorder="1"/>
    <xf numFmtId="2" fontId="10" fillId="19" borderId="82" xfId="0" applyNumberFormat="1" applyFont="1" applyFill="1" applyBorder="1" applyAlignment="1">
      <alignment vertical="center"/>
    </xf>
    <xf numFmtId="0" fontId="0" fillId="7" borderId="0" xfId="0" applyFill="1"/>
    <xf numFmtId="2" fontId="0" fillId="19" borderId="0" xfId="0" applyNumberFormat="1" applyFill="1"/>
    <xf numFmtId="0" fontId="36" fillId="7" borderId="0" xfId="0" applyFont="1" applyFill="1"/>
    <xf numFmtId="0" fontId="44" fillId="7" borderId="0" xfId="5" applyFont="1" applyFill="1" applyAlignment="1">
      <alignment horizontal="center" vertical="center"/>
    </xf>
    <xf numFmtId="0" fontId="8" fillId="9" borderId="87" xfId="0" applyFont="1" applyFill="1" applyBorder="1" applyAlignment="1">
      <alignment vertical="center"/>
    </xf>
    <xf numFmtId="0" fontId="4" fillId="0" borderId="97" xfId="0" applyFont="1" applyBorder="1"/>
    <xf numFmtId="0" fontId="4" fillId="0" borderId="97" xfId="0" applyFont="1" applyBorder="1" applyAlignment="1">
      <alignment horizontal="left"/>
    </xf>
    <xf numFmtId="0" fontId="4" fillId="9" borderId="98" xfId="0" applyFont="1" applyFill="1" applyBorder="1" applyAlignment="1">
      <alignment vertical="center"/>
    </xf>
    <xf numFmtId="0" fontId="23" fillId="2" borderId="0" xfId="0" applyFont="1" applyFill="1" applyAlignment="1" applyProtection="1">
      <alignment horizontal="center"/>
      <protection locked="0"/>
    </xf>
    <xf numFmtId="0" fontId="135" fillId="0" borderId="0" xfId="0" applyFont="1"/>
    <xf numFmtId="0" fontId="137" fillId="0" borderId="0" xfId="0" applyFont="1"/>
    <xf numFmtId="0" fontId="138" fillId="0" borderId="0" xfId="0" applyFont="1" applyAlignment="1" applyProtection="1">
      <alignment horizontal="center"/>
      <protection locked="0"/>
    </xf>
    <xf numFmtId="0" fontId="138" fillId="2" borderId="0" xfId="0" applyFont="1" applyFill="1" applyAlignment="1" applyProtection="1">
      <alignment horizontal="center"/>
      <protection locked="0"/>
    </xf>
    <xf numFmtId="0" fontId="137" fillId="0" borderId="0" xfId="0" applyFont="1" applyAlignment="1">
      <alignment horizontal="center"/>
    </xf>
    <xf numFmtId="2" fontId="137" fillId="0" borderId="0" xfId="0" applyNumberFormat="1" applyFont="1" applyAlignment="1">
      <alignment horizontal="center"/>
    </xf>
    <xf numFmtId="170" fontId="138" fillId="0" borderId="0" xfId="0" applyNumberFormat="1" applyFont="1" applyAlignment="1" applyProtection="1">
      <alignment horizontal="center"/>
      <protection locked="0"/>
    </xf>
    <xf numFmtId="170" fontId="137" fillId="0" borderId="0" xfId="0" applyNumberFormat="1" applyFont="1"/>
    <xf numFmtId="0" fontId="137" fillId="0" borderId="0" xfId="0" applyFont="1" applyProtection="1">
      <protection locked="0"/>
    </xf>
    <xf numFmtId="0" fontId="136" fillId="0" borderId="0" xfId="0" applyFont="1" applyAlignment="1" applyProtection="1">
      <alignment horizontal="right"/>
      <protection locked="0"/>
    </xf>
    <xf numFmtId="2" fontId="34" fillId="0" borderId="0" xfId="0" applyNumberFormat="1" applyFont="1" applyAlignment="1">
      <alignment horizontal="right"/>
    </xf>
    <xf numFmtId="0" fontId="135" fillId="0" borderId="0" xfId="0" applyFont="1" applyAlignment="1">
      <alignment horizontal="right"/>
    </xf>
    <xf numFmtId="170" fontId="135" fillId="0" borderId="0" xfId="0" applyNumberFormat="1" applyFont="1" applyAlignment="1">
      <alignment horizontal="right"/>
    </xf>
    <xf numFmtId="2" fontId="139" fillId="0" borderId="0" xfId="0" applyNumberFormat="1" applyFont="1" applyAlignment="1">
      <alignment horizontal="right"/>
    </xf>
    <xf numFmtId="1" fontId="135" fillId="0" borderId="0" xfId="0" applyNumberFormat="1" applyFont="1" applyAlignment="1">
      <alignment horizontal="right"/>
    </xf>
    <xf numFmtId="2" fontId="135" fillId="0" borderId="0" xfId="0" applyNumberFormat="1" applyFont="1" applyAlignment="1">
      <alignment horizontal="right"/>
    </xf>
    <xf numFmtId="170" fontId="136" fillId="0" borderId="0" xfId="0" applyNumberFormat="1" applyFont="1" applyAlignment="1" applyProtection="1">
      <alignment horizontal="right"/>
      <protection locked="0"/>
    </xf>
    <xf numFmtId="170" fontId="139" fillId="0" borderId="0" xfId="0" applyNumberFormat="1" applyFont="1" applyAlignment="1">
      <alignment horizontal="right"/>
    </xf>
    <xf numFmtId="0" fontId="0" fillId="6" borderId="0" xfId="0" applyFill="1" applyAlignment="1">
      <alignment horizontal="center"/>
    </xf>
    <xf numFmtId="0" fontId="0" fillId="18" borderId="0" xfId="0" applyFill="1"/>
    <xf numFmtId="2" fontId="0" fillId="7" borderId="0" xfId="0" applyNumberFormat="1" applyFill="1"/>
    <xf numFmtId="170" fontId="0" fillId="7" borderId="0" xfId="0" applyNumberFormat="1" applyFill="1"/>
    <xf numFmtId="0" fontId="0" fillId="17" borderId="0" xfId="0" applyFill="1"/>
    <xf numFmtId="2" fontId="0" fillId="17" borderId="0" xfId="0" applyNumberFormat="1" applyFill="1"/>
    <xf numFmtId="0" fontId="140" fillId="0" borderId="0" xfId="0" applyFont="1" applyAlignment="1">
      <alignment horizontal="center" vertical="center" readingOrder="1"/>
    </xf>
    <xf numFmtId="0" fontId="140" fillId="0" borderId="0" xfId="0" applyFont="1" applyAlignment="1">
      <alignment horizontal="left" vertical="center" readingOrder="1"/>
    </xf>
    <xf numFmtId="0" fontId="5" fillId="7" borderId="0" xfId="0" applyFont="1" applyFill="1" applyAlignment="1">
      <alignment horizontal="center" vertical="center" wrapText="1"/>
    </xf>
    <xf numFmtId="0" fontId="5" fillId="17" borderId="0" xfId="0" applyFont="1" applyFill="1" applyAlignment="1">
      <alignment horizontal="center" vertical="center" wrapText="1"/>
    </xf>
    <xf numFmtId="0" fontId="8" fillId="9" borderId="0" xfId="0" applyFont="1" applyFill="1" applyAlignment="1">
      <alignment horizontal="left" vertical="center"/>
    </xf>
    <xf numFmtId="49" fontId="109" fillId="0" borderId="0" xfId="0" applyNumberFormat="1" applyFont="1" applyAlignment="1">
      <alignment horizontal="left" vertical="top" indent="3"/>
    </xf>
    <xf numFmtId="0" fontId="86" fillId="0" borderId="0" xfId="0" applyFont="1" applyAlignment="1">
      <alignment vertical="center" wrapText="1"/>
    </xf>
    <xf numFmtId="0" fontId="86" fillId="0" borderId="0" xfId="0" applyFont="1" applyAlignment="1">
      <alignment vertical="center"/>
    </xf>
    <xf numFmtId="169" fontId="86" fillId="0" borderId="0" xfId="0" applyNumberFormat="1" applyFont="1" applyAlignment="1">
      <alignment horizontal="center" vertical="center"/>
    </xf>
    <xf numFmtId="167" fontId="86" fillId="0" borderId="0" xfId="0" applyNumberFormat="1" applyFont="1" applyAlignment="1">
      <alignment horizontal="center" vertical="center"/>
    </xf>
    <xf numFmtId="0" fontId="86" fillId="0" borderId="9" xfId="0" applyFont="1" applyBorder="1" applyAlignment="1">
      <alignment vertical="center" wrapText="1"/>
    </xf>
    <xf numFmtId="0" fontId="86" fillId="0" borderId="9" xfId="0" applyFont="1" applyBorder="1" applyAlignment="1">
      <alignment vertical="center"/>
    </xf>
    <xf numFmtId="169" fontId="86" fillId="0" borderId="9" xfId="0" applyNumberFormat="1" applyFont="1" applyBorder="1" applyAlignment="1">
      <alignment horizontal="center" vertical="center"/>
    </xf>
    <xf numFmtId="170" fontId="86" fillId="0" borderId="9" xfId="0" applyNumberFormat="1" applyFont="1" applyBorder="1" applyAlignment="1">
      <alignment horizontal="center" vertical="center"/>
    </xf>
    <xf numFmtId="167" fontId="16" fillId="0" borderId="0" xfId="0" applyNumberFormat="1" applyFont="1" applyAlignment="1">
      <alignment vertical="center"/>
    </xf>
    <xf numFmtId="0" fontId="86" fillId="0" borderId="9" xfId="0" applyFont="1" applyBorder="1" applyAlignment="1">
      <alignment wrapText="1"/>
    </xf>
    <xf numFmtId="173" fontId="86" fillId="0" borderId="9" xfId="0" applyNumberFormat="1" applyFont="1" applyBorder="1" applyAlignment="1">
      <alignment horizontal="center" vertical="center"/>
    </xf>
    <xf numFmtId="0" fontId="143" fillId="0" borderId="0" xfId="0" applyFont="1" applyAlignment="1">
      <alignment horizontal="center" vertical="center" readingOrder="1"/>
    </xf>
    <xf numFmtId="0" fontId="90" fillId="15" borderId="0" xfId="7" applyFont="1" applyFill="1"/>
    <xf numFmtId="0" fontId="16" fillId="0" borderId="0" xfId="0" applyFont="1" applyAlignment="1">
      <alignment horizontal="left"/>
    </xf>
    <xf numFmtId="0" fontId="16" fillId="0" borderId="0" xfId="0" applyFont="1"/>
    <xf numFmtId="0" fontId="4" fillId="0" borderId="0" xfId="0" applyFont="1" applyAlignment="1">
      <alignment horizontal="center" vertical="center"/>
    </xf>
    <xf numFmtId="0" fontId="0" fillId="9" borderId="0" xfId="0" applyFill="1"/>
    <xf numFmtId="0" fontId="0" fillId="9" borderId="0" xfId="0" applyFill="1" applyAlignment="1">
      <alignment horizontal="left"/>
    </xf>
    <xf numFmtId="0" fontId="4" fillId="9" borderId="0" xfId="0" applyFont="1" applyFill="1"/>
    <xf numFmtId="173" fontId="10" fillId="0" borderId="84" xfId="0" applyNumberFormat="1" applyFont="1" applyBorder="1" applyAlignment="1">
      <alignment horizontal="center" vertical="center"/>
    </xf>
    <xf numFmtId="0" fontId="10" fillId="0" borderId="99" xfId="0" applyFont="1" applyBorder="1" applyAlignment="1">
      <alignment horizontal="center" vertical="center"/>
    </xf>
    <xf numFmtId="0" fontId="10" fillId="0" borderId="93" xfId="0" applyFont="1" applyBorder="1" applyAlignment="1">
      <alignment horizontal="center" vertical="center"/>
    </xf>
    <xf numFmtId="0" fontId="0" fillId="0" borderId="99" xfId="0" applyBorder="1" applyAlignment="1">
      <alignment horizontal="center" vertical="center"/>
    </xf>
    <xf numFmtId="180" fontId="86" fillId="0" borderId="9" xfId="0" applyNumberFormat="1" applyFont="1" applyBorder="1" applyAlignment="1">
      <alignment horizontal="center" vertical="center"/>
    </xf>
    <xf numFmtId="11" fontId="10" fillId="0" borderId="0" xfId="0" applyNumberFormat="1" applyFont="1"/>
    <xf numFmtId="167" fontId="10" fillId="0" borderId="0" xfId="0" applyNumberFormat="1" applyFont="1"/>
    <xf numFmtId="167" fontId="10" fillId="0" borderId="0" xfId="0" applyNumberFormat="1" applyFont="1" applyAlignment="1">
      <alignment horizontal="center"/>
    </xf>
    <xf numFmtId="164" fontId="10" fillId="0" borderId="0" xfId="0" applyNumberFormat="1" applyFont="1" applyAlignment="1">
      <alignment horizontal="left" vertical="center"/>
    </xf>
    <xf numFmtId="1" fontId="10" fillId="0" borderId="0" xfId="0" applyNumberFormat="1" applyFont="1" applyAlignment="1">
      <alignment horizontal="right"/>
    </xf>
    <xf numFmtId="167" fontId="10" fillId="0" borderId="0" xfId="0" applyNumberFormat="1" applyFont="1" applyAlignment="1">
      <alignment horizontal="right"/>
    </xf>
    <xf numFmtId="0" fontId="0" fillId="8" borderId="0" xfId="0" applyFill="1" applyAlignment="1">
      <alignment horizontal="left"/>
    </xf>
    <xf numFmtId="0" fontId="0" fillId="8" borderId="0" xfId="0" applyFill="1"/>
    <xf numFmtId="0" fontId="0" fillId="8" borderId="0" xfId="0" applyFill="1" applyAlignment="1">
      <alignment vertical="center"/>
    </xf>
    <xf numFmtId="0" fontId="0" fillId="8" borderId="0" xfId="0" applyFill="1" applyAlignment="1">
      <alignment horizontal="left" vertical="center"/>
    </xf>
    <xf numFmtId="49" fontId="73" fillId="8" borderId="0" xfId="0" applyNumberFormat="1" applyFont="1" applyFill="1" applyAlignment="1">
      <alignment vertical="center"/>
    </xf>
    <xf numFmtId="0" fontId="11" fillId="0" borderId="101" xfId="0" applyFont="1" applyBorder="1"/>
    <xf numFmtId="0" fontId="0" fillId="0" borderId="101" xfId="0" applyBorder="1"/>
    <xf numFmtId="0" fontId="66" fillId="0" borderId="101" xfId="0" applyFont="1" applyBorder="1"/>
    <xf numFmtId="0" fontId="0" fillId="0" borderId="101" xfId="0" applyBorder="1" applyAlignment="1">
      <alignment horizontal="left"/>
    </xf>
    <xf numFmtId="0" fontId="5" fillId="0" borderId="101" xfId="0" applyFont="1" applyBorder="1"/>
    <xf numFmtId="0" fontId="0" fillId="0" borderId="100" xfId="0" applyBorder="1"/>
    <xf numFmtId="0" fontId="4" fillId="0" borderId="104" xfId="0" applyFont="1" applyBorder="1" applyAlignment="1">
      <alignment wrapText="1"/>
    </xf>
    <xf numFmtId="0" fontId="0" fillId="0" borderId="104" xfId="0" applyBorder="1"/>
    <xf numFmtId="0" fontId="0" fillId="0" borderId="106" xfId="0" applyBorder="1"/>
    <xf numFmtId="0" fontId="0" fillId="0" borderId="107" xfId="0" applyBorder="1"/>
    <xf numFmtId="0" fontId="0" fillId="0" borderId="103" xfId="0" applyBorder="1"/>
    <xf numFmtId="0" fontId="77" fillId="0" borderId="100" xfId="0" applyFont="1" applyBorder="1"/>
    <xf numFmtId="0" fontId="77" fillId="0" borderId="104" xfId="0" applyFont="1" applyBorder="1"/>
    <xf numFmtId="0" fontId="0" fillId="0" borderId="102" xfId="0" applyBorder="1"/>
    <xf numFmtId="0" fontId="0" fillId="0" borderId="105" xfId="0" applyBorder="1"/>
    <xf numFmtId="0" fontId="128" fillId="0" borderId="0" xfId="0" applyFont="1"/>
    <xf numFmtId="49" fontId="109" fillId="0" borderId="0" xfId="0" applyNumberFormat="1" applyFont="1" applyAlignment="1">
      <alignment horizontal="left" vertical="center" indent="3"/>
    </xf>
    <xf numFmtId="49" fontId="109" fillId="0" borderId="0" xfId="0" applyNumberFormat="1" applyFont="1" applyAlignment="1">
      <alignment vertical="top"/>
    </xf>
    <xf numFmtId="0" fontId="73" fillId="0" borderId="107" xfId="0" quotePrefix="1" applyFont="1" applyBorder="1" applyAlignment="1">
      <alignment vertical="top"/>
    </xf>
    <xf numFmtId="0" fontId="9" fillId="0" borderId="107" xfId="0" applyFont="1" applyBorder="1" applyAlignment="1">
      <alignment vertical="top"/>
    </xf>
    <xf numFmtId="0" fontId="73" fillId="0" borderId="107" xfId="0" applyFont="1" applyBorder="1" applyAlignment="1">
      <alignment vertical="top"/>
    </xf>
    <xf numFmtId="0" fontId="73" fillId="0" borderId="107" xfId="0" applyFont="1" applyBorder="1" applyAlignment="1">
      <alignment horizontal="left" vertical="top"/>
    </xf>
    <xf numFmtId="0" fontId="73" fillId="0" borderId="103" xfId="0" applyFont="1" applyBorder="1" applyAlignment="1">
      <alignment vertical="top"/>
    </xf>
    <xf numFmtId="0" fontId="9" fillId="0" borderId="107" xfId="0" quotePrefix="1" applyFont="1" applyBorder="1" applyAlignment="1">
      <alignment horizontal="right" vertical="top"/>
    </xf>
    <xf numFmtId="0" fontId="108" fillId="0" borderId="107" xfId="0" applyFont="1" applyBorder="1" applyAlignment="1">
      <alignment vertical="top"/>
    </xf>
    <xf numFmtId="0" fontId="72" fillId="0" borderId="107" xfId="0" applyFont="1" applyBorder="1" applyAlignment="1">
      <alignment vertical="top"/>
    </xf>
    <xf numFmtId="0" fontId="72" fillId="0" borderId="103" xfId="0" applyFont="1" applyBorder="1" applyAlignment="1">
      <alignment vertical="top"/>
    </xf>
    <xf numFmtId="0" fontId="73" fillId="0" borderId="0" xfId="0" quotePrefix="1" applyFont="1" applyAlignment="1">
      <alignment vertical="top"/>
    </xf>
    <xf numFmtId="0" fontId="73" fillId="0" borderId="104" xfId="0" quotePrefix="1" applyFont="1" applyBorder="1" applyAlignment="1">
      <alignment vertical="top"/>
    </xf>
    <xf numFmtId="0" fontId="9" fillId="0" borderId="0" xfId="0" quotePrefix="1" applyFont="1" applyAlignment="1">
      <alignment horizontal="right" vertical="top"/>
    </xf>
    <xf numFmtId="0" fontId="73" fillId="0" borderId="0" xfId="0" applyFont="1" applyAlignment="1">
      <alignment vertical="top"/>
    </xf>
    <xf numFmtId="0" fontId="108" fillId="0" borderId="0" xfId="0" applyFont="1" applyAlignment="1">
      <alignment vertical="top"/>
    </xf>
    <xf numFmtId="0" fontId="72" fillId="0" borderId="0" xfId="0" applyFont="1" applyAlignment="1">
      <alignment vertical="top"/>
    </xf>
    <xf numFmtId="0" fontId="72" fillId="0" borderId="104" xfId="0" applyFont="1" applyBorder="1" applyAlignment="1">
      <alignment vertical="top"/>
    </xf>
    <xf numFmtId="0" fontId="9" fillId="0" borderId="0" xfId="0" applyFont="1" applyAlignment="1">
      <alignment horizontal="right" vertical="top"/>
    </xf>
    <xf numFmtId="0" fontId="66" fillId="0" borderId="0" xfId="0" applyFont="1" applyAlignment="1">
      <alignment vertical="top"/>
    </xf>
    <xf numFmtId="0" fontId="5" fillId="0" borderId="0" xfId="0" applyFont="1" applyAlignment="1">
      <alignment vertical="top"/>
    </xf>
    <xf numFmtId="0" fontId="9" fillId="0" borderId="0" xfId="0" applyFont="1" applyAlignment="1">
      <alignment vertical="top"/>
    </xf>
    <xf numFmtId="0" fontId="147" fillId="0" borderId="0" xfId="0" applyFont="1" applyAlignment="1">
      <alignment vertical="top"/>
    </xf>
    <xf numFmtId="0" fontId="147" fillId="0" borderId="104" xfId="0" applyFont="1" applyBorder="1" applyAlignment="1">
      <alignment vertical="top"/>
    </xf>
    <xf numFmtId="0" fontId="73" fillId="0" borderId="101" xfId="0" quotePrefix="1" applyFont="1" applyBorder="1" applyAlignment="1">
      <alignment vertical="top"/>
    </xf>
    <xf numFmtId="0" fontId="73" fillId="0" borderId="105" xfId="0" quotePrefix="1" applyFont="1" applyBorder="1" applyAlignment="1">
      <alignment vertical="top"/>
    </xf>
    <xf numFmtId="0" fontId="9" fillId="0" borderId="101" xfId="0" applyFont="1" applyBorder="1" applyAlignment="1">
      <alignment horizontal="right" vertical="top"/>
    </xf>
    <xf numFmtId="0" fontId="73" fillId="0" borderId="101" xfId="0" applyFont="1" applyBorder="1" applyAlignment="1">
      <alignment vertical="top"/>
    </xf>
    <xf numFmtId="0" fontId="9" fillId="0" borderId="101" xfId="0" applyFont="1" applyBorder="1" applyAlignment="1">
      <alignment vertical="top"/>
    </xf>
    <xf numFmtId="49" fontId="73" fillId="0" borderId="101" xfId="0" applyNumberFormat="1" applyFont="1" applyBorder="1" applyAlignment="1">
      <alignment vertical="top"/>
    </xf>
    <xf numFmtId="49" fontId="73" fillId="0" borderId="105" xfId="0" applyNumberFormat="1" applyFont="1" applyBorder="1" applyAlignment="1">
      <alignment vertical="top"/>
    </xf>
    <xf numFmtId="49" fontId="109" fillId="0" borderId="0" xfId="0" applyNumberFormat="1" applyFont="1" applyAlignment="1">
      <alignment horizontal="left" vertical="center" indent="5"/>
    </xf>
    <xf numFmtId="0" fontId="128" fillId="0" borderId="104" xfId="0" applyFont="1" applyBorder="1"/>
    <xf numFmtId="0" fontId="128" fillId="0" borderId="100" xfId="0" applyFont="1" applyBorder="1"/>
    <xf numFmtId="0" fontId="0" fillId="0" borderId="104" xfId="0" applyBorder="1" applyAlignment="1">
      <alignment horizontal="left"/>
    </xf>
    <xf numFmtId="0" fontId="75" fillId="0" borderId="100" xfId="0" applyFont="1" applyBorder="1"/>
    <xf numFmtId="0" fontId="75" fillId="0" borderId="104" xfId="0" applyFont="1" applyBorder="1"/>
    <xf numFmtId="0" fontId="11" fillId="0" borderId="102" xfId="0" applyFont="1" applyBorder="1"/>
    <xf numFmtId="0" fontId="11" fillId="0" borderId="105" xfId="0" applyFont="1" applyBorder="1"/>
    <xf numFmtId="0" fontId="9" fillId="0" borderId="106" xfId="0" quotePrefix="1" applyFont="1" applyBorder="1" applyAlignment="1">
      <alignment horizontal="right" vertical="top"/>
    </xf>
    <xf numFmtId="0" fontId="9" fillId="0" borderId="100" xfId="0" quotePrefix="1" applyFont="1" applyBorder="1" applyAlignment="1">
      <alignment horizontal="right" vertical="top"/>
    </xf>
    <xf numFmtId="0" fontId="9" fillId="0" borderId="100" xfId="0" applyFont="1" applyBorder="1" applyAlignment="1">
      <alignment horizontal="right" vertical="top"/>
    </xf>
    <xf numFmtId="0" fontId="9" fillId="0" borderId="102" xfId="0" applyFont="1" applyBorder="1" applyAlignment="1">
      <alignment horizontal="right" vertical="top"/>
    </xf>
    <xf numFmtId="0" fontId="4" fillId="15" borderId="1" xfId="0" applyFont="1" applyFill="1" applyBorder="1"/>
    <xf numFmtId="0" fontId="4" fillId="17" borderId="1" xfId="0" applyFont="1" applyFill="1" applyBorder="1"/>
    <xf numFmtId="2" fontId="4" fillId="9" borderId="0" xfId="0" applyNumberFormat="1" applyFont="1" applyFill="1"/>
    <xf numFmtId="2" fontId="10" fillId="0" borderId="69" xfId="0" applyNumberFormat="1" applyFont="1" applyBorder="1" applyAlignment="1">
      <alignment vertical="center"/>
    </xf>
    <xf numFmtId="1" fontId="10" fillId="0" borderId="69" xfId="0" applyNumberFormat="1" applyFont="1" applyBorder="1" applyAlignment="1">
      <alignment vertical="center"/>
    </xf>
    <xf numFmtId="0" fontId="10" fillId="9" borderId="69" xfId="0" applyFont="1" applyFill="1" applyBorder="1" applyAlignment="1">
      <alignment vertical="center"/>
    </xf>
    <xf numFmtId="1" fontId="10" fillId="9" borderId="69" xfId="0" applyNumberFormat="1" applyFont="1" applyFill="1" applyBorder="1" applyAlignment="1">
      <alignment vertical="center"/>
    </xf>
    <xf numFmtId="2" fontId="10" fillId="9" borderId="69" xfId="0" applyNumberFormat="1" applyFont="1" applyFill="1" applyBorder="1" applyAlignment="1">
      <alignment vertical="center"/>
    </xf>
    <xf numFmtId="2" fontId="4" fillId="9" borderId="0" xfId="0" applyNumberFormat="1" applyFont="1" applyFill="1" applyAlignment="1">
      <alignment horizontal="center"/>
    </xf>
    <xf numFmtId="0" fontId="10" fillId="2" borderId="69" xfId="0" applyFont="1" applyFill="1" applyBorder="1" applyAlignment="1">
      <alignment vertical="center"/>
    </xf>
    <xf numFmtId="0" fontId="73" fillId="0" borderId="106" xfId="0" quotePrefix="1" applyFont="1" applyBorder="1" applyAlignment="1">
      <alignment vertical="top"/>
    </xf>
    <xf numFmtId="0" fontId="73" fillId="0" borderId="100" xfId="0" quotePrefix="1" applyFont="1" applyBorder="1" applyAlignment="1">
      <alignment vertical="top"/>
    </xf>
    <xf numFmtId="0" fontId="73" fillId="0" borderId="102" xfId="0" quotePrefix="1" applyFont="1" applyBorder="1" applyAlignment="1">
      <alignment vertical="top"/>
    </xf>
    <xf numFmtId="0" fontId="16" fillId="0" borderId="0" xfId="10" applyFont="1" applyAlignment="1" applyProtection="1">
      <alignment vertical="center" wrapText="1"/>
      <protection locked="0"/>
    </xf>
    <xf numFmtId="0" fontId="0" fillId="19" borderId="0" xfId="0" applyFill="1"/>
    <xf numFmtId="2" fontId="0" fillId="18" borderId="0" xfId="0" applyNumberFormat="1" applyFill="1"/>
    <xf numFmtId="2" fontId="39" fillId="0" borderId="0" xfId="10" applyNumberFormat="1" applyFont="1" applyAlignment="1" applyProtection="1">
      <alignment horizontal="left" vertical="center"/>
      <protection locked="0"/>
    </xf>
    <xf numFmtId="167" fontId="0" fillId="19" borderId="0" xfId="0" applyNumberFormat="1" applyFill="1"/>
    <xf numFmtId="0" fontId="2" fillId="0" borderId="0" xfId="0" applyFont="1" applyAlignment="1">
      <alignment vertical="center"/>
    </xf>
    <xf numFmtId="0" fontId="111" fillId="0" borderId="0" xfId="0" applyFont="1" applyAlignment="1">
      <alignment vertical="center"/>
    </xf>
    <xf numFmtId="0" fontId="0" fillId="20" borderId="0" xfId="0" applyFill="1"/>
    <xf numFmtId="0" fontId="78" fillId="0" borderId="0" xfId="0" applyFont="1" applyAlignment="1">
      <alignment horizontal="left"/>
    </xf>
    <xf numFmtId="0" fontId="78" fillId="0" borderId="0" xfId="0" applyFont="1" applyAlignment="1">
      <alignment horizontal="left" indent="3"/>
    </xf>
    <xf numFmtId="0" fontId="90" fillId="2" borderId="0" xfId="7" applyFont="1" applyFill="1" applyAlignment="1">
      <alignment horizontal="left"/>
    </xf>
    <xf numFmtId="0" fontId="101" fillId="0" borderId="9" xfId="0" applyFont="1" applyBorder="1" applyAlignment="1">
      <alignment horizontal="left" vertical="center"/>
    </xf>
    <xf numFmtId="0" fontId="101" fillId="0" borderId="9" xfId="0" applyFont="1" applyBorder="1" applyAlignment="1">
      <alignment horizontal="center" vertical="center"/>
    </xf>
    <xf numFmtId="0" fontId="14" fillId="0" borderId="11" xfId="3" applyFont="1" applyBorder="1" applyAlignment="1">
      <alignment vertical="center"/>
    </xf>
    <xf numFmtId="0" fontId="14" fillId="0" borderId="12" xfId="3" applyFont="1" applyBorder="1" applyAlignment="1">
      <alignment vertical="center"/>
    </xf>
    <xf numFmtId="0" fontId="101" fillId="0" borderId="0" xfId="0" applyFont="1" applyAlignment="1">
      <alignment horizontal="left" vertical="center"/>
    </xf>
    <xf numFmtId="0" fontId="0" fillId="0" borderId="84" xfId="0" applyBorder="1"/>
    <xf numFmtId="2" fontId="101" fillId="0" borderId="84" xfId="0" applyNumberFormat="1" applyFont="1" applyBorder="1" applyAlignment="1">
      <alignment horizontal="center" vertical="center"/>
    </xf>
    <xf numFmtId="181" fontId="16" fillId="0" borderId="9" xfId="2" applyNumberFormat="1" applyFont="1" applyBorder="1" applyAlignment="1" applyProtection="1">
      <alignment horizontal="right" vertical="center"/>
      <protection locked="0"/>
    </xf>
    <xf numFmtId="0" fontId="101" fillId="0" borderId="0" xfId="0" applyFont="1" applyAlignment="1">
      <alignment horizontal="center" vertical="center"/>
    </xf>
    <xf numFmtId="0" fontId="78" fillId="24" borderId="0" xfId="0" applyFont="1" applyFill="1" applyAlignment="1">
      <alignment vertical="center"/>
    </xf>
    <xf numFmtId="0" fontId="78" fillId="24" borderId="0" xfId="0" applyFont="1" applyFill="1"/>
    <xf numFmtId="0" fontId="101" fillId="24" borderId="0" xfId="0" applyFont="1" applyFill="1" applyAlignment="1">
      <alignment horizontal="left" vertical="center"/>
    </xf>
    <xf numFmtId="0" fontId="101" fillId="24" borderId="0" xfId="0" applyFont="1" applyFill="1" applyAlignment="1">
      <alignment horizontal="center" vertical="center"/>
    </xf>
    <xf numFmtId="0" fontId="15" fillId="23" borderId="10" xfId="3" applyFont="1" applyFill="1" applyBorder="1" applyAlignment="1">
      <alignment vertical="center"/>
    </xf>
    <xf numFmtId="0" fontId="15" fillId="23" borderId="11" xfId="3" applyFont="1" applyFill="1" applyBorder="1" applyAlignment="1">
      <alignment vertical="center"/>
    </xf>
    <xf numFmtId="0" fontId="15" fillId="23" borderId="9" xfId="3" applyFont="1" applyFill="1" applyBorder="1" applyAlignment="1">
      <alignment horizontal="center" vertical="center"/>
    </xf>
    <xf numFmtId="165" fontId="16" fillId="23" borderId="9" xfId="2" applyNumberFormat="1" applyFont="1" applyFill="1" applyBorder="1" applyAlignment="1" applyProtection="1">
      <alignment horizontal="right" vertical="center"/>
      <protection locked="0"/>
    </xf>
    <xf numFmtId="0" fontId="18" fillId="20" borderId="0" xfId="3" applyFont="1" applyFill="1" applyAlignment="1">
      <alignment horizontal="center" vertical="center"/>
    </xf>
    <xf numFmtId="0" fontId="0" fillId="20" borderId="0" xfId="0" applyFill="1" applyAlignment="1">
      <alignment horizontal="center"/>
    </xf>
    <xf numFmtId="165" fontId="16" fillId="2" borderId="9" xfId="2" applyNumberFormat="1" applyFont="1" applyFill="1" applyBorder="1" applyAlignment="1" applyProtection="1">
      <alignment horizontal="right" vertical="center"/>
      <protection locked="0"/>
    </xf>
    <xf numFmtId="165" fontId="15" fillId="0" borderId="9" xfId="2" applyNumberFormat="1" applyFont="1" applyFill="1" applyBorder="1" applyAlignment="1">
      <alignment vertical="center"/>
    </xf>
    <xf numFmtId="43" fontId="0" fillId="0" borderId="0" xfId="0" applyNumberFormat="1"/>
    <xf numFmtId="0" fontId="114" fillId="0" borderId="0" xfId="0" applyFont="1"/>
    <xf numFmtId="49" fontId="109" fillId="0" borderId="0" xfId="0" applyNumberFormat="1" applyFont="1" applyAlignment="1">
      <alignment horizontal="left" vertical="center" indent="4"/>
    </xf>
    <xf numFmtId="170" fontId="9" fillId="0" borderId="0" xfId="0" applyNumberFormat="1" applyFont="1"/>
    <xf numFmtId="168" fontId="0" fillId="2" borderId="0" xfId="0" applyNumberFormat="1" applyFill="1"/>
    <xf numFmtId="164" fontId="10" fillId="0" borderId="0" xfId="0" applyNumberFormat="1" applyFont="1" applyAlignment="1">
      <alignment vertical="center"/>
    </xf>
    <xf numFmtId="0" fontId="0" fillId="0" borderId="111" xfId="0" applyBorder="1"/>
    <xf numFmtId="2" fontId="101" fillId="0" borderId="9" xfId="0" applyNumberFormat="1" applyFont="1" applyBorder="1" applyAlignment="1">
      <alignment horizontal="center" vertical="center"/>
    </xf>
    <xf numFmtId="0" fontId="13" fillId="0" borderId="14" xfId="0" applyFont="1" applyBorder="1" applyProtection="1">
      <protection locked="0"/>
    </xf>
    <xf numFmtId="0" fontId="13" fillId="0" borderId="15" xfId="0" applyFont="1" applyBorder="1"/>
    <xf numFmtId="0" fontId="18" fillId="2" borderId="11" xfId="3" applyFont="1" applyFill="1" applyBorder="1" applyAlignment="1">
      <alignment vertical="center"/>
    </xf>
    <xf numFmtId="0" fontId="18" fillId="2" borderId="12" xfId="3" applyFont="1" applyFill="1" applyBorder="1" applyAlignment="1">
      <alignment vertical="center"/>
    </xf>
    <xf numFmtId="0" fontId="12" fillId="0" borderId="0" xfId="0" applyFont="1"/>
    <xf numFmtId="0" fontId="4" fillId="0" borderId="14" xfId="0" applyFont="1" applyBorder="1"/>
    <xf numFmtId="0" fontId="4" fillId="0" borderId="15" xfId="0" applyFont="1" applyBorder="1"/>
    <xf numFmtId="0" fontId="4" fillId="0" borderId="16" xfId="0" applyFont="1" applyBorder="1" applyAlignment="1">
      <alignment horizontal="right"/>
    </xf>
    <xf numFmtId="1" fontId="13" fillId="2" borderId="16" xfId="0" applyNumberFormat="1" applyFont="1" applyFill="1" applyBorder="1" applyAlignment="1" applyProtection="1">
      <alignment horizontal="center"/>
      <protection locked="0"/>
    </xf>
    <xf numFmtId="1" fontId="13" fillId="2" borderId="16" xfId="0" applyNumberFormat="1" applyFont="1" applyFill="1" applyBorder="1" applyAlignment="1" applyProtection="1">
      <alignment horizontal="right"/>
      <protection locked="0"/>
    </xf>
    <xf numFmtId="0" fontId="4" fillId="0" borderId="17" xfId="0" applyFont="1" applyBorder="1"/>
    <xf numFmtId="0" fontId="4" fillId="0" borderId="18" xfId="0" applyFont="1" applyBorder="1"/>
    <xf numFmtId="0" fontId="4" fillId="0" borderId="19" xfId="0" applyFont="1" applyBorder="1" applyAlignment="1">
      <alignment horizontal="right"/>
    </xf>
    <xf numFmtId="1" fontId="13" fillId="0" borderId="19" xfId="0" applyNumberFormat="1" applyFont="1" applyBorder="1" applyAlignment="1" applyProtection="1">
      <alignment horizontal="center"/>
      <protection locked="0"/>
    </xf>
    <xf numFmtId="1" fontId="4" fillId="0" borderId="19" xfId="0" applyNumberFormat="1" applyFont="1" applyBorder="1" applyAlignment="1">
      <alignment horizontal="center"/>
    </xf>
    <xf numFmtId="167" fontId="4" fillId="0" borderId="19" xfId="0" applyNumberFormat="1" applyFont="1" applyBorder="1" applyAlignment="1">
      <alignment horizontal="center"/>
    </xf>
    <xf numFmtId="167" fontId="13" fillId="0" borderId="19" xfId="0" applyNumberFormat="1" applyFont="1" applyBorder="1" applyAlignment="1">
      <alignment horizontal="center"/>
    </xf>
    <xf numFmtId="2" fontId="4" fillId="0" borderId="19" xfId="2" applyNumberFormat="1" applyFont="1" applyBorder="1" applyAlignment="1">
      <alignment horizontal="center"/>
    </xf>
    <xf numFmtId="166" fontId="4" fillId="0" borderId="19" xfId="2" applyNumberFormat="1" applyFont="1" applyBorder="1" applyAlignment="1">
      <alignment horizontal="center"/>
    </xf>
    <xf numFmtId="0" fontId="4" fillId="0" borderId="20" xfId="0" applyFont="1" applyBorder="1"/>
    <xf numFmtId="0" fontId="4" fillId="0" borderId="21" xfId="0" applyFont="1" applyBorder="1"/>
    <xf numFmtId="0" fontId="4" fillId="0" borderId="22" xfId="0" applyFont="1" applyBorder="1" applyAlignment="1">
      <alignment horizontal="right"/>
    </xf>
    <xf numFmtId="169" fontId="4" fillId="0" borderId="22" xfId="0" applyNumberFormat="1" applyFont="1" applyBorder="1" applyAlignment="1">
      <alignment horizontal="center"/>
    </xf>
    <xf numFmtId="2" fontId="4" fillId="0" borderId="22" xfId="0" applyNumberFormat="1" applyFont="1" applyBorder="1" applyAlignment="1">
      <alignment horizontal="center"/>
    </xf>
    <xf numFmtId="2" fontId="4" fillId="0" borderId="22" xfId="2" applyNumberFormat="1" applyFont="1" applyBorder="1" applyAlignment="1">
      <alignment horizontal="center"/>
    </xf>
    <xf numFmtId="0" fontId="4" fillId="0" borderId="0" xfId="0" applyFont="1" applyAlignment="1">
      <alignment horizontal="right"/>
    </xf>
    <xf numFmtId="0" fontId="25" fillId="0" borderId="0" xfId="0" applyFont="1"/>
    <xf numFmtId="0" fontId="4" fillId="0" borderId="0" xfId="0" applyFont="1" applyAlignment="1">
      <alignment horizontal="left" indent="3"/>
    </xf>
    <xf numFmtId="167" fontId="25" fillId="0" borderId="0" xfId="0" applyNumberFormat="1" applyFont="1" applyAlignment="1">
      <alignment horizontal="right"/>
    </xf>
    <xf numFmtId="0" fontId="4" fillId="0" borderId="0" xfId="0" applyFont="1" applyAlignment="1" applyProtection="1">
      <alignment horizontal="left"/>
      <protection locked="0"/>
    </xf>
    <xf numFmtId="0" fontId="4" fillId="0" borderId="24" xfId="0" applyFont="1" applyBorder="1" applyAlignment="1">
      <alignment horizontal="center"/>
    </xf>
    <xf numFmtId="0" fontId="13" fillId="0" borderId="8" xfId="0" applyFont="1" applyBorder="1" applyAlignment="1">
      <alignment horizontal="centerContinuous"/>
    </xf>
    <xf numFmtId="0" fontId="4" fillId="0" borderId="8" xfId="0" applyFont="1" applyBorder="1" applyAlignment="1">
      <alignment horizontal="centerContinuous"/>
    </xf>
    <xf numFmtId="2" fontId="4" fillId="0" borderId="25" xfId="0" applyNumberFormat="1" applyFont="1" applyBorder="1" applyAlignment="1">
      <alignment horizontal="center"/>
    </xf>
    <xf numFmtId="167" fontId="4" fillId="0" borderId="25" xfId="0" applyNumberFormat="1" applyFont="1" applyBorder="1" applyAlignment="1">
      <alignment horizontal="center"/>
    </xf>
    <xf numFmtId="2" fontId="13" fillId="2" borderId="16" xfId="0" applyNumberFormat="1" applyFont="1" applyFill="1" applyBorder="1" applyAlignment="1" applyProtection="1">
      <alignment horizontal="right"/>
      <protection locked="0"/>
    </xf>
    <xf numFmtId="2" fontId="13" fillId="0" borderId="16" xfId="0" applyNumberFormat="1" applyFont="1" applyBorder="1" applyAlignment="1" applyProtection="1">
      <alignment horizontal="right"/>
      <protection locked="0"/>
    </xf>
    <xf numFmtId="170" fontId="4" fillId="0" borderId="16" xfId="0" applyNumberFormat="1" applyFont="1" applyBorder="1" applyAlignment="1">
      <alignment horizontal="right"/>
    </xf>
    <xf numFmtId="167" fontId="4" fillId="0" borderId="16" xfId="0" applyNumberFormat="1" applyFont="1" applyBorder="1" applyAlignment="1">
      <alignment horizontal="right"/>
    </xf>
    <xf numFmtId="2" fontId="4" fillId="0" borderId="26" xfId="0" applyNumberFormat="1" applyFont="1" applyBorder="1" applyAlignment="1">
      <alignment horizontal="center"/>
    </xf>
    <xf numFmtId="169" fontId="4" fillId="0" borderId="26" xfId="0" applyNumberFormat="1" applyFont="1" applyBorder="1" applyAlignment="1">
      <alignment horizontal="center"/>
    </xf>
    <xf numFmtId="2" fontId="13" fillId="2" borderId="19" xfId="0" applyNumberFormat="1" applyFont="1" applyFill="1" applyBorder="1" applyAlignment="1" applyProtection="1">
      <alignment horizontal="right"/>
      <protection locked="0"/>
    </xf>
    <xf numFmtId="2" fontId="4" fillId="0" borderId="27" xfId="0" applyNumberFormat="1" applyFont="1" applyBorder="1" applyAlignment="1">
      <alignment horizontal="center"/>
    </xf>
    <xf numFmtId="169" fontId="4" fillId="0" borderId="27" xfId="0" applyNumberFormat="1" applyFont="1" applyBorder="1" applyAlignment="1">
      <alignment horizontal="center"/>
    </xf>
    <xf numFmtId="2" fontId="13" fillId="2" borderId="22" xfId="0" applyNumberFormat="1" applyFont="1" applyFill="1" applyBorder="1" applyAlignment="1" applyProtection="1">
      <alignment horizontal="right"/>
      <protection locked="0"/>
    </xf>
    <xf numFmtId="167" fontId="4" fillId="0" borderId="3" xfId="0" applyNumberFormat="1" applyFont="1" applyBorder="1" applyAlignment="1">
      <alignment horizontal="center"/>
    </xf>
    <xf numFmtId="2" fontId="4" fillId="0" borderId="3" xfId="0" applyNumberFormat="1" applyFont="1" applyBorder="1" applyAlignment="1" applyProtection="1">
      <alignment horizontal="right"/>
      <protection locked="0"/>
    </xf>
    <xf numFmtId="167" fontId="4" fillId="0" borderId="3" xfId="0" applyNumberFormat="1" applyFont="1" applyBorder="1" applyAlignment="1">
      <alignment horizontal="right"/>
    </xf>
    <xf numFmtId="170" fontId="4" fillId="0" borderId="3" xfId="0" applyNumberFormat="1" applyFont="1" applyBorder="1" applyAlignment="1">
      <alignment horizontal="right"/>
    </xf>
    <xf numFmtId="0" fontId="39" fillId="2" borderId="0" xfId="3" applyFont="1" applyFill="1" applyAlignment="1">
      <alignment vertical="center"/>
    </xf>
    <xf numFmtId="0" fontId="37" fillId="0" borderId="0" xfId="3" applyFont="1" applyAlignment="1">
      <alignment vertical="center"/>
    </xf>
    <xf numFmtId="0" fontId="39" fillId="0" borderId="0" xfId="3" applyFont="1" applyAlignment="1">
      <alignment vertical="center"/>
    </xf>
    <xf numFmtId="2" fontId="4" fillId="0" borderId="0" xfId="2" applyNumberFormat="1" applyFont="1" applyBorder="1" applyAlignment="1">
      <alignment horizontal="center"/>
    </xf>
    <xf numFmtId="166" fontId="4" fillId="0" borderId="0" xfId="2" applyNumberFormat="1" applyFont="1" applyBorder="1" applyAlignment="1">
      <alignment horizontal="center"/>
    </xf>
    <xf numFmtId="0" fontId="151" fillId="2" borderId="0" xfId="0" applyFont="1" applyFill="1" applyAlignment="1">
      <alignment horizontal="center" vertical="center"/>
    </xf>
    <xf numFmtId="43" fontId="101" fillId="0" borderId="0" xfId="2" applyFont="1" applyAlignment="1">
      <alignment horizontal="center" vertical="center"/>
    </xf>
    <xf numFmtId="0" fontId="101" fillId="2" borderId="0" xfId="0" applyFont="1" applyFill="1" applyAlignment="1">
      <alignment horizontal="left" vertical="center"/>
    </xf>
    <xf numFmtId="0" fontId="101" fillId="2" borderId="0" xfId="0" applyFont="1" applyFill="1" applyAlignment="1">
      <alignment horizontal="center" vertical="center"/>
    </xf>
    <xf numFmtId="3" fontId="0" fillId="0" borderId="0" xfId="0" applyNumberFormat="1" applyAlignment="1">
      <alignment horizontal="right"/>
    </xf>
    <xf numFmtId="0" fontId="4" fillId="0" borderId="81" xfId="0" applyFont="1" applyBorder="1"/>
    <xf numFmtId="0" fontId="4" fillId="0" borderId="66" xfId="0" applyFont="1" applyBorder="1"/>
    <xf numFmtId="0" fontId="4" fillId="0" borderId="115" xfId="0" applyFont="1" applyBorder="1" applyAlignment="1">
      <alignment horizontal="right"/>
    </xf>
    <xf numFmtId="0" fontId="8" fillId="0" borderId="2" xfId="0" applyFont="1" applyBorder="1"/>
    <xf numFmtId="0" fontId="8" fillId="0" borderId="3" xfId="0" applyFont="1" applyBorder="1"/>
    <xf numFmtId="0" fontId="4" fillId="0" borderId="3" xfId="0" applyFont="1" applyBorder="1"/>
    <xf numFmtId="0" fontId="4" fillId="0" borderId="9" xfId="0" applyFont="1" applyBorder="1" applyAlignment="1">
      <alignment horizontal="centerContinuous"/>
    </xf>
    <xf numFmtId="0" fontId="4" fillId="0" borderId="12" xfId="0" applyFont="1" applyBorder="1" applyAlignment="1">
      <alignment horizontal="centerContinuous"/>
    </xf>
    <xf numFmtId="2" fontId="4" fillId="0" borderId="14" xfId="0" applyNumberFormat="1" applyFont="1" applyBorder="1" applyAlignment="1">
      <alignment horizontal="left"/>
    </xf>
    <xf numFmtId="2" fontId="4" fillId="0" borderId="15" xfId="0" applyNumberFormat="1" applyFont="1" applyBorder="1" applyAlignment="1">
      <alignment horizontal="left"/>
    </xf>
    <xf numFmtId="0" fontId="4" fillId="0" borderId="15" xfId="0" applyFont="1" applyBorder="1" applyAlignment="1">
      <alignment horizontal="right"/>
    </xf>
    <xf numFmtId="0" fontId="4" fillId="0" borderId="17" xfId="0" applyFont="1" applyBorder="1" applyAlignment="1">
      <alignment horizontal="left"/>
    </xf>
    <xf numFmtId="0" fontId="4" fillId="0" borderId="18" xfId="0" applyFont="1" applyBorder="1" applyAlignment="1">
      <alignment horizontal="left"/>
    </xf>
    <xf numFmtId="0" fontId="4" fillId="0" borderId="18" xfId="0" applyFont="1" applyBorder="1" applyAlignment="1">
      <alignment horizontal="right"/>
    </xf>
    <xf numFmtId="2" fontId="4" fillId="0" borderId="26" xfId="0" applyNumberFormat="1" applyFont="1" applyBorder="1" applyAlignment="1" applyProtection="1">
      <alignment horizontal="right"/>
      <protection locked="0"/>
    </xf>
    <xf numFmtId="2" fontId="4" fillId="0" borderId="26" xfId="0" applyNumberFormat="1" applyFont="1" applyBorder="1" applyAlignment="1">
      <alignment horizontal="right"/>
    </xf>
    <xf numFmtId="0" fontId="4" fillId="0" borderId="20" xfId="0" applyFont="1" applyBorder="1" applyAlignment="1">
      <alignment horizontal="left"/>
    </xf>
    <xf numFmtId="0" fontId="4" fillId="0" borderId="21" xfId="0" applyFont="1" applyBorder="1" applyAlignment="1">
      <alignment horizontal="left"/>
    </xf>
    <xf numFmtId="0" fontId="4" fillId="0" borderId="21" xfId="0" applyFont="1" applyBorder="1" applyAlignment="1">
      <alignment horizontal="right"/>
    </xf>
    <xf numFmtId="2" fontId="4" fillId="0" borderId="27" xfId="0" applyNumberFormat="1" applyFont="1" applyBorder="1" applyAlignment="1">
      <alignment horizontal="right"/>
    </xf>
    <xf numFmtId="0" fontId="5" fillId="0" borderId="0" xfId="0" applyFont="1" applyAlignment="1">
      <alignment horizontal="centerContinuous"/>
    </xf>
    <xf numFmtId="0" fontId="5" fillId="0" borderId="0" xfId="0" applyFont="1" applyAlignment="1">
      <alignment horizontal="right"/>
    </xf>
    <xf numFmtId="2" fontId="5" fillId="0" borderId="0" xfId="0" applyNumberFormat="1" applyFont="1" applyAlignment="1" applyProtection="1">
      <alignment horizontal="right"/>
      <protection locked="0"/>
    </xf>
    <xf numFmtId="2" fontId="19" fillId="0" borderId="0" xfId="0" applyNumberFormat="1" applyFont="1" applyAlignment="1" applyProtection="1">
      <alignment horizontal="right"/>
      <protection locked="0"/>
    </xf>
    <xf numFmtId="2" fontId="7" fillId="0" borderId="0" xfId="0" applyNumberFormat="1" applyFont="1" applyAlignment="1" applyProtection="1">
      <alignment horizontal="right"/>
      <protection locked="0"/>
    </xf>
    <xf numFmtId="0" fontId="5" fillId="0" borderId="0" xfId="0" applyFont="1" applyAlignment="1">
      <alignment horizontal="left"/>
    </xf>
    <xf numFmtId="2" fontId="5" fillId="0" borderId="0" xfId="0" applyNumberFormat="1" applyFont="1" applyAlignment="1">
      <alignment horizontal="right"/>
    </xf>
    <xf numFmtId="2" fontId="19" fillId="0" borderId="0" xfId="0" applyNumberFormat="1" applyFont="1" applyAlignment="1">
      <alignment horizontal="right"/>
    </xf>
    <xf numFmtId="2" fontId="7" fillId="0" borderId="0" xfId="0" applyNumberFormat="1" applyFont="1" applyAlignment="1">
      <alignment horizontal="right"/>
    </xf>
    <xf numFmtId="2" fontId="20" fillId="0" borderId="0" xfId="0" applyNumberFormat="1" applyFont="1"/>
    <xf numFmtId="2" fontId="21" fillId="0" borderId="0" xfId="0" applyNumberFormat="1" applyFont="1"/>
    <xf numFmtId="0" fontId="13" fillId="2" borderId="16" xfId="2" applyNumberFormat="1" applyFont="1" applyFill="1" applyBorder="1" applyAlignment="1" applyProtection="1">
      <alignment horizontal="right"/>
      <protection locked="0"/>
    </xf>
    <xf numFmtId="165" fontId="13" fillId="2" borderId="16" xfId="2" applyNumberFormat="1" applyFont="1" applyFill="1" applyBorder="1" applyAlignment="1" applyProtection="1">
      <alignment horizontal="right"/>
      <protection locked="0"/>
    </xf>
    <xf numFmtId="1" fontId="13" fillId="23" borderId="115" xfId="0" applyNumberFormat="1" applyFont="1" applyFill="1" applyBorder="1" applyAlignment="1" applyProtection="1">
      <alignment horizontal="center"/>
      <protection locked="0"/>
    </xf>
    <xf numFmtId="1" fontId="13" fillId="23" borderId="115" xfId="0" applyNumberFormat="1" applyFont="1" applyFill="1" applyBorder="1" applyAlignment="1" applyProtection="1">
      <alignment horizontal="right"/>
      <protection locked="0"/>
    </xf>
    <xf numFmtId="0" fontId="13" fillId="23" borderId="115" xfId="2" applyNumberFormat="1" applyFont="1" applyFill="1" applyBorder="1" applyAlignment="1" applyProtection="1">
      <alignment horizontal="right"/>
      <protection locked="0"/>
    </xf>
    <xf numFmtId="165" fontId="13" fillId="23" borderId="115" xfId="2" applyNumberFormat="1" applyFont="1" applyFill="1" applyBorder="1" applyAlignment="1" applyProtection="1">
      <alignment horizontal="right"/>
      <protection locked="0"/>
    </xf>
    <xf numFmtId="0" fontId="12" fillId="23" borderId="0" xfId="0" applyFont="1" applyFill="1" applyAlignment="1">
      <alignment horizontal="center"/>
    </xf>
    <xf numFmtId="1" fontId="13" fillId="0" borderId="19" xfId="0" applyNumberFormat="1" applyFont="1" applyBorder="1" applyAlignment="1">
      <alignment horizontal="right"/>
    </xf>
    <xf numFmtId="2" fontId="4" fillId="2" borderId="25" xfId="0" applyNumberFormat="1" applyFont="1" applyFill="1" applyBorder="1" applyAlignment="1" applyProtection="1">
      <alignment horizontal="right"/>
      <protection locked="0"/>
    </xf>
    <xf numFmtId="2" fontId="4" fillId="2" borderId="26" xfId="0" applyNumberFormat="1" applyFont="1" applyFill="1" applyBorder="1" applyAlignment="1" applyProtection="1">
      <alignment horizontal="right"/>
      <protection locked="0"/>
    </xf>
    <xf numFmtId="2" fontId="5" fillId="0" borderId="25" xfId="0" applyNumberFormat="1" applyFont="1" applyBorder="1" applyAlignment="1">
      <alignment horizontal="center"/>
    </xf>
    <xf numFmtId="1" fontId="5" fillId="0" borderId="25" xfId="0" applyNumberFormat="1" applyFont="1" applyBorder="1" applyAlignment="1">
      <alignment horizontal="center"/>
    </xf>
    <xf numFmtId="0" fontId="5" fillId="0" borderId="25" xfId="0" applyFont="1" applyBorder="1" applyAlignment="1">
      <alignment horizontal="center"/>
    </xf>
    <xf numFmtId="170" fontId="5" fillId="0" borderId="25" xfId="0" applyNumberFormat="1" applyFont="1" applyBorder="1" applyAlignment="1">
      <alignment horizontal="center"/>
    </xf>
    <xf numFmtId="2" fontId="5" fillId="0" borderId="27" xfId="0" applyNumberFormat="1" applyFont="1" applyBorder="1" applyAlignment="1">
      <alignment horizontal="center"/>
    </xf>
    <xf numFmtId="1" fontId="5" fillId="0" borderId="27" xfId="0" applyNumberFormat="1" applyFont="1" applyBorder="1" applyAlignment="1">
      <alignment horizontal="center"/>
    </xf>
    <xf numFmtId="170" fontId="5" fillId="0" borderId="27" xfId="0" applyNumberFormat="1" applyFont="1" applyBorder="1" applyAlignment="1">
      <alignment horizontal="center"/>
    </xf>
    <xf numFmtId="2" fontId="4" fillId="0" borderId="0" xfId="0" applyNumberFormat="1" applyFont="1" applyAlignment="1">
      <alignment horizontal="left"/>
    </xf>
    <xf numFmtId="2" fontId="13" fillId="0" borderId="19" xfId="0" applyNumberFormat="1" applyFont="1" applyBorder="1" applyAlignment="1" applyProtection="1">
      <alignment horizontal="center"/>
      <protection locked="0"/>
    </xf>
    <xf numFmtId="0" fontId="8" fillId="9" borderId="0" xfId="0" applyFont="1" applyFill="1"/>
    <xf numFmtId="0" fontId="8" fillId="9" borderId="0" xfId="0" applyFont="1" applyFill="1" applyAlignment="1">
      <alignment horizontal="left"/>
    </xf>
    <xf numFmtId="0" fontId="78" fillId="0" borderId="111" xfId="0" applyFont="1" applyBorder="1"/>
    <xf numFmtId="0" fontId="10" fillId="0" borderId="111" xfId="0" applyFont="1" applyBorder="1"/>
    <xf numFmtId="0" fontId="128" fillId="0" borderId="75" xfId="0" applyFont="1" applyBorder="1"/>
    <xf numFmtId="169" fontId="0" fillId="2" borderId="0" xfId="0" applyNumberFormat="1" applyFill="1"/>
    <xf numFmtId="2" fontId="0" fillId="2" borderId="0" xfId="0" applyNumberFormat="1" applyFill="1"/>
    <xf numFmtId="170" fontId="0" fillId="2" borderId="0" xfId="0" applyNumberFormat="1" applyFill="1"/>
    <xf numFmtId="2" fontId="2" fillId="0" borderId="54" xfId="0" applyNumberFormat="1" applyFont="1" applyBorder="1" applyAlignment="1">
      <alignment horizontal="center"/>
    </xf>
    <xf numFmtId="0" fontId="0" fillId="0" borderId="54" xfId="0" applyBorder="1" applyAlignment="1">
      <alignment vertical="center"/>
    </xf>
    <xf numFmtId="0" fontId="11" fillId="0" borderId="0" xfId="0" applyFont="1"/>
    <xf numFmtId="0" fontId="4" fillId="0" borderId="111" xfId="0" applyFont="1" applyBorder="1"/>
    <xf numFmtId="0" fontId="4" fillId="0" borderId="111" xfId="0" applyFont="1" applyBorder="1" applyAlignment="1">
      <alignment horizontal="left"/>
    </xf>
    <xf numFmtId="0" fontId="5" fillId="0" borderId="0" xfId="0" applyFont="1" applyAlignment="1">
      <alignment vertical="center" wrapText="1"/>
    </xf>
    <xf numFmtId="0" fontId="153" fillId="0" borderId="0" xfId="9" applyFont="1" applyAlignment="1">
      <alignment horizontal="centerContinuous"/>
    </xf>
    <xf numFmtId="0" fontId="153" fillId="0" borderId="0" xfId="9" applyFont="1"/>
    <xf numFmtId="0" fontId="154" fillId="0" borderId="0" xfId="9" applyFont="1"/>
    <xf numFmtId="0" fontId="153" fillId="0" borderId="0" xfId="9" applyFont="1" applyAlignment="1">
      <alignment horizontal="right"/>
    </xf>
    <xf numFmtId="0" fontId="153" fillId="0" borderId="14" xfId="9" applyFont="1" applyBorder="1"/>
    <xf numFmtId="0" fontId="153" fillId="0" borderId="15" xfId="9" applyFont="1" applyBorder="1"/>
    <xf numFmtId="0" fontId="153" fillId="0" borderId="121" xfId="9" applyFont="1" applyBorder="1"/>
    <xf numFmtId="0" fontId="153" fillId="0" borderId="17" xfId="9" applyFont="1" applyBorder="1"/>
    <xf numFmtId="0" fontId="153" fillId="0" borderId="18" xfId="9" applyFont="1" applyBorder="1"/>
    <xf numFmtId="0" fontId="153" fillId="0" borderId="57" xfId="9" applyFont="1" applyBorder="1" applyAlignment="1">
      <alignment horizontal="right"/>
    </xf>
    <xf numFmtId="0" fontId="101" fillId="0" borderId="123" xfId="1" applyFont="1" applyFill="1" applyBorder="1" applyAlignment="1" applyProtection="1">
      <alignment horizontal="center" vertical="center"/>
      <protection locked="0"/>
    </xf>
    <xf numFmtId="0" fontId="155" fillId="0" borderId="57" xfId="9" applyFont="1" applyBorder="1" applyAlignment="1">
      <alignment horizontal="right"/>
    </xf>
    <xf numFmtId="167" fontId="101" fillId="0" borderId="124" xfId="1" applyNumberFormat="1" applyFont="1" applyBorder="1" applyAlignment="1">
      <alignment horizontal="center" vertical="center"/>
    </xf>
    <xf numFmtId="0" fontId="153" fillId="0" borderId="18" xfId="9" applyFont="1" applyBorder="1" applyAlignment="1">
      <alignment horizontal="right"/>
    </xf>
    <xf numFmtId="0" fontId="153" fillId="0" borderId="20" xfId="9" applyFont="1" applyBorder="1"/>
    <xf numFmtId="0" fontId="153" fillId="0" borderId="21" xfId="9" applyFont="1" applyBorder="1"/>
    <xf numFmtId="0" fontId="153" fillId="0" borderId="21" xfId="9" applyFont="1" applyBorder="1" applyAlignment="1">
      <alignment horizontal="right"/>
    </xf>
    <xf numFmtId="0" fontId="153" fillId="0" borderId="40" xfId="9" applyFont="1" applyBorder="1"/>
    <xf numFmtId="167" fontId="151" fillId="0" borderId="20" xfId="1" applyNumberFormat="1" applyFont="1" applyBorder="1" applyAlignment="1">
      <alignment horizontal="centerContinuous" vertical="center"/>
    </xf>
    <xf numFmtId="0" fontId="101" fillId="0" borderId="0" xfId="1" applyFont="1" applyAlignment="1">
      <alignment horizontal="center" vertical="center"/>
    </xf>
    <xf numFmtId="0" fontId="153" fillId="0" borderId="122" xfId="9" applyFont="1" applyBorder="1" applyAlignment="1">
      <alignment horizontal="center"/>
    </xf>
    <xf numFmtId="0" fontId="153" fillId="0" borderId="55" xfId="9" applyFont="1" applyBorder="1" applyAlignment="1">
      <alignment horizontal="center"/>
    </xf>
    <xf numFmtId="2" fontId="153" fillId="0" borderId="55" xfId="9" applyNumberFormat="1" applyFont="1" applyBorder="1" applyAlignment="1">
      <alignment horizontal="center"/>
    </xf>
    <xf numFmtId="2" fontId="153" fillId="0" borderId="57" xfId="9" applyNumberFormat="1" applyFont="1" applyBorder="1" applyAlignment="1">
      <alignment horizontal="right"/>
    </xf>
    <xf numFmtId="2" fontId="153" fillId="0" borderId="40" xfId="9" applyNumberFormat="1" applyFont="1" applyBorder="1" applyAlignment="1">
      <alignment horizontal="right"/>
    </xf>
    <xf numFmtId="170" fontId="153" fillId="0" borderId="0" xfId="9" applyNumberFormat="1" applyFont="1"/>
    <xf numFmtId="170" fontId="101" fillId="0" borderId="0" xfId="1" applyNumberFormat="1" applyFont="1" applyAlignment="1">
      <alignment horizontal="center"/>
    </xf>
    <xf numFmtId="0" fontId="153" fillId="0" borderId="15" xfId="9" applyFont="1" applyBorder="1" applyAlignment="1">
      <alignment horizontal="right"/>
    </xf>
    <xf numFmtId="0" fontId="153" fillId="0" borderId="121" xfId="9" applyFont="1" applyBorder="1" applyAlignment="1">
      <alignment horizontal="right"/>
    </xf>
    <xf numFmtId="0" fontId="153" fillId="0" borderId="40" xfId="9" applyFont="1" applyBorder="1" applyAlignment="1">
      <alignment horizontal="right"/>
    </xf>
    <xf numFmtId="167" fontId="101" fillId="0" borderId="0" xfId="1" applyNumberFormat="1" applyFont="1" applyAlignment="1">
      <alignment horizontal="center" vertical="center"/>
    </xf>
    <xf numFmtId="0" fontId="153" fillId="25" borderId="0" xfId="9" applyFont="1" applyFill="1" applyAlignment="1">
      <alignment horizontal="center"/>
    </xf>
    <xf numFmtId="0" fontId="98" fillId="25" borderId="0" xfId="9" applyFont="1" applyFill="1" applyAlignment="1">
      <alignment horizontal="center"/>
    </xf>
    <xf numFmtId="22" fontId="153" fillId="0" borderId="0" xfId="9" applyNumberFormat="1" applyFont="1" applyAlignment="1">
      <alignment horizontal="centerContinuous"/>
    </xf>
    <xf numFmtId="0" fontId="153" fillId="0" borderId="0" xfId="9" applyFont="1" applyAlignment="1">
      <alignment horizontal="center"/>
    </xf>
    <xf numFmtId="0" fontId="156" fillId="25" borderId="0" xfId="9" applyFont="1" applyFill="1" applyAlignment="1">
      <alignment horizontal="center"/>
    </xf>
    <xf numFmtId="167" fontId="156" fillId="25" borderId="0" xfId="9" applyNumberFormat="1" applyFont="1" applyFill="1" applyAlignment="1">
      <alignment horizontal="center"/>
    </xf>
    <xf numFmtId="0" fontId="14" fillId="0" borderId="0" xfId="9" applyFont="1"/>
    <xf numFmtId="167" fontId="98" fillId="25" borderId="0" xfId="9" applyNumberFormat="1" applyFont="1" applyFill="1" applyAlignment="1">
      <alignment horizontal="center"/>
    </xf>
    <xf numFmtId="2" fontId="98" fillId="25" borderId="0" xfId="9" applyNumberFormat="1" applyFont="1" applyFill="1" applyAlignment="1">
      <alignment horizontal="center"/>
    </xf>
    <xf numFmtId="16" fontId="10" fillId="0" borderId="0" xfId="0" applyNumberFormat="1" applyFont="1"/>
    <xf numFmtId="0" fontId="157" fillId="0" borderId="0" xfId="0" applyFont="1"/>
    <xf numFmtId="2" fontId="158" fillId="0" borderId="0" xfId="0" applyNumberFormat="1" applyFont="1"/>
    <xf numFmtId="0" fontId="2" fillId="9" borderId="0" xfId="0" applyFont="1" applyFill="1"/>
    <xf numFmtId="0" fontId="2" fillId="9" borderId="0" xfId="0" applyFont="1" applyFill="1" applyAlignment="1">
      <alignment horizontal="left"/>
    </xf>
    <xf numFmtId="0" fontId="10" fillId="0" borderId="0" xfId="0" applyFont="1" applyAlignment="1">
      <alignment horizontal="left"/>
    </xf>
    <xf numFmtId="0" fontId="74" fillId="8" borderId="0" xfId="0" applyFont="1" applyFill="1" applyAlignment="1">
      <alignment vertical="center"/>
    </xf>
    <xf numFmtId="0" fontId="74" fillId="8" borderId="127" xfId="0" applyFont="1" applyFill="1" applyBorder="1" applyAlignment="1">
      <alignment vertical="center"/>
    </xf>
    <xf numFmtId="0" fontId="78" fillId="0" borderId="127" xfId="0" applyFont="1" applyBorder="1" applyAlignment="1">
      <alignment vertical="center"/>
    </xf>
    <xf numFmtId="0" fontId="78" fillId="0" borderId="127" xfId="0" applyFont="1" applyBorder="1"/>
    <xf numFmtId="0" fontId="10" fillId="0" borderId="128" xfId="0" applyFont="1" applyBorder="1" applyAlignment="1">
      <alignment vertical="center"/>
    </xf>
    <xf numFmtId="0" fontId="10" fillId="0" borderId="128" xfId="0" applyFont="1" applyBorder="1"/>
    <xf numFmtId="0" fontId="163" fillId="0" borderId="0" xfId="0" applyFont="1"/>
    <xf numFmtId="0" fontId="164" fillId="8" borderId="0" xfId="0" applyFont="1" applyFill="1" applyAlignment="1">
      <alignment vertical="center"/>
    </xf>
    <xf numFmtId="0" fontId="164" fillId="8" borderId="127" xfId="0" applyFont="1" applyFill="1" applyBorder="1" applyAlignment="1">
      <alignment vertical="center"/>
    </xf>
    <xf numFmtId="0" fontId="165" fillId="8" borderId="0" xfId="0" applyFont="1" applyFill="1" applyAlignment="1">
      <alignment vertical="center"/>
    </xf>
    <xf numFmtId="0" fontId="165" fillId="8" borderId="127" xfId="0" applyFont="1" applyFill="1" applyBorder="1" applyAlignment="1">
      <alignment vertical="center"/>
    </xf>
    <xf numFmtId="0" fontId="78" fillId="9" borderId="0" xfId="0" applyFont="1" applyFill="1"/>
    <xf numFmtId="0" fontId="4" fillId="9" borderId="0" xfId="0" applyFont="1" applyFill="1" applyAlignment="1">
      <alignment horizontal="left"/>
    </xf>
    <xf numFmtId="0" fontId="78" fillId="9" borderId="111" xfId="0" applyFont="1" applyFill="1" applyBorder="1"/>
    <xf numFmtId="0" fontId="4" fillId="9" borderId="111" xfId="0" applyFont="1" applyFill="1" applyBorder="1"/>
    <xf numFmtId="0" fontId="10" fillId="0" borderId="129" xfId="0" applyFont="1" applyBorder="1"/>
    <xf numFmtId="0" fontId="10" fillId="0" borderId="126" xfId="0" applyFont="1" applyBorder="1" applyAlignment="1">
      <alignment horizontal="left"/>
    </xf>
    <xf numFmtId="177" fontId="10" fillId="0" borderId="0" xfId="0" applyNumberFormat="1" applyFont="1" applyAlignment="1">
      <alignment vertical="top"/>
    </xf>
    <xf numFmtId="0" fontId="87" fillId="26" borderId="9" xfId="0" applyFont="1" applyFill="1" applyBorder="1" applyAlignment="1">
      <alignment horizontal="center" vertical="center"/>
    </xf>
    <xf numFmtId="0" fontId="87" fillId="26" borderId="10" xfId="0" applyFont="1" applyFill="1" applyBorder="1" applyAlignment="1">
      <alignment horizontal="center" vertical="center"/>
    </xf>
    <xf numFmtId="0" fontId="154" fillId="0" borderId="1" xfId="9" applyFont="1" applyBorder="1"/>
    <xf numFmtId="1" fontId="153" fillId="0" borderId="125" xfId="9" applyNumberFormat="1" applyFont="1" applyBorder="1" applyAlignment="1">
      <alignment horizontal="center"/>
    </xf>
    <xf numFmtId="167" fontId="151" fillId="0" borderId="20" xfId="1" applyNumberFormat="1" applyFont="1" applyBorder="1" applyAlignment="1">
      <alignment horizontal="center" vertical="center"/>
    </xf>
    <xf numFmtId="170" fontId="153" fillId="0" borderId="122" xfId="9" applyNumberFormat="1" applyFont="1" applyBorder="1" applyAlignment="1">
      <alignment horizontal="center"/>
    </xf>
    <xf numFmtId="1" fontId="101" fillId="0" borderId="14" xfId="1" applyNumberFormat="1" applyFont="1" applyFill="1" applyBorder="1" applyAlignment="1" applyProtection="1">
      <alignment horizontal="center" vertical="center"/>
      <protection locked="0"/>
    </xf>
    <xf numFmtId="167" fontId="101" fillId="0" borderId="17" xfId="1" applyNumberFormat="1" applyFont="1" applyBorder="1" applyAlignment="1">
      <alignment horizontal="center" vertical="center"/>
    </xf>
    <xf numFmtId="2" fontId="153" fillId="0" borderId="125" xfId="9" applyNumberFormat="1" applyFont="1" applyBorder="1" applyAlignment="1">
      <alignment horizontal="center"/>
    </xf>
    <xf numFmtId="2" fontId="153" fillId="0" borderId="0" xfId="9" applyNumberFormat="1" applyFont="1" applyAlignment="1">
      <alignment horizontal="center"/>
    </xf>
    <xf numFmtId="2" fontId="153" fillId="0" borderId="122" xfId="9" applyNumberFormat="1" applyFont="1" applyBorder="1" applyAlignment="1">
      <alignment horizontal="center"/>
    </xf>
    <xf numFmtId="167" fontId="151" fillId="0" borderId="14" xfId="1" applyNumberFormat="1" applyFont="1" applyBorder="1" applyAlignment="1">
      <alignment horizontal="center" vertical="center"/>
    </xf>
    <xf numFmtId="167" fontId="151" fillId="0" borderId="17" xfId="1" applyNumberFormat="1" applyFont="1" applyBorder="1" applyAlignment="1">
      <alignment horizontal="center" vertical="center"/>
    </xf>
    <xf numFmtId="182" fontId="86" fillId="0" borderId="0" xfId="1" applyNumberFormat="1" applyFont="1" applyAlignment="1" applyProtection="1">
      <alignment horizontal="center"/>
      <protection hidden="1"/>
    </xf>
    <xf numFmtId="170" fontId="13" fillId="2" borderId="56" xfId="0" applyNumberFormat="1" applyFont="1" applyFill="1" applyBorder="1" applyAlignment="1" applyProtection="1">
      <alignment horizontal="right" vertical="center"/>
      <protection locked="0"/>
    </xf>
    <xf numFmtId="178" fontId="0" fillId="0" borderId="0" xfId="0" applyNumberFormat="1"/>
    <xf numFmtId="0" fontId="3" fillId="0" borderId="0" xfId="0" quotePrefix="1" applyFont="1" applyAlignment="1">
      <alignment vertical="center"/>
    </xf>
    <xf numFmtId="177" fontId="3" fillId="0" borderId="0" xfId="0" applyNumberFormat="1" applyFont="1" applyAlignment="1">
      <alignment horizontal="left" vertical="center"/>
    </xf>
    <xf numFmtId="0" fontId="167" fillId="0" borderId="0" xfId="0" applyFont="1" applyAlignment="1">
      <alignment vertical="center"/>
    </xf>
    <xf numFmtId="164" fontId="167" fillId="0" borderId="0" xfId="0" applyNumberFormat="1" applyFont="1"/>
    <xf numFmtId="0" fontId="112" fillId="0" borderId="130" xfId="0" applyFont="1" applyBorder="1" applyAlignment="1">
      <alignment vertical="center"/>
    </xf>
    <xf numFmtId="0" fontId="112" fillId="0" borderId="132" xfId="0" applyFont="1" applyBorder="1" applyAlignment="1">
      <alignment horizontal="center" textRotation="90"/>
    </xf>
    <xf numFmtId="0" fontId="3" fillId="0" borderId="54" xfId="0" applyFont="1" applyBorder="1" applyAlignment="1">
      <alignment horizontal="center" vertical="center"/>
    </xf>
    <xf numFmtId="0" fontId="3" fillId="0" borderId="54" xfId="0" applyFont="1" applyBorder="1" applyAlignment="1">
      <alignment horizontal="left" vertical="center"/>
    </xf>
    <xf numFmtId="0" fontId="3" fillId="0" borderId="54" xfId="0" applyFont="1" applyBorder="1" applyAlignment="1">
      <alignment vertical="center"/>
    </xf>
    <xf numFmtId="0" fontId="3" fillId="0" borderId="54" xfId="0" quotePrefix="1" applyFont="1" applyBorder="1" applyAlignment="1">
      <alignment vertical="center"/>
    </xf>
    <xf numFmtId="167" fontId="101" fillId="2" borderId="124" xfId="1" applyNumberFormat="1" applyFont="1" applyFill="1" applyBorder="1" applyAlignment="1" applyProtection="1">
      <alignment horizontal="center" vertical="center"/>
      <protection locked="0"/>
    </xf>
    <xf numFmtId="1" fontId="101" fillId="2" borderId="124" xfId="1" applyNumberFormat="1" applyFont="1" applyFill="1" applyBorder="1" applyAlignment="1" applyProtection="1">
      <alignment horizontal="center" vertical="center"/>
      <protection locked="0"/>
    </xf>
    <xf numFmtId="0" fontId="153" fillId="2" borderId="55" xfId="9" applyFont="1" applyFill="1" applyBorder="1" applyAlignment="1">
      <alignment horizontal="center"/>
    </xf>
    <xf numFmtId="0" fontId="0" fillId="0" borderId="112" xfId="0" applyBorder="1"/>
    <xf numFmtId="167" fontId="101" fillId="2" borderId="17" xfId="1" applyNumberFormat="1" applyFont="1" applyFill="1" applyBorder="1" applyAlignment="1">
      <alignment horizontal="center" vertical="center"/>
    </xf>
    <xf numFmtId="0" fontId="78" fillId="0" borderId="0" xfId="0" applyFont="1" applyAlignment="1">
      <alignment vertical="center" wrapText="1"/>
    </xf>
    <xf numFmtId="164" fontId="4" fillId="0" borderId="0" xfId="0" applyNumberFormat="1" applyFont="1" applyAlignment="1">
      <alignment vertical="top"/>
    </xf>
    <xf numFmtId="177" fontId="10" fillId="0" borderId="46" xfId="0" applyNumberFormat="1" applyFont="1" applyBorder="1" applyAlignment="1">
      <alignment vertical="top"/>
    </xf>
    <xf numFmtId="177" fontId="5" fillId="0" borderId="0" xfId="0" applyNumberFormat="1" applyFont="1" applyAlignment="1">
      <alignment vertical="top"/>
    </xf>
    <xf numFmtId="177" fontId="5" fillId="0" borderId="46" xfId="0" applyNumberFormat="1" applyFont="1" applyBorder="1" applyAlignment="1">
      <alignment vertical="top"/>
    </xf>
    <xf numFmtId="2" fontId="10" fillId="0" borderId="0" xfId="0" applyNumberFormat="1" applyFont="1" applyAlignment="1">
      <alignment horizontal="left" vertical="center"/>
    </xf>
    <xf numFmtId="0" fontId="3" fillId="0" borderId="0" xfId="0" applyFont="1" applyAlignment="1">
      <alignment horizontal="center" vertical="center"/>
    </xf>
    <xf numFmtId="0" fontId="3" fillId="27" borderId="54" xfId="0" applyFont="1" applyFill="1" applyBorder="1" applyAlignment="1">
      <alignment horizontal="center" vertical="center"/>
    </xf>
    <xf numFmtId="0" fontId="3" fillId="27" borderId="54" xfId="0" applyFont="1" applyFill="1" applyBorder="1" applyAlignment="1">
      <alignment vertical="center"/>
    </xf>
    <xf numFmtId="2" fontId="3" fillId="27" borderId="54" xfId="0" applyNumberFormat="1" applyFont="1" applyFill="1" applyBorder="1" applyAlignment="1">
      <alignment vertical="center"/>
    </xf>
    <xf numFmtId="0" fontId="122" fillId="0" borderId="141" xfId="0" applyFont="1" applyBorder="1" applyAlignment="1">
      <alignment horizontal="center" vertical="center"/>
    </xf>
    <xf numFmtId="2" fontId="3" fillId="0" borderId="116" xfId="0" applyNumberFormat="1" applyFont="1" applyBorder="1" applyAlignment="1">
      <alignment vertical="center"/>
    </xf>
    <xf numFmtId="2" fontId="3" fillId="27" borderId="116" xfId="0" applyNumberFormat="1" applyFont="1" applyFill="1" applyBorder="1" applyAlignment="1">
      <alignment vertical="center"/>
    </xf>
    <xf numFmtId="0" fontId="3" fillId="27" borderId="116" xfId="0" applyFont="1" applyFill="1" applyBorder="1" applyAlignment="1">
      <alignment vertical="center"/>
    </xf>
    <xf numFmtId="0" fontId="3" fillId="0" borderId="116" xfId="0" applyFont="1" applyBorder="1" applyAlignment="1">
      <alignment vertical="center"/>
    </xf>
    <xf numFmtId="0" fontId="19" fillId="0" borderId="141" xfId="0" applyFont="1" applyBorder="1" applyAlignment="1">
      <alignment horizontal="center" vertical="center"/>
    </xf>
    <xf numFmtId="0" fontId="165" fillId="8" borderId="42" xfId="0" applyFont="1" applyFill="1" applyBorder="1" applyAlignment="1">
      <alignment vertical="center"/>
    </xf>
    <xf numFmtId="164" fontId="10" fillId="0" borderId="0" xfId="0" applyNumberFormat="1" applyFont="1" applyAlignment="1">
      <alignment vertical="top"/>
    </xf>
    <xf numFmtId="0" fontId="8" fillId="9" borderId="111" xfId="0" applyFont="1" applyFill="1" applyBorder="1"/>
    <xf numFmtId="0" fontId="8" fillId="9" borderId="111" xfId="0" applyFont="1" applyFill="1" applyBorder="1" applyAlignment="1">
      <alignment horizontal="left"/>
    </xf>
    <xf numFmtId="2" fontId="10" fillId="0" borderId="69" xfId="0" applyNumberFormat="1" applyFont="1" applyBorder="1"/>
    <xf numFmtId="0" fontId="170" fillId="0" borderId="0" xfId="0" applyFont="1"/>
    <xf numFmtId="0" fontId="79" fillId="0" borderId="0" xfId="0" applyFont="1"/>
    <xf numFmtId="0" fontId="4" fillId="0" borderId="104" xfId="0" applyFont="1" applyBorder="1"/>
    <xf numFmtId="177" fontId="10" fillId="0" borderId="101" xfId="0" applyNumberFormat="1" applyFont="1" applyBorder="1" applyAlignment="1">
      <alignment vertical="top"/>
    </xf>
    <xf numFmtId="0" fontId="10" fillId="0" borderId="101" xfId="0" applyFont="1" applyBorder="1" applyAlignment="1">
      <alignment horizontal="left" vertical="center"/>
    </xf>
    <xf numFmtId="0" fontId="10" fillId="0" borderId="101" xfId="0" applyFont="1" applyBorder="1" applyAlignment="1">
      <alignment vertical="top"/>
    </xf>
    <xf numFmtId="164" fontId="10" fillId="0" borderId="101" xfId="0" applyNumberFormat="1" applyFont="1" applyBorder="1" applyAlignment="1">
      <alignment vertical="top"/>
    </xf>
    <xf numFmtId="0" fontId="4" fillId="0" borderId="107" xfId="0" applyFont="1" applyBorder="1" applyAlignment="1">
      <alignment horizontal="left" vertical="center"/>
    </xf>
    <xf numFmtId="0" fontId="4" fillId="0" borderId="107" xfId="0" applyFont="1" applyBorder="1" applyAlignment="1">
      <alignment vertical="top"/>
    </xf>
    <xf numFmtId="0" fontId="4" fillId="0" borderId="107" xfId="0" applyFont="1" applyBorder="1" applyAlignment="1">
      <alignment horizontal="left" vertical="top"/>
    </xf>
    <xf numFmtId="0" fontId="4" fillId="0" borderId="107" xfId="0" applyFont="1" applyBorder="1"/>
    <xf numFmtId="0" fontId="4" fillId="0" borderId="103" xfId="0" applyFont="1" applyBorder="1"/>
    <xf numFmtId="2" fontId="28" fillId="0" borderId="9" xfId="0" applyNumberFormat="1" applyFont="1" applyBorder="1" applyAlignment="1">
      <alignment horizontal="left" vertical="center"/>
    </xf>
    <xf numFmtId="0" fontId="0" fillId="7" borderId="0" xfId="0" applyFill="1" applyAlignment="1">
      <alignment horizontal="center"/>
    </xf>
    <xf numFmtId="0" fontId="5" fillId="0" borderId="0" xfId="0" applyFont="1" applyAlignment="1">
      <alignment wrapText="1"/>
    </xf>
    <xf numFmtId="0" fontId="171" fillId="0" borderId="0" xfId="0" applyFont="1"/>
    <xf numFmtId="0" fontId="10" fillId="0" borderId="0" xfId="0" applyFont="1" applyAlignment="1">
      <alignment horizontal="left" vertical="center" wrapText="1"/>
    </xf>
    <xf numFmtId="43" fontId="10" fillId="0" borderId="0" xfId="0" applyNumberFormat="1" applyFont="1" applyAlignment="1">
      <alignment horizontal="center" vertical="center"/>
    </xf>
    <xf numFmtId="49" fontId="109" fillId="0" borderId="0" xfId="0" applyNumberFormat="1" applyFont="1" applyAlignment="1">
      <alignment horizontal="left" vertical="top" indent="2"/>
    </xf>
    <xf numFmtId="49" fontId="109" fillId="0" borderId="0" xfId="0" applyNumberFormat="1" applyFont="1" applyAlignment="1">
      <alignment horizontal="left" vertical="center" indent="2"/>
    </xf>
    <xf numFmtId="0" fontId="2" fillId="0" borderId="0" xfId="0" applyFont="1" applyAlignment="1">
      <alignment horizontal="left"/>
    </xf>
    <xf numFmtId="177" fontId="0" fillId="0" borderId="0" xfId="0" applyNumberFormat="1"/>
    <xf numFmtId="43" fontId="10" fillId="0" borderId="0" xfId="0" applyNumberFormat="1" applyFont="1" applyAlignment="1">
      <alignment vertical="center"/>
    </xf>
    <xf numFmtId="0" fontId="11" fillId="0" borderId="0" xfId="0" applyFont="1" applyAlignment="1">
      <alignment vertical="center"/>
    </xf>
    <xf numFmtId="0" fontId="163" fillId="0" borderId="0" xfId="0" applyFont="1" applyAlignment="1">
      <alignment horizontal="right" vertical="top"/>
    </xf>
    <xf numFmtId="170" fontId="10" fillId="0" borderId="0" xfId="0" applyNumberFormat="1" applyFont="1" applyAlignment="1">
      <alignment horizontal="left"/>
    </xf>
    <xf numFmtId="0" fontId="173" fillId="0" borderId="0" xfId="0" applyFont="1"/>
    <xf numFmtId="0" fontId="10" fillId="2" borderId="128" xfId="0" applyFont="1" applyFill="1" applyBorder="1" applyAlignment="1">
      <alignment vertical="center"/>
    </xf>
    <xf numFmtId="0" fontId="12" fillId="0" borderId="0" xfId="0" applyFont="1" applyAlignment="1">
      <alignment horizontal="left"/>
    </xf>
    <xf numFmtId="178" fontId="12" fillId="0" borderId="0" xfId="0" applyNumberFormat="1" applyFont="1"/>
    <xf numFmtId="2" fontId="10" fillId="0" borderId="86" xfId="0" applyNumberFormat="1" applyFont="1" applyBorder="1" applyAlignment="1">
      <alignment horizontal="center" vertical="center"/>
    </xf>
    <xf numFmtId="2" fontId="10" fillId="0" borderId="88" xfId="0" applyNumberFormat="1" applyFont="1" applyBorder="1" applyAlignment="1">
      <alignment horizontal="center" vertical="center"/>
    </xf>
    <xf numFmtId="0" fontId="0" fillId="0" borderId="47" xfId="0"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0" fillId="0" borderId="143" xfId="0" applyBorder="1"/>
    <xf numFmtId="0" fontId="0" fillId="0" borderId="144" xfId="0" applyBorder="1"/>
    <xf numFmtId="0" fontId="0" fillId="0" borderId="148" xfId="0" applyBorder="1"/>
    <xf numFmtId="0" fontId="0" fillId="0" borderId="145" xfId="0" applyBorder="1"/>
    <xf numFmtId="0" fontId="0" fillId="0" borderId="146" xfId="0" applyBorder="1"/>
    <xf numFmtId="0" fontId="0" fillId="0" borderId="147" xfId="0" applyBorder="1"/>
    <xf numFmtId="0" fontId="77" fillId="0" borderId="148" xfId="0" applyFont="1" applyBorder="1"/>
    <xf numFmtId="0" fontId="77" fillId="0" borderId="144" xfId="0" applyFont="1" applyBorder="1"/>
    <xf numFmtId="0" fontId="0" fillId="0" borderId="149" xfId="0" applyBorder="1"/>
    <xf numFmtId="0" fontId="0" fillId="0" borderId="150" xfId="0" applyBorder="1"/>
    <xf numFmtId="0" fontId="0" fillId="0" borderId="0" xfId="0" applyAlignment="1">
      <alignment horizontal="left" vertical="top"/>
    </xf>
    <xf numFmtId="0" fontId="11" fillId="0" borderId="143" xfId="0" applyFont="1" applyBorder="1"/>
    <xf numFmtId="0" fontId="0" fillId="0" borderId="144" xfId="0" applyBorder="1" applyAlignment="1">
      <alignment horizontal="left"/>
    </xf>
    <xf numFmtId="0" fontId="75" fillId="0" borderId="148" xfId="0" applyFont="1" applyBorder="1"/>
    <xf numFmtId="0" fontId="75" fillId="0" borderId="144" xfId="0" applyFont="1" applyBorder="1"/>
    <xf numFmtId="0" fontId="11" fillId="0" borderId="149" xfId="0" applyFont="1" applyBorder="1"/>
    <xf numFmtId="0" fontId="11" fillId="0" borderId="150" xfId="0" applyFont="1" applyBorder="1"/>
    <xf numFmtId="0" fontId="4" fillId="0" borderId="144" xfId="0" applyFont="1" applyBorder="1" applyAlignment="1">
      <alignment wrapText="1"/>
    </xf>
    <xf numFmtId="0" fontId="4" fillId="0" borderId="100" xfId="0" applyFont="1" applyBorder="1" applyAlignment="1">
      <alignment vertical="top"/>
    </xf>
    <xf numFmtId="0" fontId="4" fillId="0" borderId="104" xfId="0" applyFont="1" applyBorder="1" applyAlignment="1">
      <alignment vertical="top"/>
    </xf>
    <xf numFmtId="0" fontId="4" fillId="0" borderId="101" xfId="0" applyFont="1" applyBorder="1" applyAlignment="1">
      <alignment vertical="top"/>
    </xf>
    <xf numFmtId="0" fontId="4" fillId="0" borderId="105" xfId="0" applyFont="1" applyBorder="1" applyAlignment="1">
      <alignment vertical="top"/>
    </xf>
    <xf numFmtId="0" fontId="165" fillId="8" borderId="106" xfId="0" applyFont="1" applyFill="1" applyBorder="1" applyAlignment="1">
      <alignment vertical="center"/>
    </xf>
    <xf numFmtId="0" fontId="70" fillId="8" borderId="107" xfId="0" applyFont="1" applyFill="1" applyBorder="1" applyAlignment="1">
      <alignment vertical="top"/>
    </xf>
    <xf numFmtId="0" fontId="65" fillId="8" borderId="107" xfId="0" applyFont="1" applyFill="1" applyBorder="1" applyAlignment="1">
      <alignment vertical="top"/>
    </xf>
    <xf numFmtId="0" fontId="70" fillId="8" borderId="103" xfId="0" applyFont="1" applyFill="1" applyBorder="1" applyAlignment="1">
      <alignment vertical="top"/>
    </xf>
    <xf numFmtId="0" fontId="70" fillId="0" borderId="104" xfId="0" applyFont="1" applyBorder="1" applyAlignment="1">
      <alignment vertical="top"/>
    </xf>
    <xf numFmtId="0" fontId="4" fillId="0" borderId="102" xfId="0" applyFont="1" applyBorder="1" applyAlignment="1">
      <alignment vertical="top"/>
    </xf>
    <xf numFmtId="178" fontId="4" fillId="0" borderId="0" xfId="0" applyNumberFormat="1" applyFont="1"/>
    <xf numFmtId="0" fontId="10" fillId="0" borderId="0" xfId="0" applyFont="1" applyAlignment="1">
      <alignment vertical="top" wrapText="1"/>
    </xf>
    <xf numFmtId="0" fontId="12" fillId="0" borderId="0" xfId="0" applyFont="1" applyAlignment="1">
      <alignment horizontal="left" vertical="center"/>
    </xf>
    <xf numFmtId="0" fontId="4" fillId="0" borderId="110" xfId="0" applyFont="1" applyBorder="1"/>
    <xf numFmtId="0" fontId="0" fillId="0" borderId="142" xfId="0" applyBorder="1"/>
    <xf numFmtId="2" fontId="4" fillId="0" borderId="0" xfId="0" applyNumberFormat="1" applyFont="1" applyAlignment="1">
      <alignment vertical="center"/>
    </xf>
    <xf numFmtId="0" fontId="0" fillId="0" borderId="10" xfId="0" quotePrefix="1" applyBorder="1" applyAlignment="1">
      <alignment horizontal="center" wrapText="1"/>
    </xf>
    <xf numFmtId="0" fontId="0" fillId="0" borderId="14" xfId="0" applyBorder="1" applyAlignment="1">
      <alignment horizontal="center"/>
    </xf>
    <xf numFmtId="0" fontId="0" fillId="0" borderId="17" xfId="0" applyBorder="1"/>
    <xf numFmtId="170" fontId="0" fillId="0" borderId="0" xfId="0" applyNumberFormat="1" applyAlignment="1">
      <alignment vertical="center" wrapText="1"/>
    </xf>
    <xf numFmtId="0" fontId="10" fillId="0" borderId="92" xfId="0" applyFont="1" applyBorder="1"/>
    <xf numFmtId="0" fontId="10" fillId="0" borderId="86" xfId="0" applyFont="1" applyBorder="1"/>
    <xf numFmtId="2" fontId="10" fillId="0" borderId="88" xfId="0" applyNumberFormat="1" applyFont="1" applyBorder="1"/>
    <xf numFmtId="2" fontId="10" fillId="0" borderId="84" xfId="0" applyNumberFormat="1" applyFont="1" applyBorder="1" applyAlignment="1">
      <alignment vertical="center"/>
    </xf>
    <xf numFmtId="0" fontId="0" fillId="0" borderId="71" xfId="0" applyBorder="1"/>
    <xf numFmtId="0" fontId="10" fillId="0" borderId="70" xfId="0" applyFont="1" applyBorder="1" applyAlignment="1">
      <alignment vertical="center"/>
    </xf>
    <xf numFmtId="0" fontId="170" fillId="0" borderId="0" xfId="0" applyFont="1" applyAlignment="1">
      <alignment horizontal="left"/>
    </xf>
    <xf numFmtId="0" fontId="146" fillId="0" borderId="0" xfId="0" applyFont="1"/>
    <xf numFmtId="0" fontId="146" fillId="0" borderId="0" xfId="0" applyFont="1" applyAlignment="1">
      <alignment horizontal="left"/>
    </xf>
    <xf numFmtId="0" fontId="4" fillId="0" borderId="112" xfId="0" applyFont="1" applyBorder="1"/>
    <xf numFmtId="0" fontId="8" fillId="9" borderId="112" xfId="0" applyFont="1" applyFill="1" applyBorder="1" applyAlignment="1">
      <alignment vertical="center"/>
    </xf>
    <xf numFmtId="0" fontId="79" fillId="0" borderId="0" xfId="0" applyFont="1" applyAlignment="1">
      <alignment horizontal="left"/>
    </xf>
    <xf numFmtId="0" fontId="24" fillId="9" borderId="0" xfId="0" applyFont="1" applyFill="1" applyAlignment="1">
      <alignment horizontal="left" vertical="center"/>
    </xf>
    <xf numFmtId="0" fontId="74" fillId="9" borderId="0" xfId="0" applyFont="1" applyFill="1" applyAlignment="1">
      <alignment horizontal="left" vertical="center"/>
    </xf>
    <xf numFmtId="0" fontId="10" fillId="0" borderId="84" xfId="0" applyFont="1" applyBorder="1" applyAlignment="1">
      <alignment horizontal="center" vertical="center"/>
    </xf>
    <xf numFmtId="0" fontId="10" fillId="0" borderId="0" xfId="0" applyFont="1" applyAlignment="1">
      <alignment horizontal="left" vertical="top"/>
    </xf>
    <xf numFmtId="170" fontId="39" fillId="2" borderId="0" xfId="10" applyNumberFormat="1" applyFont="1" applyFill="1" applyAlignment="1">
      <alignment vertical="center"/>
    </xf>
    <xf numFmtId="167" fontId="4" fillId="0" borderId="0" xfId="0" applyNumberFormat="1" applyFont="1"/>
    <xf numFmtId="0" fontId="4" fillId="20" borderId="0" xfId="0" applyFont="1" applyFill="1"/>
    <xf numFmtId="0" fontId="4" fillId="0" borderId="88" xfId="0" applyFont="1" applyBorder="1" applyAlignment="1">
      <alignment vertical="center"/>
    </xf>
    <xf numFmtId="0" fontId="111" fillId="0" borderId="88" xfId="0" applyFont="1" applyBorder="1" applyAlignment="1">
      <alignment vertical="center"/>
    </xf>
    <xf numFmtId="0" fontId="0" fillId="9" borderId="0" xfId="0" applyFill="1" applyAlignment="1">
      <alignment vertical="center"/>
    </xf>
    <xf numFmtId="0" fontId="10" fillId="0" borderId="84" xfId="0" applyFont="1" applyBorder="1"/>
    <xf numFmtId="0" fontId="10" fillId="0" borderId="91" xfId="0" applyFont="1" applyBorder="1" applyAlignment="1">
      <alignment vertical="center"/>
    </xf>
    <xf numFmtId="0" fontId="10" fillId="0" borderId="87" xfId="0" applyFont="1" applyBorder="1" applyAlignment="1">
      <alignment vertical="center" wrapText="1"/>
    </xf>
    <xf numFmtId="0" fontId="10" fillId="0" borderId="69" xfId="0" applyFont="1" applyBorder="1" applyAlignment="1">
      <alignment vertical="center" wrapText="1"/>
    </xf>
    <xf numFmtId="0" fontId="10" fillId="0" borderId="112" xfId="0" applyFont="1" applyBorder="1" applyAlignment="1">
      <alignment vertical="center"/>
    </xf>
    <xf numFmtId="0" fontId="10" fillId="0" borderId="111" xfId="0" applyFont="1" applyBorder="1" applyAlignment="1">
      <alignment vertical="center"/>
    </xf>
    <xf numFmtId="0" fontId="10" fillId="0" borderId="113" xfId="0" applyFont="1" applyBorder="1" applyAlignment="1">
      <alignment vertical="center"/>
    </xf>
    <xf numFmtId="167" fontId="10" fillId="0" borderId="114" xfId="0" applyNumberFormat="1" applyFont="1" applyBorder="1" applyAlignment="1">
      <alignment vertical="center"/>
    </xf>
    <xf numFmtId="0" fontId="0" fillId="0" borderId="153" xfId="0" applyBorder="1"/>
    <xf numFmtId="0" fontId="172" fillId="0" borderId="0" xfId="0" applyFont="1" applyAlignment="1">
      <alignment vertical="top"/>
    </xf>
    <xf numFmtId="0" fontId="163" fillId="0" borderId="0" xfId="0" applyFont="1" applyAlignment="1">
      <alignment vertical="top" wrapText="1"/>
    </xf>
    <xf numFmtId="0" fontId="174" fillId="0" borderId="0" xfId="0" applyFont="1" applyAlignment="1">
      <alignment vertical="top" wrapText="1"/>
    </xf>
    <xf numFmtId="0" fontId="10" fillId="0" borderId="100" xfId="0" applyFont="1" applyBorder="1"/>
    <xf numFmtId="0" fontId="10" fillId="0" borderId="100" xfId="0" applyFont="1" applyBorder="1" applyAlignment="1">
      <alignment vertical="top"/>
    </xf>
    <xf numFmtId="0" fontId="4" fillId="0" borderId="106" xfId="0" applyFont="1" applyBorder="1" applyAlignment="1">
      <alignment vertical="top"/>
    </xf>
    <xf numFmtId="0" fontId="4" fillId="0" borderId="103" xfId="0" applyFont="1" applyBorder="1" applyAlignment="1">
      <alignment vertical="top"/>
    </xf>
    <xf numFmtId="0" fontId="0" fillId="0" borderId="46" xfId="0" applyBorder="1" applyAlignment="1">
      <alignment vertical="top"/>
    </xf>
    <xf numFmtId="2" fontId="3" fillId="0" borderId="0" xfId="0" applyNumberFormat="1" applyFont="1" applyAlignment="1">
      <alignment vertical="center"/>
    </xf>
    <xf numFmtId="0" fontId="0" fillId="0" borderId="84" xfId="0" applyBorder="1" applyAlignment="1">
      <alignment horizontal="left"/>
    </xf>
    <xf numFmtId="0" fontId="0" fillId="0" borderId="0" xfId="0" applyAlignment="1">
      <alignment horizontal="center" vertical="center"/>
    </xf>
    <xf numFmtId="0" fontId="23" fillId="0" borderId="0" xfId="0" applyFont="1" applyProtection="1">
      <protection locked="0"/>
    </xf>
    <xf numFmtId="2" fontId="13" fillId="0" borderId="0" xfId="0" applyNumberFormat="1" applyFont="1" applyProtection="1">
      <protection locked="0"/>
    </xf>
    <xf numFmtId="2" fontId="23" fillId="0" borderId="0" xfId="0" applyNumberFormat="1" applyFont="1" applyProtection="1">
      <protection locked="0"/>
    </xf>
    <xf numFmtId="2" fontId="13" fillId="0" borderId="0" xfId="0" applyNumberFormat="1" applyFont="1"/>
    <xf numFmtId="2" fontId="25" fillId="0" borderId="0" xfId="0" applyNumberFormat="1" applyFont="1" applyProtection="1">
      <protection locked="0"/>
    </xf>
    <xf numFmtId="0" fontId="23" fillId="2" borderId="17" xfId="0" applyFont="1" applyFill="1" applyBorder="1" applyAlignment="1" applyProtection="1">
      <alignment horizontal="center"/>
      <protection locked="0"/>
    </xf>
    <xf numFmtId="0" fontId="179" fillId="30" borderId="0" xfId="0" applyFont="1" applyFill="1" applyAlignment="1">
      <alignment vertical="center"/>
    </xf>
    <xf numFmtId="0" fontId="65" fillId="30" borderId="0" xfId="0" applyFont="1" applyFill="1" applyAlignment="1">
      <alignment vertical="center"/>
    </xf>
    <xf numFmtId="167" fontId="26" fillId="0" borderId="0" xfId="0" applyNumberFormat="1" applyFont="1" applyAlignment="1">
      <alignment horizontal="center"/>
    </xf>
    <xf numFmtId="167" fontId="13" fillId="0" borderId="0" xfId="0" applyNumberFormat="1" applyFont="1" applyAlignment="1">
      <alignment horizontal="left"/>
    </xf>
    <xf numFmtId="164" fontId="10" fillId="0" borderId="0" xfId="0" applyNumberFormat="1" applyFont="1" applyAlignment="1">
      <alignment vertical="top" wrapText="1"/>
    </xf>
    <xf numFmtId="0" fontId="4" fillId="9" borderId="87" xfId="0" applyFont="1" applyFill="1" applyBorder="1"/>
    <xf numFmtId="2" fontId="0" fillId="0" borderId="84" xfId="0" applyNumberFormat="1" applyBorder="1" applyAlignment="1">
      <alignment horizontal="center" vertical="center"/>
    </xf>
    <xf numFmtId="0" fontId="26" fillId="0" borderId="84" xfId="0" applyFont="1" applyBorder="1" applyAlignment="1">
      <alignment horizontal="center"/>
    </xf>
    <xf numFmtId="0" fontId="39" fillId="0" borderId="84" xfId="2" applyNumberFormat="1" applyFont="1" applyBorder="1" applyAlignment="1">
      <alignment horizontal="center" vertical="center"/>
    </xf>
    <xf numFmtId="167" fontId="39" fillId="0" borderId="84" xfId="0" applyNumberFormat="1" applyFont="1" applyBorder="1" applyAlignment="1">
      <alignment horizontal="center" vertical="center"/>
    </xf>
    <xf numFmtId="0" fontId="180" fillId="0" borderId="84" xfId="2" applyNumberFormat="1" applyFont="1" applyBorder="1" applyAlignment="1">
      <alignment horizontal="center" vertical="center"/>
    </xf>
    <xf numFmtId="167" fontId="180" fillId="0" borderId="84" xfId="8" applyNumberFormat="1" applyFont="1" applyBorder="1" applyAlignment="1" applyProtection="1">
      <alignment horizontal="center" vertical="center"/>
      <protection locked="0"/>
    </xf>
    <xf numFmtId="167" fontId="180" fillId="0" borderId="84" xfId="8" applyNumberFormat="1" applyFont="1" applyBorder="1" applyAlignment="1">
      <alignment horizontal="center" vertical="center"/>
    </xf>
    <xf numFmtId="0" fontId="180" fillId="0" borderId="84" xfId="2" applyNumberFormat="1" applyFont="1" applyBorder="1" applyAlignment="1" applyProtection="1">
      <alignment horizontal="center" vertical="center"/>
      <protection locked="0"/>
    </xf>
    <xf numFmtId="0" fontId="39" fillId="0" borderId="84" xfId="0" applyFont="1" applyBorder="1" applyAlignment="1">
      <alignment horizontal="center"/>
    </xf>
    <xf numFmtId="167" fontId="39" fillId="0" borderId="84" xfId="0" applyNumberFormat="1" applyFont="1" applyBorder="1" applyAlignment="1">
      <alignment horizontal="center"/>
    </xf>
    <xf numFmtId="0" fontId="26" fillId="0" borderId="84" xfId="0" applyFont="1" applyBorder="1" applyAlignment="1">
      <alignment horizontal="left"/>
    </xf>
    <xf numFmtId="0" fontId="165" fillId="31" borderId="9" xfId="0" applyFont="1" applyFill="1" applyBorder="1" applyAlignment="1" applyProtection="1">
      <alignment horizontal="center"/>
      <protection locked="0"/>
    </xf>
    <xf numFmtId="2" fontId="13" fillId="20" borderId="9" xfId="0" applyNumberFormat="1" applyFont="1" applyFill="1" applyBorder="1" applyProtection="1">
      <protection locked="0"/>
    </xf>
    <xf numFmtId="2" fontId="13" fillId="2" borderId="84" xfId="0" applyNumberFormat="1" applyFont="1" applyFill="1" applyBorder="1" applyProtection="1">
      <protection locked="0"/>
    </xf>
    <xf numFmtId="2" fontId="13" fillId="2" borderId="84" xfId="0" applyNumberFormat="1" applyFont="1" applyFill="1" applyBorder="1"/>
    <xf numFmtId="2" fontId="0" fillId="0" borderId="84" xfId="0" applyNumberFormat="1" applyBorder="1"/>
    <xf numFmtId="0" fontId="0" fillId="0" borderId="84" xfId="0" applyBorder="1" applyAlignment="1">
      <alignment horizontal="center" wrapText="1"/>
    </xf>
    <xf numFmtId="170" fontId="0" fillId="0" borderId="84" xfId="0" applyNumberFormat="1" applyBorder="1" applyAlignment="1">
      <alignment horizontal="center" wrapText="1"/>
    </xf>
    <xf numFmtId="0" fontId="0" fillId="0" borderId="84" xfId="0" applyBorder="1" applyAlignment="1">
      <alignment horizontal="center" vertical="center" wrapText="1"/>
    </xf>
    <xf numFmtId="0" fontId="0" fillId="0" borderId="84" xfId="0" applyBorder="1" applyAlignment="1">
      <alignment horizontal="center" vertical="center"/>
    </xf>
    <xf numFmtId="0" fontId="0" fillId="0" borderId="84" xfId="0" applyBorder="1" applyAlignment="1">
      <alignment vertical="center"/>
    </xf>
    <xf numFmtId="170" fontId="0" fillId="0" borderId="84" xfId="0" applyNumberFormat="1" applyBorder="1" applyAlignment="1">
      <alignment horizontal="center" vertical="center"/>
    </xf>
    <xf numFmtId="0" fontId="0" fillId="0" borderId="84" xfId="0" quotePrefix="1" applyBorder="1" applyAlignment="1">
      <alignment horizontal="center" wrapText="1"/>
    </xf>
    <xf numFmtId="0" fontId="13" fillId="0" borderId="84" xfId="0" applyFont="1" applyBorder="1"/>
    <xf numFmtId="0" fontId="0" fillId="0" borderId="84" xfId="0" applyBorder="1" applyAlignment="1">
      <alignment horizontal="center"/>
    </xf>
    <xf numFmtId="170" fontId="0" fillId="0" borderId="84" xfId="0" applyNumberFormat="1" applyBorder="1" applyAlignment="1">
      <alignment horizontal="center"/>
    </xf>
    <xf numFmtId="0" fontId="38" fillId="0" borderId="84" xfId="0" applyFont="1" applyBorder="1" applyAlignment="1">
      <alignment horizontal="center"/>
    </xf>
    <xf numFmtId="170" fontId="38" fillId="0" borderId="84" xfId="0" applyNumberFormat="1" applyFont="1" applyBorder="1" applyAlignment="1">
      <alignment horizontal="centerContinuous"/>
    </xf>
    <xf numFmtId="0" fontId="38" fillId="0" borderId="84" xfId="0" applyFont="1" applyBorder="1" applyAlignment="1">
      <alignment horizontal="left"/>
    </xf>
    <xf numFmtId="0" fontId="23" fillId="0" borderId="84" xfId="0" applyFont="1" applyBorder="1" applyAlignment="1" applyProtection="1">
      <alignment horizontal="center"/>
      <protection locked="0"/>
    </xf>
    <xf numFmtId="0" fontId="38" fillId="0" borderId="84" xfId="0" applyFont="1" applyBorder="1"/>
    <xf numFmtId="2" fontId="38" fillId="0" borderId="84" xfId="0" applyNumberFormat="1" applyFont="1" applyBorder="1" applyAlignment="1">
      <alignment horizontal="center"/>
    </xf>
    <xf numFmtId="170" fontId="37" fillId="0" borderId="84" xfId="0" applyNumberFormat="1" applyFont="1" applyBorder="1" applyAlignment="1">
      <alignment horizontal="center"/>
    </xf>
    <xf numFmtId="170" fontId="38" fillId="0" borderId="84" xfId="0" applyNumberFormat="1" applyFont="1" applyBorder="1" applyAlignment="1">
      <alignment horizontal="center"/>
    </xf>
    <xf numFmtId="170" fontId="38" fillId="0" borderId="84" xfId="0" applyNumberFormat="1" applyFont="1" applyBorder="1"/>
    <xf numFmtId="2" fontId="0" fillId="0" borderId="84" xfId="0" applyNumberFormat="1" applyBorder="1" applyAlignment="1">
      <alignment horizontal="center"/>
    </xf>
    <xf numFmtId="170" fontId="23" fillId="2" borderId="84" xfId="0" applyNumberFormat="1" applyFont="1" applyFill="1" applyBorder="1" applyAlignment="1" applyProtection="1">
      <alignment horizontal="center"/>
      <protection locked="0"/>
    </xf>
    <xf numFmtId="170" fontId="13" fillId="0" borderId="84" xfId="0" applyNumberFormat="1" applyFont="1" applyBorder="1" applyAlignment="1" applyProtection="1">
      <alignment horizontal="center"/>
      <protection locked="0"/>
    </xf>
    <xf numFmtId="0" fontId="37" fillId="0" borderId="84" xfId="0" applyFont="1" applyBorder="1" applyAlignment="1">
      <alignment horizontal="center"/>
    </xf>
    <xf numFmtId="170" fontId="37" fillId="0" borderId="84" xfId="0" applyNumberFormat="1" applyFont="1" applyBorder="1" applyAlignment="1">
      <alignment horizontal="centerContinuous"/>
    </xf>
    <xf numFmtId="0" fontId="37" fillId="0" borderId="84" xfId="0" applyFont="1" applyBorder="1"/>
    <xf numFmtId="170" fontId="23" fillId="0" borderId="84" xfId="0" applyNumberFormat="1" applyFont="1" applyBorder="1" applyAlignment="1" applyProtection="1">
      <alignment horizontal="center"/>
      <protection locked="0"/>
    </xf>
    <xf numFmtId="0" fontId="38" fillId="0" borderId="84" xfId="0" applyFont="1" applyBorder="1" applyAlignment="1">
      <alignment horizontal="centerContinuous"/>
    </xf>
    <xf numFmtId="0" fontId="0" fillId="0" borderId="84" xfId="0" applyBorder="1" applyProtection="1">
      <protection locked="0"/>
    </xf>
    <xf numFmtId="170" fontId="0" fillId="0" borderId="84" xfId="0" applyNumberFormat="1" applyBorder="1"/>
    <xf numFmtId="0" fontId="23" fillId="2" borderId="84" xfId="0" applyFont="1" applyFill="1" applyBorder="1" applyAlignment="1" applyProtection="1">
      <alignment horizontal="center"/>
      <protection locked="0"/>
    </xf>
    <xf numFmtId="0" fontId="37" fillId="2" borderId="84" xfId="0" applyFont="1" applyFill="1" applyBorder="1" applyAlignment="1">
      <alignment horizontal="center"/>
    </xf>
    <xf numFmtId="0" fontId="23" fillId="0" borderId="0" xfId="0" applyFont="1" applyAlignment="1" applyProtection="1">
      <alignment horizontal="center" vertical="center"/>
      <protection locked="0"/>
    </xf>
    <xf numFmtId="2" fontId="0" fillId="0" borderId="0" xfId="0" applyNumberFormat="1" applyAlignment="1">
      <alignment horizontal="center" vertical="center"/>
    </xf>
    <xf numFmtId="0" fontId="0" fillId="0" borderId="0" xfId="0" applyAlignment="1" applyProtection="1">
      <alignment vertical="center"/>
      <protection locked="0"/>
    </xf>
    <xf numFmtId="170" fontId="23" fillId="0" borderId="0" xfId="0" applyNumberFormat="1" applyFont="1" applyAlignment="1" applyProtection="1">
      <alignment horizontal="center" vertical="center"/>
      <protection locked="0"/>
    </xf>
    <xf numFmtId="170" fontId="0" fillId="0" borderId="0" xfId="0" applyNumberFormat="1" applyAlignment="1">
      <alignment vertical="center"/>
    </xf>
    <xf numFmtId="0" fontId="0" fillId="0" borderId="84" xfId="0" quotePrefix="1" applyBorder="1" applyAlignment="1">
      <alignment horizontal="center" vertical="center" wrapText="1"/>
    </xf>
    <xf numFmtId="0" fontId="13" fillId="0" borderId="84" xfId="0" applyFont="1" applyBorder="1" applyAlignment="1">
      <alignment vertical="center"/>
    </xf>
    <xf numFmtId="170" fontId="0" fillId="0" borderId="84" xfId="0" applyNumberFormat="1" applyBorder="1" applyAlignment="1">
      <alignment horizontal="centerContinuous" vertical="center"/>
    </xf>
    <xf numFmtId="0" fontId="0" fillId="0" borderId="84" xfId="0" applyBorder="1" applyAlignment="1">
      <alignment horizontal="left" vertical="center"/>
    </xf>
    <xf numFmtId="0" fontId="23" fillId="0" borderId="84" xfId="0" applyFont="1" applyBorder="1" applyAlignment="1" applyProtection="1">
      <alignment horizontal="center" vertical="center"/>
      <protection locked="0"/>
    </xf>
    <xf numFmtId="0" fontId="23" fillId="2" borderId="84" xfId="0" applyFont="1" applyFill="1" applyBorder="1" applyAlignment="1" applyProtection="1">
      <alignment horizontal="center" vertical="center"/>
      <protection locked="0"/>
    </xf>
    <xf numFmtId="0" fontId="37" fillId="0" borderId="84" xfId="0" applyFont="1" applyBorder="1" applyAlignment="1">
      <alignment horizontal="center" vertical="center"/>
    </xf>
    <xf numFmtId="0" fontId="0" fillId="0" borderId="84" xfId="0" applyBorder="1" applyAlignment="1" applyProtection="1">
      <alignment horizontal="center" vertical="center"/>
      <protection locked="0"/>
    </xf>
    <xf numFmtId="170" fontId="0" fillId="0" borderId="84" xfId="0" applyNumberFormat="1" applyBorder="1" applyAlignment="1" applyProtection="1">
      <alignment horizontal="centerContinuous" vertical="center"/>
      <protection locked="0"/>
    </xf>
    <xf numFmtId="170" fontId="37" fillId="0" borderId="84" xfId="0" applyNumberFormat="1" applyFont="1" applyBorder="1" applyAlignment="1">
      <alignment horizontal="center" vertical="center"/>
    </xf>
    <xf numFmtId="170" fontId="13" fillId="0" borderId="84" xfId="0" applyNumberFormat="1" applyFont="1" applyBorder="1" applyAlignment="1" applyProtection="1">
      <alignment horizontal="center" vertical="center"/>
      <protection locked="0"/>
    </xf>
    <xf numFmtId="0" fontId="0" fillId="0" borderId="84" xfId="0" applyBorder="1" applyAlignment="1" applyProtection="1">
      <alignment vertical="center"/>
      <protection locked="0"/>
    </xf>
    <xf numFmtId="170" fontId="23" fillId="0" borderId="84" xfId="0" applyNumberFormat="1" applyFont="1" applyBorder="1" applyAlignment="1" applyProtection="1">
      <alignment horizontal="center" vertical="center"/>
      <protection locked="0"/>
    </xf>
    <xf numFmtId="0" fontId="0" fillId="0" borderId="84" xfId="0" applyBorder="1" applyAlignment="1" applyProtection="1">
      <alignment horizontal="centerContinuous" vertical="center"/>
      <protection locked="0"/>
    </xf>
    <xf numFmtId="170" fontId="23" fillId="2" borderId="84" xfId="0" applyNumberFormat="1" applyFont="1" applyFill="1" applyBorder="1" applyAlignment="1" applyProtection="1">
      <alignment horizontal="center" vertical="center"/>
      <protection locked="0"/>
    </xf>
    <xf numFmtId="0" fontId="0" fillId="0" borderId="84" xfId="0" applyBorder="1" applyAlignment="1">
      <alignment horizontal="centerContinuous" vertical="center"/>
    </xf>
    <xf numFmtId="0" fontId="181" fillId="4" borderId="0" xfId="0" applyFont="1" applyFill="1" applyAlignment="1">
      <alignment vertical="center"/>
    </xf>
    <xf numFmtId="0" fontId="182" fillId="4" borderId="0" xfId="0" applyFont="1" applyFill="1" applyAlignment="1">
      <alignment vertical="center"/>
    </xf>
    <xf numFmtId="0" fontId="38" fillId="0" borderId="11" xfId="0" applyFont="1" applyBorder="1" applyAlignment="1">
      <alignment horizontal="center"/>
    </xf>
    <xf numFmtId="0" fontId="182" fillId="0" borderId="0" xfId="0" applyFont="1" applyAlignment="1">
      <alignment vertical="center"/>
    </xf>
    <xf numFmtId="0" fontId="13" fillId="0" borderId="0" xfId="0" quotePrefix="1" applyFont="1"/>
    <xf numFmtId="21" fontId="0" fillId="0" borderId="0" xfId="0" applyNumberFormat="1"/>
    <xf numFmtId="2" fontId="13" fillId="0" borderId="0" xfId="0" applyNumberFormat="1" applyFont="1" applyAlignment="1" applyProtection="1">
      <alignment horizontal="center"/>
      <protection locked="0"/>
    </xf>
    <xf numFmtId="1" fontId="13" fillId="0" borderId="0" xfId="0" applyNumberFormat="1" applyFont="1" applyAlignment="1" applyProtection="1">
      <alignment horizontal="center"/>
      <protection locked="0"/>
    </xf>
    <xf numFmtId="2" fontId="23" fillId="0" borderId="0" xfId="0" applyNumberFormat="1" applyFont="1" applyAlignment="1">
      <alignment horizontal="center"/>
    </xf>
    <xf numFmtId="2" fontId="23" fillId="0" borderId="0" xfId="0" applyNumberFormat="1" applyFont="1" applyAlignment="1" applyProtection="1">
      <alignment horizontal="center"/>
      <protection locked="0"/>
    </xf>
    <xf numFmtId="1" fontId="23" fillId="0" borderId="0" xfId="0" applyNumberFormat="1" applyFont="1" applyAlignment="1" applyProtection="1">
      <alignment horizontal="center"/>
      <protection locked="0"/>
    </xf>
    <xf numFmtId="2" fontId="26" fillId="0" borderId="0" xfId="0" applyNumberFormat="1" applyFont="1" applyAlignment="1">
      <alignment horizontal="left"/>
    </xf>
    <xf numFmtId="167" fontId="26" fillId="0" borderId="0" xfId="0" applyNumberFormat="1" applyFont="1" applyAlignment="1">
      <alignment horizontal="left"/>
    </xf>
    <xf numFmtId="0" fontId="24" fillId="26" borderId="84" xfId="0" applyFont="1" applyFill="1" applyBorder="1" applyAlignment="1" applyProtection="1">
      <alignment horizontal="center"/>
      <protection locked="0"/>
    </xf>
    <xf numFmtId="2" fontId="13" fillId="31" borderId="84" xfId="0" applyNumberFormat="1" applyFont="1" applyFill="1" applyBorder="1" applyProtection="1">
      <protection locked="0"/>
    </xf>
    <xf numFmtId="0" fontId="10" fillId="0" borderId="84" xfId="0" applyFont="1" applyBorder="1" applyAlignment="1">
      <alignment vertical="center"/>
    </xf>
    <xf numFmtId="0" fontId="153" fillId="0" borderId="122" xfId="14" applyFont="1" applyBorder="1" applyAlignment="1" applyProtection="1">
      <alignment horizontal="center" vertical="center"/>
      <protection locked="0"/>
    </xf>
    <xf numFmtId="167" fontId="153" fillId="2" borderId="55" xfId="14" applyNumberFormat="1" applyFont="1" applyFill="1" applyBorder="1" applyAlignment="1" applyProtection="1">
      <alignment horizontal="center" vertical="center"/>
      <protection locked="0"/>
    </xf>
    <xf numFmtId="1" fontId="153" fillId="2" borderId="55" xfId="14" applyNumberFormat="1" applyFont="1" applyFill="1" applyBorder="1" applyAlignment="1" applyProtection="1">
      <alignment horizontal="center" vertical="center"/>
      <protection locked="0"/>
    </xf>
    <xf numFmtId="167" fontId="154" fillId="0" borderId="21" xfId="14" applyNumberFormat="1" applyFont="1" applyBorder="1" applyAlignment="1">
      <alignment horizontal="centerContinuous" vertical="center"/>
    </xf>
    <xf numFmtId="0" fontId="101" fillId="0" borderId="14" xfId="1" applyFont="1" applyFill="1" applyBorder="1" applyAlignment="1" applyProtection="1">
      <alignment horizontal="center" vertical="center"/>
      <protection locked="0"/>
    </xf>
    <xf numFmtId="167" fontId="101" fillId="2" borderId="17" xfId="1" applyNumberFormat="1" applyFont="1" applyFill="1" applyBorder="1" applyAlignment="1" applyProtection="1">
      <alignment horizontal="center" vertical="center"/>
      <protection locked="0"/>
    </xf>
    <xf numFmtId="0" fontId="153" fillId="0" borderId="0" xfId="14" applyFont="1" applyAlignment="1" applyProtection="1">
      <alignment horizontal="center"/>
      <protection locked="0"/>
    </xf>
    <xf numFmtId="0" fontId="153" fillId="12" borderId="0" xfId="14" applyFont="1" applyFill="1" applyAlignment="1" applyProtection="1">
      <alignment horizontal="center"/>
      <protection locked="0"/>
    </xf>
    <xf numFmtId="2" fontId="153" fillId="0" borderId="0" xfId="14" applyNumberFormat="1" applyFont="1" applyAlignment="1" applyProtection="1">
      <alignment horizontal="right"/>
      <protection locked="0"/>
    </xf>
    <xf numFmtId="2" fontId="153" fillId="12" borderId="0" xfId="14" applyNumberFormat="1" applyFont="1" applyFill="1" applyAlignment="1" applyProtection="1">
      <alignment horizontal="right"/>
      <protection locked="0"/>
    </xf>
    <xf numFmtId="2" fontId="153" fillId="0" borderId="0" xfId="14" applyNumberFormat="1" applyFont="1" applyAlignment="1">
      <alignment horizontal="right"/>
    </xf>
    <xf numFmtId="2" fontId="153" fillId="12" borderId="0" xfId="14" applyNumberFormat="1" applyFont="1" applyFill="1" applyAlignment="1">
      <alignment horizontal="right"/>
    </xf>
    <xf numFmtId="167" fontId="153" fillId="0" borderId="0" xfId="14" applyNumberFormat="1" applyFont="1" applyAlignment="1">
      <alignment horizontal="right"/>
    </xf>
    <xf numFmtId="167" fontId="154" fillId="0" borderId="0" xfId="14" applyNumberFormat="1" applyFont="1" applyAlignment="1">
      <alignment horizontal="center"/>
    </xf>
    <xf numFmtId="0" fontId="153" fillId="0" borderId="0" xfId="14" applyFont="1" applyAlignment="1">
      <alignment horizontal="center" vertical="center"/>
    </xf>
    <xf numFmtId="0" fontId="153" fillId="0" borderId="0" xfId="14" applyFont="1"/>
    <xf numFmtId="0" fontId="153" fillId="12" borderId="0" xfId="14" applyFont="1" applyFill="1"/>
    <xf numFmtId="0" fontId="153" fillId="0" borderId="0" xfId="14" applyFont="1" applyAlignment="1" applyProtection="1">
      <alignment horizontal="center" vertical="center"/>
      <protection locked="0"/>
    </xf>
    <xf numFmtId="167" fontId="153" fillId="0" borderId="0" xfId="14" applyNumberFormat="1" applyFont="1" applyAlignment="1" applyProtection="1">
      <alignment horizontal="center" vertical="center"/>
      <protection locked="0"/>
    </xf>
    <xf numFmtId="0" fontId="153" fillId="0" borderId="0" xfId="14" applyFont="1" applyAlignment="1" applyProtection="1">
      <alignment horizontal="right"/>
      <protection locked="0"/>
    </xf>
    <xf numFmtId="0" fontId="153" fillId="12" borderId="0" xfId="14" applyFont="1" applyFill="1" applyAlignment="1" applyProtection="1">
      <alignment horizontal="right"/>
      <protection locked="0"/>
    </xf>
    <xf numFmtId="167" fontId="153" fillId="0" borderId="0" xfId="14" applyNumberFormat="1" applyFont="1" applyAlignment="1">
      <alignment horizontal="center" vertical="center"/>
    </xf>
    <xf numFmtId="167" fontId="154" fillId="0" borderId="0" xfId="14" applyNumberFormat="1" applyFont="1" applyAlignment="1">
      <alignment horizontal="center" vertical="center"/>
    </xf>
    <xf numFmtId="2" fontId="154" fillId="0" borderId="0" xfId="14" applyNumberFormat="1" applyFont="1" applyAlignment="1">
      <alignment horizontal="center"/>
    </xf>
    <xf numFmtId="2" fontId="154" fillId="12" borderId="0" xfId="14" applyNumberFormat="1" applyFont="1" applyFill="1" applyAlignment="1">
      <alignment horizontal="center"/>
    </xf>
    <xf numFmtId="170" fontId="153" fillId="0" borderId="0" xfId="14" applyNumberFormat="1" applyFont="1"/>
    <xf numFmtId="170" fontId="153" fillId="0" borderId="0" xfId="14" applyNumberFormat="1" applyFont="1" applyAlignment="1">
      <alignment horizontal="center"/>
    </xf>
    <xf numFmtId="170" fontId="153" fillId="12" borderId="0" xfId="14" applyNumberFormat="1" applyFont="1" applyFill="1" applyAlignment="1">
      <alignment horizontal="center"/>
    </xf>
    <xf numFmtId="170" fontId="153" fillId="12" borderId="0" xfId="14" applyNumberFormat="1" applyFont="1" applyFill="1"/>
    <xf numFmtId="1" fontId="153" fillId="0" borderId="0" xfId="14" applyNumberFormat="1" applyFont="1" applyAlignment="1" applyProtection="1">
      <alignment horizontal="center"/>
      <protection locked="0"/>
    </xf>
    <xf numFmtId="1" fontId="153" fillId="0" borderId="0" xfId="14" applyNumberFormat="1" applyFont="1" applyAlignment="1" applyProtection="1">
      <alignment horizontal="right"/>
      <protection locked="0"/>
    </xf>
    <xf numFmtId="1" fontId="153" fillId="12" borderId="0" xfId="14" applyNumberFormat="1" applyFont="1" applyFill="1" applyAlignment="1" applyProtection="1">
      <alignment horizontal="right"/>
      <protection locked="0"/>
    </xf>
    <xf numFmtId="1" fontId="153" fillId="12" borderId="0" xfId="14" applyNumberFormat="1" applyFont="1" applyFill="1" applyAlignment="1" applyProtection="1">
      <alignment horizontal="center"/>
      <protection locked="0"/>
    </xf>
    <xf numFmtId="2" fontId="153" fillId="0" borderId="0" xfId="14" applyNumberFormat="1" applyFont="1" applyAlignment="1" applyProtection="1">
      <alignment horizontal="center"/>
      <protection locked="0"/>
    </xf>
    <xf numFmtId="2" fontId="153" fillId="0" borderId="0" xfId="14" applyNumberFormat="1" applyFont="1" applyAlignment="1">
      <alignment horizontal="center"/>
    </xf>
    <xf numFmtId="2" fontId="153" fillId="0" borderId="0" xfId="8" applyNumberFormat="1" applyFont="1" applyAlignment="1">
      <alignment horizontal="right"/>
    </xf>
    <xf numFmtId="2" fontId="153" fillId="12" borderId="0" xfId="8" applyNumberFormat="1" applyFont="1" applyFill="1" applyAlignment="1">
      <alignment horizontal="right"/>
    </xf>
    <xf numFmtId="167" fontId="154" fillId="0" borderId="0" xfId="14" applyNumberFormat="1" applyFont="1" applyAlignment="1">
      <alignment horizontal="right"/>
    </xf>
    <xf numFmtId="2" fontId="154" fillId="0" borderId="0" xfId="14" applyNumberFormat="1" applyFont="1" applyAlignment="1">
      <alignment horizontal="right"/>
    </xf>
    <xf numFmtId="182" fontId="153" fillId="0" borderId="0" xfId="14" applyNumberFormat="1" applyFont="1" applyAlignment="1" applyProtection="1">
      <alignment horizontal="center"/>
      <protection hidden="1"/>
    </xf>
    <xf numFmtId="0" fontId="65" fillId="0" borderId="0" xfId="0" applyFont="1" applyAlignment="1">
      <alignment vertical="center"/>
    </xf>
    <xf numFmtId="0" fontId="179" fillId="11" borderId="0" xfId="0" applyFont="1" applyFill="1" applyAlignment="1">
      <alignment vertical="center"/>
    </xf>
    <xf numFmtId="0" fontId="65" fillId="11" borderId="0" xfId="0" applyFont="1" applyFill="1" applyAlignment="1">
      <alignment vertical="center"/>
    </xf>
    <xf numFmtId="0" fontId="39" fillId="0" borderId="84" xfId="2" applyNumberFormat="1" applyFont="1" applyFill="1" applyBorder="1" applyAlignment="1">
      <alignment horizontal="center" vertical="center"/>
    </xf>
    <xf numFmtId="0" fontId="39" fillId="0" borderId="0" xfId="11" applyFont="1" applyAlignment="1">
      <alignment vertical="center"/>
    </xf>
    <xf numFmtId="0" fontId="14" fillId="0" borderId="0" xfId="11" applyFont="1" applyAlignment="1">
      <alignment vertical="center"/>
    </xf>
    <xf numFmtId="0" fontId="39" fillId="0" borderId="0" xfId="11" applyFont="1" applyAlignment="1">
      <alignment horizontal="center" vertical="center"/>
    </xf>
    <xf numFmtId="167" fontId="39" fillId="0" borderId="0" xfId="11" applyNumberFormat="1" applyFont="1" applyAlignment="1">
      <alignment horizontal="center" vertical="center"/>
    </xf>
    <xf numFmtId="2" fontId="39" fillId="0" borderId="0" xfId="11" applyNumberFormat="1" applyFont="1" applyAlignment="1">
      <alignment horizontal="center" vertical="center"/>
    </xf>
    <xf numFmtId="0" fontId="14" fillId="0" borderId="0" xfId="11" applyFont="1" applyAlignment="1">
      <alignment horizontal="center" vertical="center"/>
    </xf>
    <xf numFmtId="0" fontId="28" fillId="0" borderId="0" xfId="11" applyFont="1" applyAlignment="1">
      <alignment vertical="center"/>
    </xf>
    <xf numFmtId="0" fontId="28" fillId="0" borderId="0" xfId="11" applyFont="1" applyAlignment="1">
      <alignment horizontal="center" vertical="center"/>
    </xf>
    <xf numFmtId="11" fontId="87" fillId="0" borderId="0" xfId="11" applyNumberFormat="1" applyFont="1" applyAlignment="1">
      <alignment horizontal="center" vertical="center"/>
    </xf>
    <xf numFmtId="20" fontId="14" fillId="0" borderId="0" xfId="11" applyNumberFormat="1" applyFont="1" applyAlignment="1">
      <alignment horizontal="center" vertical="center"/>
    </xf>
    <xf numFmtId="14" fontId="39" fillId="0" borderId="0" xfId="11" applyNumberFormat="1" applyFont="1" applyAlignment="1">
      <alignment vertical="center"/>
    </xf>
    <xf numFmtId="183" fontId="39" fillId="0" borderId="0" xfId="11" applyNumberFormat="1" applyFont="1" applyAlignment="1">
      <alignment vertical="center"/>
    </xf>
    <xf numFmtId="169" fontId="39" fillId="0" borderId="0" xfId="11" applyNumberFormat="1" applyFont="1" applyAlignment="1">
      <alignment horizontal="center" vertical="center"/>
    </xf>
    <xf numFmtId="11" fontId="39" fillId="0" borderId="0" xfId="11" applyNumberFormat="1" applyFont="1" applyAlignment="1">
      <alignment horizontal="center" vertical="center"/>
    </xf>
    <xf numFmtId="2" fontId="39" fillId="0" borderId="0" xfId="11" applyNumberFormat="1" applyFont="1" applyAlignment="1">
      <alignment vertical="center"/>
    </xf>
    <xf numFmtId="0" fontId="87" fillId="0" borderId="0" xfId="11" applyFont="1" applyAlignment="1">
      <alignment horizontal="left" vertical="center"/>
    </xf>
    <xf numFmtId="0" fontId="19" fillId="7" borderId="141" xfId="0" applyFont="1" applyFill="1" applyBorder="1" applyAlignment="1">
      <alignment horizontal="center" vertical="center"/>
    </xf>
    <xf numFmtId="0" fontId="122" fillId="7" borderId="141" xfId="0" applyFont="1" applyFill="1" applyBorder="1" applyAlignment="1">
      <alignment horizontal="center" vertical="center"/>
    </xf>
    <xf numFmtId="0" fontId="10" fillId="0" borderId="0" xfId="0" applyFont="1" applyAlignment="1">
      <alignment horizontal="center"/>
    </xf>
    <xf numFmtId="0" fontId="11" fillId="0" borderId="0" xfId="0" applyFont="1" applyAlignment="1">
      <alignment horizontal="left"/>
    </xf>
    <xf numFmtId="20" fontId="39" fillId="2" borderId="0" xfId="11" applyNumberFormat="1" applyFont="1" applyFill="1" applyAlignment="1">
      <alignment horizontal="right" vertical="center"/>
    </xf>
    <xf numFmtId="0" fontId="0" fillId="0" borderId="0" xfId="0" applyAlignment="1">
      <alignment wrapText="1"/>
    </xf>
    <xf numFmtId="0" fontId="160" fillId="0" borderId="0" xfId="0" applyFont="1"/>
    <xf numFmtId="0" fontId="6" fillId="0" borderId="1" xfId="0" applyFont="1" applyBorder="1"/>
    <xf numFmtId="0" fontId="5" fillId="0" borderId="1" xfId="0" applyFont="1" applyBorder="1"/>
    <xf numFmtId="0" fontId="5" fillId="0" borderId="1" xfId="0" applyFont="1" applyBorder="1" applyAlignment="1">
      <alignment horizontal="left"/>
    </xf>
    <xf numFmtId="177" fontId="4" fillId="0" borderId="48" xfId="0" applyNumberFormat="1" applyFont="1" applyBorder="1" applyAlignment="1">
      <alignment horizontal="left" vertical="top"/>
    </xf>
    <xf numFmtId="0" fontId="78" fillId="0" borderId="0" xfId="0" applyFont="1" applyAlignment="1">
      <alignment horizontal="center"/>
    </xf>
    <xf numFmtId="0" fontId="77" fillId="0" borderId="0" xfId="0" applyFont="1" applyAlignment="1">
      <alignment horizontal="center"/>
    </xf>
    <xf numFmtId="0" fontId="11" fillId="0" borderId="0" xfId="0" applyFont="1" applyAlignment="1">
      <alignment horizontal="center"/>
    </xf>
    <xf numFmtId="178" fontId="5" fillId="0" borderId="0" xfId="0" applyNumberFormat="1" applyFont="1" applyAlignment="1">
      <alignment horizontal="left" wrapText="1"/>
    </xf>
    <xf numFmtId="0" fontId="78" fillId="2" borderId="0" xfId="0" applyFont="1" applyFill="1"/>
    <xf numFmtId="0" fontId="10" fillId="2" borderId="0" xfId="0" applyFont="1" applyFill="1" applyAlignment="1">
      <alignment horizontal="left"/>
    </xf>
    <xf numFmtId="0" fontId="4" fillId="2" borderId="110" xfId="0" applyFont="1" applyFill="1" applyBorder="1"/>
    <xf numFmtId="170" fontId="13" fillId="28" borderId="9" xfId="0" applyNumberFormat="1" applyFont="1" applyFill="1" applyBorder="1" applyAlignment="1">
      <alignment horizontal="right"/>
    </xf>
    <xf numFmtId="0" fontId="26" fillId="28" borderId="9" xfId="0" applyFont="1" applyFill="1" applyBorder="1" applyAlignment="1">
      <alignment horizontal="center" vertical="center" wrapText="1"/>
    </xf>
    <xf numFmtId="0" fontId="26" fillId="28" borderId="9" xfId="0" applyFont="1" applyFill="1" applyBorder="1" applyAlignment="1">
      <alignment horizontal="center"/>
    </xf>
    <xf numFmtId="0" fontId="26" fillId="28" borderId="9" xfId="0" applyFont="1" applyFill="1" applyBorder="1" applyAlignment="1">
      <alignment horizontal="right"/>
    </xf>
    <xf numFmtId="170" fontId="13" fillId="28" borderId="9" xfId="0" applyNumberFormat="1" applyFont="1" applyFill="1" applyBorder="1" applyAlignment="1" applyProtection="1">
      <alignment horizontal="right"/>
      <protection locked="0"/>
    </xf>
    <xf numFmtId="170" fontId="26" fillId="28" borderId="9" xfId="0" applyNumberFormat="1" applyFont="1" applyFill="1" applyBorder="1" applyAlignment="1">
      <alignment horizontal="right"/>
    </xf>
    <xf numFmtId="0" fontId="0" fillId="28" borderId="0" xfId="0" applyFill="1"/>
    <xf numFmtId="0" fontId="26" fillId="28" borderId="10" xfId="0" applyFont="1" applyFill="1" applyBorder="1" applyAlignment="1">
      <alignment vertical="center" wrapText="1"/>
    </xf>
    <xf numFmtId="0" fontId="26" fillId="28" borderId="12" xfId="0" applyFont="1" applyFill="1" applyBorder="1" applyAlignment="1">
      <alignment vertical="center" wrapText="1"/>
    </xf>
    <xf numFmtId="0" fontId="26" fillId="28" borderId="0" xfId="0" applyFont="1" applyFill="1"/>
    <xf numFmtId="170" fontId="13" fillId="28" borderId="26" xfId="0" applyNumberFormat="1" applyFont="1" applyFill="1" applyBorder="1" applyAlignment="1" applyProtection="1">
      <alignment horizontal="right"/>
      <protection locked="0"/>
    </xf>
    <xf numFmtId="170" fontId="13" fillId="28" borderId="41" xfId="0" applyNumberFormat="1" applyFont="1" applyFill="1" applyBorder="1" applyAlignment="1" applyProtection="1">
      <alignment horizontal="right"/>
      <protection locked="0"/>
    </xf>
    <xf numFmtId="170" fontId="26" fillId="28" borderId="13" xfId="0" applyNumberFormat="1" applyFont="1" applyFill="1" applyBorder="1" applyAlignment="1">
      <alignment horizontal="right"/>
    </xf>
    <xf numFmtId="1" fontId="33" fillId="28" borderId="0" xfId="0" applyNumberFormat="1" applyFont="1" applyFill="1" applyAlignment="1">
      <alignment horizontal="left"/>
    </xf>
    <xf numFmtId="2" fontId="0" fillId="28" borderId="0" xfId="0" applyNumberFormat="1" applyFill="1"/>
    <xf numFmtId="0" fontId="32" fillId="28" borderId="0" xfId="0" applyFont="1" applyFill="1"/>
    <xf numFmtId="0" fontId="36" fillId="28" borderId="0" xfId="0" applyFont="1" applyFill="1"/>
    <xf numFmtId="0" fontId="0" fillId="28" borderId="0" xfId="0" applyFill="1" applyAlignment="1">
      <alignment horizontal="center"/>
    </xf>
    <xf numFmtId="2" fontId="0" fillId="28" borderId="0" xfId="0" applyNumberFormat="1" applyFill="1" applyAlignment="1">
      <alignment horizontal="center"/>
    </xf>
    <xf numFmtId="170" fontId="0" fillId="28" borderId="0" xfId="0" applyNumberFormat="1" applyFill="1"/>
    <xf numFmtId="0" fontId="2" fillId="28" borderId="0" xfId="0" applyFont="1" applyFill="1" applyAlignment="1">
      <alignment horizontal="center"/>
    </xf>
    <xf numFmtId="1" fontId="63" fillId="28" borderId="0" xfId="0" applyNumberFormat="1" applyFont="1" applyFill="1" applyAlignment="1">
      <alignment horizontal="center"/>
    </xf>
    <xf numFmtId="1" fontId="26" fillId="28" borderId="0" xfId="0" applyNumberFormat="1" applyFont="1" applyFill="1" applyAlignment="1">
      <alignment horizontal="center"/>
    </xf>
    <xf numFmtId="11" fontId="86" fillId="0" borderId="0" xfId="0" applyNumberFormat="1" applyFont="1" applyAlignment="1">
      <alignment horizontal="center" vertical="center"/>
    </xf>
    <xf numFmtId="11" fontId="86" fillId="0" borderId="0" xfId="0" applyNumberFormat="1" applyFont="1"/>
    <xf numFmtId="180" fontId="86" fillId="0" borderId="0" xfId="0" applyNumberFormat="1" applyFont="1" applyAlignment="1">
      <alignment horizontal="center" vertical="center"/>
    </xf>
    <xf numFmtId="173" fontId="86" fillId="0" borderId="0" xfId="0" applyNumberFormat="1" applyFont="1" applyAlignment="1">
      <alignment horizontal="center" vertical="center"/>
    </xf>
    <xf numFmtId="180" fontId="86" fillId="0" borderId="0" xfId="0" applyNumberFormat="1" applyFont="1" applyAlignment="1">
      <alignment horizontal="center"/>
    </xf>
    <xf numFmtId="0" fontId="188" fillId="0" borderId="0" xfId="0" applyFont="1" applyAlignment="1">
      <alignment horizontal="center"/>
    </xf>
    <xf numFmtId="0" fontId="188" fillId="0" borderId="0" xfId="0" applyFont="1"/>
    <xf numFmtId="0" fontId="86" fillId="0" borderId="0" xfId="0" quotePrefix="1" applyFont="1"/>
    <xf numFmtId="0" fontId="74" fillId="8" borderId="0" xfId="0" applyFont="1" applyFill="1" applyAlignment="1">
      <alignment horizontal="right" vertical="center"/>
    </xf>
    <xf numFmtId="0" fontId="153" fillId="12" borderId="0" xfId="14" applyFont="1" applyFill="1" applyProtection="1">
      <protection locked="0"/>
    </xf>
    <xf numFmtId="0" fontId="86" fillId="0" borderId="0" xfId="0" applyFont="1" applyAlignment="1">
      <alignment horizontal="center" vertical="center" wrapText="1"/>
    </xf>
    <xf numFmtId="0" fontId="118" fillId="0" borderId="0" xfId="0" applyFont="1"/>
    <xf numFmtId="0" fontId="10" fillId="0" borderId="0" xfId="0" applyFont="1" applyAlignment="1">
      <alignment wrapText="1"/>
    </xf>
    <xf numFmtId="178" fontId="5" fillId="0" borderId="0" xfId="0" applyNumberFormat="1" applyFont="1" applyAlignment="1">
      <alignment horizontal="left" vertical="center" wrapText="1"/>
    </xf>
    <xf numFmtId="0" fontId="10" fillId="6" borderId="0" xfId="0" applyFont="1" applyFill="1" applyAlignment="1">
      <alignment vertical="center"/>
    </xf>
    <xf numFmtId="0" fontId="10" fillId="6" borderId="0" xfId="0" applyFont="1" applyFill="1"/>
    <xf numFmtId="0" fontId="189" fillId="0" borderId="0" xfId="0" applyFont="1" applyAlignment="1">
      <alignment vertical="center" wrapText="1"/>
    </xf>
    <xf numFmtId="0" fontId="4" fillId="6" borderId="0" xfId="0" applyFont="1" applyFill="1" applyAlignment="1">
      <alignment vertical="center"/>
    </xf>
    <xf numFmtId="0" fontId="4" fillId="7" borderId="0" xfId="0" applyFont="1" applyFill="1" applyAlignment="1">
      <alignment vertical="center"/>
    </xf>
    <xf numFmtId="0" fontId="2" fillId="0" borderId="0" xfId="0" applyFont="1" applyAlignment="1">
      <alignment horizontal="center" vertical="center" wrapText="1"/>
    </xf>
    <xf numFmtId="0" fontId="12" fillId="19" borderId="0" xfId="0" applyFont="1" applyFill="1"/>
    <xf numFmtId="0" fontId="192" fillId="8" borderId="0" xfId="0" applyFont="1" applyFill="1" applyAlignment="1">
      <alignment horizontal="center" vertical="center"/>
    </xf>
    <xf numFmtId="0" fontId="12" fillId="15" borderId="0" xfId="0" applyFont="1" applyFill="1" applyAlignment="1">
      <alignment horizontal="center"/>
    </xf>
    <xf numFmtId="167" fontId="0" fillId="0" borderId="0" xfId="0" applyNumberFormat="1" applyAlignment="1">
      <alignment vertical="center"/>
    </xf>
    <xf numFmtId="0" fontId="193" fillId="0" borderId="0" xfId="0" applyFont="1" applyAlignment="1">
      <alignment horizontal="center" vertical="center"/>
    </xf>
    <xf numFmtId="0" fontId="25" fillId="0" borderId="0" xfId="0" applyFont="1" applyAlignment="1">
      <alignment vertical="center"/>
    </xf>
    <xf numFmtId="167" fontId="12" fillId="0" borderId="0" xfId="0" applyNumberFormat="1" applyFont="1" applyAlignment="1">
      <alignment vertical="center"/>
    </xf>
    <xf numFmtId="0" fontId="12" fillId="0" borderId="0" xfId="0" applyFont="1" applyAlignment="1">
      <alignment wrapText="1"/>
    </xf>
    <xf numFmtId="0" fontId="28" fillId="0" borderId="0" xfId="0" applyFont="1" applyAlignment="1">
      <alignment horizontal="center" vertical="center" wrapText="1"/>
    </xf>
    <xf numFmtId="0" fontId="28" fillId="0" borderId="0" xfId="0" applyFont="1" applyAlignment="1">
      <alignment horizontal="left" vertical="center" wrapText="1"/>
    </xf>
    <xf numFmtId="0" fontId="87" fillId="0" borderId="0" xfId="0" applyFont="1" applyAlignment="1">
      <alignment horizontal="center" vertical="center"/>
    </xf>
    <xf numFmtId="0" fontId="28" fillId="0" borderId="0" xfId="0" applyFont="1" applyAlignment="1">
      <alignment vertical="center" wrapText="1"/>
    </xf>
    <xf numFmtId="167" fontId="28" fillId="0" borderId="0" xfId="0" applyNumberFormat="1" applyFont="1" applyAlignment="1">
      <alignment vertical="center"/>
    </xf>
    <xf numFmtId="0" fontId="199" fillId="0" borderId="0" xfId="0" applyFont="1"/>
    <xf numFmtId="0" fontId="200" fillId="0" borderId="0" xfId="0" applyFont="1"/>
    <xf numFmtId="0" fontId="192" fillId="8" borderId="0" xfId="0" applyFont="1" applyFill="1" applyAlignment="1">
      <alignment horizontal="center" vertical="center" wrapText="1"/>
    </xf>
    <xf numFmtId="0" fontId="12" fillId="19" borderId="0" xfId="0" applyFont="1" applyFill="1" applyAlignment="1">
      <alignment horizontal="center" vertical="center" wrapText="1"/>
    </xf>
    <xf numFmtId="0" fontId="16" fillId="0" borderId="0" xfId="0" applyFont="1" applyAlignment="1">
      <alignment horizontal="center" vertical="center" wrapText="1"/>
    </xf>
    <xf numFmtId="0" fontId="201" fillId="0" borderId="0" xfId="0" applyFont="1" applyAlignment="1">
      <alignment horizontal="center" vertical="center"/>
    </xf>
    <xf numFmtId="0" fontId="16" fillId="0" borderId="0" xfId="0" applyFont="1" applyAlignment="1">
      <alignment vertical="center" wrapText="1"/>
    </xf>
    <xf numFmtId="2" fontId="16" fillId="0" borderId="0" xfId="0" applyNumberFormat="1" applyFont="1"/>
    <xf numFmtId="11" fontId="0" fillId="0" borderId="0" xfId="0" applyNumberFormat="1" applyAlignment="1">
      <alignment vertical="center" wrapText="1"/>
    </xf>
    <xf numFmtId="11" fontId="0" fillId="0" borderId="0" xfId="0" applyNumberFormat="1" applyAlignment="1">
      <alignment vertical="center"/>
    </xf>
    <xf numFmtId="11" fontId="16" fillId="0" borderId="0" xfId="0" applyNumberFormat="1" applyFont="1" applyAlignment="1">
      <alignment horizontal="center" vertical="center" wrapText="1"/>
    </xf>
    <xf numFmtId="21" fontId="39" fillId="0" borderId="0" xfId="11" applyNumberFormat="1" applyFont="1" applyAlignment="1">
      <alignment vertical="center"/>
    </xf>
    <xf numFmtId="183" fontId="0" fillId="0" borderId="0" xfId="0" applyNumberFormat="1"/>
    <xf numFmtId="0" fontId="39" fillId="2" borderId="0" xfId="11" applyFont="1" applyFill="1" applyAlignment="1">
      <alignment horizontal="center" vertical="center"/>
    </xf>
    <xf numFmtId="2" fontId="39" fillId="2" borderId="0" xfId="11" applyNumberFormat="1" applyFont="1" applyFill="1" applyAlignment="1">
      <alignment horizontal="center" vertical="center"/>
    </xf>
    <xf numFmtId="46" fontId="0" fillId="0" borderId="0" xfId="0" applyNumberFormat="1"/>
    <xf numFmtId="0" fontId="18" fillId="0" borderId="0" xfId="11" applyFont="1" applyAlignment="1">
      <alignment vertical="center"/>
    </xf>
    <xf numFmtId="1" fontId="39" fillId="0" borderId="0" xfId="11" applyNumberFormat="1" applyFont="1" applyAlignment="1">
      <alignment horizontal="center" vertical="center"/>
    </xf>
    <xf numFmtId="16" fontId="0" fillId="0" borderId="0" xfId="0" applyNumberFormat="1"/>
    <xf numFmtId="22" fontId="0" fillId="0" borderId="0" xfId="0" applyNumberFormat="1"/>
    <xf numFmtId="11" fontId="193" fillId="0" borderId="0" xfId="0" applyNumberFormat="1" applyFont="1" applyAlignment="1">
      <alignment horizontal="center" vertical="center"/>
    </xf>
    <xf numFmtId="11" fontId="11" fillId="0" borderId="0" xfId="0" applyNumberFormat="1" applyFont="1" applyAlignment="1">
      <alignment horizontal="center" vertical="center"/>
    </xf>
    <xf numFmtId="10" fontId="193" fillId="0" borderId="0" xfId="0" applyNumberFormat="1" applyFont="1" applyAlignment="1">
      <alignment horizontal="center" vertical="center"/>
    </xf>
    <xf numFmtId="0" fontId="202" fillId="0" borderId="0" xfId="0" applyFont="1" applyAlignment="1">
      <alignment vertical="center"/>
    </xf>
    <xf numFmtId="0" fontId="181" fillId="0" borderId="0" xfId="0" applyFont="1"/>
    <xf numFmtId="10" fontId="0" fillId="0" borderId="0" xfId="0" applyNumberFormat="1"/>
    <xf numFmtId="0" fontId="203"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wrapText="1"/>
    </xf>
    <xf numFmtId="167" fontId="11" fillId="0" borderId="0" xfId="0" applyNumberFormat="1" applyFont="1" applyAlignment="1">
      <alignment vertical="center"/>
    </xf>
    <xf numFmtId="0" fontId="170" fillId="0" borderId="0" xfId="0" applyFont="1" applyAlignment="1">
      <alignment horizontal="center" vertical="center"/>
    </xf>
    <xf numFmtId="0" fontId="11" fillId="0" borderId="0" xfId="0" applyFont="1" applyAlignment="1">
      <alignment vertical="center" wrapText="1"/>
    </xf>
    <xf numFmtId="0" fontId="204" fillId="8" borderId="0" xfId="0" applyFont="1" applyFill="1"/>
    <xf numFmtId="0" fontId="113" fillId="8" borderId="0" xfId="0" applyFont="1" applyFill="1" applyAlignment="1">
      <alignment vertical="center"/>
    </xf>
    <xf numFmtId="167" fontId="39" fillId="2" borderId="0" xfId="11" applyNumberFormat="1" applyFont="1" applyFill="1" applyAlignment="1">
      <alignment horizontal="center" vertical="center"/>
    </xf>
    <xf numFmtId="0" fontId="86" fillId="0" borderId="0" xfId="0" applyFont="1" applyAlignment="1">
      <alignment horizontal="center" vertical="center" wrapText="1"/>
    </xf>
    <xf numFmtId="0" fontId="107" fillId="0" borderId="0" xfId="0" applyFont="1" applyAlignment="1">
      <alignment horizontal="center" wrapText="1"/>
    </xf>
    <xf numFmtId="0" fontId="0" fillId="0" borderId="116" xfId="0" applyBorder="1" applyAlignment="1">
      <alignment horizontal="center"/>
    </xf>
    <xf numFmtId="0" fontId="0" fillId="0" borderId="117" xfId="0" applyBorder="1" applyAlignment="1">
      <alignment horizontal="center"/>
    </xf>
    <xf numFmtId="0" fontId="10" fillId="0" borderId="148" xfId="0" applyFont="1" applyBorder="1" applyAlignment="1">
      <alignment horizontal="center" vertical="center"/>
    </xf>
    <xf numFmtId="0" fontId="10" fillId="0" borderId="0" xfId="0" applyFont="1" applyAlignment="1">
      <alignment horizontal="center" vertical="center"/>
    </xf>
    <xf numFmtId="0" fontId="10" fillId="0" borderId="144" xfId="0" applyFont="1" applyBorder="1" applyAlignment="1">
      <alignment horizontal="center" vertical="center"/>
    </xf>
    <xf numFmtId="0" fontId="10" fillId="0" borderId="100" xfId="0" applyFont="1" applyBorder="1" applyAlignment="1">
      <alignment horizontal="left" vertical="top"/>
    </xf>
    <xf numFmtId="0" fontId="10" fillId="0" borderId="0" xfId="0" applyFont="1" applyAlignment="1">
      <alignment horizontal="left" vertical="top"/>
    </xf>
    <xf numFmtId="177" fontId="10" fillId="0" borderId="0" xfId="0" applyNumberFormat="1" applyFont="1" applyAlignment="1">
      <alignment horizontal="left" vertical="top"/>
    </xf>
    <xf numFmtId="0" fontId="10" fillId="0" borderId="0" xfId="0" applyFont="1" applyAlignment="1">
      <alignment horizontal="left" vertical="center"/>
    </xf>
    <xf numFmtId="0" fontId="10" fillId="0" borderId="104" xfId="0" applyFont="1" applyBorder="1" applyAlignment="1">
      <alignment horizontal="left" vertical="center"/>
    </xf>
    <xf numFmtId="0" fontId="126" fillId="0" borderId="0" xfId="0" applyFont="1" applyAlignment="1">
      <alignment horizontal="left" vertical="top"/>
    </xf>
    <xf numFmtId="0" fontId="126" fillId="0" borderId="104" xfId="0" applyFont="1" applyBorder="1" applyAlignment="1">
      <alignment horizontal="left" vertical="top"/>
    </xf>
    <xf numFmtId="0" fontId="10" fillId="0" borderId="100" xfId="0" applyFont="1" applyBorder="1" applyAlignment="1">
      <alignment horizontal="left" vertical="center"/>
    </xf>
    <xf numFmtId="0" fontId="10" fillId="0" borderId="102" xfId="0" applyFont="1" applyBorder="1" applyAlignment="1">
      <alignment horizontal="left" vertical="center"/>
    </xf>
    <xf numFmtId="0" fontId="10" fillId="0" borderId="101" xfId="0" applyFont="1" applyBorder="1" applyAlignment="1">
      <alignment horizontal="left" vertical="center"/>
    </xf>
    <xf numFmtId="0" fontId="10" fillId="0" borderId="105" xfId="0" applyFont="1" applyBorder="1" applyAlignment="1">
      <alignment horizontal="left" vertical="center"/>
    </xf>
    <xf numFmtId="0" fontId="10" fillId="0" borderId="148" xfId="0" applyFont="1" applyBorder="1" applyAlignment="1">
      <alignment horizontal="center" wrapText="1"/>
    </xf>
    <xf numFmtId="0" fontId="10" fillId="0" borderId="0" xfId="0" applyFont="1" applyAlignment="1">
      <alignment horizontal="center" wrapText="1"/>
    </xf>
    <xf numFmtId="0" fontId="10" fillId="0" borderId="144" xfId="0" applyFont="1" applyBorder="1" applyAlignment="1">
      <alignment horizontal="center" wrapText="1"/>
    </xf>
    <xf numFmtId="0" fontId="10" fillId="0" borderId="104" xfId="0" applyFont="1" applyBorder="1" applyAlignment="1">
      <alignment horizontal="left" vertical="top"/>
    </xf>
    <xf numFmtId="0" fontId="10" fillId="0" borderId="0" xfId="0" applyFont="1" applyAlignment="1">
      <alignment horizontal="center" vertical="top"/>
    </xf>
    <xf numFmtId="0" fontId="69" fillId="18" borderId="0" xfId="0" applyFont="1" applyFill="1" applyAlignment="1">
      <alignment horizontal="center" vertical="center"/>
    </xf>
    <xf numFmtId="0" fontId="11" fillId="0" borderId="148" xfId="0" applyFont="1" applyBorder="1" applyAlignment="1">
      <alignment horizontal="center"/>
    </xf>
    <xf numFmtId="0" fontId="11" fillId="0" borderId="0" xfId="0" applyFont="1" applyAlignment="1">
      <alignment horizontal="center"/>
    </xf>
    <xf numFmtId="0" fontId="11" fillId="0" borderId="144" xfId="0" applyFont="1" applyBorder="1" applyAlignment="1">
      <alignment horizontal="center"/>
    </xf>
    <xf numFmtId="0" fontId="165" fillId="8" borderId="106" xfId="0" applyFont="1" applyFill="1" applyBorder="1" applyAlignment="1">
      <alignment horizontal="left" vertical="center"/>
    </xf>
    <xf numFmtId="0" fontId="165" fillId="8" borderId="107" xfId="0" applyFont="1" applyFill="1" applyBorder="1" applyAlignment="1">
      <alignment horizontal="left" vertical="center"/>
    </xf>
    <xf numFmtId="0" fontId="165" fillId="8" borderId="103" xfId="0" applyFont="1" applyFill="1" applyBorder="1" applyAlignment="1">
      <alignment horizontal="left" vertical="center"/>
    </xf>
    <xf numFmtId="178" fontId="9" fillId="0" borderId="143" xfId="0" applyNumberFormat="1" applyFont="1" applyBorder="1" applyAlignment="1">
      <alignment horizontal="left"/>
    </xf>
    <xf numFmtId="178" fontId="9" fillId="0" borderId="150" xfId="0" applyNumberFormat="1" applyFont="1" applyBorder="1" applyAlignment="1">
      <alignment horizontal="left"/>
    </xf>
    <xf numFmtId="0" fontId="5" fillId="0" borderId="149" xfId="0" applyFont="1" applyBorder="1" applyAlignment="1">
      <alignment horizontal="center"/>
    </xf>
    <xf numFmtId="0" fontId="5" fillId="0" borderId="143" xfId="0" applyFont="1" applyBorder="1" applyAlignment="1">
      <alignment horizontal="center"/>
    </xf>
    <xf numFmtId="0" fontId="78" fillId="0" borderId="145" xfId="0" applyFont="1" applyBorder="1" applyAlignment="1">
      <alignment horizontal="center"/>
    </xf>
    <xf numFmtId="0" fontId="78" fillId="0" borderId="146" xfId="0" applyFont="1" applyBorder="1" applyAlignment="1">
      <alignment horizontal="center"/>
    </xf>
    <xf numFmtId="0" fontId="78" fillId="0" borderId="147" xfId="0" applyFont="1" applyBorder="1" applyAlignment="1">
      <alignment horizontal="center"/>
    </xf>
    <xf numFmtId="0" fontId="128" fillId="0" borderId="148" xfId="0" applyFont="1" applyBorder="1" applyAlignment="1">
      <alignment horizontal="center"/>
    </xf>
    <xf numFmtId="0" fontId="128" fillId="0" borderId="0" xfId="0" applyFont="1" applyAlignment="1">
      <alignment horizontal="center"/>
    </xf>
    <xf numFmtId="0" fontId="128" fillId="0" borderId="144" xfId="0" applyFont="1" applyBorder="1" applyAlignment="1">
      <alignment horizontal="center"/>
    </xf>
    <xf numFmtId="0" fontId="127" fillId="0" borderId="148" xfId="0" applyFont="1" applyBorder="1" applyAlignment="1">
      <alignment horizontal="center"/>
    </xf>
    <xf numFmtId="0" fontId="127" fillId="0" borderId="0" xfId="0" applyFont="1" applyAlignment="1">
      <alignment horizontal="center"/>
    </xf>
    <xf numFmtId="0" fontId="127" fillId="0" borderId="144" xfId="0" applyFont="1" applyBorder="1" applyAlignment="1">
      <alignment horizontal="center"/>
    </xf>
    <xf numFmtId="178" fontId="5" fillId="0" borderId="143" xfId="0" applyNumberFormat="1" applyFont="1" applyBorder="1" applyAlignment="1">
      <alignment horizontal="left" wrapText="1" indent="1"/>
    </xf>
    <xf numFmtId="178" fontId="5" fillId="0" borderId="150" xfId="0" applyNumberFormat="1" applyFont="1" applyBorder="1" applyAlignment="1">
      <alignment horizontal="left" wrapText="1" indent="1"/>
    </xf>
    <xf numFmtId="0" fontId="5" fillId="0" borderId="149" xfId="0" applyFont="1" applyBorder="1" applyAlignment="1">
      <alignment horizontal="center" wrapText="1"/>
    </xf>
    <xf numFmtId="0" fontId="5" fillId="0" borderId="143" xfId="0" applyFont="1" applyBorder="1" applyAlignment="1">
      <alignment horizontal="center" wrapText="1"/>
    </xf>
    <xf numFmtId="0" fontId="79" fillId="0" borderId="148" xfId="0" applyFont="1" applyBorder="1" applyAlignment="1">
      <alignment horizontal="center"/>
    </xf>
    <xf numFmtId="0" fontId="79" fillId="0" borderId="0" xfId="0" applyFont="1" applyAlignment="1">
      <alignment horizontal="center"/>
    </xf>
    <xf numFmtId="0" fontId="79" fillId="0" borderId="144" xfId="0" applyFont="1" applyBorder="1" applyAlignment="1">
      <alignment horizontal="center"/>
    </xf>
    <xf numFmtId="178" fontId="5" fillId="0" borderId="143" xfId="0" applyNumberFormat="1" applyFont="1" applyBorder="1" applyAlignment="1">
      <alignment horizontal="left" wrapText="1"/>
    </xf>
    <xf numFmtId="178" fontId="5" fillId="0" borderId="150" xfId="0" applyNumberFormat="1" applyFont="1" applyBorder="1" applyAlignment="1">
      <alignment horizontal="left" wrapText="1"/>
    </xf>
    <xf numFmtId="0" fontId="71" fillId="8" borderId="0" xfId="0" applyFont="1" applyFill="1" applyAlignment="1">
      <alignment horizontal="center" vertical="center"/>
    </xf>
    <xf numFmtId="0" fontId="4" fillId="0" borderId="0" xfId="0" applyFont="1" applyAlignment="1">
      <alignment horizontal="center" vertical="top"/>
    </xf>
    <xf numFmtId="0" fontId="82" fillId="0" borderId="0" xfId="0" applyFont="1" applyAlignment="1">
      <alignment horizontal="center"/>
    </xf>
    <xf numFmtId="0" fontId="80" fillId="0" borderId="0" xfId="0" applyFont="1" applyAlignment="1">
      <alignment horizontal="center"/>
    </xf>
    <xf numFmtId="0" fontId="81" fillId="0" borderId="0" xfId="0" applyFont="1" applyAlignment="1">
      <alignment horizontal="center"/>
    </xf>
    <xf numFmtId="0" fontId="77" fillId="0" borderId="148" xfId="0" applyFont="1" applyBorder="1" applyAlignment="1">
      <alignment horizontal="center"/>
    </xf>
    <xf numFmtId="0" fontId="77" fillId="0" borderId="0" xfId="0" applyFont="1" applyAlignment="1">
      <alignment horizontal="center"/>
    </xf>
    <xf numFmtId="0" fontId="77" fillId="0" borderId="144" xfId="0" applyFont="1" applyBorder="1" applyAlignment="1">
      <alignment horizontal="center"/>
    </xf>
    <xf numFmtId="0" fontId="10" fillId="0" borderId="149" xfId="0" applyFont="1" applyBorder="1" applyAlignment="1">
      <alignment horizontal="left" wrapText="1"/>
    </xf>
    <xf numFmtId="0" fontId="10" fillId="0" borderId="143" xfId="0" applyFont="1" applyBorder="1" applyAlignment="1">
      <alignment horizontal="left" wrapText="1"/>
    </xf>
    <xf numFmtId="0" fontId="10" fillId="0" borderId="149" xfId="0" applyFont="1" applyBorder="1" applyAlignment="1">
      <alignment horizontal="right" wrapText="1"/>
    </xf>
    <xf numFmtId="0" fontId="10" fillId="0" borderId="143" xfId="0" applyFont="1" applyBorder="1" applyAlignment="1">
      <alignment horizontal="right" wrapText="1"/>
    </xf>
    <xf numFmtId="0" fontId="8" fillId="9" borderId="106" xfId="0" applyFont="1" applyFill="1" applyBorder="1" applyAlignment="1">
      <alignment horizontal="center" vertical="center" wrapText="1"/>
    </xf>
    <xf numFmtId="0" fontId="8" fillId="9" borderId="107" xfId="0" applyFont="1" applyFill="1" applyBorder="1" applyAlignment="1">
      <alignment horizontal="center" vertical="center" wrapText="1"/>
    </xf>
    <xf numFmtId="0" fontId="8" fillId="9" borderId="103" xfId="0" applyFont="1" applyFill="1" applyBorder="1" applyAlignment="1">
      <alignment horizontal="center" vertical="center" wrapText="1"/>
    </xf>
    <xf numFmtId="0" fontId="8" fillId="9" borderId="100" xfId="0" applyFont="1" applyFill="1" applyBorder="1" applyAlignment="1">
      <alignment horizontal="center" vertical="center" wrapText="1"/>
    </xf>
    <xf numFmtId="0" fontId="8" fillId="9" borderId="0" xfId="0" applyFont="1" applyFill="1" applyAlignment="1">
      <alignment horizontal="center" vertical="center" wrapText="1"/>
    </xf>
    <xf numFmtId="0" fontId="8" fillId="9" borderId="104" xfId="0" applyFont="1" applyFill="1" applyBorder="1" applyAlignment="1">
      <alignment horizontal="center" vertical="center" wrapText="1"/>
    </xf>
    <xf numFmtId="0" fontId="8" fillId="9" borderId="102" xfId="0" applyFont="1" applyFill="1" applyBorder="1" applyAlignment="1">
      <alignment horizontal="center" vertical="center" wrapText="1"/>
    </xf>
    <xf numFmtId="0" fontId="8" fillId="9" borderId="101" xfId="0" applyFont="1" applyFill="1" applyBorder="1" applyAlignment="1">
      <alignment horizontal="center" vertical="center" wrapText="1"/>
    </xf>
    <xf numFmtId="0" fontId="8" fillId="9" borderId="105" xfId="0" applyFont="1" applyFill="1" applyBorder="1" applyAlignment="1">
      <alignment horizontal="center" vertical="center" wrapText="1"/>
    </xf>
    <xf numFmtId="0" fontId="81" fillId="0" borderId="101" xfId="0" applyFont="1" applyBorder="1" applyAlignment="1">
      <alignment horizontal="center"/>
    </xf>
    <xf numFmtId="0" fontId="78" fillId="0" borderId="100" xfId="0" applyFont="1" applyBorder="1" applyAlignment="1">
      <alignment horizontal="center" vertical="top"/>
    </xf>
    <xf numFmtId="0" fontId="78" fillId="0" borderId="0" xfId="0" applyFont="1" applyAlignment="1">
      <alignment horizontal="center" vertical="top"/>
    </xf>
    <xf numFmtId="0" fontId="78" fillId="0" borderId="104" xfId="0" applyFont="1" applyBorder="1" applyAlignment="1">
      <alignment horizontal="center" vertical="top"/>
    </xf>
    <xf numFmtId="49" fontId="74" fillId="8" borderId="0" xfId="0" applyNumberFormat="1" applyFont="1" applyFill="1" applyAlignment="1">
      <alignment horizontal="left" vertical="center"/>
    </xf>
    <xf numFmtId="0" fontId="74" fillId="8" borderId="0" xfId="0" applyFont="1" applyFill="1" applyAlignment="1">
      <alignment horizontal="right" vertical="center"/>
    </xf>
    <xf numFmtId="0" fontId="67" fillId="18" borderId="0" xfId="0" applyFont="1" applyFill="1" applyAlignment="1">
      <alignment horizontal="center" vertical="center"/>
    </xf>
    <xf numFmtId="0" fontId="78" fillId="0" borderId="100" xfId="0" applyFont="1" applyBorder="1" applyAlignment="1">
      <alignment horizontal="center" vertical="center"/>
    </xf>
    <xf numFmtId="0" fontId="78" fillId="0" borderId="0" xfId="0" applyFont="1" applyAlignment="1">
      <alignment horizontal="center" vertical="center"/>
    </xf>
    <xf numFmtId="0" fontId="78" fillId="0" borderId="104" xfId="0" applyFont="1" applyBorder="1" applyAlignment="1">
      <alignment horizontal="center" vertical="center"/>
    </xf>
    <xf numFmtId="178" fontId="5" fillId="0" borderId="143" xfId="0" applyNumberFormat="1" applyFont="1" applyBorder="1" applyAlignment="1">
      <alignment horizontal="right" wrapText="1"/>
    </xf>
    <xf numFmtId="178" fontId="5" fillId="0" borderId="150" xfId="0" applyNumberFormat="1" applyFont="1" applyBorder="1" applyAlignment="1">
      <alignment horizontal="right" wrapText="1"/>
    </xf>
    <xf numFmtId="0" fontId="167" fillId="0" borderId="133" xfId="0" applyFont="1" applyBorder="1" applyAlignment="1">
      <alignment horizontal="center" vertical="center"/>
    </xf>
    <xf numFmtId="0" fontId="167" fillId="0" borderId="134" xfId="0" applyFont="1" applyBorder="1" applyAlignment="1">
      <alignment horizontal="center" vertical="center"/>
    </xf>
    <xf numFmtId="0" fontId="167" fillId="0" borderId="131" xfId="0" applyFont="1" applyBorder="1" applyAlignment="1">
      <alignment horizontal="center" vertical="center"/>
    </xf>
    <xf numFmtId="0" fontId="112" fillId="0" borderId="0" xfId="0" applyFont="1" applyAlignment="1">
      <alignment horizontal="center" textRotation="90"/>
    </xf>
    <xf numFmtId="164" fontId="167" fillId="0" borderId="0" xfId="0" applyNumberFormat="1" applyFont="1" applyAlignment="1">
      <alignment horizontal="center" vertical="center"/>
    </xf>
    <xf numFmtId="0" fontId="112" fillId="0" borderId="54" xfId="0" applyFont="1" applyBorder="1" applyAlignment="1">
      <alignment horizontal="center" vertical="center" textRotation="90"/>
    </xf>
    <xf numFmtId="0" fontId="167" fillId="0" borderId="54" xfId="0" applyFont="1" applyBorder="1" applyAlignment="1">
      <alignment horizontal="center" vertical="center"/>
    </xf>
    <xf numFmtId="0" fontId="112" fillId="0" borderId="54" xfId="0" applyFont="1" applyBorder="1" applyAlignment="1">
      <alignment horizontal="center" vertical="center"/>
    </xf>
    <xf numFmtId="0" fontId="167" fillId="0" borderId="133" xfId="0" applyFont="1" applyBorder="1" applyAlignment="1">
      <alignment horizontal="center" vertical="center" textRotation="90"/>
    </xf>
    <xf numFmtId="0" fontId="167" fillId="0" borderId="134" xfId="0" applyFont="1" applyBorder="1" applyAlignment="1">
      <alignment horizontal="center" vertical="center" textRotation="90"/>
    </xf>
    <xf numFmtId="0" fontId="167" fillId="0" borderId="131" xfId="0" applyFont="1" applyBorder="1" applyAlignment="1">
      <alignment horizontal="center" vertical="center" textRotation="90"/>
    </xf>
    <xf numFmtId="0" fontId="167" fillId="0" borderId="0" xfId="0" applyFont="1" applyAlignment="1">
      <alignment horizontal="left" vertical="center"/>
    </xf>
    <xf numFmtId="0" fontId="112" fillId="2" borderId="54" xfId="0" applyFont="1" applyFill="1" applyBorder="1" applyAlignment="1">
      <alignment horizontal="center" vertical="center"/>
    </xf>
    <xf numFmtId="0" fontId="120" fillId="0" borderId="0" xfId="0" applyFont="1" applyAlignment="1">
      <alignment horizontal="left" vertical="center"/>
    </xf>
    <xf numFmtId="164" fontId="167" fillId="0" borderId="0" xfId="0" applyNumberFormat="1" applyFont="1" applyAlignment="1">
      <alignment horizontal="left" vertical="center" indent="2"/>
    </xf>
    <xf numFmtId="164" fontId="8" fillId="0" borderId="0" xfId="0" applyNumberFormat="1" applyFont="1" applyAlignment="1">
      <alignment horizontal="center" vertical="center"/>
    </xf>
    <xf numFmtId="164" fontId="167" fillId="0" borderId="0" xfId="0" applyNumberFormat="1" applyFont="1" applyAlignment="1">
      <alignment horizontal="left" vertical="center"/>
    </xf>
    <xf numFmtId="0" fontId="112" fillId="0" borderId="0" xfId="0" applyFont="1" applyAlignment="1">
      <alignment horizontal="center" vertical="center" textRotation="90"/>
    </xf>
    <xf numFmtId="0" fontId="112" fillId="0" borderId="0" xfId="0" applyFont="1" applyAlignment="1">
      <alignment horizontal="center" vertical="center"/>
    </xf>
    <xf numFmtId="0" fontId="112" fillId="29" borderId="132" xfId="0" applyFont="1" applyFill="1" applyBorder="1" applyAlignment="1">
      <alignment horizontal="center" vertical="center"/>
    </xf>
    <xf numFmtId="0" fontId="86" fillId="0" borderId="0" xfId="0" applyFont="1" applyAlignment="1">
      <alignment horizontal="left" vertical="center" wrapText="1"/>
    </xf>
    <xf numFmtId="164" fontId="10" fillId="0" borderId="128" xfId="0" applyNumberFormat="1" applyFont="1" applyBorder="1" applyAlignment="1">
      <alignment horizontal="center" vertical="center"/>
    </xf>
    <xf numFmtId="167" fontId="154" fillId="0" borderId="0" xfId="14" applyNumberFormat="1" applyFont="1" applyAlignment="1">
      <alignment horizontal="center"/>
    </xf>
    <xf numFmtId="164" fontId="189"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184" fillId="0" borderId="0" xfId="0" applyFont="1" applyAlignment="1">
      <alignment horizontal="center"/>
    </xf>
    <xf numFmtId="0" fontId="185" fillId="0" borderId="0" xfId="0" applyFont="1" applyAlignment="1">
      <alignment horizontal="center"/>
    </xf>
    <xf numFmtId="0" fontId="78" fillId="9" borderId="137" xfId="0" applyFont="1" applyFill="1" applyBorder="1" applyAlignment="1">
      <alignment horizontal="center" vertical="center"/>
    </xf>
    <xf numFmtId="0" fontId="78" fillId="9" borderId="136" xfId="0" applyFont="1" applyFill="1" applyBorder="1" applyAlignment="1">
      <alignment horizontal="center" vertical="center"/>
    </xf>
    <xf numFmtId="0" fontId="78" fillId="9" borderId="135" xfId="0" applyFont="1" applyFill="1" applyBorder="1" applyAlignment="1">
      <alignment horizontal="center" vertical="center"/>
    </xf>
    <xf numFmtId="0" fontId="78" fillId="9" borderId="140" xfId="0" applyFont="1" applyFill="1" applyBorder="1" applyAlignment="1">
      <alignment horizontal="center" vertical="center"/>
    </xf>
    <xf numFmtId="0" fontId="78" fillId="9" borderId="138" xfId="0" applyFont="1" applyFill="1" applyBorder="1" applyAlignment="1">
      <alignment horizontal="center" vertical="center"/>
    </xf>
    <xf numFmtId="0" fontId="78" fillId="9" borderId="139" xfId="0" applyFont="1" applyFill="1" applyBorder="1" applyAlignment="1">
      <alignment horizontal="center" vertical="center"/>
    </xf>
    <xf numFmtId="0" fontId="81" fillId="0" borderId="48" xfId="0" applyFont="1" applyBorder="1" applyAlignment="1">
      <alignment horizontal="center"/>
    </xf>
    <xf numFmtId="0" fontId="10" fillId="0" borderId="0" xfId="0" applyFont="1" applyAlignment="1">
      <alignment horizontal="left" vertical="top" indent="2"/>
    </xf>
    <xf numFmtId="0" fontId="10" fillId="0" borderId="120" xfId="0" applyFont="1" applyBorder="1" applyAlignment="1">
      <alignment horizontal="center" vertical="center"/>
    </xf>
    <xf numFmtId="0" fontId="10" fillId="0" borderId="118" xfId="0" applyFont="1" applyBorder="1" applyAlignment="1">
      <alignment horizontal="center" vertical="center"/>
    </xf>
    <xf numFmtId="0" fontId="10" fillId="0" borderId="119" xfId="0" applyFont="1" applyBorder="1" applyAlignment="1">
      <alignment horizontal="center" vertical="center"/>
    </xf>
    <xf numFmtId="0" fontId="68" fillId="18" borderId="0" xfId="0" applyFont="1" applyFill="1" applyAlignment="1">
      <alignment horizontal="center" vertical="center"/>
    </xf>
    <xf numFmtId="0" fontId="10" fillId="0" borderId="108" xfId="0" applyFont="1" applyBorder="1" applyAlignment="1">
      <alignment horizontal="left" vertical="center"/>
    </xf>
    <xf numFmtId="0" fontId="10" fillId="0" borderId="109" xfId="0" applyFont="1" applyBorder="1" applyAlignment="1">
      <alignment horizontal="left" vertical="center"/>
    </xf>
    <xf numFmtId="0" fontId="10" fillId="0" borderId="110" xfId="0" applyFont="1" applyBorder="1" applyAlignment="1">
      <alignment horizontal="left" vertical="center"/>
    </xf>
    <xf numFmtId="0" fontId="127" fillId="0" borderId="79" xfId="0" applyFont="1" applyBorder="1" applyAlignment="1">
      <alignment horizontal="center"/>
    </xf>
    <xf numFmtId="0" fontId="127" fillId="0" borderId="75" xfId="0" applyFont="1" applyBorder="1" applyAlignment="1">
      <alignment horizontal="center"/>
    </xf>
    <xf numFmtId="167" fontId="10" fillId="0" borderId="120" xfId="0" applyNumberFormat="1" applyFont="1" applyBorder="1" applyAlignment="1">
      <alignment horizontal="right"/>
    </xf>
    <xf numFmtId="167" fontId="10" fillId="0" borderId="118" xfId="0" applyNumberFormat="1" applyFont="1" applyBorder="1" applyAlignment="1">
      <alignment horizontal="right"/>
    </xf>
    <xf numFmtId="167" fontId="10" fillId="0" borderId="119" xfId="0" applyNumberFormat="1" applyFont="1" applyBorder="1" applyAlignment="1">
      <alignment horizontal="right"/>
    </xf>
    <xf numFmtId="2" fontId="10" fillId="0" borderId="120" xfId="0" applyNumberFormat="1" applyFont="1" applyBorder="1" applyAlignment="1">
      <alignment horizontal="right"/>
    </xf>
    <xf numFmtId="2" fontId="10" fillId="0" borderId="118" xfId="0" applyNumberFormat="1" applyFont="1" applyBorder="1" applyAlignment="1">
      <alignment horizontal="right"/>
    </xf>
    <xf numFmtId="2" fontId="10" fillId="0" borderId="119" xfId="0" applyNumberFormat="1" applyFont="1" applyBorder="1" applyAlignment="1">
      <alignment horizontal="right"/>
    </xf>
    <xf numFmtId="0" fontId="78" fillId="9" borderId="137" xfId="0" applyFont="1" applyFill="1" applyBorder="1" applyAlignment="1">
      <alignment horizontal="center" vertical="center" wrapText="1"/>
    </xf>
    <xf numFmtId="0" fontId="78" fillId="9" borderId="136" xfId="0" applyFont="1" applyFill="1" applyBorder="1" applyAlignment="1">
      <alignment horizontal="center" vertical="center" wrapText="1"/>
    </xf>
    <xf numFmtId="0" fontId="78" fillId="9" borderId="135" xfId="0" applyFont="1" applyFill="1" applyBorder="1" applyAlignment="1">
      <alignment horizontal="center" vertical="center" wrapText="1"/>
    </xf>
    <xf numFmtId="0" fontId="78" fillId="9" borderId="140" xfId="0" applyFont="1" applyFill="1" applyBorder="1" applyAlignment="1">
      <alignment horizontal="center" vertical="center" wrapText="1"/>
    </xf>
    <xf numFmtId="0" fontId="78" fillId="9" borderId="138" xfId="0" applyFont="1" applyFill="1" applyBorder="1" applyAlignment="1">
      <alignment horizontal="center" vertical="center" wrapText="1"/>
    </xf>
    <xf numFmtId="0" fontId="78" fillId="9" borderId="139" xfId="0" applyFont="1" applyFill="1" applyBorder="1" applyAlignment="1">
      <alignment horizontal="center" vertical="center" wrapText="1"/>
    </xf>
    <xf numFmtId="0" fontId="78" fillId="0" borderId="42" xfId="0" applyFont="1" applyBorder="1" applyAlignment="1">
      <alignment horizontal="center"/>
    </xf>
    <xf numFmtId="0" fontId="78" fillId="0" borderId="43" xfId="0" applyFont="1" applyBorder="1" applyAlignment="1">
      <alignment horizontal="center"/>
    </xf>
    <xf numFmtId="0" fontId="78" fillId="0" borderId="44" xfId="0" applyFont="1" applyBorder="1" applyAlignment="1">
      <alignment horizontal="center"/>
    </xf>
    <xf numFmtId="0" fontId="10" fillId="0" borderId="45" xfId="0" applyFont="1" applyBorder="1" applyAlignment="1">
      <alignment horizontal="center" wrapText="1"/>
    </xf>
    <xf numFmtId="0" fontId="10" fillId="0" borderId="46" xfId="0" applyFont="1" applyBorder="1" applyAlignment="1">
      <alignment horizontal="center" wrapText="1"/>
    </xf>
    <xf numFmtId="0" fontId="11" fillId="0" borderId="45" xfId="0" applyFont="1" applyBorder="1" applyAlignment="1">
      <alignment horizontal="center"/>
    </xf>
    <xf numFmtId="0" fontId="11" fillId="0" borderId="46" xfId="0" applyFont="1" applyBorder="1" applyAlignment="1">
      <alignment horizontal="center"/>
    </xf>
    <xf numFmtId="178" fontId="5" fillId="0" borderId="48" xfId="0" applyNumberFormat="1" applyFont="1" applyBorder="1" applyAlignment="1">
      <alignment horizontal="left" wrapText="1"/>
    </xf>
    <xf numFmtId="178" fontId="5" fillId="0" borderId="49" xfId="0" applyNumberFormat="1" applyFont="1" applyBorder="1" applyAlignment="1">
      <alignment horizontal="left" wrapText="1"/>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77" fillId="0" borderId="45" xfId="0" applyFont="1" applyBorder="1" applyAlignment="1">
      <alignment horizontal="center"/>
    </xf>
    <xf numFmtId="0" fontId="77" fillId="0" borderId="46" xfId="0" applyFont="1" applyBorder="1" applyAlignment="1">
      <alignment horizontal="center"/>
    </xf>
    <xf numFmtId="0" fontId="10" fillId="0" borderId="47" xfId="0" applyFont="1" applyBorder="1" applyAlignment="1">
      <alignment horizontal="left" wrapText="1"/>
    </xf>
    <xf numFmtId="0" fontId="10" fillId="0" borderId="48" xfId="0" applyFont="1" applyBorder="1" applyAlignment="1">
      <alignment horizontal="left" wrapText="1"/>
    </xf>
    <xf numFmtId="0" fontId="10" fillId="0" borderId="47" xfId="0" applyFont="1" applyBorder="1" applyAlignment="1">
      <alignment horizontal="right" wrapText="1"/>
    </xf>
    <xf numFmtId="0" fontId="10" fillId="0" borderId="48" xfId="0" applyFont="1" applyBorder="1" applyAlignment="1">
      <alignment horizontal="right" wrapText="1"/>
    </xf>
    <xf numFmtId="0" fontId="79" fillId="0" borderId="75" xfId="0" applyFont="1" applyBorder="1" applyAlignment="1">
      <alignment horizontal="center"/>
    </xf>
    <xf numFmtId="0" fontId="4" fillId="0" borderId="47" xfId="0" applyFont="1" applyBorder="1" applyAlignment="1">
      <alignment horizontal="left" vertical="top"/>
    </xf>
    <xf numFmtId="0" fontId="4" fillId="0" borderId="48" xfId="0" applyFont="1" applyBorder="1" applyAlignment="1">
      <alignment horizontal="left" vertical="top"/>
    </xf>
    <xf numFmtId="0" fontId="4" fillId="0" borderId="48" xfId="0" applyFont="1" applyBorder="1" applyAlignment="1">
      <alignment horizontal="center" vertical="top"/>
    </xf>
    <xf numFmtId="0" fontId="4" fillId="0" borderId="42" xfId="0" applyFont="1" applyBorder="1" applyAlignment="1">
      <alignment horizontal="left" vertical="top"/>
    </xf>
    <xf numFmtId="0" fontId="4" fillId="0" borderId="43" xfId="0" applyFont="1" applyBorder="1" applyAlignment="1">
      <alignment horizontal="left" vertical="top"/>
    </xf>
    <xf numFmtId="0" fontId="10" fillId="0" borderId="0" xfId="0" applyFont="1" applyAlignment="1">
      <alignment horizontal="right" vertical="top"/>
    </xf>
    <xf numFmtId="178" fontId="5" fillId="0" borderId="72" xfId="0" applyNumberFormat="1" applyFont="1" applyBorder="1" applyAlignment="1">
      <alignment horizontal="left" wrapText="1"/>
    </xf>
    <xf numFmtId="178" fontId="5" fillId="0" borderId="77" xfId="0" applyNumberFormat="1" applyFont="1" applyBorder="1" applyAlignment="1">
      <alignment horizontal="left" wrapText="1"/>
    </xf>
    <xf numFmtId="0" fontId="79" fillId="0" borderId="79" xfId="0" applyFont="1" applyBorder="1" applyAlignment="1">
      <alignment horizontal="center"/>
    </xf>
    <xf numFmtId="177" fontId="4" fillId="0" borderId="48" xfId="0" applyNumberFormat="1" applyFont="1" applyBorder="1" applyAlignment="1">
      <alignment horizontal="left" vertical="top"/>
    </xf>
    <xf numFmtId="0" fontId="128" fillId="0" borderId="75" xfId="0" applyFont="1" applyBorder="1" applyAlignment="1">
      <alignment horizontal="center"/>
    </xf>
    <xf numFmtId="0" fontId="128" fillId="0" borderId="79" xfId="0" applyFont="1" applyBorder="1" applyAlignment="1">
      <alignment horizontal="center"/>
    </xf>
    <xf numFmtId="0" fontId="78" fillId="0" borderId="73" xfId="0" applyFont="1" applyBorder="1" applyAlignment="1">
      <alignment horizontal="center"/>
    </xf>
    <xf numFmtId="0" fontId="78" fillId="0" borderId="74" xfId="0" applyFont="1" applyBorder="1" applyAlignment="1">
      <alignment horizontal="center"/>
    </xf>
    <xf numFmtId="0" fontId="78" fillId="0" borderId="0" xfId="0" applyFont="1" applyAlignment="1">
      <alignment horizontal="center"/>
    </xf>
    <xf numFmtId="0" fontId="78" fillId="0" borderId="75" xfId="0" applyFont="1" applyBorder="1" applyAlignment="1">
      <alignment horizontal="center"/>
    </xf>
    <xf numFmtId="0" fontId="78" fillId="0" borderId="78" xfId="0" applyFont="1" applyBorder="1" applyAlignment="1">
      <alignment horizontal="center"/>
    </xf>
    <xf numFmtId="0" fontId="5" fillId="0" borderId="0" xfId="0" applyFont="1" applyAlignment="1">
      <alignment horizontal="center" wrapText="1"/>
    </xf>
    <xf numFmtId="178" fontId="5" fillId="0" borderId="0" xfId="0" applyNumberFormat="1" applyFont="1" applyAlignment="1">
      <alignment horizontal="left" wrapText="1" indent="1"/>
    </xf>
    <xf numFmtId="178" fontId="5" fillId="0" borderId="75" xfId="0" applyNumberFormat="1" applyFont="1" applyBorder="1" applyAlignment="1">
      <alignment horizontal="left" wrapText="1" indent="1"/>
    </xf>
    <xf numFmtId="0" fontId="5" fillId="0" borderId="0" xfId="0" applyFont="1" applyAlignment="1">
      <alignment horizontal="center"/>
    </xf>
    <xf numFmtId="178" fontId="9" fillId="0" borderId="0" xfId="0" applyNumberFormat="1" applyFont="1" applyAlignment="1">
      <alignment horizontal="left"/>
    </xf>
    <xf numFmtId="178" fontId="9" fillId="0" borderId="75" xfId="0" applyNumberFormat="1" applyFont="1" applyBorder="1" applyAlignment="1">
      <alignment horizontal="left"/>
    </xf>
    <xf numFmtId="0" fontId="5" fillId="0" borderId="76" xfId="0" applyFont="1" applyBorder="1" applyAlignment="1">
      <alignment horizontal="center" wrapText="1"/>
    </xf>
    <xf numFmtId="0" fontId="5" fillId="0" borderId="72" xfId="0" applyFont="1" applyBorder="1" applyAlignment="1">
      <alignment horizontal="center" wrapText="1"/>
    </xf>
    <xf numFmtId="0" fontId="10" fillId="0" borderId="101" xfId="0" applyFont="1" applyBorder="1" applyAlignment="1">
      <alignment horizontal="center" vertical="center"/>
    </xf>
    <xf numFmtId="0" fontId="10" fillId="0" borderId="100" xfId="0" applyFont="1" applyBorder="1" applyAlignment="1">
      <alignment horizontal="center" vertical="center"/>
    </xf>
    <xf numFmtId="0" fontId="10" fillId="0" borderId="0" xfId="0" applyFont="1" applyAlignment="1">
      <alignment horizontal="left" vertical="center" wrapText="1"/>
    </xf>
    <xf numFmtId="0" fontId="0" fillId="0" borderId="0" xfId="0" applyAlignment="1">
      <alignment horizontal="left" vertical="center" wrapText="1"/>
    </xf>
    <xf numFmtId="0" fontId="10" fillId="0" borderId="69" xfId="0" applyFont="1" applyBorder="1" applyAlignment="1">
      <alignment horizontal="center" vertical="center" wrapText="1"/>
    </xf>
    <xf numFmtId="1" fontId="10" fillId="0" borderId="69" xfId="0" applyNumberFormat="1" applyFont="1" applyBorder="1" applyAlignment="1">
      <alignment horizontal="center" vertical="center"/>
    </xf>
    <xf numFmtId="2" fontId="10" fillId="0" borderId="69" xfId="0" applyNumberFormat="1" applyFont="1" applyBorder="1" applyAlignment="1">
      <alignment horizontal="center" vertical="center"/>
    </xf>
    <xf numFmtId="0" fontId="78" fillId="0" borderId="0" xfId="0" applyFont="1" applyAlignment="1">
      <alignment horizontal="left" vertical="top" wrapText="1"/>
    </xf>
    <xf numFmtId="1" fontId="10" fillId="0" borderId="69" xfId="0" applyNumberFormat="1" applyFont="1" applyBorder="1" applyAlignment="1">
      <alignment horizontal="center"/>
    </xf>
    <xf numFmtId="0" fontId="10" fillId="0" borderId="47" xfId="0" applyFont="1" applyBorder="1" applyAlignment="1">
      <alignment horizontal="right" vertical="center" wrapText="1"/>
    </xf>
    <xf numFmtId="0" fontId="10" fillId="0" borderId="48" xfId="0" applyFont="1" applyBorder="1" applyAlignment="1">
      <alignment horizontal="right" vertical="center" wrapText="1"/>
    </xf>
    <xf numFmtId="178" fontId="5" fillId="0" borderId="48" xfId="0" applyNumberFormat="1" applyFont="1" applyBorder="1" applyAlignment="1">
      <alignment horizontal="left" vertical="center" wrapText="1"/>
    </xf>
    <xf numFmtId="178" fontId="5" fillId="0" borderId="49" xfId="0" applyNumberFormat="1" applyFont="1" applyBorder="1" applyAlignment="1">
      <alignment horizontal="left" vertical="center" wrapText="1"/>
    </xf>
    <xf numFmtId="2" fontId="10" fillId="0" borderId="69" xfId="0" applyNumberFormat="1" applyFont="1" applyBorder="1" applyAlignment="1">
      <alignment horizontal="center"/>
    </xf>
    <xf numFmtId="0" fontId="174" fillId="0" borderId="0" xfId="0" applyFont="1" applyAlignment="1">
      <alignment horizontal="left" vertical="top" wrapText="1"/>
    </xf>
    <xf numFmtId="0" fontId="69" fillId="18" borderId="0" xfId="0" applyFont="1" applyFill="1" applyAlignment="1">
      <alignment horizontal="center" vertical="top"/>
    </xf>
    <xf numFmtId="0" fontId="78" fillId="0" borderId="106" xfId="0" applyFont="1" applyBorder="1" applyAlignment="1">
      <alignment horizontal="center"/>
    </xf>
    <xf numFmtId="0" fontId="78" fillId="0" borderId="107" xfId="0" applyFont="1" applyBorder="1" applyAlignment="1">
      <alignment horizontal="center"/>
    </xf>
    <xf numFmtId="0" fontId="78" fillId="0" borderId="103" xfId="0" applyFont="1" applyBorder="1" applyAlignment="1">
      <alignment horizontal="center"/>
    </xf>
    <xf numFmtId="0" fontId="160" fillId="0" borderId="100" xfId="0" applyFont="1" applyBorder="1" applyAlignment="1">
      <alignment horizontal="center" wrapText="1"/>
    </xf>
    <xf numFmtId="0" fontId="160" fillId="0" borderId="0" xfId="0" applyFont="1" applyAlignment="1">
      <alignment horizontal="center" wrapText="1"/>
    </xf>
    <xf numFmtId="0" fontId="160" fillId="0" borderId="104" xfId="0" applyFont="1" applyBorder="1" applyAlignment="1">
      <alignment horizontal="center" wrapText="1"/>
    </xf>
    <xf numFmtId="0" fontId="147" fillId="0" borderId="100" xfId="0" applyFont="1" applyBorder="1" applyAlignment="1">
      <alignment horizontal="center"/>
    </xf>
    <xf numFmtId="0" fontId="147" fillId="0" borderId="0" xfId="0" applyFont="1" applyAlignment="1">
      <alignment horizontal="center"/>
    </xf>
    <xf numFmtId="0" fontId="147" fillId="0" borderId="104" xfId="0" applyFont="1" applyBorder="1" applyAlignment="1">
      <alignment horizontal="center"/>
    </xf>
    <xf numFmtId="167" fontId="10" fillId="0" borderId="0" xfId="0" applyNumberFormat="1" applyFont="1" applyAlignment="1">
      <alignment horizontal="center"/>
    </xf>
    <xf numFmtId="167" fontId="10" fillId="0" borderId="69" xfId="0" applyNumberFormat="1" applyFont="1" applyBorder="1" applyAlignment="1">
      <alignment horizontal="center"/>
    </xf>
    <xf numFmtId="0" fontId="78" fillId="0" borderId="69" xfId="0" applyFont="1" applyBorder="1" applyAlignment="1">
      <alignment horizontal="center" vertical="center" wrapText="1"/>
    </xf>
    <xf numFmtId="178" fontId="5" fillId="0" borderId="101" xfId="0" applyNumberFormat="1" applyFont="1" applyBorder="1" applyAlignment="1">
      <alignment horizontal="left" wrapText="1"/>
    </xf>
    <xf numFmtId="178" fontId="5" fillId="0" borderId="105" xfId="0" applyNumberFormat="1" applyFont="1" applyBorder="1" applyAlignment="1">
      <alignment horizontal="left" wrapText="1"/>
    </xf>
    <xf numFmtId="0" fontId="10" fillId="0" borderId="69" xfId="0" applyFont="1" applyBorder="1" applyAlignment="1">
      <alignment horizontal="center"/>
    </xf>
    <xf numFmtId="0" fontId="77" fillId="0" borderId="100" xfId="0" applyFont="1" applyBorder="1" applyAlignment="1">
      <alignment horizontal="center"/>
    </xf>
    <xf numFmtId="0" fontId="77" fillId="0" borderId="104" xfId="0" applyFont="1" applyBorder="1" applyAlignment="1">
      <alignment horizontal="center"/>
    </xf>
    <xf numFmtId="0" fontId="10" fillId="0" borderId="102" xfId="0" applyFont="1" applyBorder="1" applyAlignment="1">
      <alignment horizontal="right" wrapText="1"/>
    </xf>
    <xf numFmtId="0" fontId="10" fillId="0" borderId="101" xfId="0" applyFont="1" applyBorder="1" applyAlignment="1">
      <alignment horizontal="right" wrapText="1"/>
    </xf>
    <xf numFmtId="0" fontId="10" fillId="0" borderId="104" xfId="0" applyFont="1" applyBorder="1" applyAlignment="1">
      <alignment horizontal="center" vertical="center"/>
    </xf>
    <xf numFmtId="2" fontId="10" fillId="0" borderId="0" xfId="0" applyNumberFormat="1" applyFont="1" applyAlignment="1">
      <alignment horizontal="center"/>
    </xf>
    <xf numFmtId="0" fontId="163" fillId="0" borderId="0" xfId="0" applyFont="1" applyAlignment="1">
      <alignment horizontal="left"/>
    </xf>
    <xf numFmtId="0" fontId="163" fillId="0" borderId="101" xfId="0" applyFont="1" applyBorder="1" applyAlignment="1">
      <alignment horizontal="left"/>
    </xf>
    <xf numFmtId="0" fontId="163" fillId="0" borderId="3" xfId="0" applyFont="1" applyBorder="1" applyAlignment="1">
      <alignment horizontal="left" vertical="top" wrapText="1"/>
    </xf>
    <xf numFmtId="0" fontId="163" fillId="0" borderId="0" xfId="0" applyFont="1" applyAlignment="1">
      <alignment horizontal="left" vertical="top" wrapText="1"/>
    </xf>
    <xf numFmtId="0" fontId="172" fillId="0" borderId="0" xfId="0" applyFont="1" applyAlignment="1">
      <alignment horizontal="left" vertical="top" wrapText="1"/>
    </xf>
    <xf numFmtId="0" fontId="172" fillId="0" borderId="1" xfId="0" applyFont="1" applyBorder="1" applyAlignment="1">
      <alignment horizontal="left" vertical="top" wrapText="1"/>
    </xf>
    <xf numFmtId="0" fontId="78" fillId="0" borderId="69" xfId="0" applyFont="1" applyBorder="1" applyAlignment="1">
      <alignment horizontal="center" wrapText="1"/>
    </xf>
    <xf numFmtId="0" fontId="5" fillId="0" borderId="0" xfId="0" applyFont="1" applyAlignment="1">
      <alignment horizontal="left" vertical="center" wrapText="1"/>
    </xf>
    <xf numFmtId="0" fontId="0" fillId="0" borderId="0" xfId="0" applyAlignment="1">
      <alignment horizontal="center" wrapText="1"/>
    </xf>
    <xf numFmtId="0" fontId="151" fillId="23" borderId="0" xfId="0" applyFont="1" applyFill="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94" fillId="0" borderId="0" xfId="0" applyFont="1" applyAlignment="1">
      <alignment horizontal="center" vertical="center"/>
    </xf>
    <xf numFmtId="0" fontId="94" fillId="7" borderId="0" xfId="0" applyFont="1" applyFill="1" applyAlignment="1">
      <alignment horizontal="center" vertical="center"/>
    </xf>
    <xf numFmtId="0" fontId="170" fillId="4" borderId="0" xfId="0" applyFont="1" applyFill="1" applyAlignment="1">
      <alignment horizontal="center" vertical="center" wrapText="1"/>
    </xf>
    <xf numFmtId="0" fontId="10" fillId="0" borderId="84" xfId="0" applyFont="1" applyBorder="1" applyAlignment="1">
      <alignment horizontal="center" vertical="center"/>
    </xf>
    <xf numFmtId="0" fontId="11" fillId="0" borderId="84" xfId="0" applyFont="1" applyBorder="1" applyAlignment="1">
      <alignment horizontal="center" vertical="center"/>
    </xf>
    <xf numFmtId="0" fontId="10" fillId="0" borderId="84" xfId="0" applyFont="1" applyBorder="1" applyAlignment="1">
      <alignment horizontal="left" vertical="center"/>
    </xf>
    <xf numFmtId="0" fontId="10" fillId="0" borderId="84" xfId="0" applyFont="1" applyBorder="1" applyAlignment="1">
      <alignment horizontal="left" vertical="center" wrapText="1"/>
    </xf>
    <xf numFmtId="167" fontId="10" fillId="0" borderId="84" xfId="0" applyNumberFormat="1" applyFont="1" applyBorder="1" applyAlignment="1">
      <alignment horizontal="center" vertical="center"/>
    </xf>
    <xf numFmtId="0" fontId="8" fillId="9" borderId="91" xfId="0" applyFont="1" applyFill="1" applyBorder="1" applyAlignment="1">
      <alignment horizontal="left" vertical="center"/>
    </xf>
    <xf numFmtId="0" fontId="8" fillId="9" borderId="0" xfId="0" applyFont="1" applyFill="1" applyAlignment="1">
      <alignment horizontal="left" vertical="center"/>
    </xf>
    <xf numFmtId="2" fontId="10" fillId="0" borderId="84" xfId="0" applyNumberFormat="1" applyFont="1" applyBorder="1" applyAlignment="1">
      <alignment horizontal="center" vertical="center"/>
    </xf>
    <xf numFmtId="0" fontId="8" fillId="9" borderId="112" xfId="0" applyFont="1" applyFill="1" applyBorder="1" applyAlignment="1">
      <alignment horizontal="left" vertical="center"/>
    </xf>
    <xf numFmtId="0" fontId="74" fillId="8" borderId="0" xfId="0" applyFont="1" applyFill="1" applyAlignment="1">
      <alignment horizontal="center" vertical="center"/>
    </xf>
    <xf numFmtId="0" fontId="4" fillId="0" borderId="100" xfId="0" applyFont="1" applyBorder="1" applyAlignment="1">
      <alignment horizontal="center" vertical="top"/>
    </xf>
    <xf numFmtId="0" fontId="5" fillId="0" borderId="0" xfId="0" applyFont="1" applyAlignment="1">
      <alignment horizontal="right" wrapText="1"/>
    </xf>
    <xf numFmtId="178" fontId="5" fillId="0" borderId="0" xfId="0" applyNumberFormat="1" applyFont="1" applyAlignment="1">
      <alignment horizontal="left" wrapText="1"/>
    </xf>
    <xf numFmtId="178" fontId="5" fillId="0" borderId="75" xfId="0" applyNumberFormat="1" applyFont="1" applyBorder="1" applyAlignment="1">
      <alignment horizontal="left" wrapText="1"/>
    </xf>
    <xf numFmtId="0" fontId="5" fillId="0" borderId="0" xfId="0" applyFont="1" applyAlignment="1">
      <alignment horizontal="right"/>
    </xf>
    <xf numFmtId="0" fontId="5" fillId="0" borderId="76" xfId="0" applyFont="1" applyBorder="1" applyAlignment="1">
      <alignment horizontal="right" wrapText="1"/>
    </xf>
    <xf numFmtId="0" fontId="5" fillId="0" borderId="72" xfId="0" applyFont="1" applyBorder="1" applyAlignment="1">
      <alignment horizontal="right" wrapText="1"/>
    </xf>
    <xf numFmtId="164" fontId="10" fillId="0" borderId="0" xfId="0" applyNumberFormat="1" applyFont="1" applyAlignment="1">
      <alignment horizontal="left" vertical="center"/>
    </xf>
    <xf numFmtId="0" fontId="151" fillId="24" borderId="0" xfId="0" applyFont="1" applyFill="1" applyAlignment="1">
      <alignment horizontal="center" vertical="center"/>
    </xf>
    <xf numFmtId="2" fontId="10" fillId="0" borderId="84" xfId="0" applyNumberFormat="1" applyFont="1" applyBorder="1" applyAlignment="1">
      <alignment horizontal="center"/>
    </xf>
    <xf numFmtId="1" fontId="10" fillId="0" borderId="84" xfId="0" applyNumberFormat="1" applyFont="1" applyBorder="1" applyAlignment="1">
      <alignment horizontal="center"/>
    </xf>
    <xf numFmtId="0" fontId="79" fillId="0" borderId="100" xfId="0" applyFont="1" applyBorder="1" applyAlignment="1">
      <alignment horizontal="center"/>
    </xf>
    <xf numFmtId="0" fontId="79" fillId="0" borderId="104" xfId="0" applyFont="1" applyBorder="1" applyAlignment="1">
      <alignment horizontal="center"/>
    </xf>
    <xf numFmtId="0" fontId="128" fillId="0" borderId="100" xfId="0" applyFont="1" applyBorder="1" applyAlignment="1">
      <alignment horizontal="center"/>
    </xf>
    <xf numFmtId="0" fontId="128" fillId="0" borderId="104" xfId="0" applyFont="1" applyBorder="1" applyAlignment="1">
      <alignment horizontal="center"/>
    </xf>
    <xf numFmtId="0" fontId="78" fillId="0" borderId="104" xfId="0" applyFont="1" applyBorder="1" applyAlignment="1">
      <alignment horizontal="center"/>
    </xf>
    <xf numFmtId="0" fontId="10" fillId="0" borderId="46" xfId="0" applyFont="1" applyBorder="1" applyAlignment="1">
      <alignment horizontal="left" vertical="top"/>
    </xf>
    <xf numFmtId="0" fontId="127" fillId="0" borderId="100" xfId="0" applyFont="1" applyBorder="1" applyAlignment="1">
      <alignment horizontal="center"/>
    </xf>
    <xf numFmtId="0" fontId="127" fillId="0" borderId="104" xfId="0" applyFont="1" applyBorder="1" applyAlignment="1">
      <alignment horizontal="center"/>
    </xf>
    <xf numFmtId="0" fontId="5" fillId="0" borderId="102" xfId="0" applyFont="1" applyBorder="1" applyAlignment="1">
      <alignment horizontal="right" wrapText="1"/>
    </xf>
    <xf numFmtId="0" fontId="5" fillId="0" borderId="101" xfId="0" applyFont="1" applyBorder="1" applyAlignment="1">
      <alignment horizontal="right" wrapText="1"/>
    </xf>
    <xf numFmtId="0" fontId="5" fillId="0" borderId="101" xfId="0" applyFont="1" applyBorder="1" applyAlignment="1">
      <alignment horizontal="right"/>
    </xf>
    <xf numFmtId="178" fontId="9" fillId="0" borderId="101" xfId="0" applyNumberFormat="1" applyFont="1" applyBorder="1" applyAlignment="1">
      <alignment horizontal="left"/>
    </xf>
    <xf numFmtId="178" fontId="9" fillId="0" borderId="105" xfId="0" applyNumberFormat="1" applyFont="1" applyBorder="1" applyAlignment="1">
      <alignment horizontal="left"/>
    </xf>
    <xf numFmtId="0" fontId="10" fillId="0" borderId="100" xfId="0" applyFont="1" applyBorder="1" applyAlignment="1">
      <alignment horizontal="center" wrapText="1"/>
    </xf>
    <xf numFmtId="0" fontId="10" fillId="0" borderId="104" xfId="0" applyFont="1" applyBorder="1" applyAlignment="1">
      <alignment horizontal="center" wrapText="1"/>
    </xf>
    <xf numFmtId="0" fontId="11" fillId="0" borderId="100" xfId="0" applyFont="1" applyBorder="1" applyAlignment="1">
      <alignment horizontal="center"/>
    </xf>
    <xf numFmtId="0" fontId="11" fillId="0" borderId="104" xfId="0" applyFont="1" applyBorder="1" applyAlignment="1">
      <alignment horizontal="center"/>
    </xf>
    <xf numFmtId="0" fontId="0" fillId="0" borderId="0" xfId="0" applyAlignment="1">
      <alignment horizontal="left" wrapText="1"/>
    </xf>
    <xf numFmtId="0" fontId="14" fillId="0" borderId="0" xfId="11"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left" vertical="center" wrapText="1"/>
    </xf>
    <xf numFmtId="14" fontId="39" fillId="0" borderId="0" xfId="11" applyNumberFormat="1" applyFont="1" applyAlignment="1">
      <alignment horizontal="center" vertical="center"/>
    </xf>
    <xf numFmtId="0" fontId="4" fillId="0" borderId="0" xfId="0" applyFont="1" applyAlignment="1">
      <alignment horizontal="left" vertical="top"/>
    </xf>
    <xf numFmtId="0" fontId="78" fillId="0" borderId="0" xfId="0" applyFont="1" applyAlignment="1">
      <alignment horizontal="left" vertical="center"/>
    </xf>
    <xf numFmtId="0" fontId="10" fillId="0" borderId="0" xfId="0" applyFont="1" applyAlignment="1">
      <alignment horizontal="center"/>
    </xf>
    <xf numFmtId="11" fontId="10" fillId="0" borderId="0" xfId="0" applyNumberFormat="1" applyFont="1"/>
    <xf numFmtId="0" fontId="10" fillId="0" borderId="0" xfId="0" applyFont="1"/>
    <xf numFmtId="0" fontId="10" fillId="0" borderId="0" xfId="0" applyFont="1" applyAlignment="1">
      <alignment vertical="center"/>
    </xf>
    <xf numFmtId="2" fontId="10" fillId="0" borderId="0" xfId="0" applyNumberFormat="1" applyFont="1" applyAlignment="1">
      <alignment horizontal="left"/>
    </xf>
    <xf numFmtId="2" fontId="4" fillId="0" borderId="0" xfId="0" applyNumberFormat="1" applyFont="1"/>
    <xf numFmtId="0" fontId="4" fillId="0" borderId="0" xfId="0" applyFont="1"/>
    <xf numFmtId="0" fontId="86" fillId="0" borderId="13" xfId="0" applyFont="1" applyBorder="1" applyAlignment="1">
      <alignment horizontal="center" vertical="center" wrapText="1"/>
    </xf>
    <xf numFmtId="0" fontId="86" fillId="0" borderId="23" xfId="0" applyFont="1" applyBorder="1" applyAlignment="1">
      <alignment horizontal="center" vertical="center" wrapText="1"/>
    </xf>
    <xf numFmtId="0" fontId="86" fillId="0" borderId="13" xfId="0" applyFont="1" applyBorder="1" applyAlignment="1">
      <alignment horizontal="center" vertical="center"/>
    </xf>
    <xf numFmtId="0" fontId="86" fillId="0" borderId="23" xfId="0" applyFont="1" applyBorder="1" applyAlignment="1">
      <alignment horizontal="center" vertical="center"/>
    </xf>
    <xf numFmtId="0" fontId="86" fillId="0" borderId="0" xfId="0" applyFont="1" applyAlignment="1">
      <alignment horizontal="center"/>
    </xf>
    <xf numFmtId="0" fontId="86" fillId="0" borderId="0" xfId="0" applyFont="1" applyAlignment="1">
      <alignment horizontal="center" wrapText="1"/>
    </xf>
    <xf numFmtId="0" fontId="86" fillId="0" borderId="2" xfId="0" applyFont="1" applyBorder="1" applyAlignment="1">
      <alignment horizontal="center" vertical="center" wrapText="1"/>
    </xf>
    <xf numFmtId="0" fontId="86" fillId="0" borderId="5" xfId="0" applyFont="1" applyBorder="1" applyAlignment="1">
      <alignment horizontal="center" vertical="center" wrapText="1"/>
    </xf>
    <xf numFmtId="0" fontId="86" fillId="0" borderId="9" xfId="0" applyFont="1" applyBorder="1" applyAlignment="1">
      <alignment horizontal="center" vertical="center"/>
    </xf>
    <xf numFmtId="0" fontId="86" fillId="10" borderId="0" xfId="0" applyFont="1" applyFill="1" applyAlignment="1">
      <alignment horizontal="center"/>
    </xf>
    <xf numFmtId="0" fontId="86" fillId="0" borderId="13" xfId="0" applyFont="1" applyBorder="1" applyAlignment="1">
      <alignment horizontal="center" wrapText="1"/>
    </xf>
    <xf numFmtId="0" fontId="86" fillId="0" borderId="24" xfId="0" applyFont="1" applyBorder="1" applyAlignment="1">
      <alignment horizontal="center" wrapText="1"/>
    </xf>
    <xf numFmtId="0" fontId="16" fillId="0" borderId="0" xfId="0" applyFont="1" applyAlignment="1">
      <alignment horizontal="center" vertical="center"/>
    </xf>
    <xf numFmtId="0" fontId="86" fillId="0" borderId="0" xfId="0" applyFont="1" applyAlignment="1">
      <alignment horizontal="left" vertical="center"/>
    </xf>
    <xf numFmtId="0" fontId="86" fillId="0" borderId="13" xfId="0" applyFont="1" applyBorder="1" applyAlignment="1">
      <alignment horizontal="center"/>
    </xf>
    <xf numFmtId="0" fontId="86" fillId="0" borderId="24" xfId="0" applyFont="1" applyBorder="1" applyAlignment="1">
      <alignment horizontal="center"/>
    </xf>
    <xf numFmtId="0" fontId="10" fillId="0" borderId="89" xfId="0" applyFont="1" applyBorder="1" applyAlignment="1">
      <alignment horizontal="center" vertical="center"/>
    </xf>
    <xf numFmtId="0" fontId="10" fillId="0" borderId="90" xfId="0" applyFont="1" applyBorder="1" applyAlignment="1">
      <alignment horizontal="center" vertical="center"/>
    </xf>
    <xf numFmtId="0" fontId="10" fillId="0" borderId="89" xfId="0" applyFont="1" applyBorder="1" applyAlignment="1">
      <alignment horizontal="center" vertical="center" wrapText="1"/>
    </xf>
    <xf numFmtId="0" fontId="10" fillId="0" borderId="90" xfId="0" applyFont="1" applyBorder="1" applyAlignment="1">
      <alignment horizontal="center" vertical="center" wrapText="1"/>
    </xf>
    <xf numFmtId="0" fontId="10" fillId="0" borderId="92" xfId="0" applyFont="1" applyBorder="1" applyAlignment="1">
      <alignment horizontal="center" vertical="center"/>
    </xf>
    <xf numFmtId="0" fontId="10" fillId="0" borderId="86" xfId="0" applyFont="1" applyBorder="1" applyAlignment="1">
      <alignment horizontal="center" vertical="center"/>
    </xf>
    <xf numFmtId="0" fontId="10" fillId="0" borderId="92" xfId="0" applyFont="1" applyBorder="1" applyAlignment="1">
      <alignment horizontal="center"/>
    </xf>
    <xf numFmtId="0" fontId="10" fillId="0" borderId="86" xfId="0" applyFont="1" applyBorder="1" applyAlignment="1">
      <alignment horizontal="center"/>
    </xf>
    <xf numFmtId="169" fontId="10" fillId="0" borderId="84" xfId="0" applyNumberFormat="1" applyFont="1" applyBorder="1" applyAlignment="1">
      <alignment horizontal="center" vertical="center"/>
    </xf>
    <xf numFmtId="176" fontId="10" fillId="0" borderId="84" xfId="0" applyNumberFormat="1" applyFont="1" applyBorder="1" applyAlignment="1">
      <alignment horizontal="center" vertical="center"/>
    </xf>
    <xf numFmtId="179" fontId="10" fillId="0" borderId="84" xfId="0" applyNumberFormat="1" applyFont="1" applyBorder="1" applyAlignment="1">
      <alignment horizontal="center"/>
    </xf>
    <xf numFmtId="0" fontId="10" fillId="0" borderId="84" xfId="0" applyFont="1" applyBorder="1" applyAlignment="1">
      <alignment horizontal="center"/>
    </xf>
    <xf numFmtId="11" fontId="10" fillId="0" borderId="84" xfId="0" applyNumberFormat="1" applyFont="1" applyBorder="1" applyAlignment="1">
      <alignment horizontal="center"/>
    </xf>
    <xf numFmtId="0" fontId="10" fillId="0" borderId="92" xfId="0" applyFont="1" applyBorder="1" applyAlignment="1">
      <alignment horizontal="center" vertical="center" wrapText="1"/>
    </xf>
    <xf numFmtId="0" fontId="10" fillId="0" borderId="86" xfId="0" applyFont="1" applyBorder="1" applyAlignment="1">
      <alignment horizontal="center" vertical="center" wrapText="1"/>
    </xf>
    <xf numFmtId="0" fontId="10" fillId="0" borderId="89" xfId="0" applyFont="1" applyBorder="1" applyAlignment="1">
      <alignment horizontal="center"/>
    </xf>
    <xf numFmtId="0" fontId="10" fillId="0" borderId="90" xfId="0" applyFont="1" applyBorder="1" applyAlignment="1">
      <alignment horizontal="center"/>
    </xf>
    <xf numFmtId="0" fontId="5" fillId="0" borderId="102" xfId="0" applyFont="1" applyBorder="1" applyAlignment="1">
      <alignment horizontal="right"/>
    </xf>
    <xf numFmtId="169" fontId="10" fillId="0" borderId="0" xfId="0" applyNumberFormat="1" applyFont="1" applyAlignment="1">
      <alignment horizontal="left"/>
    </xf>
    <xf numFmtId="0" fontId="0" fillId="0" borderId="0" xfId="0" applyAlignment="1">
      <alignment horizontal="center"/>
    </xf>
    <xf numFmtId="0" fontId="0" fillId="0" borderId="0" xfId="0" applyAlignment="1">
      <alignment horizontal="center" vertical="center"/>
    </xf>
    <xf numFmtId="167" fontId="0" fillId="0" borderId="0" xfId="0" applyNumberFormat="1" applyAlignment="1">
      <alignment horizontal="center"/>
    </xf>
    <xf numFmtId="2" fontId="0" fillId="0" borderId="0" xfId="0" applyNumberFormat="1" applyAlignment="1">
      <alignment horizontal="center"/>
    </xf>
    <xf numFmtId="0" fontId="10" fillId="0" borderId="69" xfId="0" applyFont="1" applyBorder="1" applyAlignment="1">
      <alignment horizontal="left" vertical="center"/>
    </xf>
    <xf numFmtId="0" fontId="10" fillId="0" borderId="69" xfId="0" applyFont="1" applyBorder="1" applyAlignment="1">
      <alignment horizontal="left" vertical="center" wrapText="1"/>
    </xf>
    <xf numFmtId="2" fontId="10" fillId="0" borderId="69" xfId="0" applyNumberFormat="1" applyFont="1" applyBorder="1" applyAlignment="1">
      <alignment horizontal="center" vertical="top"/>
    </xf>
    <xf numFmtId="164" fontId="4" fillId="0" borderId="0" xfId="0" applyNumberFormat="1" applyFont="1" applyAlignment="1">
      <alignment horizontal="center" vertical="center"/>
    </xf>
    <xf numFmtId="164" fontId="25" fillId="0" borderId="0" xfId="0" applyNumberFormat="1" applyFont="1" applyAlignment="1">
      <alignment horizontal="center" vertical="center"/>
    </xf>
    <xf numFmtId="0" fontId="28" fillId="0" borderId="5" xfId="10" applyFont="1" applyBorder="1" applyAlignment="1" applyProtection="1">
      <alignment horizontal="center" vertical="center"/>
      <protection locked="0"/>
    </xf>
    <xf numFmtId="0" fontId="28" fillId="0" borderId="0" xfId="10" applyFont="1" applyAlignment="1" applyProtection="1">
      <alignment horizontal="center" vertical="center"/>
      <protection locked="0"/>
    </xf>
    <xf numFmtId="0" fontId="0" fillId="0" borderId="1" xfId="0" applyBorder="1" applyAlignment="1">
      <alignment horizontal="center"/>
    </xf>
    <xf numFmtId="0" fontId="28" fillId="0" borderId="13" xfId="10" applyFont="1" applyBorder="1" applyAlignment="1" applyProtection="1">
      <alignment horizontal="center" vertical="center" wrapText="1"/>
      <protection locked="0"/>
    </xf>
    <xf numFmtId="0" fontId="28" fillId="0" borderId="24" xfId="10" applyFont="1" applyBorder="1" applyAlignment="1" applyProtection="1">
      <alignment horizontal="center" vertical="center" wrapText="1"/>
      <protection locked="0"/>
    </xf>
    <xf numFmtId="0" fontId="39" fillId="0" borderId="9" xfId="10" applyFont="1" applyBorder="1" applyAlignment="1" applyProtection="1">
      <alignment horizontal="center" vertical="center"/>
      <protection locked="0"/>
    </xf>
    <xf numFmtId="0" fontId="28" fillId="0" borderId="4" xfId="10" applyFont="1" applyBorder="1" applyAlignment="1" applyProtection="1">
      <alignment horizontal="center" vertical="center" wrapText="1"/>
      <protection locked="0"/>
    </xf>
    <xf numFmtId="0" fontId="28" fillId="0" borderId="8" xfId="10" applyFont="1" applyBorder="1" applyAlignment="1" applyProtection="1">
      <alignment horizontal="center" vertical="center" wrapText="1"/>
      <protection locked="0"/>
    </xf>
    <xf numFmtId="0" fontId="105" fillId="0" borderId="13" xfId="10" applyFont="1" applyBorder="1" applyAlignment="1" applyProtection="1">
      <alignment horizontal="center" vertical="center" wrapText="1"/>
      <protection locked="0"/>
    </xf>
    <xf numFmtId="0" fontId="105" fillId="0" borderId="23" xfId="10" applyFont="1" applyBorder="1" applyAlignment="1" applyProtection="1">
      <alignment horizontal="center" vertical="center" wrapText="1"/>
      <protection locked="0"/>
    </xf>
    <xf numFmtId="0" fontId="28" fillId="0" borderId="23" xfId="10" applyFont="1" applyBorder="1" applyAlignment="1" applyProtection="1">
      <alignment horizontal="center" vertical="center" wrapText="1"/>
      <protection locked="0"/>
    </xf>
    <xf numFmtId="0" fontId="28" fillId="0" borderId="10" xfId="10" applyFont="1" applyBorder="1" applyAlignment="1" applyProtection="1">
      <alignment horizontal="center" vertical="center"/>
      <protection locked="0"/>
    </xf>
    <xf numFmtId="0" fontId="28" fillId="0" borderId="12" xfId="10" applyFont="1" applyBorder="1" applyAlignment="1" applyProtection="1">
      <alignment horizontal="center" vertical="center"/>
      <protection locked="0"/>
    </xf>
    <xf numFmtId="0" fontId="126" fillId="0" borderId="95" xfId="0" applyFont="1" applyBorder="1" applyAlignment="1">
      <alignment horizontal="left" vertical="center"/>
    </xf>
    <xf numFmtId="0" fontId="126" fillId="0" borderId="96" xfId="0" applyFont="1" applyBorder="1" applyAlignment="1">
      <alignment horizontal="left" vertical="center"/>
    </xf>
    <xf numFmtId="0" fontId="126" fillId="0" borderId="88" xfId="0" applyFont="1" applyBorder="1" applyAlignment="1">
      <alignment horizontal="left" vertical="center"/>
    </xf>
    <xf numFmtId="0" fontId="126" fillId="0" borderId="84" xfId="0" applyFont="1" applyBorder="1" applyAlignment="1">
      <alignment horizontal="left" vertical="center"/>
    </xf>
    <xf numFmtId="2" fontId="126" fillId="0" borderId="84" xfId="0" applyNumberFormat="1" applyFont="1" applyBorder="1" applyAlignment="1">
      <alignment horizontal="center" vertical="center"/>
    </xf>
    <xf numFmtId="2" fontId="10" fillId="0" borderId="129" xfId="0" applyNumberFormat="1" applyFont="1" applyBorder="1" applyAlignment="1">
      <alignment horizontal="center" vertical="center"/>
    </xf>
    <xf numFmtId="2" fontId="10" fillId="0" borderId="126" xfId="0" applyNumberFormat="1" applyFont="1" applyBorder="1" applyAlignment="1">
      <alignment horizontal="center" vertical="center"/>
    </xf>
    <xf numFmtId="2" fontId="10" fillId="0" borderId="114" xfId="0" applyNumberFormat="1" applyFont="1" applyBorder="1" applyAlignment="1">
      <alignment horizontal="center" vertical="center"/>
    </xf>
    <xf numFmtId="2" fontId="10" fillId="0" borderId="111" xfId="0" applyNumberFormat="1" applyFont="1" applyBorder="1" applyAlignment="1">
      <alignment horizontal="center" vertical="center"/>
    </xf>
    <xf numFmtId="0" fontId="10" fillId="0" borderId="69" xfId="0" applyFont="1" applyBorder="1" applyAlignment="1">
      <alignment horizontal="center" vertical="center"/>
    </xf>
    <xf numFmtId="0" fontId="5" fillId="0" borderId="109" xfId="0" applyFont="1" applyBorder="1" applyAlignment="1">
      <alignment horizontal="left" vertical="center"/>
    </xf>
    <xf numFmtId="0" fontId="5" fillId="0" borderId="110" xfId="0" applyFont="1" applyBorder="1" applyAlignment="1">
      <alignment horizontal="left" vertical="center"/>
    </xf>
    <xf numFmtId="0" fontId="78" fillId="0" borderId="108" xfId="0" applyFont="1" applyBorder="1" applyAlignment="1">
      <alignment horizontal="left" vertical="center"/>
    </xf>
    <xf numFmtId="0" fontId="78" fillId="0" borderId="109" xfId="0" applyFont="1" applyBorder="1" applyAlignment="1">
      <alignment horizontal="left" vertical="center"/>
    </xf>
    <xf numFmtId="0" fontId="78" fillId="0" borderId="110" xfId="0" applyFont="1" applyBorder="1" applyAlignment="1">
      <alignment horizontal="left" vertical="center"/>
    </xf>
    <xf numFmtId="0" fontId="10" fillId="0" borderId="0" xfId="0" applyFont="1" applyAlignment="1">
      <alignment horizontal="left"/>
    </xf>
    <xf numFmtId="164" fontId="112" fillId="0" borderId="0" xfId="0" applyNumberFormat="1" applyFont="1" applyAlignment="1">
      <alignment horizontal="center" vertical="center"/>
    </xf>
    <xf numFmtId="0" fontId="117" fillId="0" borderId="0" xfId="0" applyFont="1" applyAlignment="1">
      <alignment horizontal="left" vertical="center"/>
    </xf>
    <xf numFmtId="164" fontId="196" fillId="0" borderId="0" xfId="0" applyNumberFormat="1" applyFont="1" applyAlignment="1">
      <alignment horizontal="center" vertical="center"/>
    </xf>
    <xf numFmtId="0" fontId="10" fillId="0" borderId="0" xfId="0" applyFont="1" applyAlignment="1">
      <alignment vertical="center" wrapText="1"/>
    </xf>
    <xf numFmtId="0" fontId="4" fillId="14" borderId="0" xfId="0" applyFont="1" applyFill="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5" fillId="7" borderId="0" xfId="0" applyFont="1" applyFill="1" applyAlignment="1">
      <alignment horizontal="center" vertical="center" wrapText="1"/>
    </xf>
    <xf numFmtId="0" fontId="5" fillId="15" borderId="0" xfId="0" applyFont="1" applyFill="1" applyAlignment="1">
      <alignment horizontal="center" vertical="center" wrapText="1"/>
    </xf>
    <xf numFmtId="0" fontId="4" fillId="7" borderId="1" xfId="0" applyFont="1" applyFill="1" applyBorder="1" applyAlignment="1">
      <alignment horizontal="center"/>
    </xf>
    <xf numFmtId="0" fontId="12" fillId="0" borderId="0" xfId="0" applyFont="1" applyAlignment="1">
      <alignment vertical="center" wrapText="1"/>
    </xf>
    <xf numFmtId="2" fontId="10" fillId="0" borderId="95" xfId="0" applyNumberFormat="1" applyFont="1" applyBorder="1" applyAlignment="1">
      <alignment horizontal="right" vertical="center"/>
    </xf>
    <xf numFmtId="2" fontId="10" fillId="0" borderId="96" xfId="0" applyNumberFormat="1" applyFont="1" applyBorder="1" applyAlignment="1">
      <alignment horizontal="right" vertical="center"/>
    </xf>
    <xf numFmtId="0" fontId="5" fillId="0" borderId="48" xfId="0" applyFont="1" applyBorder="1" applyAlignment="1">
      <alignment horizontal="center" wrapText="1"/>
    </xf>
    <xf numFmtId="178" fontId="5" fillId="0" borderId="48" xfId="0" applyNumberFormat="1" applyFont="1" applyBorder="1" applyAlignment="1">
      <alignment horizontal="left" wrapText="1" indent="1"/>
    </xf>
    <xf numFmtId="178" fontId="5" fillId="0" borderId="49" xfId="0" applyNumberFormat="1" applyFont="1" applyBorder="1" applyAlignment="1">
      <alignment horizontal="left" wrapText="1" indent="1"/>
    </xf>
    <xf numFmtId="178" fontId="5" fillId="0" borderId="48" xfId="0" applyNumberFormat="1" applyFont="1" applyBorder="1" applyAlignment="1">
      <alignment horizontal="left" indent="1"/>
    </xf>
    <xf numFmtId="178" fontId="5" fillId="0" borderId="49" xfId="0" applyNumberFormat="1" applyFont="1" applyBorder="1" applyAlignment="1">
      <alignment horizontal="left" indent="1"/>
    </xf>
    <xf numFmtId="0" fontId="79" fillId="0" borderId="46" xfId="0" applyFont="1" applyBorder="1" applyAlignment="1">
      <alignment horizontal="center"/>
    </xf>
    <xf numFmtId="0" fontId="129" fillId="0" borderId="0" xfId="0" applyFont="1" applyAlignment="1">
      <alignment horizontal="center"/>
    </xf>
    <xf numFmtId="0" fontId="129" fillId="0" borderId="46" xfId="0" applyFont="1" applyBorder="1" applyAlignment="1">
      <alignment horizontal="center"/>
    </xf>
    <xf numFmtId="0" fontId="78" fillId="0" borderId="46" xfId="0" applyFont="1" applyBorder="1" applyAlignment="1">
      <alignment horizontal="center"/>
    </xf>
    <xf numFmtId="0" fontId="5" fillId="0" borderId="102" xfId="0" applyFont="1" applyBorder="1" applyAlignment="1">
      <alignment horizontal="right" wrapText="1" indent="1"/>
    </xf>
    <xf numFmtId="0" fontId="5" fillId="0" borderId="101" xfId="0" applyFont="1" applyBorder="1" applyAlignment="1">
      <alignment horizontal="right" wrapText="1" indent="1"/>
    </xf>
    <xf numFmtId="0" fontId="5" fillId="0" borderId="84" xfId="0" applyFont="1" applyBorder="1" applyAlignment="1">
      <alignment horizontal="left" vertical="center"/>
    </xf>
    <xf numFmtId="0" fontId="78" fillId="0" borderId="84" xfId="0" applyFont="1" applyBorder="1" applyAlignment="1">
      <alignment horizontal="left" vertical="center"/>
    </xf>
    <xf numFmtId="0" fontId="78" fillId="0" borderId="84" xfId="0" applyFont="1" applyBorder="1" applyAlignment="1">
      <alignment horizontal="center" vertical="center"/>
    </xf>
    <xf numFmtId="1" fontId="78" fillId="0" borderId="84" xfId="0" applyNumberFormat="1" applyFont="1" applyBorder="1" applyAlignment="1">
      <alignment horizontal="center" vertical="center"/>
    </xf>
    <xf numFmtId="0" fontId="74" fillId="8" borderId="0" xfId="0" applyFont="1" applyFill="1" applyAlignment="1">
      <alignment horizontal="left" vertical="center"/>
    </xf>
    <xf numFmtId="0" fontId="0" fillId="0" borderId="0" xfId="0" applyAlignment="1">
      <alignment horizontal="left" vertical="center"/>
    </xf>
    <xf numFmtId="0" fontId="119" fillId="0" borderId="0" xfId="0" applyFont="1" applyAlignment="1">
      <alignment horizontal="center" vertical="center"/>
    </xf>
    <xf numFmtId="178" fontId="5" fillId="0" borderId="48" xfId="0" applyNumberFormat="1" applyFont="1" applyBorder="1" applyAlignment="1">
      <alignment horizontal="right" wrapText="1"/>
    </xf>
    <xf numFmtId="178" fontId="5" fillId="0" borderId="49" xfId="0" applyNumberFormat="1" applyFont="1" applyBorder="1" applyAlignment="1">
      <alignment horizontal="right" wrapText="1"/>
    </xf>
    <xf numFmtId="0" fontId="0" fillId="0" borderId="84" xfId="0" applyBorder="1" applyAlignment="1">
      <alignment horizontal="left"/>
    </xf>
    <xf numFmtId="49" fontId="149" fillId="22" borderId="0" xfId="0" applyNumberFormat="1" applyFont="1" applyFill="1" applyAlignment="1">
      <alignment horizontal="left" vertical="center"/>
    </xf>
    <xf numFmtId="0" fontId="150" fillId="21" borderId="0" xfId="0" applyFont="1" applyFill="1" applyAlignment="1">
      <alignment horizontal="center" vertical="center"/>
    </xf>
    <xf numFmtId="0" fontId="2" fillId="0" borderId="84" xfId="0" applyFont="1" applyBorder="1" applyAlignment="1">
      <alignment horizontal="left" vertical="center"/>
    </xf>
    <xf numFmtId="0" fontId="2" fillId="0" borderId="84" xfId="0" applyFont="1" applyBorder="1" applyAlignment="1">
      <alignment horizontal="center" vertical="center"/>
    </xf>
    <xf numFmtId="0" fontId="148" fillId="21" borderId="0" xfId="0" applyFont="1" applyFill="1" applyAlignment="1">
      <alignment horizontal="center" vertical="center"/>
    </xf>
    <xf numFmtId="0" fontId="149" fillId="22" borderId="0" xfId="0" applyFont="1" applyFill="1" applyAlignment="1">
      <alignment horizontal="right" vertical="center"/>
    </xf>
    <xf numFmtId="0" fontId="0" fillId="0" borderId="84" xfId="0" applyBorder="1" applyAlignment="1">
      <alignment horizontal="left" wrapText="1"/>
    </xf>
    <xf numFmtId="2" fontId="10" fillId="0" borderId="0" xfId="0" applyNumberFormat="1" applyFont="1" applyAlignment="1">
      <alignment horizontal="center" vertical="center"/>
    </xf>
    <xf numFmtId="0" fontId="10" fillId="0" borderId="151" xfId="0" applyFont="1" applyBorder="1" applyAlignment="1">
      <alignment horizontal="center"/>
    </xf>
    <xf numFmtId="0" fontId="10" fillId="0" borderId="152" xfId="0" applyFont="1" applyBorder="1" applyAlignment="1">
      <alignment horizontal="center"/>
    </xf>
    <xf numFmtId="0" fontId="10" fillId="0" borderId="151" xfId="0" applyFont="1" applyBorder="1" applyAlignment="1">
      <alignment horizontal="center" vertical="center"/>
    </xf>
    <xf numFmtId="2" fontId="10" fillId="0" borderId="151" xfId="0" applyNumberFormat="1" applyFont="1" applyBorder="1" applyAlignment="1">
      <alignment horizontal="center" vertical="center"/>
    </xf>
    <xf numFmtId="1" fontId="10" fillId="0" borderId="0" xfId="0" applyNumberFormat="1" applyFont="1" applyAlignment="1">
      <alignment horizontal="center" vertical="center"/>
    </xf>
    <xf numFmtId="0" fontId="0" fillId="0" borderId="0" xfId="0"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13" fillId="0" borderId="13" xfId="0" applyFont="1" applyBorder="1" applyAlignment="1">
      <alignment horizontal="center" vertical="center"/>
    </xf>
    <xf numFmtId="0" fontId="13" fillId="0" borderId="24" xfId="0" applyFont="1" applyBorder="1" applyAlignment="1">
      <alignment horizontal="center" vertical="center"/>
    </xf>
    <xf numFmtId="0" fontId="0" fillId="0" borderId="13"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70" fontId="0" fillId="0" borderId="10" xfId="0" applyNumberFormat="1" applyBorder="1" applyAlignment="1">
      <alignment horizontal="center" vertical="center" wrapText="1"/>
    </xf>
    <xf numFmtId="170" fontId="0" fillId="0" borderId="11" xfId="0" applyNumberFormat="1" applyBorder="1" applyAlignment="1">
      <alignment horizontal="center" vertical="center" wrapText="1"/>
    </xf>
    <xf numFmtId="170" fontId="0" fillId="0" borderId="12" xfId="0" applyNumberFormat="1" applyBorder="1" applyAlignment="1">
      <alignment horizontal="center" vertical="center" wrapText="1"/>
    </xf>
    <xf numFmtId="0" fontId="0" fillId="0" borderId="13" xfId="0" applyBorder="1" applyAlignment="1">
      <alignment horizontal="center" vertical="center" wrapText="1"/>
    </xf>
    <xf numFmtId="0" fontId="0" fillId="0" borderId="24" xfId="0" applyBorder="1" applyAlignment="1">
      <alignment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wrapText="1"/>
    </xf>
    <xf numFmtId="2" fontId="0" fillId="0" borderId="84" xfId="0" applyNumberForma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center" vertical="top" wrapText="1"/>
    </xf>
    <xf numFmtId="49" fontId="109" fillId="0" borderId="0" xfId="0" applyNumberFormat="1" applyFont="1" applyAlignment="1">
      <alignment horizontal="left" vertical="top" indent="4"/>
    </xf>
    <xf numFmtId="0" fontId="4" fillId="0" borderId="69" xfId="0" applyFont="1" applyBorder="1" applyAlignment="1">
      <alignment horizontal="left" vertical="center"/>
    </xf>
    <xf numFmtId="2" fontId="4" fillId="0" borderId="108" xfId="0" applyNumberFormat="1" applyFont="1" applyBorder="1"/>
    <xf numFmtId="2" fontId="4" fillId="0" borderId="109" xfId="0" applyNumberFormat="1" applyFont="1" applyBorder="1"/>
    <xf numFmtId="0" fontId="8" fillId="0" borderId="69" xfId="0" applyFont="1" applyBorder="1" applyAlignment="1">
      <alignment horizontal="center" vertical="center"/>
    </xf>
    <xf numFmtId="0" fontId="78" fillId="0" borderId="1" xfId="0" applyFont="1" applyBorder="1" applyAlignment="1">
      <alignment horizontal="center" vertical="center" wrapText="1"/>
    </xf>
    <xf numFmtId="2" fontId="78" fillId="0" borderId="1" xfId="0" applyNumberFormat="1" applyFont="1" applyBorder="1" applyAlignment="1">
      <alignment horizontal="center" vertical="center"/>
    </xf>
    <xf numFmtId="0" fontId="10" fillId="0" borderId="154" xfId="0" applyFont="1" applyBorder="1" applyAlignment="1">
      <alignment horizontal="left"/>
    </xf>
    <xf numFmtId="1" fontId="10" fillId="0" borderId="155" xfId="0" applyNumberFormat="1" applyFont="1" applyBorder="1" applyAlignment="1">
      <alignment horizontal="center" vertical="center"/>
    </xf>
    <xf numFmtId="1" fontId="10" fillId="0" borderId="3" xfId="0" applyNumberFormat="1" applyFont="1" applyBorder="1" applyAlignment="1">
      <alignment horizontal="center" vertical="center"/>
    </xf>
    <xf numFmtId="1" fontId="10" fillId="0" borderId="156" xfId="0" applyNumberFormat="1" applyFont="1" applyBorder="1" applyAlignment="1">
      <alignment horizontal="center" vertical="center"/>
    </xf>
    <xf numFmtId="0" fontId="78" fillId="0" borderId="0" xfId="0" applyFont="1" applyAlignment="1">
      <alignment horizontal="center" vertical="center" wrapText="1"/>
    </xf>
    <xf numFmtId="170" fontId="0" fillId="0" borderId="84" xfId="0" applyNumberFormat="1" applyBorder="1" applyAlignment="1">
      <alignment horizontal="center" vertical="center" wrapText="1"/>
    </xf>
    <xf numFmtId="0" fontId="0" fillId="0" borderId="24" xfId="0" applyBorder="1" applyAlignment="1">
      <alignment horizontal="center" vertical="center" wrapText="1"/>
    </xf>
    <xf numFmtId="0" fontId="2" fillId="7" borderId="0" xfId="0" applyFont="1" applyFill="1" applyAlignment="1">
      <alignment horizontal="center" vertical="center"/>
    </xf>
    <xf numFmtId="0" fontId="0" fillId="0" borderId="84" xfId="0" applyBorder="1" applyAlignment="1">
      <alignment horizontal="center" vertical="center" wrapText="1"/>
    </xf>
    <xf numFmtId="0" fontId="0" fillId="0" borderId="84" xfId="0" applyBorder="1" applyAlignment="1">
      <alignment vertical="center"/>
    </xf>
    <xf numFmtId="2" fontId="4" fillId="0" borderId="129" xfId="0" applyNumberFormat="1" applyFont="1" applyBorder="1" applyAlignment="1">
      <alignment horizontal="center" vertical="center"/>
    </xf>
    <xf numFmtId="2" fontId="4" fillId="0" borderId="126" xfId="0" applyNumberFormat="1" applyFont="1" applyBorder="1" applyAlignment="1">
      <alignment horizontal="center" vertical="center"/>
    </xf>
    <xf numFmtId="2" fontId="78" fillId="0" borderId="0" xfId="0" applyNumberFormat="1" applyFont="1" applyAlignment="1">
      <alignment horizontal="center" vertical="center"/>
    </xf>
    <xf numFmtId="0" fontId="10" fillId="0" borderId="84" xfId="0" applyFont="1" applyBorder="1" applyAlignment="1">
      <alignment horizontal="left"/>
    </xf>
    <xf numFmtId="1" fontId="10" fillId="0" borderId="84" xfId="0" applyNumberFormat="1" applyFont="1" applyBorder="1" applyAlignment="1">
      <alignment horizontal="center" vertical="center"/>
    </xf>
    <xf numFmtId="164" fontId="10" fillId="0" borderId="0" xfId="0" applyNumberFormat="1" applyFont="1" applyAlignment="1">
      <alignment horizontal="left" vertical="top" wrapText="1"/>
    </xf>
    <xf numFmtId="0" fontId="10" fillId="0" borderId="0" xfId="0" applyFont="1" applyAlignment="1">
      <alignment horizontal="left" vertical="top" wrapText="1"/>
    </xf>
    <xf numFmtId="0" fontId="10" fillId="0" borderId="97" xfId="0" applyFont="1" applyBorder="1" applyAlignment="1">
      <alignment horizontal="left" vertical="top" wrapText="1"/>
    </xf>
    <xf numFmtId="164" fontId="10" fillId="0" borderId="0" xfId="0" applyNumberFormat="1" applyFont="1" applyAlignment="1">
      <alignment horizontal="center"/>
    </xf>
    <xf numFmtId="0" fontId="0" fillId="0" borderId="84" xfId="0" applyBorder="1" applyAlignment="1">
      <alignment horizontal="center"/>
    </xf>
    <xf numFmtId="0" fontId="78" fillId="0" borderId="0" xfId="0" applyFont="1" applyAlignment="1">
      <alignment horizontal="left" vertical="center" wrapText="1"/>
    </xf>
    <xf numFmtId="0" fontId="78" fillId="0" borderId="1" xfId="0" applyFont="1" applyBorder="1" applyAlignment="1">
      <alignment horizontal="left" vertical="center" wrapText="1"/>
    </xf>
    <xf numFmtId="0" fontId="26" fillId="28" borderId="10" xfId="0" applyFont="1" applyFill="1" applyBorder="1" applyAlignment="1">
      <alignment horizontal="center" vertical="center" wrapText="1"/>
    </xf>
    <xf numFmtId="0" fontId="26" fillId="28" borderId="12" xfId="0" applyFont="1" applyFill="1" applyBorder="1" applyAlignment="1">
      <alignment horizontal="center" vertical="center" wrapText="1"/>
    </xf>
    <xf numFmtId="0" fontId="0" fillId="28" borderId="0" xfId="0" applyFill="1" applyAlignment="1">
      <alignment horizontal="center"/>
    </xf>
    <xf numFmtId="2" fontId="10" fillId="2" borderId="84" xfId="0" applyNumberFormat="1" applyFont="1" applyFill="1" applyBorder="1" applyAlignment="1">
      <alignment horizontal="center" vertical="center"/>
    </xf>
    <xf numFmtId="0" fontId="10" fillId="2" borderId="84" xfId="0" applyFont="1" applyFill="1" applyBorder="1" applyAlignment="1">
      <alignment horizontal="left" vertical="center" wrapText="1"/>
    </xf>
    <xf numFmtId="0" fontId="4" fillId="2" borderId="69" xfId="0" applyFont="1" applyFill="1" applyBorder="1" applyAlignment="1">
      <alignment horizontal="left" vertical="center"/>
    </xf>
    <xf numFmtId="2" fontId="4" fillId="2" borderId="129" xfId="0" applyNumberFormat="1" applyFont="1" applyFill="1" applyBorder="1" applyAlignment="1">
      <alignment horizontal="center" vertical="center"/>
    </xf>
    <xf numFmtId="2" fontId="4" fillId="2" borderId="126" xfId="0" applyNumberFormat="1" applyFont="1" applyFill="1" applyBorder="1" applyAlignment="1">
      <alignment horizontal="center" vertical="center"/>
    </xf>
    <xf numFmtId="0" fontId="12" fillId="0" borderId="0" xfId="0" applyFont="1" applyAlignment="1">
      <alignment horizontal="center"/>
    </xf>
    <xf numFmtId="0" fontId="13" fillId="0" borderId="0" xfId="0" applyFont="1" applyAlignment="1">
      <alignment horizontal="center"/>
    </xf>
    <xf numFmtId="0" fontId="13" fillId="0" borderId="1" xfId="0" applyFont="1" applyBorder="1" applyAlignment="1">
      <alignment horizontal="center"/>
    </xf>
    <xf numFmtId="0" fontId="4" fillId="0" borderId="13" xfId="0" applyFont="1" applyBorder="1" applyAlignment="1">
      <alignment horizontal="center" vertical="center" wrapText="1"/>
    </xf>
    <xf numFmtId="0" fontId="4" fillId="0" borderId="23"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3" xfId="0" applyFont="1" applyBorder="1" applyAlignment="1">
      <alignment horizontal="center" vertical="center" wrapText="1"/>
    </xf>
    <xf numFmtId="0" fontId="6" fillId="0" borderId="13"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3" xfId="0" applyFont="1" applyBorder="1" applyAlignment="1">
      <alignment horizontal="center" vertical="center" wrapText="1"/>
    </xf>
    <xf numFmtId="0" fontId="165" fillId="8" borderId="100" xfId="0" applyFont="1" applyFill="1" applyBorder="1" applyAlignment="1">
      <alignment horizontal="left" vertical="center"/>
    </xf>
    <xf numFmtId="0" fontId="175" fillId="16" borderId="0" xfId="0" applyFont="1" applyFill="1" applyAlignment="1">
      <alignment horizontal="center" vertical="center"/>
    </xf>
    <xf numFmtId="0" fontId="163" fillId="0" borderId="0" xfId="0" applyFont="1" applyAlignment="1">
      <alignment horizontal="left" wrapText="1"/>
    </xf>
    <xf numFmtId="0" fontId="78" fillId="18" borderId="0" xfId="0" applyFont="1" applyFill="1" applyAlignment="1">
      <alignment horizontal="center"/>
    </xf>
    <xf numFmtId="0" fontId="78" fillId="15" borderId="0" xfId="0" applyFont="1" applyFill="1" applyAlignment="1">
      <alignment horizontal="center"/>
    </xf>
    <xf numFmtId="0" fontId="175" fillId="28" borderId="0" xfId="0" applyFont="1" applyFill="1" applyAlignment="1">
      <alignment horizontal="center" vertical="center"/>
    </xf>
    <xf numFmtId="0" fontId="0" fillId="0" borderId="0" xfId="0" applyAlignment="1">
      <alignment vertical="center" wrapText="1"/>
    </xf>
    <xf numFmtId="0" fontId="0" fillId="0" borderId="0" xfId="0"/>
    <xf numFmtId="0" fontId="10" fillId="0" borderId="101" xfId="0" applyFont="1" applyBorder="1" applyAlignment="1">
      <alignment horizontal="left" vertical="top"/>
    </xf>
    <xf numFmtId="0" fontId="10" fillId="0" borderId="105" xfId="0" applyFont="1" applyBorder="1" applyAlignment="1">
      <alignment horizontal="left" vertical="top"/>
    </xf>
    <xf numFmtId="0" fontId="4" fillId="0" borderId="106" xfId="0" applyFont="1" applyBorder="1" applyAlignment="1">
      <alignment horizontal="center" vertical="top"/>
    </xf>
    <xf numFmtId="0" fontId="4" fillId="0" borderId="107" xfId="0" applyFont="1" applyBorder="1" applyAlignment="1">
      <alignment horizontal="center" vertical="top"/>
    </xf>
    <xf numFmtId="0" fontId="10" fillId="0" borderId="102" xfId="0" applyFont="1" applyBorder="1" applyAlignment="1">
      <alignment horizontal="left" vertical="top"/>
    </xf>
    <xf numFmtId="177" fontId="10" fillId="0" borderId="101" xfId="0" applyNumberFormat="1" applyFont="1" applyBorder="1" applyAlignment="1">
      <alignment horizontal="left" vertical="top"/>
    </xf>
    <xf numFmtId="0" fontId="13" fillId="0" borderId="0" xfId="0" applyFont="1" applyAlignment="1">
      <alignment horizontal="left" vertical="top"/>
    </xf>
    <xf numFmtId="0" fontId="13" fillId="0" borderId="46" xfId="0" applyFont="1" applyBorder="1" applyAlignment="1">
      <alignment horizontal="left" vertical="top"/>
    </xf>
    <xf numFmtId="0" fontId="4" fillId="0" borderId="45" xfId="0" applyFont="1" applyBorder="1" applyAlignment="1">
      <alignment horizontal="left" vertical="top"/>
    </xf>
    <xf numFmtId="177" fontId="4" fillId="0" borderId="0" xfId="0" applyNumberFormat="1" applyFont="1" applyAlignment="1">
      <alignment horizontal="left" vertical="top"/>
    </xf>
    <xf numFmtId="177" fontId="4" fillId="0" borderId="46" xfId="0" applyNumberFormat="1" applyFont="1" applyBorder="1" applyAlignment="1">
      <alignment horizontal="left" vertical="top"/>
    </xf>
    <xf numFmtId="177" fontId="4" fillId="0" borderId="49" xfId="0" applyNumberFormat="1" applyFont="1" applyBorder="1" applyAlignment="1">
      <alignment horizontal="left" vertical="top"/>
    </xf>
    <xf numFmtId="0" fontId="165" fillId="8" borderId="42" xfId="0" applyFont="1" applyFill="1" applyBorder="1" applyAlignment="1">
      <alignment horizontal="left" vertical="center"/>
    </xf>
    <xf numFmtId="0" fontId="165" fillId="8" borderId="43" xfId="0" applyFont="1" applyFill="1" applyBorder="1" applyAlignment="1">
      <alignment horizontal="left" vertical="center"/>
    </xf>
    <xf numFmtId="0" fontId="165" fillId="8" borderId="44" xfId="0" applyFont="1" applyFill="1" applyBorder="1" applyAlignment="1">
      <alignment horizontal="left" vertical="center"/>
    </xf>
    <xf numFmtId="0" fontId="4" fillId="0" borderId="46" xfId="0" applyFont="1" applyBorder="1" applyAlignment="1">
      <alignment horizontal="left" vertical="top"/>
    </xf>
    <xf numFmtId="0" fontId="165" fillId="8" borderId="45" xfId="0" applyFont="1" applyFill="1" applyBorder="1" applyAlignment="1">
      <alignment horizontal="left" vertical="center"/>
    </xf>
    <xf numFmtId="0" fontId="165" fillId="8" borderId="0" xfId="0" applyFont="1" applyFill="1" applyAlignment="1">
      <alignment horizontal="left" vertical="center"/>
    </xf>
    <xf numFmtId="0" fontId="165" fillId="8" borderId="46" xfId="0" applyFont="1" applyFill="1" applyBorder="1" applyAlignment="1">
      <alignment horizontal="left" vertical="center"/>
    </xf>
    <xf numFmtId="0" fontId="78" fillId="0" borderId="45" xfId="0" applyFont="1" applyBorder="1" applyAlignment="1">
      <alignment horizontal="center" vertical="center"/>
    </xf>
    <xf numFmtId="0" fontId="78" fillId="0" borderId="46" xfId="0" applyFont="1" applyBorder="1" applyAlignment="1">
      <alignment horizontal="center" vertical="center"/>
    </xf>
    <xf numFmtId="0" fontId="8" fillId="0" borderId="45" xfId="0" applyFont="1" applyBorder="1" applyAlignment="1">
      <alignment horizontal="center" vertical="top"/>
    </xf>
    <xf numFmtId="0" fontId="8" fillId="0" borderId="0" xfId="0" applyFont="1" applyAlignment="1">
      <alignment horizontal="center" vertical="top"/>
    </xf>
    <xf numFmtId="0" fontId="8" fillId="0" borderId="46" xfId="0" applyFont="1" applyBorder="1" applyAlignment="1">
      <alignment horizontal="center" vertical="top"/>
    </xf>
  </cellXfs>
  <cellStyles count="16">
    <cellStyle name="ColLevel_1" xfId="1" builtinId="2" iLevel="0"/>
    <cellStyle name="Comma" xfId="2" builtinId="3"/>
    <cellStyle name="Currency 2" xfId="15" xr:uid="{DDBC106D-A138-7246-AA28-A5B6671397D7}"/>
    <cellStyle name="Normal" xfId="0" builtinId="0"/>
    <cellStyle name="Normal 2 2" xfId="7" xr:uid="{5EB43592-1336-3542-A432-EDD462F85742}"/>
    <cellStyle name="Normal 2 3" xfId="4" xr:uid="{0A5EA6DC-F55C-3D4B-BBA9-549381C9757D}"/>
    <cellStyle name="Normal 2 4" xfId="5" xr:uid="{D1DFEBD2-6307-F741-8EE9-113C270BE504}"/>
    <cellStyle name="Normal 3" xfId="8" xr:uid="{D503B5D3-A252-724A-9681-E1C3A35C5EC1}"/>
    <cellStyle name="Normal 3 2" xfId="9" xr:uid="{B51277F4-F5A1-8742-A2E9-74F8A171BD2D}"/>
    <cellStyle name="Normal 4" xfId="14" xr:uid="{ED3B6475-5DB0-FC4B-807B-F59326ECC8AF}"/>
    <cellStyle name="Normal 5" xfId="11" xr:uid="{853376EB-F241-E64C-8629-141FF678022E}"/>
    <cellStyle name="Normal 6" xfId="12" xr:uid="{D9CE6652-C89C-CC48-B2B6-EBE43CC0F03D}"/>
    <cellStyle name="Normal 7 2" xfId="3" xr:uid="{65CB22E5-E2F1-3F40-93A9-D6F1FE5741C7}"/>
    <cellStyle name="Normal 8" xfId="13" xr:uid="{C17F6F8E-A332-DF42-9329-42F84358E6EE}"/>
    <cellStyle name="Normal 9 2" xfId="10" xr:uid="{3189A64B-C760-E041-A4EA-2AA8A1B696F5}"/>
    <cellStyle name="Normal_TRX-uu." xfId="6" xr:uid="{710DE313-ACA0-6344-B9B7-9DD0021173BA}"/>
  </cellStyles>
  <dxfs count="364">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border>
        <left style="thin">
          <color theme="8" tint="0.39994506668294322"/>
        </left>
        <right style="thin">
          <color theme="8" tint="0.39994506668294322"/>
        </right>
        <top style="thin">
          <color theme="8" tint="0.39994506668294322"/>
        </top>
        <bottom style="thin">
          <color theme="8" tint="0.39994506668294322"/>
        </bottom>
        <vertical/>
        <horizontal/>
      </border>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border>
        <left style="thin">
          <color theme="8" tint="0.39994506668294322"/>
        </left>
        <right style="thin">
          <color theme="8" tint="0.39994506668294322"/>
        </right>
        <top style="thin">
          <color theme="8" tint="0.39994506668294322"/>
        </top>
        <bottom style="thin">
          <color theme="8" tint="0.39994506668294322"/>
        </bottom>
        <vertical/>
        <horizontal/>
      </border>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theme="8" tint="-0.24994659260841701"/>
        </patternFill>
      </fill>
    </dxf>
    <dxf>
      <fill>
        <patternFill>
          <bgColor them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0.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1.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5.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1.xml"/><Relationship Id="rId1" Type="http://schemas.microsoft.com/office/2011/relationships/chartStyle" Target="style41.xml"/></Relationships>
</file>

<file path=xl/charts/_rels/chart47.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3.xml"/><Relationship Id="rId1" Type="http://schemas.microsoft.com/office/2011/relationships/chartStyle" Target="style43.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4.xml"/><Relationship Id="rId1" Type="http://schemas.microsoft.com/office/2011/relationships/chartStyle" Target="style44.xml"/></Relationships>
</file>

<file path=xl/charts/_rels/chart50.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1.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2.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3.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4.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5.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1.xml"/><Relationship Id="rId1" Type="http://schemas.microsoft.com/office/2011/relationships/chartStyle" Target="style51.xml"/></Relationships>
</file>

<file path=xl/charts/_rels/chart5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9.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1.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2.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3.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4.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5.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6.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7.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8.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9.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0.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1.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2.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3.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4.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5.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6.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7.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8.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9.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0.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1.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2.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3.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4.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0.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1.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2.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3.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4.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5.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6.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7.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8.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9.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00.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1.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2.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3.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4.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5.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145111171448383E-2"/>
          <c:y val="5.1251348683455385E-2"/>
          <c:w val="0.87116116497619733"/>
          <c:h val="0.74976616946273067"/>
        </c:manualLayout>
      </c:layout>
      <c:scatterChart>
        <c:scatterStyle val="lineMarker"/>
        <c:varyColors val="0"/>
        <c:ser>
          <c:idx val="0"/>
          <c:order val="0"/>
          <c:tx>
            <c:v>Test Data &amp; Flow Curve</c:v>
          </c:tx>
          <c:spPr>
            <a:ln w="25400" cap="rnd">
              <a:noFill/>
              <a:round/>
            </a:ln>
            <a:effectLst/>
          </c:spPr>
          <c:marker>
            <c:symbol val="circle"/>
            <c:size val="4"/>
            <c:spPr>
              <a:solidFill>
                <a:schemeClr val="accent1"/>
              </a:solidFill>
              <a:ln w="9525">
                <a:solidFill>
                  <a:schemeClr val="accent1"/>
                </a:solidFill>
              </a:ln>
              <a:effectLst/>
            </c:spPr>
          </c:marker>
          <c:trendline>
            <c:spPr>
              <a:ln w="12700" cap="rnd">
                <a:solidFill>
                  <a:schemeClr val="accent1">
                    <a:lumMod val="75000"/>
                  </a:schemeClr>
                </a:solidFill>
                <a:prstDash val="solid"/>
              </a:ln>
              <a:effectLst/>
            </c:spPr>
            <c:trendlineType val="log"/>
            <c:dispRSqr val="0"/>
            <c:dispEq val="0"/>
          </c:trendline>
          <c:xVal>
            <c:numRef>
              <c:f>'WS-ATB'!$T$29:$T$32</c:f>
              <c:numCache>
                <c:formatCode>0</c:formatCode>
                <c:ptCount val="4"/>
                <c:pt idx="0">
                  <c:v>40</c:v>
                </c:pt>
                <c:pt idx="1">
                  <c:v>31</c:v>
                </c:pt>
                <c:pt idx="2">
                  <c:v>20</c:v>
                </c:pt>
                <c:pt idx="3">
                  <c:v>12</c:v>
                </c:pt>
              </c:numCache>
            </c:numRef>
          </c:xVal>
          <c:yVal>
            <c:numRef>
              <c:f>'WS-ATB'!$U$29:$U$32</c:f>
              <c:numCache>
                <c:formatCode>0.000</c:formatCode>
                <c:ptCount val="4"/>
                <c:pt idx="0">
                  <c:v>43.333333333333321</c:v>
                </c:pt>
                <c:pt idx="1">
                  <c:v>45.272466177915518</c:v>
                </c:pt>
                <c:pt idx="2">
                  <c:v>48.21935077213994</c:v>
                </c:pt>
                <c:pt idx="3">
                  <c:v>51.789676083419621</c:v>
                </c:pt>
              </c:numCache>
            </c:numRef>
          </c:yVal>
          <c:smooth val="0"/>
          <c:extLst>
            <c:ext xmlns:c16="http://schemas.microsoft.com/office/drawing/2014/chart" uri="{C3380CC4-5D6E-409C-BE32-E72D297353CC}">
              <c16:uniqueId val="{00000001-1E8C-1942-907D-328234BF037A}"/>
            </c:ext>
          </c:extLst>
        </c:ser>
        <c:ser>
          <c:idx val="2"/>
          <c:order val="1"/>
          <c:tx>
            <c:v>LL @ 25 Blows</c:v>
          </c:tx>
          <c:spPr>
            <a:ln w="25400" cap="rnd">
              <a:noFill/>
              <a:round/>
            </a:ln>
            <a:effectLst/>
          </c:spPr>
          <c:marker>
            <c:symbol val="triangle"/>
            <c:size val="7"/>
            <c:spPr>
              <a:solidFill>
                <a:srgbClr val="FF0000"/>
              </a:solidFill>
              <a:ln w="9525">
                <a:noFill/>
              </a:ln>
              <a:effectLst/>
            </c:spPr>
          </c:marker>
          <c:xVal>
            <c:numRef>
              <c:f>'WS-ATB'!$T$44</c:f>
              <c:numCache>
                <c:formatCode>General</c:formatCode>
                <c:ptCount val="1"/>
                <c:pt idx="0">
                  <c:v>25</c:v>
                </c:pt>
              </c:numCache>
            </c:numRef>
          </c:xVal>
          <c:yVal>
            <c:numRef>
              <c:f>'WS-ATB'!$U$44</c:f>
              <c:numCache>
                <c:formatCode>0.00</c:formatCode>
                <c:ptCount val="1"/>
                <c:pt idx="0">
                  <c:v>46.879857774765206</c:v>
                </c:pt>
              </c:numCache>
            </c:numRef>
          </c:yVal>
          <c:smooth val="0"/>
          <c:extLst>
            <c:ext xmlns:c16="http://schemas.microsoft.com/office/drawing/2014/chart" uri="{C3380CC4-5D6E-409C-BE32-E72D297353CC}">
              <c16:uniqueId val="{00000002-0CE0-D141-93DD-F4F3D31EDC80}"/>
            </c:ext>
          </c:extLst>
        </c:ser>
        <c:ser>
          <c:idx val="1"/>
          <c:order val="2"/>
          <c:tx>
            <c:strRef>
              <c:f>'WS-ATB'!$A$63</c:f>
              <c:strCache>
                <c:ptCount val="1"/>
                <c:pt idx="0">
                  <c:v>25 Blows</c:v>
                </c:pt>
              </c:strCache>
            </c:strRef>
          </c:tx>
          <c:spPr>
            <a:ln w="12700" cap="rnd">
              <a:solidFill>
                <a:srgbClr val="FF0000"/>
              </a:solidFill>
              <a:prstDash val="dash"/>
              <a:round/>
            </a:ln>
            <a:effectLst/>
          </c:spPr>
          <c:marker>
            <c:symbol val="none"/>
          </c:marker>
          <c:xVal>
            <c:numRef>
              <c:f>'WS-ATB'!$T$39:$T$41</c:f>
              <c:numCache>
                <c:formatCode>General</c:formatCode>
                <c:ptCount val="3"/>
                <c:pt idx="0">
                  <c:v>1</c:v>
                </c:pt>
                <c:pt idx="1">
                  <c:v>25</c:v>
                </c:pt>
                <c:pt idx="2">
                  <c:v>25</c:v>
                </c:pt>
              </c:numCache>
            </c:numRef>
          </c:xVal>
          <c:yVal>
            <c:numRef>
              <c:f>'WS-ATB'!$U$39:$U$41</c:f>
              <c:numCache>
                <c:formatCode>0.00</c:formatCode>
                <c:ptCount val="3"/>
                <c:pt idx="0">
                  <c:v>46.879857774765206</c:v>
                </c:pt>
                <c:pt idx="1">
                  <c:v>46.879857774765206</c:v>
                </c:pt>
                <c:pt idx="2" formatCode="General">
                  <c:v>0</c:v>
                </c:pt>
              </c:numCache>
            </c:numRef>
          </c:yVal>
          <c:smooth val="0"/>
          <c:extLst>
            <c:ext xmlns:c16="http://schemas.microsoft.com/office/drawing/2014/chart" uri="{C3380CC4-5D6E-409C-BE32-E72D297353CC}">
              <c16:uniqueId val="{00000001-0CE0-D141-93DD-F4F3D31EDC80}"/>
            </c:ext>
          </c:extLst>
        </c:ser>
        <c:dLbls>
          <c:showLegendKey val="0"/>
          <c:showVal val="0"/>
          <c:showCatName val="0"/>
          <c:showSerName val="0"/>
          <c:showPercent val="0"/>
          <c:showBubbleSize val="0"/>
        </c:dLbls>
        <c:axId val="1307821872"/>
        <c:axId val="1301240720"/>
      </c:scatterChart>
      <c:valAx>
        <c:axId val="1307821872"/>
        <c:scaling>
          <c:logBase val="10"/>
          <c:orientation val="minMax"/>
          <c:min val="1"/>
        </c:scaling>
        <c:delete val="0"/>
        <c:axPos val="b"/>
        <c:majorGridlines>
          <c:spPr>
            <a:ln w="9525" cap="flat" cmpd="sng" algn="ctr">
              <a:solidFill>
                <a:schemeClr val="accent1"/>
              </a:solidFill>
              <a:round/>
            </a:ln>
            <a:effectLst/>
          </c:spPr>
        </c:majorGridlines>
        <c:minorGridlines>
          <c:spPr>
            <a:ln w="9525" cap="flat" cmpd="sng" algn="ctr">
              <a:solidFill>
                <a:schemeClr val="accent1">
                  <a:lumMod val="40000"/>
                  <a:lumOff val="60000"/>
                </a:schemeClr>
              </a:solidFill>
              <a:round/>
            </a:ln>
            <a:effectLst/>
          </c:spPr>
        </c:min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Number</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of Blows</a:t>
                </a:r>
              </a:p>
            </c:rich>
          </c:tx>
          <c:layout>
            <c:manualLayout>
              <c:xMode val="edge"/>
              <c:yMode val="edge"/>
              <c:x val="0.46015799102849414"/>
              <c:y val="0.8488895611561878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1240720"/>
        <c:crosses val="autoZero"/>
        <c:crossBetween val="midCat"/>
      </c:valAx>
      <c:valAx>
        <c:axId val="1301240720"/>
        <c:scaling>
          <c:orientation val="minMax"/>
          <c:max val="80"/>
          <c:min val="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layout>
            <c:manualLayout>
              <c:xMode val="edge"/>
              <c:yMode val="edge"/>
              <c:x val="1.6492729571738283E-2"/>
              <c:y val="0.309066242342617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0782187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83219568325838E-2"/>
          <c:y val="6.3644261684347267E-2"/>
          <c:w val="0.89342859024612487"/>
          <c:h val="0.77818490360087544"/>
        </c:manualLayout>
      </c:layout>
      <c:scatterChart>
        <c:scatterStyle val="smoothMarker"/>
        <c:varyColors val="0"/>
        <c:ser>
          <c:idx val="0"/>
          <c:order val="0"/>
          <c:tx>
            <c:v>A-Line</c:v>
          </c:tx>
          <c:spPr>
            <a:ln w="15875" cap="rnd">
              <a:solidFill>
                <a:schemeClr val="accent5">
                  <a:lumMod val="50000"/>
                </a:schemeClr>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'WS-ATB'!$M$46:$M$56</c:f>
              <c:numCache>
                <c:formatCode>General</c:formatCode>
                <c:ptCount val="11"/>
                <c:pt idx="2">
                  <c:v>0</c:v>
                </c:pt>
                <c:pt idx="3">
                  <c:v>7.3</c:v>
                </c:pt>
                <c:pt idx="4">
                  <c:v>14.6</c:v>
                </c:pt>
                <c:pt idx="5">
                  <c:v>21.9</c:v>
                </c:pt>
                <c:pt idx="6">
                  <c:v>29.2</c:v>
                </c:pt>
                <c:pt idx="7">
                  <c:v>36.5</c:v>
                </c:pt>
                <c:pt idx="8">
                  <c:v>43.8</c:v>
                </c:pt>
                <c:pt idx="9">
                  <c:v>51.1</c:v>
                </c:pt>
                <c:pt idx="10">
                  <c:v>58.4</c:v>
                </c:pt>
              </c:numCache>
            </c:numRef>
          </c:yVal>
          <c:smooth val="1"/>
          <c:extLst>
            <c:ext xmlns:c16="http://schemas.microsoft.com/office/drawing/2014/chart" uri="{C3380CC4-5D6E-409C-BE32-E72D297353CC}">
              <c16:uniqueId val="{00000000-04E8-2748-9838-F8D3E88A9182}"/>
            </c:ext>
          </c:extLst>
        </c:ser>
        <c:ser>
          <c:idx val="2"/>
          <c:order val="3"/>
          <c:tx>
            <c:v>Straight Line</c:v>
          </c:tx>
          <c:spPr>
            <a:ln w="9525" cap="rnd">
              <a:solidFill>
                <a:schemeClr val="tx1">
                  <a:lumMod val="75000"/>
                  <a:lumOff val="25000"/>
                </a:schemeClr>
              </a:solidFill>
              <a:prstDash val="dash"/>
              <a:round/>
            </a:ln>
            <a:effectLst/>
          </c:spPr>
          <c:marker>
            <c:symbol val="none"/>
          </c:marker>
          <c:xVal>
            <c:numRef>
              <c:f>'WS-ATB'!$L$63:$L$64</c:f>
              <c:numCache>
                <c:formatCode>General</c:formatCode>
                <c:ptCount val="2"/>
                <c:pt idx="0">
                  <c:v>50</c:v>
                </c:pt>
                <c:pt idx="1">
                  <c:v>50</c:v>
                </c:pt>
              </c:numCache>
            </c:numRef>
          </c:xVal>
          <c:yVal>
            <c:numRef>
              <c:f>'WS-ATB'!$M$63:$M$64</c:f>
              <c:numCache>
                <c:formatCode>General</c:formatCode>
                <c:ptCount val="2"/>
                <c:pt idx="0">
                  <c:v>0</c:v>
                </c:pt>
                <c:pt idx="1">
                  <c:v>60</c:v>
                </c:pt>
              </c:numCache>
            </c:numRef>
          </c:yVal>
          <c:smooth val="1"/>
          <c:extLst>
            <c:ext xmlns:c16="http://schemas.microsoft.com/office/drawing/2014/chart" uri="{C3380CC4-5D6E-409C-BE32-E72D297353CC}">
              <c16:uniqueId val="{00000001-04E8-2748-9838-F8D3E88A9182}"/>
            </c:ext>
          </c:extLst>
        </c:ser>
        <c:ser>
          <c:idx val="3"/>
          <c:order val="4"/>
          <c:spPr>
            <a:ln w="9525" cap="rnd">
              <a:solidFill>
                <a:schemeClr val="accent2"/>
              </a:solidFill>
              <a:prstDash val="dash"/>
              <a:round/>
            </a:ln>
            <a:effectLst/>
          </c:spPr>
          <c:marker>
            <c:symbol val="none"/>
          </c:marker>
          <c:xVal>
            <c:numRef>
              <c:f>'WS-ATB'!$N$67:$O$67</c:f>
              <c:numCache>
                <c:formatCode>0.0</c:formatCode>
                <c:ptCount val="2"/>
                <c:pt idx="0">
                  <c:v>25.479452054794521</c:v>
                </c:pt>
                <c:pt idx="1">
                  <c:v>12.444444444444445</c:v>
                </c:pt>
              </c:numCache>
            </c:numRef>
          </c:xVal>
          <c:yVal>
            <c:numRef>
              <c:f>'WS-ATB'!$L$67:$M$67</c:f>
              <c:numCache>
                <c:formatCode>0.0</c:formatCode>
                <c:ptCount val="2"/>
                <c:pt idx="0">
                  <c:v>4</c:v>
                </c:pt>
                <c:pt idx="1">
                  <c:v>4</c:v>
                </c:pt>
              </c:numCache>
            </c:numRef>
          </c:yVal>
          <c:smooth val="1"/>
          <c:extLst>
            <c:ext xmlns:c16="http://schemas.microsoft.com/office/drawing/2014/chart" uri="{C3380CC4-5D6E-409C-BE32-E72D297353CC}">
              <c16:uniqueId val="{00000002-04E8-2748-9838-F8D3E88A9182}"/>
            </c:ext>
          </c:extLst>
        </c:ser>
        <c:ser>
          <c:idx val="4"/>
          <c:order val="5"/>
          <c:spPr>
            <a:ln w="9525" cap="rnd">
              <a:solidFill>
                <a:schemeClr val="accent2"/>
              </a:solidFill>
              <a:prstDash val="dash"/>
              <a:round/>
            </a:ln>
            <a:effectLst/>
          </c:spPr>
          <c:marker>
            <c:symbol val="none"/>
          </c:marker>
          <c:xVal>
            <c:numRef>
              <c:f>'WS-ATB'!$N$68:$O$68</c:f>
              <c:numCache>
                <c:formatCode>0.0</c:formatCode>
                <c:ptCount val="2"/>
                <c:pt idx="0">
                  <c:v>29.589041095890412</c:v>
                </c:pt>
                <c:pt idx="1">
                  <c:v>15.777777777777779</c:v>
                </c:pt>
              </c:numCache>
            </c:numRef>
          </c:xVal>
          <c:yVal>
            <c:numRef>
              <c:f>'WS-ATB'!$L$68:$M$68</c:f>
              <c:numCache>
                <c:formatCode>0.0</c:formatCode>
                <c:ptCount val="2"/>
                <c:pt idx="0">
                  <c:v>7</c:v>
                </c:pt>
                <c:pt idx="1">
                  <c:v>7</c:v>
                </c:pt>
              </c:numCache>
            </c:numRef>
          </c:yVal>
          <c:smooth val="1"/>
          <c:extLst>
            <c:ext xmlns:c16="http://schemas.microsoft.com/office/drawing/2014/chart" uri="{C3380CC4-5D6E-409C-BE32-E72D297353CC}">
              <c16:uniqueId val="{00000003-04E8-2748-9838-F8D3E88A9182}"/>
            </c:ext>
          </c:extLst>
        </c:ser>
        <c:dLbls>
          <c:showLegendKey val="0"/>
          <c:showVal val="0"/>
          <c:showCatName val="0"/>
          <c:showSerName val="0"/>
          <c:showPercent val="0"/>
          <c:showBubbleSize val="0"/>
        </c:dLbls>
        <c:axId val="1265726032"/>
        <c:axId val="1266139280"/>
      </c:scatterChart>
      <c:scatterChart>
        <c:scatterStyle val="lineMarker"/>
        <c:varyColors val="0"/>
        <c:ser>
          <c:idx val="1"/>
          <c:order val="1"/>
          <c:tx>
            <c:v>U-Line</c:v>
          </c:tx>
          <c:spPr>
            <a:ln w="9525" cap="rnd">
              <a:solidFill>
                <a:schemeClr val="accent5">
                  <a:lumMod val="75000"/>
                </a:schemeClr>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'WS-ATB'!$N$46:$N$56</c:f>
              <c:numCache>
                <c:formatCode>General</c:formatCode>
                <c:ptCount val="11"/>
                <c:pt idx="1">
                  <c:v>0</c:v>
                </c:pt>
                <c:pt idx="2">
                  <c:v>10.8</c:v>
                </c:pt>
                <c:pt idx="3">
                  <c:v>19.8</c:v>
                </c:pt>
                <c:pt idx="4">
                  <c:v>28.8</c:v>
                </c:pt>
                <c:pt idx="5">
                  <c:v>37.800000000000004</c:v>
                </c:pt>
                <c:pt idx="6">
                  <c:v>46.800000000000004</c:v>
                </c:pt>
                <c:pt idx="7">
                  <c:v>55.800000000000004</c:v>
                </c:pt>
                <c:pt idx="8">
                  <c:v>64.8</c:v>
                </c:pt>
                <c:pt idx="9">
                  <c:v>73.8</c:v>
                </c:pt>
                <c:pt idx="10">
                  <c:v>82.8</c:v>
                </c:pt>
              </c:numCache>
            </c:numRef>
          </c:yVal>
          <c:smooth val="0"/>
          <c:extLst>
            <c:ext xmlns:c16="http://schemas.microsoft.com/office/drawing/2014/chart" uri="{C3380CC4-5D6E-409C-BE32-E72D297353CC}">
              <c16:uniqueId val="{00000004-04E8-2748-9838-F8D3E88A9182}"/>
            </c:ext>
          </c:extLst>
        </c:ser>
        <c:ser>
          <c:idx val="5"/>
          <c:order val="2"/>
          <c:tx>
            <c:v>Sample Point</c:v>
          </c:tx>
          <c:spPr>
            <a:ln w="19050" cap="rnd">
              <a:solidFill>
                <a:schemeClr val="accent6"/>
              </a:solidFill>
              <a:round/>
            </a:ln>
            <a:effectLst/>
          </c:spPr>
          <c:marker>
            <c:symbol val="square"/>
            <c:size val="6"/>
            <c:spPr>
              <a:solidFill>
                <a:schemeClr val="accent6"/>
              </a:solidFill>
              <a:ln w="9525">
                <a:solidFill>
                  <a:schemeClr val="accent6"/>
                </a:solidFill>
              </a:ln>
              <a:effectLst/>
            </c:spPr>
          </c:marker>
          <c:dPt>
            <c:idx val="0"/>
            <c:marker>
              <c:symbol val="square"/>
              <c:size val="6"/>
              <c:spPr>
                <a:solidFill>
                  <a:schemeClr val="accent6"/>
                </a:solidFill>
                <a:ln w="9525">
                  <a:solidFill>
                    <a:schemeClr val="accent6"/>
                  </a:solidFill>
                </a:ln>
                <a:effectLst/>
              </c:spPr>
            </c:marker>
            <c:bubble3D val="0"/>
            <c:extLst>
              <c:ext xmlns:c16="http://schemas.microsoft.com/office/drawing/2014/chart" uri="{C3380CC4-5D6E-409C-BE32-E72D297353CC}">
                <c16:uniqueId val="{00000000-8FA6-444A-8B31-565D12343239}"/>
              </c:ext>
            </c:extLst>
          </c:dPt>
          <c:xVal>
            <c:numRef>
              <c:f>'WS-ATB'!$D$115</c:f>
              <c:numCache>
                <c:formatCode>0.000</c:formatCode>
                <c:ptCount val="1"/>
                <c:pt idx="0">
                  <c:v>46.879857774765206</c:v>
                </c:pt>
              </c:numCache>
            </c:numRef>
          </c:xVal>
          <c:yVal>
            <c:numRef>
              <c:f>'WS-ATB'!$D$116</c:f>
              <c:numCache>
                <c:formatCode>0.000</c:formatCode>
                <c:ptCount val="1"/>
                <c:pt idx="0">
                  <c:v>24.1579645951606</c:v>
                </c:pt>
              </c:numCache>
            </c:numRef>
          </c:yVal>
          <c:smooth val="0"/>
          <c:extLst>
            <c:ext xmlns:c16="http://schemas.microsoft.com/office/drawing/2014/chart" uri="{C3380CC4-5D6E-409C-BE32-E72D297353CC}">
              <c16:uniqueId val="{00000005-04E8-2748-9838-F8D3E88A9182}"/>
            </c:ext>
          </c:extLst>
        </c:ser>
        <c:ser>
          <c:idx val="6"/>
          <c:order val="6"/>
          <c:spPr>
            <a:ln w="9525" cap="rnd">
              <a:solidFill>
                <a:schemeClr val="accent2"/>
              </a:solidFill>
              <a:prstDash val="dash"/>
              <a:round/>
            </a:ln>
            <a:effectLst/>
          </c:spPr>
          <c:marker>
            <c:symbol val="none"/>
          </c:marker>
          <c:xVal>
            <c:numRef>
              <c:f>'WS-ATB'!$L$70:$L$71</c:f>
              <c:numCache>
                <c:formatCode>0.00</c:formatCode>
                <c:ptCount val="2"/>
                <c:pt idx="0">
                  <c:v>0</c:v>
                </c:pt>
                <c:pt idx="1">
                  <c:v>12.444444444444445</c:v>
                </c:pt>
              </c:numCache>
            </c:numRef>
          </c:xVal>
          <c:yVal>
            <c:numRef>
              <c:f>'WS-ATB'!$M$70:$M$71</c:f>
              <c:numCache>
                <c:formatCode>0.00</c:formatCode>
                <c:ptCount val="2"/>
                <c:pt idx="0">
                  <c:v>4</c:v>
                </c:pt>
                <c:pt idx="1">
                  <c:v>4</c:v>
                </c:pt>
              </c:numCache>
            </c:numRef>
          </c:yVal>
          <c:smooth val="0"/>
          <c:extLst>
            <c:ext xmlns:c16="http://schemas.microsoft.com/office/drawing/2014/chart" uri="{C3380CC4-5D6E-409C-BE32-E72D297353CC}">
              <c16:uniqueId val="{00000006-04E8-2748-9838-F8D3E88A9182}"/>
            </c:ext>
          </c:extLst>
        </c:ser>
        <c:ser>
          <c:idx val="7"/>
          <c:order val="7"/>
          <c:spPr>
            <a:ln w="9525" cap="rnd">
              <a:solidFill>
                <a:schemeClr val="accent2"/>
              </a:solidFill>
              <a:prstDash val="dash"/>
              <a:round/>
            </a:ln>
            <a:effectLst/>
          </c:spPr>
          <c:marker>
            <c:symbol val="none"/>
          </c:marker>
          <c:xVal>
            <c:numRef>
              <c:f>'WS-ATB'!$L$73:$L$74</c:f>
              <c:numCache>
                <c:formatCode>0.00</c:formatCode>
                <c:ptCount val="2"/>
                <c:pt idx="0">
                  <c:v>0</c:v>
                </c:pt>
                <c:pt idx="1">
                  <c:v>15.777777777777779</c:v>
                </c:pt>
              </c:numCache>
            </c:numRef>
          </c:xVal>
          <c:yVal>
            <c:numRef>
              <c:f>'WS-ATB'!$M$73:$M$74</c:f>
              <c:numCache>
                <c:formatCode>0.00</c:formatCode>
                <c:ptCount val="2"/>
                <c:pt idx="0">
                  <c:v>7</c:v>
                </c:pt>
                <c:pt idx="1">
                  <c:v>7</c:v>
                </c:pt>
              </c:numCache>
            </c:numRef>
          </c:yVal>
          <c:smooth val="0"/>
          <c:extLst>
            <c:ext xmlns:c16="http://schemas.microsoft.com/office/drawing/2014/chart" uri="{C3380CC4-5D6E-409C-BE32-E72D297353CC}">
              <c16:uniqueId val="{00000007-04E8-2748-9838-F8D3E88A9182}"/>
            </c:ext>
          </c:extLst>
        </c:ser>
        <c:dLbls>
          <c:showLegendKey val="0"/>
          <c:showVal val="0"/>
          <c:showCatName val="0"/>
          <c:showSerName val="0"/>
          <c:showPercent val="0"/>
          <c:showBubbleSize val="0"/>
        </c:dLbls>
        <c:axId val="1265726032"/>
        <c:axId val="1266139280"/>
      </c:scatterChart>
      <c:valAx>
        <c:axId val="1265726032"/>
        <c:scaling>
          <c:orientation val="minMax"/>
          <c:max val="100"/>
        </c:scaling>
        <c:delete val="0"/>
        <c:axPos val="b"/>
        <c:majorGridlines>
          <c:spPr>
            <a:ln w="9525" cap="flat" cmpd="sng" algn="ctr">
              <a:solidFill>
                <a:schemeClr val="bg1">
                  <a:lumMod val="85000"/>
                  <a:alpha val="7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1">
                    <a:latin typeface="Arial" panose="020B0604020202020204" pitchFamily="34" charset="0"/>
                    <a:cs typeface="Arial" panose="020B0604020202020204" pitchFamily="34" charset="0"/>
                  </a:rPr>
                  <a:t>Liquid Limit </a:t>
                </a:r>
                <a:r>
                  <a:rPr lang="en-US" sz="800" b="0">
                    <a:latin typeface="Arial" panose="020B0604020202020204" pitchFamily="34" charset="0"/>
                    <a:cs typeface="Arial" panose="020B0604020202020204" pitchFamily="34" charset="0"/>
                  </a:rPr>
                  <a:t>(%)</a:t>
                </a:r>
              </a:p>
            </c:rich>
          </c:tx>
          <c:layout>
            <c:manualLayout>
              <c:xMode val="edge"/>
              <c:yMode val="edge"/>
              <c:x val="0.48546026380002449"/>
              <c:y val="0.93019733864534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6139280"/>
        <c:crosses val="autoZero"/>
        <c:crossBetween val="midCat"/>
        <c:majorUnit val="10"/>
        <c:minorUnit val="2"/>
      </c:valAx>
      <c:valAx>
        <c:axId val="1266139280"/>
        <c:scaling>
          <c:orientation val="minMax"/>
          <c:max val="60"/>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a:latin typeface="Arial" panose="020B0604020202020204" pitchFamily="34" charset="0"/>
                    <a:cs typeface="Arial" panose="020B0604020202020204" pitchFamily="34" charset="0"/>
                  </a:rPr>
                  <a:t>Plasticity Index (%)</a:t>
                </a:r>
              </a:p>
            </c:rich>
          </c:tx>
          <c:layout>
            <c:manualLayout>
              <c:xMode val="edge"/>
              <c:yMode val="edge"/>
              <c:x val="1.6855082429128514E-2"/>
              <c:y val="0.350228849250817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5726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53654566452494"/>
          <c:y val="3.9622952502931748E-2"/>
          <c:w val="0.84851627804996832"/>
          <c:h val="0.82965932242776008"/>
        </c:manualLayout>
      </c:layout>
      <c:scatterChart>
        <c:scatterStyle val="smoothMarker"/>
        <c:varyColors val="0"/>
        <c:ser>
          <c:idx val="0"/>
          <c:order val="0"/>
          <c:tx>
            <c:v>A-Line</c:v>
          </c:tx>
          <c:spPr>
            <a:ln w="15875" cap="rnd">
              <a:solidFill>
                <a:schemeClr val="accent5">
                  <a:lumMod val="50000"/>
                </a:schemeClr>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'WS-ATB'!$M$46:$M$56</c:f>
              <c:numCache>
                <c:formatCode>General</c:formatCode>
                <c:ptCount val="11"/>
                <c:pt idx="2">
                  <c:v>0</c:v>
                </c:pt>
                <c:pt idx="3">
                  <c:v>7.3</c:v>
                </c:pt>
                <c:pt idx="4">
                  <c:v>14.6</c:v>
                </c:pt>
                <c:pt idx="5">
                  <c:v>21.9</c:v>
                </c:pt>
                <c:pt idx="6">
                  <c:v>29.2</c:v>
                </c:pt>
                <c:pt idx="7">
                  <c:v>36.5</c:v>
                </c:pt>
                <c:pt idx="8">
                  <c:v>43.8</c:v>
                </c:pt>
                <c:pt idx="9">
                  <c:v>51.1</c:v>
                </c:pt>
                <c:pt idx="10">
                  <c:v>58.4</c:v>
                </c:pt>
              </c:numCache>
            </c:numRef>
          </c:yVal>
          <c:smooth val="1"/>
          <c:extLst>
            <c:ext xmlns:c16="http://schemas.microsoft.com/office/drawing/2014/chart" uri="{C3380CC4-5D6E-409C-BE32-E72D297353CC}">
              <c16:uniqueId val="{00000000-28EA-E449-B992-796BE0E87959}"/>
            </c:ext>
          </c:extLst>
        </c:ser>
        <c:ser>
          <c:idx val="2"/>
          <c:order val="2"/>
          <c:tx>
            <c:v>Straight Line</c:v>
          </c:tx>
          <c:spPr>
            <a:ln w="9525" cap="rnd">
              <a:solidFill>
                <a:schemeClr val="tx1">
                  <a:lumMod val="75000"/>
                  <a:lumOff val="25000"/>
                </a:schemeClr>
              </a:solidFill>
              <a:prstDash val="dash"/>
              <a:round/>
            </a:ln>
            <a:effectLst/>
          </c:spPr>
          <c:marker>
            <c:symbol val="none"/>
          </c:marker>
          <c:xVal>
            <c:numRef>
              <c:f>'WS-ATB'!$L$63:$L$64</c:f>
              <c:numCache>
                <c:formatCode>General</c:formatCode>
                <c:ptCount val="2"/>
                <c:pt idx="0">
                  <c:v>50</c:v>
                </c:pt>
                <c:pt idx="1">
                  <c:v>50</c:v>
                </c:pt>
              </c:numCache>
            </c:numRef>
          </c:xVal>
          <c:yVal>
            <c:numRef>
              <c:f>'WS-ATB'!$M$63:$M$64</c:f>
              <c:numCache>
                <c:formatCode>General</c:formatCode>
                <c:ptCount val="2"/>
                <c:pt idx="0">
                  <c:v>0</c:v>
                </c:pt>
                <c:pt idx="1">
                  <c:v>60</c:v>
                </c:pt>
              </c:numCache>
            </c:numRef>
          </c:yVal>
          <c:smooth val="1"/>
          <c:extLst>
            <c:ext xmlns:c16="http://schemas.microsoft.com/office/drawing/2014/chart" uri="{C3380CC4-5D6E-409C-BE32-E72D297353CC}">
              <c16:uniqueId val="{00000001-28EA-E449-B992-796BE0E87959}"/>
            </c:ext>
          </c:extLst>
        </c:ser>
        <c:ser>
          <c:idx val="3"/>
          <c:order val="3"/>
          <c:spPr>
            <a:ln w="9525" cap="rnd">
              <a:solidFill>
                <a:schemeClr val="accent2"/>
              </a:solidFill>
              <a:prstDash val="dash"/>
              <a:round/>
            </a:ln>
            <a:effectLst/>
          </c:spPr>
          <c:marker>
            <c:symbol val="none"/>
          </c:marker>
          <c:xVal>
            <c:numRef>
              <c:f>'WS-ATB'!$N$67:$O$67</c:f>
              <c:numCache>
                <c:formatCode>0.0</c:formatCode>
                <c:ptCount val="2"/>
                <c:pt idx="0">
                  <c:v>25.479452054794521</c:v>
                </c:pt>
                <c:pt idx="1">
                  <c:v>12.444444444444445</c:v>
                </c:pt>
              </c:numCache>
            </c:numRef>
          </c:xVal>
          <c:yVal>
            <c:numRef>
              <c:f>'WS-ATB'!$L$67:$M$67</c:f>
              <c:numCache>
                <c:formatCode>0.0</c:formatCode>
                <c:ptCount val="2"/>
                <c:pt idx="0">
                  <c:v>4</c:v>
                </c:pt>
                <c:pt idx="1">
                  <c:v>4</c:v>
                </c:pt>
              </c:numCache>
            </c:numRef>
          </c:yVal>
          <c:smooth val="1"/>
          <c:extLst>
            <c:ext xmlns:c16="http://schemas.microsoft.com/office/drawing/2014/chart" uri="{C3380CC4-5D6E-409C-BE32-E72D297353CC}">
              <c16:uniqueId val="{00000002-28EA-E449-B992-796BE0E87959}"/>
            </c:ext>
          </c:extLst>
        </c:ser>
        <c:ser>
          <c:idx val="4"/>
          <c:order val="4"/>
          <c:spPr>
            <a:ln w="9525" cap="rnd">
              <a:solidFill>
                <a:schemeClr val="accent2"/>
              </a:solidFill>
              <a:prstDash val="dash"/>
              <a:round/>
            </a:ln>
            <a:effectLst/>
          </c:spPr>
          <c:marker>
            <c:symbol val="none"/>
          </c:marker>
          <c:xVal>
            <c:numRef>
              <c:f>'WS-ATB'!$N$68:$O$68</c:f>
              <c:numCache>
                <c:formatCode>0.0</c:formatCode>
                <c:ptCount val="2"/>
                <c:pt idx="0">
                  <c:v>29.589041095890412</c:v>
                </c:pt>
                <c:pt idx="1">
                  <c:v>15.777777777777779</c:v>
                </c:pt>
              </c:numCache>
            </c:numRef>
          </c:xVal>
          <c:yVal>
            <c:numRef>
              <c:f>'WS-ATB'!$L$68:$M$68</c:f>
              <c:numCache>
                <c:formatCode>0.0</c:formatCode>
                <c:ptCount val="2"/>
                <c:pt idx="0">
                  <c:v>7</c:v>
                </c:pt>
                <c:pt idx="1">
                  <c:v>7</c:v>
                </c:pt>
              </c:numCache>
            </c:numRef>
          </c:yVal>
          <c:smooth val="1"/>
          <c:extLst>
            <c:ext xmlns:c16="http://schemas.microsoft.com/office/drawing/2014/chart" uri="{C3380CC4-5D6E-409C-BE32-E72D297353CC}">
              <c16:uniqueId val="{00000003-28EA-E449-B992-796BE0E87959}"/>
            </c:ext>
          </c:extLst>
        </c:ser>
        <c:dLbls>
          <c:showLegendKey val="0"/>
          <c:showVal val="0"/>
          <c:showCatName val="0"/>
          <c:showSerName val="0"/>
          <c:showPercent val="0"/>
          <c:showBubbleSize val="0"/>
        </c:dLbls>
        <c:axId val="1265726032"/>
        <c:axId val="1266139280"/>
      </c:scatterChart>
      <c:scatterChart>
        <c:scatterStyle val="lineMarker"/>
        <c:varyColors val="0"/>
        <c:ser>
          <c:idx val="1"/>
          <c:order val="1"/>
          <c:tx>
            <c:v>U-Line</c:v>
          </c:tx>
          <c:spPr>
            <a:ln w="19050" cap="rnd">
              <a:solidFill>
                <a:schemeClr val="accent2"/>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'WS-ATB'!$N$46:$N$56</c:f>
              <c:numCache>
                <c:formatCode>General</c:formatCode>
                <c:ptCount val="11"/>
                <c:pt idx="1">
                  <c:v>0</c:v>
                </c:pt>
                <c:pt idx="2">
                  <c:v>10.8</c:v>
                </c:pt>
                <c:pt idx="3">
                  <c:v>19.8</c:v>
                </c:pt>
                <c:pt idx="4">
                  <c:v>28.8</c:v>
                </c:pt>
                <c:pt idx="5">
                  <c:v>37.800000000000004</c:v>
                </c:pt>
                <c:pt idx="6">
                  <c:v>46.800000000000004</c:v>
                </c:pt>
                <c:pt idx="7">
                  <c:v>55.800000000000004</c:v>
                </c:pt>
                <c:pt idx="8">
                  <c:v>64.8</c:v>
                </c:pt>
                <c:pt idx="9">
                  <c:v>73.8</c:v>
                </c:pt>
                <c:pt idx="10">
                  <c:v>82.8</c:v>
                </c:pt>
              </c:numCache>
            </c:numRef>
          </c:yVal>
          <c:smooth val="0"/>
          <c:extLst>
            <c:ext xmlns:c16="http://schemas.microsoft.com/office/drawing/2014/chart" uri="{C3380CC4-5D6E-409C-BE32-E72D297353CC}">
              <c16:uniqueId val="{00000004-28EA-E449-B992-796BE0E87959}"/>
            </c:ext>
          </c:extLst>
        </c:ser>
        <c:ser>
          <c:idx val="5"/>
          <c:order val="5"/>
          <c:tx>
            <c:v>Sample Point</c:v>
          </c:tx>
          <c:spPr>
            <a:ln w="19050" cap="rnd">
              <a:solidFill>
                <a:schemeClr val="accent6"/>
              </a:solidFill>
              <a:round/>
            </a:ln>
            <a:effectLst/>
          </c:spPr>
          <c:marker>
            <c:symbol val="square"/>
            <c:size val="6"/>
            <c:spPr>
              <a:solidFill>
                <a:schemeClr val="accent6"/>
              </a:solidFill>
              <a:ln w="9525">
                <a:solidFill>
                  <a:schemeClr val="accent6"/>
                </a:solidFill>
              </a:ln>
              <a:effectLst/>
            </c:spPr>
          </c:marker>
          <c:xVal>
            <c:numRef>
              <c:f>'WS-ATB'!$D$115</c:f>
              <c:numCache>
                <c:formatCode>0.000</c:formatCode>
                <c:ptCount val="1"/>
                <c:pt idx="0">
                  <c:v>46.879857774765206</c:v>
                </c:pt>
              </c:numCache>
            </c:numRef>
          </c:xVal>
          <c:yVal>
            <c:numRef>
              <c:f>'WS-ATB'!$D$116</c:f>
              <c:numCache>
                <c:formatCode>0.000</c:formatCode>
                <c:ptCount val="1"/>
                <c:pt idx="0">
                  <c:v>24.1579645951606</c:v>
                </c:pt>
              </c:numCache>
            </c:numRef>
          </c:yVal>
          <c:smooth val="0"/>
          <c:extLst>
            <c:ext xmlns:c16="http://schemas.microsoft.com/office/drawing/2014/chart" uri="{C3380CC4-5D6E-409C-BE32-E72D297353CC}">
              <c16:uniqueId val="{00000005-28EA-E449-B992-796BE0E87959}"/>
            </c:ext>
          </c:extLst>
        </c:ser>
        <c:ser>
          <c:idx val="6"/>
          <c:order val="6"/>
          <c:spPr>
            <a:ln w="9525" cap="rnd">
              <a:solidFill>
                <a:schemeClr val="accent2"/>
              </a:solidFill>
              <a:prstDash val="dash"/>
              <a:round/>
            </a:ln>
            <a:effectLst/>
          </c:spPr>
          <c:marker>
            <c:symbol val="none"/>
          </c:marker>
          <c:xVal>
            <c:numRef>
              <c:f>'WS-ATB'!$L$70:$L$71</c:f>
              <c:numCache>
                <c:formatCode>0.00</c:formatCode>
                <c:ptCount val="2"/>
                <c:pt idx="0">
                  <c:v>0</c:v>
                </c:pt>
                <c:pt idx="1">
                  <c:v>12.444444444444445</c:v>
                </c:pt>
              </c:numCache>
            </c:numRef>
          </c:xVal>
          <c:yVal>
            <c:numRef>
              <c:f>'WS-ATB'!$M$70:$M$71</c:f>
              <c:numCache>
                <c:formatCode>0.00</c:formatCode>
                <c:ptCount val="2"/>
                <c:pt idx="0">
                  <c:v>4</c:v>
                </c:pt>
                <c:pt idx="1">
                  <c:v>4</c:v>
                </c:pt>
              </c:numCache>
            </c:numRef>
          </c:yVal>
          <c:smooth val="0"/>
          <c:extLst>
            <c:ext xmlns:c16="http://schemas.microsoft.com/office/drawing/2014/chart" uri="{C3380CC4-5D6E-409C-BE32-E72D297353CC}">
              <c16:uniqueId val="{00000006-28EA-E449-B992-796BE0E87959}"/>
            </c:ext>
          </c:extLst>
        </c:ser>
        <c:ser>
          <c:idx val="7"/>
          <c:order val="7"/>
          <c:spPr>
            <a:ln w="9525" cap="rnd">
              <a:solidFill>
                <a:schemeClr val="accent2"/>
              </a:solidFill>
              <a:prstDash val="dash"/>
              <a:round/>
            </a:ln>
            <a:effectLst/>
          </c:spPr>
          <c:marker>
            <c:symbol val="none"/>
          </c:marker>
          <c:xVal>
            <c:numRef>
              <c:f>'WS-ATB'!$L$73:$L$74</c:f>
              <c:numCache>
                <c:formatCode>0.00</c:formatCode>
                <c:ptCount val="2"/>
                <c:pt idx="0">
                  <c:v>0</c:v>
                </c:pt>
                <c:pt idx="1">
                  <c:v>15.777777777777779</c:v>
                </c:pt>
              </c:numCache>
            </c:numRef>
          </c:xVal>
          <c:yVal>
            <c:numRef>
              <c:f>'WS-ATB'!$M$73:$M$74</c:f>
              <c:numCache>
                <c:formatCode>0.00</c:formatCode>
                <c:ptCount val="2"/>
                <c:pt idx="0">
                  <c:v>7</c:v>
                </c:pt>
                <c:pt idx="1">
                  <c:v>7</c:v>
                </c:pt>
              </c:numCache>
            </c:numRef>
          </c:yVal>
          <c:smooth val="0"/>
          <c:extLst>
            <c:ext xmlns:c16="http://schemas.microsoft.com/office/drawing/2014/chart" uri="{C3380CC4-5D6E-409C-BE32-E72D297353CC}">
              <c16:uniqueId val="{00000007-28EA-E449-B992-796BE0E87959}"/>
            </c:ext>
          </c:extLst>
        </c:ser>
        <c:dLbls>
          <c:showLegendKey val="0"/>
          <c:showVal val="0"/>
          <c:showCatName val="0"/>
          <c:showSerName val="0"/>
          <c:showPercent val="0"/>
          <c:showBubbleSize val="0"/>
        </c:dLbls>
        <c:axId val="1265726032"/>
        <c:axId val="1266139280"/>
      </c:scatterChart>
      <c:valAx>
        <c:axId val="1265726032"/>
        <c:scaling>
          <c:orientation val="minMax"/>
          <c:max val="100"/>
        </c:scaling>
        <c:delete val="0"/>
        <c:axPos val="b"/>
        <c:majorGridlines>
          <c:spPr>
            <a:ln w="9525" cap="flat" cmpd="sng" algn="ctr">
              <a:solidFill>
                <a:schemeClr val="bg1">
                  <a:lumMod val="85000"/>
                  <a:alpha val="7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0">
                    <a:latin typeface="Arial" panose="020B0604020202020204" pitchFamily="34" charset="0"/>
                    <a:cs typeface="Arial" panose="020B0604020202020204" pitchFamily="34" charset="0"/>
                  </a:rPr>
                  <a:t>Liquid Limit </a:t>
                </a:r>
                <a:r>
                  <a:rPr lang="en-US" sz="800" b="0">
                    <a:latin typeface="Arial" panose="020B0604020202020204" pitchFamily="34" charset="0"/>
                    <a:cs typeface="Arial" panose="020B0604020202020204" pitchFamily="34" charset="0"/>
                  </a:rPr>
                  <a:t>(%)</a:t>
                </a:r>
              </a:p>
            </c:rich>
          </c:tx>
          <c:layout>
            <c:manualLayout>
              <c:xMode val="edge"/>
              <c:yMode val="edge"/>
              <c:x val="0.44630102646540837"/>
              <c:y val="0.92383418989099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6139280"/>
        <c:crosses val="autoZero"/>
        <c:crossBetween val="midCat"/>
        <c:majorUnit val="10"/>
        <c:minorUnit val="2"/>
      </c:valAx>
      <c:valAx>
        <c:axId val="1266139280"/>
        <c:scaling>
          <c:orientation val="minMax"/>
          <c:max val="60"/>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0">
                    <a:latin typeface="Arial" panose="020B0604020202020204" pitchFamily="34" charset="0"/>
                    <a:cs typeface="Arial" panose="020B0604020202020204" pitchFamily="34" charset="0"/>
                  </a:rPr>
                  <a:t>Plasticity Index </a:t>
                </a:r>
                <a:r>
                  <a:rPr lang="en-US" sz="800" b="0" i="0">
                    <a:latin typeface="Arial" panose="020B0604020202020204" pitchFamily="34" charset="0"/>
                    <a:cs typeface="Arial" panose="020B0604020202020204" pitchFamily="34" charset="0"/>
                  </a:rPr>
                  <a:t>(%)</a:t>
                </a:r>
              </a:p>
            </c:rich>
          </c:tx>
          <c:layout>
            <c:manualLayout>
              <c:xMode val="edge"/>
              <c:yMode val="edge"/>
              <c:x val="1.6855082429128514E-2"/>
              <c:y val="0.350228849250817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572603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145111171448383E-2"/>
          <c:y val="5.1251348683455385E-2"/>
          <c:w val="0.87116116497619733"/>
          <c:h val="0.74976616946273067"/>
        </c:manualLayout>
      </c:layout>
      <c:scatterChart>
        <c:scatterStyle val="lineMarker"/>
        <c:varyColors val="0"/>
        <c:ser>
          <c:idx val="0"/>
          <c:order val="0"/>
          <c:tx>
            <c:v>Test Data &amp; Flow Curve</c:v>
          </c:tx>
          <c:spPr>
            <a:ln w="25400" cap="rnd">
              <a:noFill/>
              <a:round/>
            </a:ln>
            <a:effectLst/>
          </c:spPr>
          <c:marker>
            <c:symbol val="circle"/>
            <c:size val="4"/>
            <c:spPr>
              <a:solidFill>
                <a:schemeClr val="accent1"/>
              </a:solidFill>
              <a:ln w="9525">
                <a:solidFill>
                  <a:schemeClr val="accent1"/>
                </a:solidFill>
              </a:ln>
              <a:effectLst/>
            </c:spPr>
          </c:marker>
          <c:trendline>
            <c:spPr>
              <a:ln w="12700" cap="rnd">
                <a:solidFill>
                  <a:schemeClr val="accent1">
                    <a:lumMod val="75000"/>
                  </a:schemeClr>
                </a:solidFill>
                <a:prstDash val="solid"/>
              </a:ln>
              <a:effectLst/>
            </c:spPr>
            <c:trendlineType val="log"/>
            <c:dispRSqr val="0"/>
            <c:dispEq val="0"/>
          </c:trendline>
          <c:xVal>
            <c:numRef>
              <c:f>'WS-ATB'!$T$29:$T$32</c:f>
              <c:numCache>
                <c:formatCode>0</c:formatCode>
                <c:ptCount val="4"/>
                <c:pt idx="0">
                  <c:v>40</c:v>
                </c:pt>
                <c:pt idx="1">
                  <c:v>31</c:v>
                </c:pt>
                <c:pt idx="2">
                  <c:v>20</c:v>
                </c:pt>
                <c:pt idx="3">
                  <c:v>12</c:v>
                </c:pt>
              </c:numCache>
            </c:numRef>
          </c:xVal>
          <c:yVal>
            <c:numRef>
              <c:f>'WS-ATB'!$U$29:$U$32</c:f>
              <c:numCache>
                <c:formatCode>0.000</c:formatCode>
                <c:ptCount val="4"/>
                <c:pt idx="0">
                  <c:v>43.333333333333321</c:v>
                </c:pt>
                <c:pt idx="1">
                  <c:v>45.272466177915518</c:v>
                </c:pt>
                <c:pt idx="2">
                  <c:v>48.21935077213994</c:v>
                </c:pt>
                <c:pt idx="3">
                  <c:v>51.789676083419621</c:v>
                </c:pt>
              </c:numCache>
            </c:numRef>
          </c:yVal>
          <c:smooth val="0"/>
          <c:extLst>
            <c:ext xmlns:c16="http://schemas.microsoft.com/office/drawing/2014/chart" uri="{C3380CC4-5D6E-409C-BE32-E72D297353CC}">
              <c16:uniqueId val="{00000001-DEF7-D042-A7F4-83A03015D899}"/>
            </c:ext>
          </c:extLst>
        </c:ser>
        <c:ser>
          <c:idx val="2"/>
          <c:order val="1"/>
          <c:tx>
            <c:v>LL @ 25 Blows</c:v>
          </c:tx>
          <c:spPr>
            <a:ln w="25400" cap="rnd">
              <a:noFill/>
              <a:round/>
            </a:ln>
            <a:effectLst/>
          </c:spPr>
          <c:marker>
            <c:symbol val="triangle"/>
            <c:size val="7"/>
            <c:spPr>
              <a:solidFill>
                <a:srgbClr val="FF0000"/>
              </a:solidFill>
              <a:ln w="9525">
                <a:noFill/>
              </a:ln>
              <a:effectLst/>
            </c:spPr>
          </c:marker>
          <c:xVal>
            <c:numRef>
              <c:f>'WS-ATB'!$T$44</c:f>
              <c:numCache>
                <c:formatCode>General</c:formatCode>
                <c:ptCount val="1"/>
                <c:pt idx="0">
                  <c:v>25</c:v>
                </c:pt>
              </c:numCache>
            </c:numRef>
          </c:xVal>
          <c:yVal>
            <c:numRef>
              <c:f>'WS-ATB'!$U$44</c:f>
              <c:numCache>
                <c:formatCode>0.00</c:formatCode>
                <c:ptCount val="1"/>
                <c:pt idx="0">
                  <c:v>46.879857774765206</c:v>
                </c:pt>
              </c:numCache>
            </c:numRef>
          </c:yVal>
          <c:smooth val="0"/>
          <c:extLst>
            <c:ext xmlns:c16="http://schemas.microsoft.com/office/drawing/2014/chart" uri="{C3380CC4-5D6E-409C-BE32-E72D297353CC}">
              <c16:uniqueId val="{00000002-DEF7-D042-A7F4-83A03015D899}"/>
            </c:ext>
          </c:extLst>
        </c:ser>
        <c:ser>
          <c:idx val="1"/>
          <c:order val="2"/>
          <c:tx>
            <c:strRef>
              <c:f>'WS-ATB'!$A$63</c:f>
              <c:strCache>
                <c:ptCount val="1"/>
                <c:pt idx="0">
                  <c:v>25 Blows</c:v>
                </c:pt>
              </c:strCache>
            </c:strRef>
          </c:tx>
          <c:spPr>
            <a:ln w="12700" cap="rnd">
              <a:solidFill>
                <a:srgbClr val="FF0000"/>
              </a:solidFill>
              <a:prstDash val="dash"/>
              <a:round/>
            </a:ln>
            <a:effectLst/>
          </c:spPr>
          <c:marker>
            <c:symbol val="none"/>
          </c:marker>
          <c:xVal>
            <c:numRef>
              <c:f>'WS-ATB'!$T$39:$T$41</c:f>
              <c:numCache>
                <c:formatCode>General</c:formatCode>
                <c:ptCount val="3"/>
                <c:pt idx="0">
                  <c:v>1</c:v>
                </c:pt>
                <c:pt idx="1">
                  <c:v>25</c:v>
                </c:pt>
                <c:pt idx="2">
                  <c:v>25</c:v>
                </c:pt>
              </c:numCache>
            </c:numRef>
          </c:xVal>
          <c:yVal>
            <c:numRef>
              <c:f>'WS-ATB'!$U$39:$U$41</c:f>
              <c:numCache>
                <c:formatCode>0.00</c:formatCode>
                <c:ptCount val="3"/>
                <c:pt idx="0">
                  <c:v>46.879857774765206</c:v>
                </c:pt>
                <c:pt idx="1">
                  <c:v>46.879857774765206</c:v>
                </c:pt>
                <c:pt idx="2" formatCode="General">
                  <c:v>0</c:v>
                </c:pt>
              </c:numCache>
            </c:numRef>
          </c:yVal>
          <c:smooth val="0"/>
          <c:extLst>
            <c:ext xmlns:c16="http://schemas.microsoft.com/office/drawing/2014/chart" uri="{C3380CC4-5D6E-409C-BE32-E72D297353CC}">
              <c16:uniqueId val="{00000003-DEF7-D042-A7F4-83A03015D899}"/>
            </c:ext>
          </c:extLst>
        </c:ser>
        <c:dLbls>
          <c:showLegendKey val="0"/>
          <c:showVal val="0"/>
          <c:showCatName val="0"/>
          <c:showSerName val="0"/>
          <c:showPercent val="0"/>
          <c:showBubbleSize val="0"/>
        </c:dLbls>
        <c:axId val="1307821872"/>
        <c:axId val="1301240720"/>
      </c:scatterChart>
      <c:valAx>
        <c:axId val="1307821872"/>
        <c:scaling>
          <c:logBase val="10"/>
          <c:orientation val="minMax"/>
          <c:min val="1"/>
        </c:scaling>
        <c:delete val="0"/>
        <c:axPos val="b"/>
        <c:majorGridlines>
          <c:spPr>
            <a:ln w="9525" cap="flat" cmpd="sng" algn="ctr">
              <a:solidFill>
                <a:schemeClr val="accent1"/>
              </a:solidFill>
              <a:round/>
            </a:ln>
            <a:effectLst/>
          </c:spPr>
        </c:majorGridlines>
        <c:minorGridlines>
          <c:spPr>
            <a:ln w="9525" cap="flat" cmpd="sng" algn="ctr">
              <a:solidFill>
                <a:schemeClr val="accent1">
                  <a:lumMod val="40000"/>
                  <a:lumOff val="60000"/>
                </a:schemeClr>
              </a:solidFill>
              <a:round/>
            </a:ln>
            <a:effectLst/>
          </c:spPr>
        </c:min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Number</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of Blows</a:t>
                </a:r>
              </a:p>
            </c:rich>
          </c:tx>
          <c:layout>
            <c:manualLayout>
              <c:xMode val="edge"/>
              <c:yMode val="edge"/>
              <c:x val="0.46015799102849414"/>
              <c:y val="0.8488895611561878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1240720"/>
        <c:crosses val="autoZero"/>
        <c:crossBetween val="midCat"/>
      </c:valAx>
      <c:valAx>
        <c:axId val="1301240720"/>
        <c:scaling>
          <c:orientation val="minMax"/>
          <c:max val="80"/>
          <c:min val="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layout>
            <c:manualLayout>
              <c:xMode val="edge"/>
              <c:yMode val="edge"/>
              <c:x val="5.60174305988649E-3"/>
              <c:y val="0.243118185645322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0782187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734508866721231E-2"/>
          <c:y val="7.970785238252398E-2"/>
          <c:w val="0.88768506991247098"/>
          <c:h val="0.75401045610456285"/>
        </c:manualLayout>
      </c:layout>
      <c:scatterChart>
        <c:scatterStyle val="lineMarker"/>
        <c:varyColors val="0"/>
        <c:ser>
          <c:idx val="0"/>
          <c:order val="0"/>
          <c:tx>
            <c:strRef>
              <c:f>'WS-Sieve dan hidrometer'!$E$104</c:f>
              <c:strCache>
                <c:ptCount val="1"/>
                <c:pt idx="0">
                  <c:v>Sieve and Hydrometer Curve</c:v>
                </c:pt>
              </c:strCache>
            </c:strRef>
          </c:tx>
          <c:spPr>
            <a:ln w="12700"/>
          </c:spPr>
          <c:xVal>
            <c:numRef>
              <c:f>'WS-Sieve dan hidrometer'!$L$71:$L$88</c:f>
              <c:numCache>
                <c:formatCode>0.000</c:formatCode>
                <c:ptCount val="18"/>
                <c:pt idx="0">
                  <c:v>101.6</c:v>
                </c:pt>
                <c:pt idx="1">
                  <c:v>75</c:v>
                </c:pt>
                <c:pt idx="2">
                  <c:v>38.1</c:v>
                </c:pt>
                <c:pt idx="3">
                  <c:v>25.4</c:v>
                </c:pt>
                <c:pt idx="4">
                  <c:v>19.05</c:v>
                </c:pt>
                <c:pt idx="5">
                  <c:v>12.7</c:v>
                </c:pt>
                <c:pt idx="6">
                  <c:v>9.5250000000000004</c:v>
                </c:pt>
                <c:pt idx="7">
                  <c:v>4.76</c:v>
                </c:pt>
                <c:pt idx="8">
                  <c:v>2.38</c:v>
                </c:pt>
                <c:pt idx="9">
                  <c:v>0.84</c:v>
                </c:pt>
                <c:pt idx="10">
                  <c:v>0.42</c:v>
                </c:pt>
                <c:pt idx="11">
                  <c:v>0.17699999999999999</c:v>
                </c:pt>
                <c:pt idx="12">
                  <c:v>0.14899999999999999</c:v>
                </c:pt>
                <c:pt idx="13" formatCode="0.0000">
                  <c:v>8.7735697649441252E-2</c:v>
                </c:pt>
                <c:pt idx="14" formatCode="0.0000">
                  <c:v>5.1813643842652218E-2</c:v>
                </c:pt>
                <c:pt idx="15" formatCode="0.0000">
                  <c:v>3.7240809563800964E-2</c:v>
                </c:pt>
                <c:pt idx="16" formatCode="0.0000">
                  <c:v>2.6613705105274974E-2</c:v>
                </c:pt>
                <c:pt idx="17" formatCode="0.0000">
                  <c:v>1.3445628010411357E-2</c:v>
                </c:pt>
              </c:numCache>
            </c:numRef>
          </c:xVal>
          <c:yVal>
            <c:numRef>
              <c:f>'WS-Sieve dan hidrometer'!$M$71:$M$88</c:f>
              <c:numCache>
                <c:formatCode>0.00</c:formatCode>
                <c:ptCount val="18"/>
                <c:pt idx="0">
                  <c:v>100</c:v>
                </c:pt>
                <c:pt idx="1">
                  <c:v>100</c:v>
                </c:pt>
                <c:pt idx="2">
                  <c:v>100</c:v>
                </c:pt>
                <c:pt idx="3">
                  <c:v>100</c:v>
                </c:pt>
                <c:pt idx="4">
                  <c:v>100</c:v>
                </c:pt>
                <c:pt idx="5">
                  <c:v>100</c:v>
                </c:pt>
                <c:pt idx="6">
                  <c:v>100</c:v>
                </c:pt>
                <c:pt idx="7">
                  <c:v>100</c:v>
                </c:pt>
                <c:pt idx="8">
                  <c:v>90.038301579734679</c:v>
                </c:pt>
                <c:pt idx="9">
                  <c:v>74.058487991715026</c:v>
                </c:pt>
                <c:pt idx="10">
                  <c:v>57.330725099863557</c:v>
                </c:pt>
                <c:pt idx="11">
                  <c:v>47.138888432265375</c:v>
                </c:pt>
                <c:pt idx="12">
                  <c:v>37.412259793204342</c:v>
                </c:pt>
                <c:pt idx="13">
                  <c:v>31.193595581345647</c:v>
                </c:pt>
                <c:pt idx="14">
                  <c:v>21.595566171700828</c:v>
                </c:pt>
                <c:pt idx="15">
                  <c:v>14.397044114467219</c:v>
                </c:pt>
                <c:pt idx="16">
                  <c:v>9.5980294096448144</c:v>
                </c:pt>
                <c:pt idx="17">
                  <c:v>4.7990147048224072</c:v>
                </c:pt>
              </c:numCache>
            </c:numRef>
          </c:yVal>
          <c:smooth val="0"/>
          <c:extLst>
            <c:ext xmlns:c16="http://schemas.microsoft.com/office/drawing/2014/chart" uri="{C3380CC4-5D6E-409C-BE32-E72D297353CC}">
              <c16:uniqueId val="{00000000-18B9-6D40-9BE7-0194C5775330}"/>
            </c:ext>
          </c:extLst>
        </c:ser>
        <c:ser>
          <c:idx val="1"/>
          <c:order val="2"/>
          <c:tx>
            <c:strRef>
              <c:f>'WS-Sieve dan hidrometer'!$E$105</c:f>
              <c:strCache>
                <c:ptCount val="1"/>
                <c:pt idx="0">
                  <c:v>D10 = 0.027 mm</c:v>
                </c:pt>
              </c:strCache>
            </c:strRef>
          </c:tx>
          <c:spPr>
            <a:ln w="19050">
              <a:solidFill>
                <a:srgbClr val="FF0000"/>
              </a:solidFill>
              <a:prstDash val="dash"/>
            </a:ln>
          </c:spPr>
          <c:marker>
            <c:symbol val="none"/>
          </c:marker>
          <c:xVal>
            <c:numRef>
              <c:f>'WS-Sieve dan hidrometer'!$Q$100:$Q$102</c:f>
              <c:numCache>
                <c:formatCode>General</c:formatCode>
                <c:ptCount val="3"/>
                <c:pt idx="0">
                  <c:v>1E-3</c:v>
                </c:pt>
                <c:pt idx="1">
                  <c:v>2.7373304820600745E-2</c:v>
                </c:pt>
                <c:pt idx="2">
                  <c:v>2.7373304820600745E-2</c:v>
                </c:pt>
              </c:numCache>
            </c:numRef>
          </c:xVal>
          <c:yVal>
            <c:numRef>
              <c:f>'WS-Sieve dan hidrometer'!$R$100:$R$102</c:f>
              <c:numCache>
                <c:formatCode>General</c:formatCode>
                <c:ptCount val="3"/>
                <c:pt idx="0">
                  <c:v>10</c:v>
                </c:pt>
                <c:pt idx="1">
                  <c:v>10</c:v>
                </c:pt>
                <c:pt idx="2">
                  <c:v>0</c:v>
                </c:pt>
              </c:numCache>
            </c:numRef>
          </c:yVal>
          <c:smooth val="0"/>
          <c:extLst>
            <c:ext xmlns:c16="http://schemas.microsoft.com/office/drawing/2014/chart" uri="{C3380CC4-5D6E-409C-BE32-E72D297353CC}">
              <c16:uniqueId val="{00000006-901B-9047-B777-FEAB2044A3DF}"/>
            </c:ext>
          </c:extLst>
        </c:ser>
        <c:ser>
          <c:idx val="3"/>
          <c:order val="3"/>
          <c:tx>
            <c:strRef>
              <c:f>'WS-Sieve dan hidrometer'!$E$106</c:f>
              <c:strCache>
                <c:ptCount val="1"/>
                <c:pt idx="0">
                  <c:v>D30 = 0.082 mm</c:v>
                </c:pt>
              </c:strCache>
            </c:strRef>
          </c:tx>
          <c:spPr>
            <a:ln w="19050">
              <a:solidFill>
                <a:schemeClr val="accent2">
                  <a:lumMod val="75000"/>
                </a:schemeClr>
              </a:solidFill>
              <a:prstDash val="dash"/>
            </a:ln>
          </c:spPr>
          <c:marker>
            <c:symbol val="none"/>
          </c:marker>
          <c:xVal>
            <c:numRef>
              <c:f>'WS-Sieve dan hidrometer'!$Q$104:$Q$106</c:f>
              <c:numCache>
                <c:formatCode>General</c:formatCode>
                <c:ptCount val="3"/>
                <c:pt idx="0">
                  <c:v>1E-3</c:v>
                </c:pt>
                <c:pt idx="1">
                  <c:v>8.2173458071370373E-2</c:v>
                </c:pt>
                <c:pt idx="2">
                  <c:v>8.2173458071370373E-2</c:v>
                </c:pt>
              </c:numCache>
            </c:numRef>
          </c:xVal>
          <c:yVal>
            <c:numRef>
              <c:f>'WS-Sieve dan hidrometer'!$R$104:$R$106</c:f>
              <c:numCache>
                <c:formatCode>General</c:formatCode>
                <c:ptCount val="3"/>
                <c:pt idx="0">
                  <c:v>30</c:v>
                </c:pt>
                <c:pt idx="1">
                  <c:v>30</c:v>
                </c:pt>
                <c:pt idx="2">
                  <c:v>0</c:v>
                </c:pt>
              </c:numCache>
            </c:numRef>
          </c:yVal>
          <c:smooth val="0"/>
          <c:extLst>
            <c:ext xmlns:c16="http://schemas.microsoft.com/office/drawing/2014/chart" uri="{C3380CC4-5D6E-409C-BE32-E72D297353CC}">
              <c16:uniqueId val="{00000008-901B-9047-B777-FEAB2044A3DF}"/>
            </c:ext>
          </c:extLst>
        </c:ser>
        <c:ser>
          <c:idx val="4"/>
          <c:order val="4"/>
          <c:tx>
            <c:strRef>
              <c:f>'WS-Sieve dan hidrometer'!$E$107</c:f>
              <c:strCache>
                <c:ptCount val="1"/>
                <c:pt idx="0">
                  <c:v>D60= 0.469 mm</c:v>
                </c:pt>
              </c:strCache>
            </c:strRef>
          </c:tx>
          <c:spPr>
            <a:ln w="19050">
              <a:solidFill>
                <a:schemeClr val="accent4">
                  <a:lumMod val="50000"/>
                </a:schemeClr>
              </a:solidFill>
              <a:prstDash val="dash"/>
            </a:ln>
          </c:spPr>
          <c:marker>
            <c:symbol val="none"/>
          </c:marker>
          <c:xVal>
            <c:numRef>
              <c:f>'WS-Sieve dan hidrometer'!$Q$108:$Q$110</c:f>
              <c:numCache>
                <c:formatCode>General</c:formatCode>
                <c:ptCount val="3"/>
                <c:pt idx="0">
                  <c:v>1E-3</c:v>
                </c:pt>
                <c:pt idx="1">
                  <c:v>0.46912125521579373</c:v>
                </c:pt>
                <c:pt idx="2">
                  <c:v>0.46912125521579373</c:v>
                </c:pt>
              </c:numCache>
            </c:numRef>
          </c:xVal>
          <c:yVal>
            <c:numRef>
              <c:f>'WS-Sieve dan hidrometer'!$R$108:$R$110</c:f>
              <c:numCache>
                <c:formatCode>General</c:formatCode>
                <c:ptCount val="3"/>
                <c:pt idx="0">
                  <c:v>60</c:v>
                </c:pt>
                <c:pt idx="1">
                  <c:v>60</c:v>
                </c:pt>
                <c:pt idx="2">
                  <c:v>0</c:v>
                </c:pt>
              </c:numCache>
            </c:numRef>
          </c:yVal>
          <c:smooth val="0"/>
          <c:extLst>
            <c:ext xmlns:c16="http://schemas.microsoft.com/office/drawing/2014/chart" uri="{C3380CC4-5D6E-409C-BE32-E72D297353CC}">
              <c16:uniqueId val="{00000009-901B-9047-B777-FEAB2044A3DF}"/>
            </c:ext>
          </c:extLst>
        </c:ser>
        <c:ser>
          <c:idx val="5"/>
          <c:order val="5"/>
          <c:tx>
            <c:v>Titik D10-D30-D60</c:v>
          </c:tx>
          <c:spPr>
            <a:ln w="25400">
              <a:noFill/>
            </a:ln>
          </c:spPr>
          <c:dPt>
            <c:idx val="0"/>
            <c:marker>
              <c:symbol val="circle"/>
              <c:size val="8"/>
              <c:spPr>
                <a:solidFill>
                  <a:srgbClr val="FF0000"/>
                </a:solidFill>
              </c:spPr>
            </c:marker>
            <c:bubble3D val="0"/>
            <c:extLst>
              <c:ext xmlns:c16="http://schemas.microsoft.com/office/drawing/2014/chart" uri="{C3380CC4-5D6E-409C-BE32-E72D297353CC}">
                <c16:uniqueId val="{00000001-FBBF-A545-BC32-C5F40160E2ED}"/>
              </c:ext>
            </c:extLst>
          </c:dPt>
          <c:dPt>
            <c:idx val="1"/>
            <c:marker>
              <c:symbol val="triangle"/>
              <c:size val="8"/>
              <c:spPr>
                <a:solidFill>
                  <a:srgbClr val="FF0000"/>
                </a:solidFill>
              </c:spPr>
            </c:marker>
            <c:bubble3D val="0"/>
            <c:extLst>
              <c:ext xmlns:c16="http://schemas.microsoft.com/office/drawing/2014/chart" uri="{C3380CC4-5D6E-409C-BE32-E72D297353CC}">
                <c16:uniqueId val="{00000002-FBBF-A545-BC32-C5F40160E2ED}"/>
              </c:ext>
            </c:extLst>
          </c:dPt>
          <c:dPt>
            <c:idx val="2"/>
            <c:marker>
              <c:symbol val="square"/>
              <c:size val="8"/>
              <c:spPr>
                <a:solidFill>
                  <a:srgbClr val="FF0000"/>
                </a:solidFill>
              </c:spPr>
            </c:marker>
            <c:bubble3D val="0"/>
            <c:extLst>
              <c:ext xmlns:c16="http://schemas.microsoft.com/office/drawing/2014/chart" uri="{C3380CC4-5D6E-409C-BE32-E72D297353CC}">
                <c16:uniqueId val="{00000003-FBBF-A545-BC32-C5F40160E2ED}"/>
              </c:ext>
            </c:extLst>
          </c:dPt>
          <c:xVal>
            <c:numRef>
              <c:f>'WS-Sieve dan hidrometer'!$P$113:$P$115</c:f>
              <c:numCache>
                <c:formatCode>General</c:formatCode>
                <c:ptCount val="3"/>
                <c:pt idx="0">
                  <c:v>2.7373304820600745E-2</c:v>
                </c:pt>
                <c:pt idx="1">
                  <c:v>8.2173458071370373E-2</c:v>
                </c:pt>
                <c:pt idx="2">
                  <c:v>0.46912125521579373</c:v>
                </c:pt>
              </c:numCache>
            </c:numRef>
          </c:xVal>
          <c:yVal>
            <c:numRef>
              <c:f>'WS-Sieve dan hidrometer'!$Q$113:$Q$115</c:f>
              <c:numCache>
                <c:formatCode>General</c:formatCode>
                <c:ptCount val="3"/>
                <c:pt idx="0">
                  <c:v>10</c:v>
                </c:pt>
                <c:pt idx="1">
                  <c:v>30</c:v>
                </c:pt>
                <c:pt idx="2">
                  <c:v>60</c:v>
                </c:pt>
              </c:numCache>
            </c:numRef>
          </c:yVal>
          <c:smooth val="0"/>
          <c:extLst>
            <c:ext xmlns:c16="http://schemas.microsoft.com/office/drawing/2014/chart" uri="{C3380CC4-5D6E-409C-BE32-E72D297353CC}">
              <c16:uniqueId val="{00000000-FBBF-A545-BC32-C5F40160E2ED}"/>
            </c:ext>
          </c:extLst>
        </c:ser>
        <c:dLbls>
          <c:showLegendKey val="0"/>
          <c:showVal val="0"/>
          <c:showCatName val="0"/>
          <c:showSerName val="0"/>
          <c:showPercent val="0"/>
          <c:showBubbleSize val="0"/>
        </c:dLbls>
        <c:axId val="1782190079"/>
        <c:axId val="1"/>
      </c:scatterChart>
      <c:scatterChart>
        <c:scatterStyle val="lineMarker"/>
        <c:varyColors val="0"/>
        <c:ser>
          <c:idx val="2"/>
          <c:order val="1"/>
          <c:tx>
            <c:v>vertikal saringan</c:v>
          </c:tx>
          <c:spPr>
            <a:ln w="9525">
              <a:solidFill>
                <a:schemeClr val="bg2">
                  <a:lumMod val="50000"/>
                  <a:alpha val="70000"/>
                </a:schemeClr>
              </a:solidFill>
            </a:ln>
          </c:spPr>
          <c:marker>
            <c:symbol val="none"/>
          </c:marker>
          <c:xVal>
            <c:numRef>
              <c:f>'WS-Sieve dan hidrometer'!$Y$71:$Y$109</c:f>
              <c:numCache>
                <c:formatCode>General</c:formatCode>
                <c:ptCount val="39"/>
                <c:pt idx="0">
                  <c:v>7.4999999999999997E-2</c:v>
                </c:pt>
                <c:pt idx="1">
                  <c:v>7.4999999999999997E-2</c:v>
                </c:pt>
                <c:pt idx="2">
                  <c:v>#N/A</c:v>
                </c:pt>
                <c:pt idx="3">
                  <c:v>0.15</c:v>
                </c:pt>
                <c:pt idx="4">
                  <c:v>0.15</c:v>
                </c:pt>
                <c:pt idx="5">
                  <c:v>#N/A</c:v>
                </c:pt>
                <c:pt idx="6">
                  <c:v>0.42499999999999999</c:v>
                </c:pt>
                <c:pt idx="7">
                  <c:v>0.42499999999999999</c:v>
                </c:pt>
                <c:pt idx="8">
                  <c:v>#N/A</c:v>
                </c:pt>
                <c:pt idx="9">
                  <c:v>0.85</c:v>
                </c:pt>
                <c:pt idx="10">
                  <c:v>0.85</c:v>
                </c:pt>
                <c:pt idx="11">
                  <c:v>#N/A</c:v>
                </c:pt>
                <c:pt idx="12">
                  <c:v>2</c:v>
                </c:pt>
                <c:pt idx="13">
                  <c:v>2</c:v>
                </c:pt>
                <c:pt idx="14">
                  <c:v>#N/A</c:v>
                </c:pt>
                <c:pt idx="15">
                  <c:v>4.75</c:v>
                </c:pt>
                <c:pt idx="16">
                  <c:v>4.75</c:v>
                </c:pt>
                <c:pt idx="17">
                  <c:v>#N/A</c:v>
                </c:pt>
                <c:pt idx="18">
                  <c:v>9.5250000000000004</c:v>
                </c:pt>
                <c:pt idx="19">
                  <c:v>9.5250000000000004</c:v>
                </c:pt>
                <c:pt idx="20">
                  <c:v>#N/A</c:v>
                </c:pt>
                <c:pt idx="21">
                  <c:v>12.7</c:v>
                </c:pt>
                <c:pt idx="22">
                  <c:v>12.7</c:v>
                </c:pt>
                <c:pt idx="23">
                  <c:v>#N/A</c:v>
                </c:pt>
                <c:pt idx="24">
                  <c:v>19.05</c:v>
                </c:pt>
                <c:pt idx="25">
                  <c:v>19.05</c:v>
                </c:pt>
                <c:pt idx="26">
                  <c:v>#N/A</c:v>
                </c:pt>
                <c:pt idx="27">
                  <c:v>25.4</c:v>
                </c:pt>
                <c:pt idx="28">
                  <c:v>25.4</c:v>
                </c:pt>
                <c:pt idx="29">
                  <c:v>#N/A</c:v>
                </c:pt>
                <c:pt idx="30">
                  <c:v>37.5</c:v>
                </c:pt>
                <c:pt idx="31">
                  <c:v>37.5</c:v>
                </c:pt>
                <c:pt idx="32">
                  <c:v>#N/A</c:v>
                </c:pt>
                <c:pt idx="33">
                  <c:v>50.8</c:v>
                </c:pt>
                <c:pt idx="34">
                  <c:v>50.8</c:v>
                </c:pt>
                <c:pt idx="35">
                  <c:v>#N/A</c:v>
                </c:pt>
                <c:pt idx="36">
                  <c:v>76.2</c:v>
                </c:pt>
                <c:pt idx="37">
                  <c:v>76.2</c:v>
                </c:pt>
                <c:pt idx="38">
                  <c:v>#N/A</c:v>
                </c:pt>
              </c:numCache>
            </c:numRef>
          </c:xVal>
          <c:yVal>
            <c:numRef>
              <c:f>'WS-Sieve dan hidrometer'!$Z$71:$Z$109</c:f>
              <c:numCache>
                <c:formatCode>General</c:formatCode>
                <c:ptCount val="39"/>
                <c:pt idx="0">
                  <c:v>0</c:v>
                </c:pt>
                <c:pt idx="1">
                  <c:v>100</c:v>
                </c:pt>
                <c:pt idx="2">
                  <c:v>#N/A</c:v>
                </c:pt>
                <c:pt idx="3">
                  <c:v>0</c:v>
                </c:pt>
                <c:pt idx="4">
                  <c:v>100</c:v>
                </c:pt>
                <c:pt idx="5">
                  <c:v>#N/A</c:v>
                </c:pt>
                <c:pt idx="6">
                  <c:v>0</c:v>
                </c:pt>
                <c:pt idx="7">
                  <c:v>100</c:v>
                </c:pt>
                <c:pt idx="8">
                  <c:v>#N/A</c:v>
                </c:pt>
                <c:pt idx="9">
                  <c:v>0</c:v>
                </c:pt>
                <c:pt idx="10">
                  <c:v>100</c:v>
                </c:pt>
                <c:pt idx="11">
                  <c:v>#N/A</c:v>
                </c:pt>
                <c:pt idx="12">
                  <c:v>0</c:v>
                </c:pt>
                <c:pt idx="13">
                  <c:v>100</c:v>
                </c:pt>
                <c:pt idx="14">
                  <c:v>#N/A</c:v>
                </c:pt>
                <c:pt idx="15">
                  <c:v>0</c:v>
                </c:pt>
                <c:pt idx="16">
                  <c:v>100</c:v>
                </c:pt>
                <c:pt idx="17">
                  <c:v>#N/A</c:v>
                </c:pt>
                <c:pt idx="18">
                  <c:v>0</c:v>
                </c:pt>
                <c:pt idx="19">
                  <c:v>100</c:v>
                </c:pt>
                <c:pt idx="20">
                  <c:v>#N/A</c:v>
                </c:pt>
                <c:pt idx="21">
                  <c:v>0</c:v>
                </c:pt>
                <c:pt idx="22">
                  <c:v>100</c:v>
                </c:pt>
                <c:pt idx="23">
                  <c:v>#N/A</c:v>
                </c:pt>
                <c:pt idx="24">
                  <c:v>0</c:v>
                </c:pt>
                <c:pt idx="25">
                  <c:v>100</c:v>
                </c:pt>
                <c:pt idx="26">
                  <c:v>#N/A</c:v>
                </c:pt>
                <c:pt idx="27">
                  <c:v>0</c:v>
                </c:pt>
                <c:pt idx="28">
                  <c:v>100</c:v>
                </c:pt>
                <c:pt idx="29">
                  <c:v>#N/A</c:v>
                </c:pt>
                <c:pt idx="30">
                  <c:v>0</c:v>
                </c:pt>
                <c:pt idx="31">
                  <c:v>100</c:v>
                </c:pt>
                <c:pt idx="32">
                  <c:v>#N/A</c:v>
                </c:pt>
                <c:pt idx="33">
                  <c:v>0</c:v>
                </c:pt>
                <c:pt idx="34">
                  <c:v>100</c:v>
                </c:pt>
                <c:pt idx="35">
                  <c:v>#N/A</c:v>
                </c:pt>
                <c:pt idx="36">
                  <c:v>0</c:v>
                </c:pt>
                <c:pt idx="37">
                  <c:v>100</c:v>
                </c:pt>
                <c:pt idx="38">
                  <c:v>#N/A</c:v>
                </c:pt>
              </c:numCache>
            </c:numRef>
          </c:yVal>
          <c:smooth val="0"/>
          <c:extLst>
            <c:ext xmlns:c16="http://schemas.microsoft.com/office/drawing/2014/chart" uri="{C3380CC4-5D6E-409C-BE32-E72D297353CC}">
              <c16:uniqueId val="{00000001-7A50-774F-8D08-2738568CC4CD}"/>
            </c:ext>
          </c:extLst>
        </c:ser>
        <c:dLbls>
          <c:showLegendKey val="0"/>
          <c:showVal val="0"/>
          <c:showCatName val="0"/>
          <c:showSerName val="0"/>
          <c:showPercent val="0"/>
          <c:showBubbleSize val="0"/>
        </c:dLbls>
        <c:axId val="816323743"/>
        <c:axId val="815972255"/>
      </c:scatterChart>
      <c:valAx>
        <c:axId val="1782190079"/>
        <c:scaling>
          <c:logBase val="10"/>
          <c:orientation val="minMax"/>
          <c:max val="100"/>
        </c:scaling>
        <c:delete val="0"/>
        <c:axPos val="b"/>
        <c:majorGridlines/>
        <c:minorGridlines/>
        <c:title>
          <c:tx>
            <c:rich>
              <a:bodyPr/>
              <a:lstStyle/>
              <a:p>
                <a:pPr>
                  <a:defRPr/>
                </a:pPr>
                <a:r>
                  <a:rPr lang="en-US"/>
                  <a:t>Particle Size (mm)</a:t>
                </a:r>
              </a:p>
            </c:rich>
          </c:tx>
          <c:layout>
            <c:manualLayout>
              <c:xMode val="edge"/>
              <c:yMode val="edge"/>
              <c:x val="0.45025221758073769"/>
              <c:y val="0.90248257591750713"/>
            </c:manualLayout>
          </c:layout>
          <c:overlay val="0"/>
        </c:title>
        <c:numFmt formatCode="0.00" sourceLinked="0"/>
        <c:majorTickMark val="out"/>
        <c:minorTickMark val="none"/>
        <c:tickLblPos val="nextTo"/>
        <c:txPr>
          <a:bodyPr rot="0" vert="horz"/>
          <a:lstStyle/>
          <a:p>
            <a:pPr>
              <a:defRPr sz="700" b="0" i="0" u="none" strike="noStrike" baseline="0">
                <a:solidFill>
                  <a:srgbClr val="000000"/>
                </a:solidFill>
                <a:latin typeface="Arial"/>
                <a:ea typeface="Arial"/>
                <a:cs typeface="Arial"/>
              </a:defRPr>
            </a:pPr>
            <a:endParaRPr lang="en-US"/>
          </a:p>
        </c:txPr>
        <c:crossAx val="1"/>
        <c:crossesAt val="1E-3"/>
        <c:crossBetween val="midCat"/>
      </c:valAx>
      <c:valAx>
        <c:axId val="1"/>
        <c:scaling>
          <c:orientation val="minMax"/>
          <c:max val="100"/>
          <c:min val="0"/>
        </c:scaling>
        <c:delete val="0"/>
        <c:axPos val="l"/>
        <c:majorGridlines>
          <c:spPr>
            <a:ln w="3175">
              <a:solidFill>
                <a:schemeClr val="bg2">
                  <a:lumMod val="90000"/>
                  <a:alpha val="40000"/>
                </a:schemeClr>
              </a:solidFill>
            </a:ln>
          </c:spPr>
        </c:majorGridlines>
        <c:title>
          <c:tx>
            <c:rich>
              <a:bodyPr/>
              <a:lstStyle/>
              <a:p>
                <a:pPr>
                  <a:defRPr/>
                </a:pPr>
                <a:r>
                  <a:rPr lang="en-US"/>
                  <a:t>Percent Passing</a:t>
                </a:r>
                <a:r>
                  <a:rPr lang="en-US" baseline="0"/>
                  <a:t> (%)</a:t>
                </a:r>
                <a:endParaRPr lang="en-US"/>
              </a:p>
            </c:rich>
          </c:tx>
          <c:overlay val="0"/>
        </c:title>
        <c:numFmt formatCode="0" sourceLinked="0"/>
        <c:majorTickMark val="out"/>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US"/>
          </a:p>
        </c:txPr>
        <c:crossAx val="1782190079"/>
        <c:crossesAt val="1E-3"/>
        <c:crossBetween val="midCat"/>
      </c:valAx>
      <c:valAx>
        <c:axId val="815972255"/>
        <c:scaling>
          <c:orientation val="maxMin"/>
          <c:max val="100"/>
        </c:scaling>
        <c:delete val="0"/>
        <c:axPos val="r"/>
        <c:title>
          <c:tx>
            <c:rich>
              <a:bodyPr/>
              <a:lstStyle/>
              <a:p>
                <a:pPr>
                  <a:defRPr/>
                </a:pPr>
                <a:r>
                  <a:rPr lang="en-US"/>
                  <a:t>Percent Retained (%)</a:t>
                </a:r>
              </a:p>
            </c:rich>
          </c:tx>
          <c:overlay val="0"/>
        </c:title>
        <c:numFmt formatCode="General" sourceLinked="1"/>
        <c:majorTickMark val="out"/>
        <c:minorTickMark val="none"/>
        <c:tickLblPos val="nextTo"/>
        <c:txPr>
          <a:bodyPr/>
          <a:lstStyle/>
          <a:p>
            <a:pPr>
              <a:defRPr sz="700"/>
            </a:pPr>
            <a:endParaRPr lang="en-US"/>
          </a:p>
        </c:txPr>
        <c:crossAx val="816323743"/>
        <c:crosses val="max"/>
        <c:crossBetween val="midCat"/>
      </c:valAx>
      <c:valAx>
        <c:axId val="816323743"/>
        <c:scaling>
          <c:logBase val="10"/>
          <c:orientation val="minMax"/>
        </c:scaling>
        <c:delete val="1"/>
        <c:axPos val="t"/>
        <c:numFmt formatCode="General" sourceLinked="1"/>
        <c:majorTickMark val="out"/>
        <c:minorTickMark val="none"/>
        <c:tickLblPos val="nextTo"/>
        <c:crossAx val="815972255"/>
        <c:crosses val="autoZero"/>
        <c:crossBetween val="midCat"/>
      </c:valAx>
      <c:spPr>
        <a:ln>
          <a:noFill/>
        </a:ln>
      </c:spPr>
    </c:plotArea>
    <c:legend>
      <c:legendPos val="b"/>
      <c:legendEntry>
        <c:idx val="4"/>
        <c:delete val="1"/>
      </c:legendEntry>
      <c:legendEntry>
        <c:idx val="5"/>
        <c:delete val="1"/>
      </c:legendEntry>
      <c:layout>
        <c:manualLayout>
          <c:xMode val="edge"/>
          <c:yMode val="edge"/>
          <c:x val="0.13815445671506579"/>
          <c:y val="0.94963193103955645"/>
          <c:w val="0.73461214726647661"/>
          <c:h val="3.1664561450887509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paperSize="9" orientation="landscape" horizontalDpi="300" verticalDpi="0"/>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1"/>
          <c:extLst>
            <c:ext xmlns:c16="http://schemas.microsoft.com/office/drawing/2014/chart" uri="{C3380CC4-5D6E-409C-BE32-E72D297353CC}">
              <c16:uniqueId val="{00000000-64A7-CA48-ACAD-6D027FB8DE17}"/>
            </c:ext>
          </c:extLst>
        </c:ser>
        <c:ser>
          <c:idx val="1"/>
          <c:order val="1"/>
          <c:tx>
            <c:strRef>
              <c:f>'WS-standard Proctor'!$H$67</c:f>
              <c:strCache>
                <c:ptCount val="1"/>
                <c:pt idx="0">
                  <c:v>OMC = 16.9 %</c:v>
                </c:pt>
              </c:strCache>
            </c:strRef>
          </c:tx>
          <c:spPr>
            <a:ln w="12700" cap="rnd">
              <a:solidFill>
                <a:schemeClr val="accent2"/>
              </a:solidFill>
              <a:prstDash val="dash"/>
              <a:round/>
            </a:ln>
            <a:effectLst/>
          </c:spPr>
          <c:marker>
            <c:symbol val="none"/>
          </c:marker>
          <c:xVal>
            <c:numRef>
              <c:f>'WS-standard Proctor'!$D$72:$D$73</c:f>
              <c:numCache>
                <c:formatCode>0.0000</c:formatCode>
                <c:ptCount val="2"/>
                <c:pt idx="0">
                  <c:v>16.872478298080438</c:v>
                </c:pt>
                <c:pt idx="1">
                  <c:v>16.872478298080438</c:v>
                </c:pt>
              </c:numCache>
            </c:numRef>
          </c:xVal>
          <c:yVal>
            <c:numRef>
              <c:f>'WS-standard Proctor'!$E$72:$E$73</c:f>
              <c:numCache>
                <c:formatCode>0.0000</c:formatCode>
                <c:ptCount val="2"/>
                <c:pt idx="0" formatCode="_(* #,##0.000_);_(* \(#,##0.000\);_(* &quot;-&quot;??_);_(@_)">
                  <c:v>1.2</c:v>
                </c:pt>
                <c:pt idx="1">
                  <c:v>1.4117929572514401</c:v>
                </c:pt>
              </c:numCache>
            </c:numRef>
          </c:yVal>
          <c:smooth val="1"/>
          <c:extLst>
            <c:ext xmlns:c16="http://schemas.microsoft.com/office/drawing/2014/chart" uri="{C3380CC4-5D6E-409C-BE32-E72D297353CC}">
              <c16:uniqueId val="{00000001-64A7-CA48-ACAD-6D027FB8DE17}"/>
            </c:ext>
          </c:extLst>
        </c:ser>
        <c:ser>
          <c:idx val="2"/>
          <c:order val="2"/>
          <c:tx>
            <c:strRef>
              <c:f>'WS-standard Proctor'!$H$66</c:f>
              <c:strCache>
                <c:ptCount val="1"/>
                <c:pt idx="0">
                  <c:v>MDD = 1.41 g/cm³</c:v>
                </c:pt>
              </c:strCache>
            </c:strRef>
          </c:tx>
          <c:spPr>
            <a:ln w="12700" cap="rnd">
              <a:solidFill>
                <a:schemeClr val="accent2"/>
              </a:solidFill>
              <a:prstDash val="dash"/>
              <a:round/>
            </a:ln>
            <a:effectLst/>
          </c:spPr>
          <c:marker>
            <c:symbol val="none"/>
          </c:marker>
          <c:xVal>
            <c:numRef>
              <c:f>'WS-standard Proctor'!$D$75:$D$76</c:f>
              <c:numCache>
                <c:formatCode>0.0000</c:formatCode>
                <c:ptCount val="2"/>
                <c:pt idx="0" formatCode="General">
                  <c:v>0</c:v>
                </c:pt>
                <c:pt idx="1">
                  <c:v>16.872478298080438</c:v>
                </c:pt>
              </c:numCache>
            </c:numRef>
          </c:xVal>
          <c:yVal>
            <c:numRef>
              <c:f>'WS-standard Proctor'!$E$75:$E$76</c:f>
              <c:numCache>
                <c:formatCode>0.0000</c:formatCode>
                <c:ptCount val="2"/>
                <c:pt idx="0">
                  <c:v>1.4117929572514401</c:v>
                </c:pt>
                <c:pt idx="1">
                  <c:v>1.4117929572514401</c:v>
                </c:pt>
              </c:numCache>
            </c:numRef>
          </c:yVal>
          <c:smooth val="1"/>
          <c:extLst>
            <c:ext xmlns:c16="http://schemas.microsoft.com/office/drawing/2014/chart" uri="{C3380CC4-5D6E-409C-BE32-E72D297353CC}">
              <c16:uniqueId val="{00000002-64A7-CA48-ACAD-6D027FB8DE17}"/>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0"/>
          <c:extLst>
            <c:ext xmlns:c16="http://schemas.microsoft.com/office/drawing/2014/chart" uri="{C3380CC4-5D6E-409C-BE32-E72D297353CC}">
              <c16:uniqueId val="{00000004-64A7-CA48-ACAD-6D027FB8DE17}"/>
            </c:ext>
          </c:extLst>
        </c:ser>
        <c:dLbls>
          <c:showLegendKey val="0"/>
          <c:showVal val="0"/>
          <c:showCatName val="0"/>
          <c:showSerName val="0"/>
          <c:showPercent val="0"/>
          <c:showBubbleSize val="0"/>
        </c:dLbls>
        <c:axId val="64354176"/>
        <c:axId val="17189296"/>
      </c:scatterChart>
      <c:valAx>
        <c:axId val="64354176"/>
        <c:scaling>
          <c:orientation val="minMax"/>
          <c:min val="1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89296"/>
        <c:crosses val="autoZero"/>
        <c:crossBetween val="midCat"/>
      </c:valAx>
      <c:valAx>
        <c:axId val="17189296"/>
        <c:scaling>
          <c:orientation val="minMax"/>
          <c:max val="1.5"/>
          <c:min val="1.2"/>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a:t>
                </a:r>
                <a:r>
                  <a:rPr lang="en-US" sz="800" baseline="0">
                    <a:latin typeface="Arial" panose="020B0604020202020204" pitchFamily="34" charset="0"/>
                    <a:cs typeface="Arial" panose="020B0604020202020204" pitchFamily="34" charset="0"/>
                  </a:rPr>
                  <a:t> (g/cm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1"/>
          <c:extLst>
            <c:ext xmlns:c16="http://schemas.microsoft.com/office/drawing/2014/chart" uri="{C3380CC4-5D6E-409C-BE32-E72D297353CC}">
              <c16:uniqueId val="{00000000-2BD5-4F5A-BF42-BD6A550C0220}"/>
            </c:ext>
          </c:extLst>
        </c:ser>
        <c:ser>
          <c:idx val="1"/>
          <c:order val="1"/>
          <c:tx>
            <c:strRef>
              <c:f>'WS-standard Proctor'!$H$67</c:f>
              <c:strCache>
                <c:ptCount val="1"/>
                <c:pt idx="0">
                  <c:v>OMC = 16.9 %</c:v>
                </c:pt>
              </c:strCache>
            </c:strRef>
          </c:tx>
          <c:spPr>
            <a:ln w="12700" cap="rnd">
              <a:solidFill>
                <a:schemeClr val="accent2"/>
              </a:solidFill>
              <a:prstDash val="dash"/>
              <a:round/>
            </a:ln>
            <a:effectLst/>
          </c:spPr>
          <c:marker>
            <c:symbol val="none"/>
          </c:marker>
          <c:xVal>
            <c:numRef>
              <c:f>'WS-standard Proctor'!$D$72:$D$73</c:f>
              <c:numCache>
                <c:formatCode>0.0000</c:formatCode>
                <c:ptCount val="2"/>
                <c:pt idx="0">
                  <c:v>16.872478298080438</c:v>
                </c:pt>
                <c:pt idx="1">
                  <c:v>16.872478298080438</c:v>
                </c:pt>
              </c:numCache>
            </c:numRef>
          </c:xVal>
          <c:yVal>
            <c:numRef>
              <c:f>'WS-standard Proctor'!$E$72:$E$73</c:f>
              <c:numCache>
                <c:formatCode>0.0000</c:formatCode>
                <c:ptCount val="2"/>
                <c:pt idx="0" formatCode="_(* #,##0.000_);_(* \(#,##0.000\);_(* &quot;-&quot;??_);_(@_)">
                  <c:v>1.2</c:v>
                </c:pt>
                <c:pt idx="1">
                  <c:v>1.4117929572514401</c:v>
                </c:pt>
              </c:numCache>
            </c:numRef>
          </c:yVal>
          <c:smooth val="1"/>
          <c:extLst>
            <c:ext xmlns:c16="http://schemas.microsoft.com/office/drawing/2014/chart" uri="{C3380CC4-5D6E-409C-BE32-E72D297353CC}">
              <c16:uniqueId val="{00000001-2BD5-4F5A-BF42-BD6A550C0220}"/>
            </c:ext>
          </c:extLst>
        </c:ser>
        <c:ser>
          <c:idx val="2"/>
          <c:order val="2"/>
          <c:tx>
            <c:strRef>
              <c:f>'WS-standard Proctor'!$H$66</c:f>
              <c:strCache>
                <c:ptCount val="1"/>
                <c:pt idx="0">
                  <c:v>MDD = 1.41 g/cm³</c:v>
                </c:pt>
              </c:strCache>
            </c:strRef>
          </c:tx>
          <c:spPr>
            <a:ln w="12700" cap="rnd">
              <a:solidFill>
                <a:schemeClr val="accent2"/>
              </a:solidFill>
              <a:prstDash val="dash"/>
              <a:round/>
            </a:ln>
            <a:effectLst/>
          </c:spPr>
          <c:marker>
            <c:symbol val="none"/>
          </c:marker>
          <c:xVal>
            <c:numRef>
              <c:f>'WS-standard Proctor'!$D$75:$D$76</c:f>
              <c:numCache>
                <c:formatCode>0.0000</c:formatCode>
                <c:ptCount val="2"/>
                <c:pt idx="0" formatCode="General">
                  <c:v>0</c:v>
                </c:pt>
                <c:pt idx="1">
                  <c:v>16.872478298080438</c:v>
                </c:pt>
              </c:numCache>
            </c:numRef>
          </c:xVal>
          <c:yVal>
            <c:numRef>
              <c:f>'WS-standard Proctor'!$E$75:$E$76</c:f>
              <c:numCache>
                <c:formatCode>0.0000</c:formatCode>
                <c:ptCount val="2"/>
                <c:pt idx="0">
                  <c:v>1.4117929572514401</c:v>
                </c:pt>
                <c:pt idx="1">
                  <c:v>1.4117929572514401</c:v>
                </c:pt>
              </c:numCache>
            </c:numRef>
          </c:yVal>
          <c:smooth val="1"/>
          <c:extLst>
            <c:ext xmlns:c16="http://schemas.microsoft.com/office/drawing/2014/chart" uri="{C3380CC4-5D6E-409C-BE32-E72D297353CC}">
              <c16:uniqueId val="{00000002-2BD5-4F5A-BF42-BD6A550C0220}"/>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0"/>
          <c:extLst>
            <c:ext xmlns:c16="http://schemas.microsoft.com/office/drawing/2014/chart" uri="{C3380CC4-5D6E-409C-BE32-E72D297353CC}">
              <c16:uniqueId val="{00000003-2BD5-4F5A-BF42-BD6A550C0220}"/>
            </c:ext>
          </c:extLst>
        </c:ser>
        <c:dLbls>
          <c:showLegendKey val="0"/>
          <c:showVal val="0"/>
          <c:showCatName val="0"/>
          <c:showSerName val="0"/>
          <c:showPercent val="0"/>
          <c:showBubbleSize val="0"/>
        </c:dLbls>
        <c:axId val="64354176"/>
        <c:axId val="17189296"/>
      </c:scatterChart>
      <c:valAx>
        <c:axId val="64354176"/>
        <c:scaling>
          <c:orientation val="minMax"/>
          <c:min val="1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89296"/>
        <c:crosses val="autoZero"/>
        <c:crossBetween val="midCat"/>
      </c:valAx>
      <c:valAx>
        <c:axId val="17189296"/>
        <c:scaling>
          <c:orientation val="minMax"/>
          <c:max val="1.5"/>
          <c:min val="1.2"/>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a:t>
                </a:r>
                <a:r>
                  <a:rPr lang="en-US" sz="800" baseline="0">
                    <a:latin typeface="Arial" panose="020B0604020202020204" pitchFamily="34" charset="0"/>
                    <a:cs typeface="Arial" panose="020B0604020202020204" pitchFamily="34" charset="0"/>
                  </a:rPr>
                  <a:t> (g/cm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1"/>
          <c:extLst>
            <c:ext xmlns:c16="http://schemas.microsoft.com/office/drawing/2014/chart" uri="{C3380CC4-5D6E-409C-BE32-E72D297353CC}">
              <c16:uniqueId val="{00000000-36D8-4B4C-A24C-EE1B8717F46F}"/>
            </c:ext>
          </c:extLst>
        </c:ser>
        <c:ser>
          <c:idx val="1"/>
          <c:order val="1"/>
          <c:tx>
            <c:strRef>
              <c:f>'WS-modified proctor'!$H$67</c:f>
              <c:strCache>
                <c:ptCount val="1"/>
                <c:pt idx="0">
                  <c:v>OMC = 33.5 %</c:v>
                </c:pt>
              </c:strCache>
            </c:strRef>
          </c:tx>
          <c:spPr>
            <a:ln w="12700" cap="rnd">
              <a:solidFill>
                <a:schemeClr val="accent2"/>
              </a:solidFill>
              <a:prstDash val="dash"/>
              <a:round/>
            </a:ln>
            <a:effectLst/>
          </c:spPr>
          <c:marker>
            <c:symbol val="none"/>
          </c:marker>
          <c:xVal>
            <c:numRef>
              <c:f>'WS-modified proctor'!$D$71:$D$72</c:f>
              <c:numCache>
                <c:formatCode>0.0000</c:formatCode>
                <c:ptCount val="2"/>
                <c:pt idx="0">
                  <c:v>33.527890163825695</c:v>
                </c:pt>
                <c:pt idx="1">
                  <c:v>33.527890163825695</c:v>
                </c:pt>
              </c:numCache>
            </c:numRef>
          </c:xVal>
          <c:yVal>
            <c:numRef>
              <c:f>'WS-modified proctor'!$E$71:$E$72</c:f>
              <c:numCache>
                <c:formatCode>0.0000</c:formatCode>
                <c:ptCount val="2"/>
                <c:pt idx="0" formatCode="_(* #,##0.000_);_(* \(#,##0.000\);_(* &quot;-&quot;??_);_(@_)">
                  <c:v>1.2</c:v>
                </c:pt>
                <c:pt idx="1">
                  <c:v>1.4770097086095009</c:v>
                </c:pt>
              </c:numCache>
            </c:numRef>
          </c:yVal>
          <c:smooth val="1"/>
          <c:extLst>
            <c:ext xmlns:c16="http://schemas.microsoft.com/office/drawing/2014/chart" uri="{C3380CC4-5D6E-409C-BE32-E72D297353CC}">
              <c16:uniqueId val="{00000001-36D8-4B4C-A24C-EE1B8717F46F}"/>
            </c:ext>
          </c:extLst>
        </c:ser>
        <c:ser>
          <c:idx val="2"/>
          <c:order val="2"/>
          <c:tx>
            <c:strRef>
              <c:f>'WS-modified proctor'!$H$66</c:f>
              <c:strCache>
                <c:ptCount val="1"/>
                <c:pt idx="0">
                  <c:v>MDD = 1.48 g/cm³</c:v>
                </c:pt>
              </c:strCache>
            </c:strRef>
          </c:tx>
          <c:spPr>
            <a:ln w="12700" cap="rnd">
              <a:solidFill>
                <a:schemeClr val="accent2"/>
              </a:solidFill>
              <a:prstDash val="dash"/>
              <a:round/>
            </a:ln>
            <a:effectLst/>
          </c:spPr>
          <c:marker>
            <c:symbol val="none"/>
          </c:marker>
          <c:xVal>
            <c:numRef>
              <c:f>'WS-modified proctor'!$D$74:$D$75</c:f>
              <c:numCache>
                <c:formatCode>0.0000</c:formatCode>
                <c:ptCount val="2"/>
                <c:pt idx="0" formatCode="General">
                  <c:v>0</c:v>
                </c:pt>
                <c:pt idx="1">
                  <c:v>33.527890163825695</c:v>
                </c:pt>
              </c:numCache>
            </c:numRef>
          </c:xVal>
          <c:yVal>
            <c:numRef>
              <c:f>'WS-modified proctor'!$E$74:$E$75</c:f>
              <c:numCache>
                <c:formatCode>0.0000</c:formatCode>
                <c:ptCount val="2"/>
                <c:pt idx="0">
                  <c:v>1.4770097086095009</c:v>
                </c:pt>
                <c:pt idx="1">
                  <c:v>1.4770097086095009</c:v>
                </c:pt>
              </c:numCache>
            </c:numRef>
          </c:yVal>
          <c:smooth val="1"/>
          <c:extLst>
            <c:ext xmlns:c16="http://schemas.microsoft.com/office/drawing/2014/chart" uri="{C3380CC4-5D6E-409C-BE32-E72D297353CC}">
              <c16:uniqueId val="{00000002-36D8-4B4C-A24C-EE1B8717F46F}"/>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0"/>
          <c:extLst>
            <c:ext xmlns:c16="http://schemas.microsoft.com/office/drawing/2014/chart" uri="{C3380CC4-5D6E-409C-BE32-E72D297353CC}">
              <c16:uniqueId val="{00000003-36D8-4B4C-A24C-EE1B8717F46F}"/>
            </c:ext>
          </c:extLst>
        </c:ser>
        <c:dLbls>
          <c:showLegendKey val="0"/>
          <c:showVal val="0"/>
          <c:showCatName val="0"/>
          <c:showSerName val="0"/>
          <c:showPercent val="0"/>
          <c:showBubbleSize val="0"/>
        </c:dLbls>
        <c:axId val="64354176"/>
        <c:axId val="17189296"/>
      </c:scatterChart>
      <c:valAx>
        <c:axId val="64354176"/>
        <c:scaling>
          <c:orientation val="minMax"/>
          <c:min val="2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Kadar Air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296"/>
        <c:crosses val="autoZero"/>
        <c:crossBetween val="midCat"/>
      </c:valAx>
      <c:valAx>
        <c:axId val="17189296"/>
        <c:scaling>
          <c:orientation val="minMax"/>
          <c:max val="1.5"/>
          <c:min val="1.3"/>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 </a:t>
                </a:r>
                <a:r>
                  <a:rPr lang="en-US" sz="800" baseline="0">
                    <a:latin typeface="Arial" panose="020B0604020202020204" pitchFamily="34" charset="0"/>
                    <a:cs typeface="Arial" panose="020B0604020202020204" pitchFamily="34" charset="0"/>
                  </a:rPr>
                  <a:t>(g/cm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1"/>
          <c:extLst>
            <c:ext xmlns:c16="http://schemas.microsoft.com/office/drawing/2014/chart" uri="{C3380CC4-5D6E-409C-BE32-E72D297353CC}">
              <c16:uniqueId val="{00000000-7170-4023-9DFF-AF63B136EAB7}"/>
            </c:ext>
          </c:extLst>
        </c:ser>
        <c:ser>
          <c:idx val="1"/>
          <c:order val="1"/>
          <c:tx>
            <c:strRef>
              <c:f>'WS-modified proctor'!$H$67</c:f>
              <c:strCache>
                <c:ptCount val="1"/>
                <c:pt idx="0">
                  <c:v>OMC = 33.5 %</c:v>
                </c:pt>
              </c:strCache>
            </c:strRef>
          </c:tx>
          <c:spPr>
            <a:ln w="12700" cap="rnd">
              <a:solidFill>
                <a:schemeClr val="accent2"/>
              </a:solidFill>
              <a:prstDash val="dash"/>
              <a:round/>
            </a:ln>
            <a:effectLst/>
          </c:spPr>
          <c:marker>
            <c:symbol val="none"/>
          </c:marker>
          <c:xVal>
            <c:numRef>
              <c:f>'WS-modified proctor'!$D$71:$D$72</c:f>
              <c:numCache>
                <c:formatCode>0.0000</c:formatCode>
                <c:ptCount val="2"/>
                <c:pt idx="0">
                  <c:v>33.527890163825695</c:v>
                </c:pt>
                <c:pt idx="1">
                  <c:v>33.527890163825695</c:v>
                </c:pt>
              </c:numCache>
            </c:numRef>
          </c:xVal>
          <c:yVal>
            <c:numRef>
              <c:f>'WS-modified proctor'!$E$71:$E$72</c:f>
              <c:numCache>
                <c:formatCode>0.0000</c:formatCode>
                <c:ptCount val="2"/>
                <c:pt idx="0" formatCode="_(* #,##0.000_);_(* \(#,##0.000\);_(* &quot;-&quot;??_);_(@_)">
                  <c:v>1.2</c:v>
                </c:pt>
                <c:pt idx="1">
                  <c:v>1.4770097086095009</c:v>
                </c:pt>
              </c:numCache>
            </c:numRef>
          </c:yVal>
          <c:smooth val="1"/>
          <c:extLst>
            <c:ext xmlns:c16="http://schemas.microsoft.com/office/drawing/2014/chart" uri="{C3380CC4-5D6E-409C-BE32-E72D297353CC}">
              <c16:uniqueId val="{00000001-7170-4023-9DFF-AF63B136EAB7}"/>
            </c:ext>
          </c:extLst>
        </c:ser>
        <c:ser>
          <c:idx val="2"/>
          <c:order val="2"/>
          <c:tx>
            <c:strRef>
              <c:f>'WS-modified proctor'!$H$66</c:f>
              <c:strCache>
                <c:ptCount val="1"/>
                <c:pt idx="0">
                  <c:v>MDD = 1.48 g/cm³</c:v>
                </c:pt>
              </c:strCache>
            </c:strRef>
          </c:tx>
          <c:spPr>
            <a:ln w="12700" cap="rnd">
              <a:solidFill>
                <a:schemeClr val="accent2"/>
              </a:solidFill>
              <a:prstDash val="dash"/>
              <a:round/>
            </a:ln>
            <a:effectLst/>
          </c:spPr>
          <c:marker>
            <c:symbol val="none"/>
          </c:marker>
          <c:xVal>
            <c:numRef>
              <c:f>'WS-modified proctor'!$D$74:$D$75</c:f>
              <c:numCache>
                <c:formatCode>0.0000</c:formatCode>
                <c:ptCount val="2"/>
                <c:pt idx="0" formatCode="General">
                  <c:v>0</c:v>
                </c:pt>
                <c:pt idx="1">
                  <c:v>33.527890163825695</c:v>
                </c:pt>
              </c:numCache>
            </c:numRef>
          </c:xVal>
          <c:yVal>
            <c:numRef>
              <c:f>'WS-modified proctor'!$E$74:$E$75</c:f>
              <c:numCache>
                <c:formatCode>0.0000</c:formatCode>
                <c:ptCount val="2"/>
                <c:pt idx="0">
                  <c:v>1.4770097086095009</c:v>
                </c:pt>
                <c:pt idx="1">
                  <c:v>1.4770097086095009</c:v>
                </c:pt>
              </c:numCache>
            </c:numRef>
          </c:yVal>
          <c:smooth val="1"/>
          <c:extLst>
            <c:ext xmlns:c16="http://schemas.microsoft.com/office/drawing/2014/chart" uri="{C3380CC4-5D6E-409C-BE32-E72D297353CC}">
              <c16:uniqueId val="{00000002-7170-4023-9DFF-AF63B136EAB7}"/>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0"/>
          <c:extLst>
            <c:ext xmlns:c16="http://schemas.microsoft.com/office/drawing/2014/chart" uri="{C3380CC4-5D6E-409C-BE32-E72D297353CC}">
              <c16:uniqueId val="{00000003-7170-4023-9DFF-AF63B136EAB7}"/>
            </c:ext>
          </c:extLst>
        </c:ser>
        <c:dLbls>
          <c:showLegendKey val="0"/>
          <c:showVal val="0"/>
          <c:showCatName val="0"/>
          <c:showSerName val="0"/>
          <c:showPercent val="0"/>
          <c:showBubbleSize val="0"/>
        </c:dLbls>
        <c:axId val="64354176"/>
        <c:axId val="17189296"/>
      </c:scatterChart>
      <c:valAx>
        <c:axId val="64354176"/>
        <c:scaling>
          <c:orientation val="minMax"/>
          <c:min val="2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a:t>
                </a:r>
                <a:r>
                  <a:rPr lang="en-US" sz="800" baseline="0">
                    <a:latin typeface="Arial" panose="020B0604020202020204" pitchFamily="34" charset="0"/>
                    <a:cs typeface="Arial" panose="020B0604020202020204" pitchFamily="34" charset="0"/>
                  </a:rPr>
                  <a:t> Content </a:t>
                </a:r>
                <a:r>
                  <a:rPr lang="en-US" sz="800">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89296"/>
        <c:crosses val="autoZero"/>
        <c:crossBetween val="midCat"/>
      </c:valAx>
      <c:valAx>
        <c:axId val="17189296"/>
        <c:scaling>
          <c:orientation val="minMax"/>
          <c:max val="1.5"/>
          <c:min val="1.3"/>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 </a:t>
                </a:r>
                <a:r>
                  <a:rPr lang="en-US" sz="800" baseline="0">
                    <a:latin typeface="Arial" panose="020B0604020202020204" pitchFamily="34" charset="0"/>
                    <a:cs typeface="Arial" panose="020B0604020202020204" pitchFamily="34" charset="0"/>
                  </a:rPr>
                  <a:t>(g/cm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71198368111594E-2"/>
          <c:y val="3.5742858922266495E-2"/>
          <c:w val="0.87647787823669288"/>
          <c:h val="0.85930312854384772"/>
        </c:manualLayout>
      </c:layout>
      <c:scatterChart>
        <c:scatterStyle val="smoothMarker"/>
        <c:varyColors val="0"/>
        <c:ser>
          <c:idx val="0"/>
          <c:order val="0"/>
          <c:spPr>
            <a:ln w="28575">
              <a:solidFill>
                <a:schemeClr val="accent1">
                  <a:alpha val="20000"/>
                </a:schemeClr>
              </a:solidFill>
            </a:ln>
            <a:effectLst/>
          </c:spPr>
          <c:marker>
            <c:symbol val="circle"/>
            <c:size val="5"/>
            <c:spPr>
              <a:noFill/>
              <a:ln w="31750" cap="flat" cmpd="dbl" algn="ctr">
                <a:solidFill>
                  <a:schemeClr val="accent1"/>
                </a:solidFill>
                <a:round/>
              </a:ln>
              <a:effectLst/>
            </c:spPr>
          </c:marker>
          <c:xVal>
            <c:numRef>
              <c:f>'WS-Konsolidasi'!$B$73:$B$80</c:f>
              <c:numCache>
                <c:formatCode>General</c:formatCode>
                <c:ptCount val="8"/>
                <c:pt idx="0">
                  <c:v>0.25</c:v>
                </c:pt>
                <c:pt idx="1">
                  <c:v>0.5</c:v>
                </c:pt>
                <c:pt idx="2">
                  <c:v>1</c:v>
                </c:pt>
                <c:pt idx="3">
                  <c:v>2</c:v>
                </c:pt>
                <c:pt idx="4">
                  <c:v>4</c:v>
                </c:pt>
                <c:pt idx="5">
                  <c:v>8</c:v>
                </c:pt>
                <c:pt idx="6">
                  <c:v>2</c:v>
                </c:pt>
                <c:pt idx="7">
                  <c:v>0.25</c:v>
                </c:pt>
              </c:numCache>
            </c:numRef>
          </c:xVal>
          <c:yVal>
            <c:numRef>
              <c:f>'WS-Konsolidasi'!$G$73:$G$80</c:f>
              <c:numCache>
                <c:formatCode>0.00000</c:formatCode>
                <c:ptCount val="8"/>
                <c:pt idx="0">
                  <c:v>0.9642566849233134</c:v>
                </c:pt>
                <c:pt idx="1">
                  <c:v>0.96113172446883588</c:v>
                </c:pt>
                <c:pt idx="2">
                  <c:v>0.95612789370995288</c:v>
                </c:pt>
                <c:pt idx="3">
                  <c:v>0.9496638010564542</c:v>
                </c:pt>
                <c:pt idx="4">
                  <c:v>0.94195361825288348</c:v>
                </c:pt>
                <c:pt idx="5">
                  <c:v>0.93253006149296369</c:v>
                </c:pt>
                <c:pt idx="6">
                  <c:v>0.93296814006134843</c:v>
                </c:pt>
                <c:pt idx="7">
                  <c:v>0.93428237576650253</c:v>
                </c:pt>
              </c:numCache>
            </c:numRef>
          </c:yVal>
          <c:smooth val="1"/>
          <c:extLst>
            <c:ext xmlns:c16="http://schemas.microsoft.com/office/drawing/2014/chart" uri="{C3380CC4-5D6E-409C-BE32-E72D297353CC}">
              <c16:uniqueId val="{00000000-A9C7-BA4B-9990-15AD23246B70}"/>
            </c:ext>
          </c:extLst>
        </c:ser>
        <c:ser>
          <c:idx val="1"/>
          <c:order val="1"/>
          <c:tx>
            <c:v>garis e0</c:v>
          </c:tx>
          <c:spPr>
            <a:ln w="19050">
              <a:solidFill>
                <a:schemeClr val="tx1">
                  <a:alpha val="40001"/>
                </a:schemeClr>
              </a:solidFill>
              <a:prstDash val="dash"/>
            </a:ln>
            <a:effectLst/>
          </c:spPr>
          <c:marker>
            <c:symbol val="none"/>
          </c:marker>
          <c:xVal>
            <c:numRef>
              <c:f>'WS-Konsolidasi'!$P$66:$P$67</c:f>
              <c:numCache>
                <c:formatCode>0.0000</c:formatCode>
                <c:ptCount val="2"/>
                <c:pt idx="0" formatCode="General">
                  <c:v>0.1</c:v>
                </c:pt>
                <c:pt idx="1">
                  <c:v>10</c:v>
                </c:pt>
              </c:numCache>
            </c:numRef>
          </c:xVal>
          <c:yVal>
            <c:numRef>
              <c:f>'WS-Konsolidasi'!$Q$66:$Q$67</c:f>
              <c:numCache>
                <c:formatCode>0.0000</c:formatCode>
                <c:ptCount val="2"/>
                <c:pt idx="0" formatCode="0.000">
                  <c:v>0.96648601808242662</c:v>
                </c:pt>
                <c:pt idx="1">
                  <c:v>0.96648601808242662</c:v>
                </c:pt>
              </c:numCache>
            </c:numRef>
          </c:yVal>
          <c:smooth val="1"/>
          <c:extLst>
            <c:ext xmlns:c16="http://schemas.microsoft.com/office/drawing/2014/chart" uri="{C3380CC4-5D6E-409C-BE32-E72D297353CC}">
              <c16:uniqueId val="{00000000-A9B0-E64F-A927-9270884DD8A5}"/>
            </c:ext>
          </c:extLst>
        </c:ser>
        <c:dLbls>
          <c:showLegendKey val="0"/>
          <c:showVal val="0"/>
          <c:showCatName val="0"/>
          <c:showSerName val="0"/>
          <c:showPercent val="0"/>
          <c:showBubbleSize val="0"/>
        </c:dLbls>
        <c:axId val="1711548575"/>
        <c:axId val="1711348767"/>
      </c:scatterChart>
      <c:valAx>
        <c:axId val="1711548575"/>
        <c:scaling>
          <c:logBase val="10"/>
          <c:orientation val="minMax"/>
          <c:max val="100"/>
          <c:min val="0.1"/>
        </c:scaling>
        <c:delete val="0"/>
        <c:axPos val="b"/>
        <c:majorGridlines>
          <c:spPr>
            <a:ln w="9525" cap="flat" cmpd="sng" algn="ctr">
              <a:solidFill>
                <a:schemeClr val="accent1">
                  <a:lumMod val="60000"/>
                  <a:lumOff val="40000"/>
                </a:schemeClr>
              </a:solidFill>
              <a:round/>
            </a:ln>
            <a:effectLst/>
          </c:spPr>
        </c:majorGridlines>
        <c:minorGridlines>
          <c:spPr>
            <a:ln w="3175" cap="flat" cmpd="sng" algn="ctr">
              <a:solidFill>
                <a:schemeClr val="accent1">
                  <a:lumMod val="40000"/>
                  <a:lumOff val="60000"/>
                </a:schemeClr>
              </a:solidFill>
              <a:round/>
            </a:ln>
            <a:effectLst/>
          </c:spPr>
        </c:minorGridlines>
        <c:title>
          <c:tx>
            <c:rich>
              <a:bodyPr rot="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r>
                  <a:rPr lang="en-US"/>
                  <a:t>Pressure (kg/cm</a:t>
                </a:r>
                <a:r>
                  <a:rPr lang="en-US" baseline="30000"/>
                  <a:t>2</a:t>
                </a:r>
                <a:r>
                  <a:rPr lang="en-US"/>
                  <a:t>)</a:t>
                </a:r>
              </a:p>
            </c:rich>
          </c:tx>
          <c:layout>
            <c:manualLayout>
              <c:xMode val="edge"/>
              <c:yMode val="edge"/>
              <c:x val="0.38146823756904913"/>
              <c:y val="0.9417099713309777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50000"/>
                    <a:lumOff val="50000"/>
                  </a:schemeClr>
                </a:solidFill>
                <a:latin typeface="Aptos" panose="020B0004020202020204" pitchFamily="34" charset="0"/>
                <a:ea typeface="+mn-ea"/>
                <a:cs typeface="+mn-cs"/>
              </a:defRPr>
            </a:pPr>
            <a:endParaRPr lang="en-US"/>
          </a:p>
        </c:txPr>
        <c:crossAx val="1711348767"/>
        <c:crosses val="autoZero"/>
        <c:crossBetween val="midCat"/>
      </c:valAx>
      <c:valAx>
        <c:axId val="1711348767"/>
        <c:scaling>
          <c:orientation val="minMax"/>
          <c:max val="0.98"/>
          <c:min val="0.9"/>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r>
                  <a:rPr lang="en-US"/>
                  <a:t>Void Ratio (ε)</a:t>
                </a:r>
              </a:p>
            </c:rich>
          </c:tx>
          <c:layout>
            <c:manualLayout>
              <c:xMode val="edge"/>
              <c:yMode val="edge"/>
              <c:x val="1.1085309251597788E-2"/>
              <c:y val="0.35769399750576764"/>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50000"/>
                    <a:lumOff val="50000"/>
                  </a:schemeClr>
                </a:solidFill>
                <a:latin typeface="Aptos" panose="020B0004020202020204" pitchFamily="34" charset="0"/>
                <a:ea typeface="+mn-ea"/>
                <a:cs typeface="+mn-cs"/>
              </a:defRPr>
            </a:pPr>
            <a:endParaRPr lang="en-US"/>
          </a:p>
        </c:txPr>
        <c:crossAx val="1711548575"/>
        <c:crossesAt val="0.1"/>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dk1">
                  <a:lumMod val="50000"/>
                  <a:lumOff val="50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sz="800">
          <a:latin typeface="Aptos" panose="020B00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50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926491085166079"/>
          <c:y val="0.12922112008726183"/>
          <c:w val="0.86008000724047429"/>
          <c:h val="0.63846030609810134"/>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'WS-Konsolidasi'!$I$112:$I$113</c:f>
              <c:numCache>
                <c:formatCode>0.00</c:formatCode>
                <c:ptCount val="2"/>
                <c:pt idx="0">
                  <c:v>0</c:v>
                </c:pt>
                <c:pt idx="1">
                  <c:v>37.947331922020552</c:v>
                </c:pt>
              </c:numCache>
            </c:numRef>
          </c:xVal>
          <c:yVal>
            <c:numRef>
              <c:f>'WS-Konsolidasi'!$K$112:$K$113</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0-DBA0-714F-95F2-4176EFC62BFC}"/>
            </c:ext>
          </c:extLst>
        </c:ser>
        <c:ser>
          <c:idx val="2"/>
          <c:order val="1"/>
          <c:tx>
            <c:v>Taylor line</c:v>
          </c:tx>
          <c:spPr>
            <a:ln w="9525" cap="rnd">
              <a:solidFill>
                <a:schemeClr val="accent3"/>
              </a:solidFill>
              <a:round/>
            </a:ln>
            <a:effectLst/>
          </c:spPr>
          <c:marker>
            <c:symbol val="none"/>
          </c:marker>
          <c:xVal>
            <c:numRef>
              <c:f>'WS-Konsolidasi'!$I$117:$I$118</c:f>
              <c:numCache>
                <c:formatCode>0.00</c:formatCode>
                <c:ptCount val="2"/>
                <c:pt idx="0">
                  <c:v>0</c:v>
                </c:pt>
                <c:pt idx="1">
                  <c:v>43.639431710323635</c:v>
                </c:pt>
              </c:numCache>
            </c:numRef>
          </c:xVal>
          <c:yVal>
            <c:numRef>
              <c:f>'WS-Konsolidasi'!$K$117:$K$118</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1-DBA0-714F-95F2-4176EFC62BFC}"/>
            </c:ext>
          </c:extLst>
        </c:ser>
        <c:ser>
          <c:idx val="3"/>
          <c:order val="2"/>
          <c:tx>
            <c:v>t90</c:v>
          </c:tx>
          <c:spPr>
            <a:ln w="9525" cap="rnd">
              <a:solidFill>
                <a:schemeClr val="accent5">
                  <a:lumMod val="75000"/>
                </a:schemeClr>
              </a:solidFill>
              <a:prstDash val="dash"/>
              <a:round/>
            </a:ln>
            <a:effectLst/>
          </c:spPr>
          <c:marker>
            <c:symbol val="none"/>
          </c:marker>
          <c:xVal>
            <c:numRef>
              <c:f>'WS-Konsolidasi'!$I$122:$I$124</c:f>
              <c:numCache>
                <c:formatCode>General</c:formatCode>
                <c:ptCount val="3"/>
                <c:pt idx="0">
                  <c:v>0</c:v>
                </c:pt>
                <c:pt idx="1">
                  <c:v>2.2999999999999998</c:v>
                </c:pt>
                <c:pt idx="2">
                  <c:v>2.2999999999999998</c:v>
                </c:pt>
              </c:numCache>
            </c:numRef>
          </c:xVal>
          <c:yVal>
            <c:numRef>
              <c:f>'WS-Konsolidasi'!$K$122:$K$124</c:f>
              <c:numCache>
                <c:formatCode>General</c:formatCode>
                <c:ptCount val="3"/>
                <c:pt idx="0">
                  <c:v>6000</c:v>
                </c:pt>
                <c:pt idx="1">
                  <c:v>6000</c:v>
                </c:pt>
                <c:pt idx="2">
                  <c:v>94037.094541706552</c:v>
                </c:pt>
              </c:numCache>
            </c:numRef>
          </c:yVal>
          <c:smooth val="0"/>
          <c:extLst>
            <c:ext xmlns:c16="http://schemas.microsoft.com/office/drawing/2014/chart" uri="{C3380CC4-5D6E-409C-BE32-E72D297353CC}">
              <c16:uniqueId val="{00000002-DBA0-714F-95F2-4176EFC62BFC}"/>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'WS-Konsolidasi'!$C$107:$C$120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'WS-Konsolidasi'!$H$107:$H$120</c:f>
              <c:numCache>
                <c:formatCode>General</c:formatCode>
                <c:ptCount val="14"/>
                <c:pt idx="0">
                  <c:v>972</c:v>
                </c:pt>
                <c:pt idx="1">
                  <c:v>1920.5</c:v>
                </c:pt>
                <c:pt idx="2">
                  <c:v>2867.8</c:v>
                </c:pt>
                <c:pt idx="3">
                  <c:v>3814</c:v>
                </c:pt>
                <c:pt idx="4">
                  <c:v>4758.8</c:v>
                </c:pt>
                <c:pt idx="5">
                  <c:v>5702.1</c:v>
                </c:pt>
                <c:pt idx="6">
                  <c:v>6644.6</c:v>
                </c:pt>
                <c:pt idx="7">
                  <c:v>7586.6</c:v>
                </c:pt>
                <c:pt idx="8">
                  <c:v>8528.2000000000007</c:v>
                </c:pt>
                <c:pt idx="9">
                  <c:v>9469.4000000000015</c:v>
                </c:pt>
                <c:pt idx="10">
                  <c:v>10410.200000000001</c:v>
                </c:pt>
                <c:pt idx="11">
                  <c:v>11350.7</c:v>
                </c:pt>
                <c:pt idx="12">
                  <c:v>12290.900000000001</c:v>
                </c:pt>
                <c:pt idx="13">
                  <c:v>13230.800000000001</c:v>
                </c:pt>
              </c:numCache>
            </c:numRef>
          </c:yVal>
          <c:smooth val="1"/>
          <c:extLst>
            <c:ext xmlns:c16="http://schemas.microsoft.com/office/drawing/2014/chart" uri="{C3380CC4-5D6E-409C-BE32-E72D297353CC}">
              <c16:uniqueId val="{00000003-DBA0-714F-95F2-4176EFC62BFC}"/>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880477871300571"/>
              <c:y val="0.82869379963868151"/>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200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05008157764064"/>
          <c:y val="0.12235521754319958"/>
          <c:w val="0.86291622330992412"/>
          <c:h val="0.7149635860363871"/>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'WS-Konsolidasi'!$I$154:$I$155</c:f>
              <c:numCache>
                <c:formatCode>0.00</c:formatCode>
                <c:ptCount val="2"/>
                <c:pt idx="0">
                  <c:v>0</c:v>
                </c:pt>
                <c:pt idx="1">
                  <c:v>37.947331922020552</c:v>
                </c:pt>
              </c:numCache>
            </c:numRef>
          </c:xVal>
          <c:yVal>
            <c:numRef>
              <c:f>'WS-Konsolidasi'!$K$154:$K$155</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1-0EEC-FF47-9070-C511896C3688}"/>
            </c:ext>
          </c:extLst>
        </c:ser>
        <c:ser>
          <c:idx val="2"/>
          <c:order val="2"/>
          <c:tx>
            <c:v>Taylor line</c:v>
          </c:tx>
          <c:spPr>
            <a:ln w="9525" cap="rnd">
              <a:solidFill>
                <a:schemeClr val="accent3"/>
              </a:solidFill>
              <a:round/>
            </a:ln>
            <a:effectLst/>
          </c:spPr>
          <c:marker>
            <c:symbol val="none"/>
          </c:marker>
          <c:dPt>
            <c:idx val="1"/>
            <c:marker>
              <c:symbol val="none"/>
            </c:marker>
            <c:bubble3D val="0"/>
            <c:spPr>
              <a:ln w="9525" cap="rnd">
                <a:solidFill>
                  <a:schemeClr val="accent3"/>
                </a:solidFill>
                <a:round/>
              </a:ln>
              <a:effectLst/>
            </c:spPr>
            <c:extLst>
              <c:ext xmlns:c16="http://schemas.microsoft.com/office/drawing/2014/chart" uri="{C3380CC4-5D6E-409C-BE32-E72D297353CC}">
                <c16:uniqueId val="{00000000-3BA2-1248-B018-F462D0B17B5B}"/>
              </c:ext>
            </c:extLst>
          </c:dPt>
          <c:xVal>
            <c:numRef>
              <c:f>'WS-Konsolidasi'!$I$159:$I$160</c:f>
              <c:numCache>
                <c:formatCode>General</c:formatCode>
                <c:ptCount val="2"/>
                <c:pt idx="0">
                  <c:v>0</c:v>
                </c:pt>
                <c:pt idx="1">
                  <c:v>43.639431710323635</c:v>
                </c:pt>
              </c:numCache>
            </c:numRef>
          </c:xVal>
          <c:yVal>
            <c:numRef>
              <c:f>'WS-Konsolidasi'!$K$159:$K$160</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2-0EEC-FF47-9070-C511896C3688}"/>
            </c:ext>
          </c:extLst>
        </c:ser>
        <c:ser>
          <c:idx val="3"/>
          <c:order val="3"/>
          <c:tx>
            <c:v>t90</c:v>
          </c:tx>
          <c:spPr>
            <a:ln w="9525" cap="rnd">
              <a:solidFill>
                <a:schemeClr val="accent5">
                  <a:lumMod val="75000"/>
                </a:schemeClr>
              </a:solidFill>
              <a:prstDash val="dash"/>
              <a:round/>
            </a:ln>
            <a:effectLst/>
          </c:spPr>
          <c:marker>
            <c:symbol val="none"/>
          </c:marker>
          <c:xVal>
            <c:numRef>
              <c:f>'WS-Konsolidasi'!$I$164:$I$166</c:f>
              <c:numCache>
                <c:formatCode>General</c:formatCode>
                <c:ptCount val="3"/>
                <c:pt idx="0">
                  <c:v>0</c:v>
                </c:pt>
                <c:pt idx="1">
                  <c:v>2.2999999999999998</c:v>
                </c:pt>
                <c:pt idx="2">
                  <c:v>2.2999999999999998</c:v>
                </c:pt>
              </c:numCache>
            </c:numRef>
          </c:xVal>
          <c:yVal>
            <c:numRef>
              <c:f>'WS-Konsolidasi'!$K$164:$K$166</c:f>
              <c:numCache>
                <c:formatCode>General</c:formatCode>
                <c:ptCount val="3"/>
                <c:pt idx="0">
                  <c:v>5300</c:v>
                </c:pt>
                <c:pt idx="1">
                  <c:v>5300</c:v>
                </c:pt>
                <c:pt idx="2">
                  <c:v>82645.688378369305</c:v>
                </c:pt>
              </c:numCache>
            </c:numRef>
          </c:yVal>
          <c:smooth val="0"/>
          <c:extLst>
            <c:ext xmlns:c16="http://schemas.microsoft.com/office/drawing/2014/chart" uri="{C3380CC4-5D6E-409C-BE32-E72D297353CC}">
              <c16:uniqueId val="{00000003-0EEC-FF47-9070-C511896C3688}"/>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'WS-Konsolidasi'!$C$149:$C$162</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'WS-Konsolidasi'!$H$149:$H$162</c:f>
              <c:numCache>
                <c:formatCode>General</c:formatCode>
                <c:ptCount val="14"/>
                <c:pt idx="0">
                  <c:v>888.5</c:v>
                </c:pt>
                <c:pt idx="1">
                  <c:v>1730.1</c:v>
                </c:pt>
                <c:pt idx="2">
                  <c:v>2565.3000000000002</c:v>
                </c:pt>
                <c:pt idx="3">
                  <c:v>3397</c:v>
                </c:pt>
                <c:pt idx="4">
                  <c:v>4225.6000000000004</c:v>
                </c:pt>
                <c:pt idx="5">
                  <c:v>5053</c:v>
                </c:pt>
                <c:pt idx="6">
                  <c:v>5879.2</c:v>
                </c:pt>
                <c:pt idx="7">
                  <c:v>6704.0999999999995</c:v>
                </c:pt>
                <c:pt idx="8">
                  <c:v>7528.4999999999991</c:v>
                </c:pt>
                <c:pt idx="9">
                  <c:v>8352.4</c:v>
                </c:pt>
                <c:pt idx="10">
                  <c:v>9175.7999999999993</c:v>
                </c:pt>
                <c:pt idx="11">
                  <c:v>9998.6999999999989</c:v>
                </c:pt>
                <c:pt idx="12">
                  <c:v>10821.199999999999</c:v>
                </c:pt>
                <c:pt idx="13">
                  <c:v>11643.3</c:v>
                </c:pt>
              </c:numCache>
            </c:numRef>
          </c:yVal>
          <c:smooth val="1"/>
          <c:extLst>
            <c:ext xmlns:c16="http://schemas.microsoft.com/office/drawing/2014/chart" uri="{C3380CC4-5D6E-409C-BE32-E72D297353CC}">
              <c16:uniqueId val="{00000000-0EEC-FF47-9070-C511896C3688}"/>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3531425125913312"/>
              <c:y val="0.88124586815726536"/>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400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77720679651885"/>
          <c:y val="0.10982785772468097"/>
          <c:w val="0.84967542478242852"/>
          <c:h val="0.6830225359761064"/>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'WS-Konsolidasi'!$I$176:$I$177</c:f>
              <c:numCache>
                <c:formatCode>0.00</c:formatCode>
                <c:ptCount val="2"/>
                <c:pt idx="0">
                  <c:v>0</c:v>
                </c:pt>
                <c:pt idx="1">
                  <c:v>37.947331922020552</c:v>
                </c:pt>
              </c:numCache>
            </c:numRef>
          </c:xVal>
          <c:yVal>
            <c:numRef>
              <c:f>'WS-Konsolidasi'!$K$176:$K$177</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1-097A-FF46-B9C3-9B4E6D35A9AD}"/>
            </c:ext>
          </c:extLst>
        </c:ser>
        <c:ser>
          <c:idx val="2"/>
          <c:order val="2"/>
          <c:tx>
            <c:v>Taylor line</c:v>
          </c:tx>
          <c:spPr>
            <a:ln w="9525" cap="rnd">
              <a:solidFill>
                <a:schemeClr val="accent3"/>
              </a:solidFill>
              <a:round/>
            </a:ln>
            <a:effectLst/>
          </c:spPr>
          <c:marker>
            <c:symbol val="none"/>
          </c:marker>
          <c:xVal>
            <c:numRef>
              <c:f>'WS-Konsolidasi'!$I$181:$I$182</c:f>
              <c:numCache>
                <c:formatCode>0.00</c:formatCode>
                <c:ptCount val="2"/>
                <c:pt idx="0" formatCode="General">
                  <c:v>0</c:v>
                </c:pt>
                <c:pt idx="1">
                  <c:v>43.639431710323635</c:v>
                </c:pt>
              </c:numCache>
            </c:numRef>
          </c:xVal>
          <c:yVal>
            <c:numRef>
              <c:f>'WS-Konsolidasi'!$K$181:$K$182</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2-097A-FF46-B9C3-9B4E6D35A9AD}"/>
            </c:ext>
          </c:extLst>
        </c:ser>
        <c:ser>
          <c:idx val="3"/>
          <c:order val="3"/>
          <c:tx>
            <c:v>t90</c:v>
          </c:tx>
          <c:spPr>
            <a:ln w="9525" cap="rnd">
              <a:solidFill>
                <a:schemeClr val="accent5">
                  <a:lumMod val="75000"/>
                </a:schemeClr>
              </a:solidFill>
              <a:prstDash val="dash"/>
              <a:round/>
            </a:ln>
            <a:effectLst/>
          </c:spPr>
          <c:marker>
            <c:symbol val="none"/>
          </c:marker>
          <c:xVal>
            <c:numRef>
              <c:f>'WS-Konsolidasi'!$I$186:$I$188</c:f>
              <c:numCache>
                <c:formatCode>General</c:formatCode>
                <c:ptCount val="3"/>
                <c:pt idx="0">
                  <c:v>0</c:v>
                </c:pt>
                <c:pt idx="1">
                  <c:v>2.2000000000000002</c:v>
                </c:pt>
                <c:pt idx="2">
                  <c:v>2.2000000000000002</c:v>
                </c:pt>
              </c:numCache>
            </c:numRef>
          </c:xVal>
          <c:yVal>
            <c:numRef>
              <c:f>'WS-Konsolidasi'!$K$186:$K$188</c:f>
              <c:numCache>
                <c:formatCode>General</c:formatCode>
                <c:ptCount val="3"/>
                <c:pt idx="0">
                  <c:v>4800</c:v>
                </c:pt>
                <c:pt idx="1">
                  <c:v>4800</c:v>
                </c:pt>
                <c:pt idx="2">
                  <c:v>75503.727939478107</c:v>
                </c:pt>
              </c:numCache>
            </c:numRef>
          </c:yVal>
          <c:smooth val="0"/>
          <c:extLst>
            <c:ext xmlns:c16="http://schemas.microsoft.com/office/drawing/2014/chart" uri="{C3380CC4-5D6E-409C-BE32-E72D297353CC}">
              <c16:uniqueId val="{00000003-097A-FF46-B9C3-9B4E6D35A9AD}"/>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'WS-Konsolidasi'!$C$171:$C$184</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'WS-Konsolidasi'!$H$171:$H$184</c:f>
              <c:numCache>
                <c:formatCode>General</c:formatCode>
                <c:ptCount val="14"/>
                <c:pt idx="0">
                  <c:v>822.1</c:v>
                </c:pt>
                <c:pt idx="1">
                  <c:v>1592.3000000000002</c:v>
                </c:pt>
                <c:pt idx="2">
                  <c:v>2358.6000000000004</c:v>
                </c:pt>
                <c:pt idx="3">
                  <c:v>3120.1000000000004</c:v>
                </c:pt>
                <c:pt idx="4">
                  <c:v>3876.9000000000005</c:v>
                </c:pt>
                <c:pt idx="5">
                  <c:v>4628.1000000000004</c:v>
                </c:pt>
                <c:pt idx="6">
                  <c:v>5376.3</c:v>
                </c:pt>
                <c:pt idx="7">
                  <c:v>6122.9000000000005</c:v>
                </c:pt>
                <c:pt idx="8">
                  <c:v>6868.3</c:v>
                </c:pt>
                <c:pt idx="9">
                  <c:v>7613.2</c:v>
                </c:pt>
                <c:pt idx="10">
                  <c:v>8357.6</c:v>
                </c:pt>
                <c:pt idx="11">
                  <c:v>9101.5</c:v>
                </c:pt>
                <c:pt idx="12">
                  <c:v>9844.9</c:v>
                </c:pt>
                <c:pt idx="13">
                  <c:v>10587.8</c:v>
                </c:pt>
              </c:numCache>
            </c:numRef>
          </c:yVal>
          <c:smooth val="1"/>
          <c:extLst>
            <c:ext xmlns:c16="http://schemas.microsoft.com/office/drawing/2014/chart" uri="{C3380CC4-5D6E-409C-BE32-E72D297353CC}">
              <c16:uniqueId val="{00000000-097A-FF46-B9C3-9B4E6D35A9AD}"/>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a:latin typeface="Arial" panose="020B0604020202020204" pitchFamily="34" charset="0"/>
                    <a:cs typeface="Arial" panose="020B0604020202020204" pitchFamily="34" charset="0"/>
                  </a:rPr>
                  <a:t>√t (min½)</a:t>
                </a:r>
              </a:p>
            </c:rich>
          </c:tx>
          <c:layout>
            <c:manualLayout>
              <c:xMode val="edge"/>
              <c:yMode val="edge"/>
              <c:x val="0.54878856195607129"/>
              <c:y val="0.838638066793374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800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217143284642864"/>
          <c:y val="0.12349653661713336"/>
          <c:w val="0.8232442441131913"/>
          <c:h val="0.65442306553786045"/>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'WS-Konsolidasi'!$I$198:$I$199</c:f>
              <c:numCache>
                <c:formatCode>0.00</c:formatCode>
                <c:ptCount val="2"/>
                <c:pt idx="0">
                  <c:v>0.5</c:v>
                </c:pt>
                <c:pt idx="1">
                  <c:v>37.947331922020552</c:v>
                </c:pt>
              </c:numCache>
            </c:numRef>
          </c:xVal>
          <c:yVal>
            <c:numRef>
              <c:f>'WS-Konsolidasi'!$K$198:$K$199</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1-2D90-0D43-AF30-78857BE1CA62}"/>
            </c:ext>
          </c:extLst>
        </c:ser>
        <c:ser>
          <c:idx val="2"/>
          <c:order val="2"/>
          <c:tx>
            <c:v>Taylor line</c:v>
          </c:tx>
          <c:spPr>
            <a:ln w="9525" cap="rnd">
              <a:solidFill>
                <a:schemeClr val="accent3"/>
              </a:solidFill>
              <a:round/>
            </a:ln>
            <a:effectLst/>
          </c:spPr>
          <c:marker>
            <c:symbol val="none"/>
          </c:marker>
          <c:xVal>
            <c:numRef>
              <c:f>'WS-Konsolidasi'!$I$203:$I$204</c:f>
              <c:numCache>
                <c:formatCode>General</c:formatCode>
                <c:ptCount val="2"/>
                <c:pt idx="0">
                  <c:v>0.5</c:v>
                </c:pt>
                <c:pt idx="1">
                  <c:v>43.639431710323635</c:v>
                </c:pt>
              </c:numCache>
            </c:numRef>
          </c:xVal>
          <c:yVal>
            <c:numRef>
              <c:f>'WS-Konsolidasi'!$K$203:$K$204</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2-2D90-0D43-AF30-78857BE1CA62}"/>
            </c:ext>
          </c:extLst>
        </c:ser>
        <c:ser>
          <c:idx val="3"/>
          <c:order val="3"/>
          <c:tx>
            <c:v>t90</c:v>
          </c:tx>
          <c:spPr>
            <a:ln w="9525" cap="rnd">
              <a:solidFill>
                <a:schemeClr val="accent5">
                  <a:lumMod val="75000"/>
                </a:schemeClr>
              </a:solidFill>
              <a:prstDash val="dash"/>
              <a:round/>
            </a:ln>
            <a:effectLst/>
          </c:spPr>
          <c:marker>
            <c:symbol val="none"/>
          </c:marker>
          <c:xVal>
            <c:numRef>
              <c:f>'WS-Konsolidasi'!$I$208:$I$210</c:f>
              <c:numCache>
                <c:formatCode>General</c:formatCode>
                <c:ptCount val="3"/>
                <c:pt idx="0">
                  <c:v>0</c:v>
                </c:pt>
                <c:pt idx="1">
                  <c:v>2</c:v>
                </c:pt>
                <c:pt idx="2">
                  <c:v>2</c:v>
                </c:pt>
              </c:numCache>
            </c:numRef>
          </c:xVal>
          <c:yVal>
            <c:numRef>
              <c:f>'WS-Konsolidasi'!$K$208:$K$210</c:f>
              <c:numCache>
                <c:formatCode>General</c:formatCode>
                <c:ptCount val="3"/>
                <c:pt idx="0">
                  <c:v>4200</c:v>
                </c:pt>
                <c:pt idx="1">
                  <c:v>4200</c:v>
                </c:pt>
                <c:pt idx="2">
                  <c:v>68223.450137963082</c:v>
                </c:pt>
              </c:numCache>
            </c:numRef>
          </c:yVal>
          <c:smooth val="0"/>
          <c:extLst>
            <c:ext xmlns:c16="http://schemas.microsoft.com/office/drawing/2014/chart" uri="{C3380CC4-5D6E-409C-BE32-E72D297353CC}">
              <c16:uniqueId val="{00000003-2D90-0D43-AF30-78857BE1CA62}"/>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'WS-Konsolidasi'!$C$193:$C$206</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'WS-Konsolidasi'!$H$193:$H$206</c:f>
              <c:numCache>
                <c:formatCode>General</c:formatCode>
                <c:ptCount val="14"/>
                <c:pt idx="0">
                  <c:v>742.9</c:v>
                </c:pt>
                <c:pt idx="1">
                  <c:v>1454.5</c:v>
                </c:pt>
                <c:pt idx="2">
                  <c:v>2156.6999999999998</c:v>
                </c:pt>
                <c:pt idx="3">
                  <c:v>2847.95</c:v>
                </c:pt>
                <c:pt idx="4">
                  <c:v>3529.1499999999996</c:v>
                </c:pt>
                <c:pt idx="5">
                  <c:v>4199.6499999999996</c:v>
                </c:pt>
                <c:pt idx="6">
                  <c:v>4861.95</c:v>
                </c:pt>
                <c:pt idx="7">
                  <c:v>5517.15</c:v>
                </c:pt>
                <c:pt idx="8">
                  <c:v>6166.3499999999995</c:v>
                </c:pt>
                <c:pt idx="9">
                  <c:v>6814.8499999999995</c:v>
                </c:pt>
                <c:pt idx="10">
                  <c:v>7462.65</c:v>
                </c:pt>
                <c:pt idx="11">
                  <c:v>8109.8499999999995</c:v>
                </c:pt>
                <c:pt idx="12">
                  <c:v>8756.4499999999989</c:v>
                </c:pt>
                <c:pt idx="13">
                  <c:v>9402.5499999999993</c:v>
                </c:pt>
              </c:numCache>
            </c:numRef>
          </c:yVal>
          <c:smooth val="1"/>
          <c:extLst>
            <c:ext xmlns:c16="http://schemas.microsoft.com/office/drawing/2014/chart" uri="{C3380CC4-5D6E-409C-BE32-E72D297353CC}">
              <c16:uniqueId val="{00000000-2D90-0D43-AF30-78857BE1CA62}"/>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2774234574597412"/>
              <c:y val="0.83535729086495769"/>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 val="autoZero"/>
        <c:crossBetween val="midCat"/>
      </c:valAx>
      <c:valAx>
        <c:axId val="1415920911"/>
        <c:scaling>
          <c:orientation val="maxMin"/>
          <c:max val="1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 val="autoZero"/>
        <c:crossBetween val="midCat"/>
        <c:majorUnit val="3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LOAD INCREMENT 100 kPa</a:t>
            </a:r>
            <a:endParaRPr lang="en-US" sz="700" b="0" i="0" u="none" strike="noStrike" kern="1200" spc="0" baseline="3000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82139520695506"/>
          <c:y val="0.11666695509215193"/>
          <c:w val="0.85262664200873195"/>
          <c:h val="0.68664763058463851"/>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'WS-Konsolidasi'!$I$133:$I$134</c:f>
              <c:numCache>
                <c:formatCode>0.00</c:formatCode>
                <c:ptCount val="2"/>
                <c:pt idx="0">
                  <c:v>0</c:v>
                </c:pt>
                <c:pt idx="1">
                  <c:v>37.947331922020552</c:v>
                </c:pt>
              </c:numCache>
            </c:numRef>
          </c:xVal>
          <c:yVal>
            <c:numRef>
              <c:f>'WS-Konsolidasi'!$K$133:$K$134</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0-5F14-F541-A350-023665BF72E8}"/>
            </c:ext>
          </c:extLst>
        </c:ser>
        <c:ser>
          <c:idx val="2"/>
          <c:order val="1"/>
          <c:tx>
            <c:v>Taylor line</c:v>
          </c:tx>
          <c:spPr>
            <a:ln w="9525" cap="rnd">
              <a:solidFill>
                <a:schemeClr val="accent3"/>
              </a:solidFill>
              <a:round/>
            </a:ln>
            <a:effectLst/>
          </c:spPr>
          <c:marker>
            <c:symbol val="none"/>
          </c:marker>
          <c:xVal>
            <c:numRef>
              <c:f>'WS-Konsolidasi'!$I$138:$I$139</c:f>
              <c:numCache>
                <c:formatCode>General</c:formatCode>
                <c:ptCount val="2"/>
                <c:pt idx="0">
                  <c:v>0</c:v>
                </c:pt>
                <c:pt idx="1">
                  <c:v>43.639431710323635</c:v>
                </c:pt>
              </c:numCache>
            </c:numRef>
          </c:xVal>
          <c:yVal>
            <c:numRef>
              <c:f>'WS-Konsolidasi'!$K$138:$K$139</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1-5F14-F541-A350-023665BF72E8}"/>
            </c:ext>
          </c:extLst>
        </c:ser>
        <c:ser>
          <c:idx val="3"/>
          <c:order val="2"/>
          <c:tx>
            <c:v>t90</c:v>
          </c:tx>
          <c:spPr>
            <a:ln w="9525" cap="rnd">
              <a:solidFill>
                <a:schemeClr val="accent5">
                  <a:lumMod val="75000"/>
                </a:schemeClr>
              </a:solidFill>
              <a:prstDash val="dash"/>
              <a:round/>
            </a:ln>
            <a:effectLst/>
          </c:spPr>
          <c:marker>
            <c:symbol val="none"/>
          </c:marker>
          <c:xVal>
            <c:numRef>
              <c:f>'WS-Konsolidasi'!$I$143:$I$145</c:f>
              <c:numCache>
                <c:formatCode>General</c:formatCode>
                <c:ptCount val="3"/>
                <c:pt idx="0">
                  <c:v>0</c:v>
                </c:pt>
                <c:pt idx="1">
                  <c:v>2.2000000000000002</c:v>
                </c:pt>
                <c:pt idx="2">
                  <c:v>2.2000000000000002</c:v>
                </c:pt>
              </c:numCache>
            </c:numRef>
          </c:xVal>
          <c:yVal>
            <c:numRef>
              <c:f>'WS-Konsolidasi'!$K$143:$K$145</c:f>
              <c:numCache>
                <c:formatCode>General</c:formatCode>
                <c:ptCount val="3"/>
                <c:pt idx="0">
                  <c:v>5600</c:v>
                </c:pt>
                <c:pt idx="1">
                  <c:v>5600</c:v>
                </c:pt>
                <c:pt idx="2">
                  <c:v>89095.26731512438</c:v>
                </c:pt>
              </c:numCache>
            </c:numRef>
          </c:yVal>
          <c:smooth val="0"/>
          <c:extLst>
            <c:ext xmlns:c16="http://schemas.microsoft.com/office/drawing/2014/chart" uri="{C3380CC4-5D6E-409C-BE32-E72D297353CC}">
              <c16:uniqueId val="{00000002-5F14-F541-A350-023665BF72E8}"/>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'WS-Konsolidasi'!$C$128:$C$141</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'WS-Konsolidasi'!$H$128:$H$141</c:f>
              <c:numCache>
                <c:formatCode>General</c:formatCode>
                <c:ptCount val="14"/>
                <c:pt idx="0">
                  <c:v>939.9</c:v>
                </c:pt>
                <c:pt idx="1">
                  <c:v>1839.1</c:v>
                </c:pt>
                <c:pt idx="2">
                  <c:v>2736.6</c:v>
                </c:pt>
                <c:pt idx="3">
                  <c:v>3633.2</c:v>
                </c:pt>
                <c:pt idx="4">
                  <c:v>4527.7</c:v>
                </c:pt>
                <c:pt idx="5">
                  <c:v>5421.2999999999993</c:v>
                </c:pt>
                <c:pt idx="6">
                  <c:v>6313.2999999999993</c:v>
                </c:pt>
                <c:pt idx="7">
                  <c:v>7204.4999999999991</c:v>
                </c:pt>
                <c:pt idx="8">
                  <c:v>8095.0999999999985</c:v>
                </c:pt>
                <c:pt idx="9">
                  <c:v>8985.2999999999993</c:v>
                </c:pt>
                <c:pt idx="10">
                  <c:v>9875</c:v>
                </c:pt>
                <c:pt idx="11">
                  <c:v>10764.3</c:v>
                </c:pt>
                <c:pt idx="12">
                  <c:v>11653.199999999999</c:v>
                </c:pt>
                <c:pt idx="13">
                  <c:v>12541.699999999999</c:v>
                </c:pt>
              </c:numCache>
            </c:numRef>
          </c:yVal>
          <c:smooth val="1"/>
          <c:extLst>
            <c:ext xmlns:c16="http://schemas.microsoft.com/office/drawing/2014/chart" uri="{C3380CC4-5D6E-409C-BE32-E72D297353CC}">
              <c16:uniqueId val="{00000003-5F14-F541-A350-023665BF72E8}"/>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0031496062992131"/>
              <c:y val="0.8615569207695191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(10-</a:t>
                </a:r>
                <a:r>
                  <a:rPr lang="en-US" sz="700" b="0" i="0" u="none" strike="noStrike" kern="1200" baseline="30000">
                    <a:solidFill>
                      <a:sysClr val="windowText" lastClr="000000"/>
                    </a:solidFill>
                    <a:latin typeface="Arial" panose="020B0604020202020204" pitchFamily="34" charset="0"/>
                    <a:cs typeface="Arial" panose="020B0604020202020204" pitchFamily="34" charset="0"/>
                  </a:rPr>
                  <a:t>3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mm</a:t>
                </a:r>
                <a:r>
                  <a:rPr lang="en-US" sz="700" baseline="0">
                    <a:solidFill>
                      <a:sysClr val="windowText" lastClr="000000"/>
                    </a:solidFill>
                    <a:latin typeface="Arial" panose="020B0604020202020204" pitchFamily="34" charset="0"/>
                    <a:cs typeface="Arial" panose="020B0604020202020204" pitchFamily="34" charset="0"/>
                  </a:rPr>
                  <a:t>)</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e-log p</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'WS-Konsolidasi'!$C$257:$C$262</c:f>
              <c:numCache>
                <c:formatCode>General</c:formatCode>
                <c:ptCount val="6"/>
                <c:pt idx="0">
                  <c:v>0.25</c:v>
                </c:pt>
                <c:pt idx="1">
                  <c:v>0.5</c:v>
                </c:pt>
                <c:pt idx="2">
                  <c:v>1</c:v>
                </c:pt>
                <c:pt idx="3">
                  <c:v>2</c:v>
                </c:pt>
                <c:pt idx="4">
                  <c:v>4</c:v>
                </c:pt>
                <c:pt idx="5">
                  <c:v>8</c:v>
                </c:pt>
              </c:numCache>
            </c:numRef>
          </c:xVal>
          <c:yVal>
            <c:numRef>
              <c:f>'WS-Konsolidasi'!$E$257:$E$262</c:f>
              <c:numCache>
                <c:formatCode>0.0000</c:formatCode>
                <c:ptCount val="6"/>
                <c:pt idx="0">
                  <c:v>0.9642566849233134</c:v>
                </c:pt>
                <c:pt idx="1">
                  <c:v>0.96113172446883588</c:v>
                </c:pt>
                <c:pt idx="2">
                  <c:v>0.95612789370995288</c:v>
                </c:pt>
                <c:pt idx="3">
                  <c:v>0.9496638010564542</c:v>
                </c:pt>
                <c:pt idx="4">
                  <c:v>0.94195361825288348</c:v>
                </c:pt>
                <c:pt idx="5">
                  <c:v>0.93253006149296369</c:v>
                </c:pt>
              </c:numCache>
            </c:numRef>
          </c:yVal>
          <c:smooth val="1"/>
          <c:extLst>
            <c:ext xmlns:c16="http://schemas.microsoft.com/office/drawing/2014/chart" uri="{C3380CC4-5D6E-409C-BE32-E72D297353CC}">
              <c16:uniqueId val="{00000000-5F1B-C84F-81CD-BF57ED990A03}"/>
            </c:ext>
          </c:extLst>
        </c:ser>
        <c:ser>
          <c:idx val="1"/>
          <c:order val="1"/>
          <c:tx>
            <c:v>log p tangen</c:v>
          </c:tx>
          <c:spPr>
            <a:ln w="9525" cap="rnd">
              <a:solidFill>
                <a:schemeClr val="accent2"/>
              </a:solidFill>
              <a:prstDash val="dash"/>
              <a:round/>
            </a:ln>
            <a:effectLst/>
          </c:spPr>
          <c:marker>
            <c:symbol val="none"/>
          </c:marker>
          <c:xVal>
            <c:numRef>
              <c:f>'WS-Konsolidasi'!$L$255:$L$270</c:f>
              <c:numCache>
                <c:formatCode>General</c:formatCode>
                <c:ptCount val="16"/>
                <c:pt idx="0">
                  <c:v>0.25</c:v>
                </c:pt>
                <c:pt idx="1">
                  <c:v>0.3</c:v>
                </c:pt>
                <c:pt idx="2">
                  <c:v>0.4</c:v>
                </c:pt>
                <c:pt idx="3">
                  <c:v>0.5</c:v>
                </c:pt>
                <c:pt idx="4">
                  <c:v>0.7</c:v>
                </c:pt>
                <c:pt idx="5">
                  <c:v>1</c:v>
                </c:pt>
                <c:pt idx="6">
                  <c:v>2</c:v>
                </c:pt>
                <c:pt idx="7">
                  <c:v>4</c:v>
                </c:pt>
                <c:pt idx="8">
                  <c:v>8</c:v>
                </c:pt>
              </c:numCache>
            </c:numRef>
          </c:xVal>
          <c:yVal>
            <c:numRef>
              <c:f>'WS-Konsolidasi'!$M$255:$M$270</c:f>
              <c:numCache>
                <c:formatCode>General</c:formatCode>
                <c:ptCount val="16"/>
                <c:pt idx="0">
                  <c:v>0.97092521424205824</c:v>
                </c:pt>
                <c:pt idx="1">
                  <c:v>0.9690610531805709</c:v>
                </c:pt>
                <c:pt idx="2">
                  <c:v>0.96611962526067507</c:v>
                </c:pt>
                <c:pt idx="3">
                  <c:v>0.9638380765135236</c:v>
                </c:pt>
                <c:pt idx="4">
                  <c:v>0.96039778973224244</c:v>
                </c:pt>
                <c:pt idx="5">
                  <c:v>0.95675093878498885</c:v>
                </c:pt>
                <c:pt idx="6">
                  <c:v>0.9496638010564542</c:v>
                </c:pt>
                <c:pt idx="7">
                  <c:v>0.94257666332791956</c:v>
                </c:pt>
                <c:pt idx="8">
                  <c:v>0.93548952559938481</c:v>
                </c:pt>
              </c:numCache>
            </c:numRef>
          </c:yVal>
          <c:smooth val="1"/>
          <c:extLst>
            <c:ext xmlns:c16="http://schemas.microsoft.com/office/drawing/2014/chart" uri="{C3380CC4-5D6E-409C-BE32-E72D297353CC}">
              <c16:uniqueId val="{00000000-E0A5-8849-91B8-4D3EF6061AB1}"/>
            </c:ext>
          </c:extLst>
        </c:ser>
        <c:ser>
          <c:idx val="2"/>
          <c:order val="2"/>
          <c:tx>
            <c:v>garis horisontal</c:v>
          </c:tx>
          <c:spPr>
            <a:ln w="9525" cap="rnd">
              <a:solidFill>
                <a:schemeClr val="accent3"/>
              </a:solidFill>
              <a:prstDash val="dash"/>
              <a:round/>
            </a:ln>
            <a:effectLst/>
          </c:spPr>
          <c:marker>
            <c:symbol val="none"/>
          </c:marker>
          <c:xVal>
            <c:numRef>
              <c:f>'WS-Konsolidasi'!$L$255:$L$263</c:f>
              <c:numCache>
                <c:formatCode>General</c:formatCode>
                <c:ptCount val="9"/>
                <c:pt idx="0">
                  <c:v>0.25</c:v>
                </c:pt>
                <c:pt idx="1">
                  <c:v>0.3</c:v>
                </c:pt>
                <c:pt idx="2">
                  <c:v>0.4</c:v>
                </c:pt>
                <c:pt idx="3">
                  <c:v>0.5</c:v>
                </c:pt>
                <c:pt idx="4">
                  <c:v>0.7</c:v>
                </c:pt>
                <c:pt idx="5">
                  <c:v>1</c:v>
                </c:pt>
                <c:pt idx="6">
                  <c:v>2</c:v>
                </c:pt>
                <c:pt idx="7">
                  <c:v>4</c:v>
                </c:pt>
                <c:pt idx="8">
                  <c:v>8</c:v>
                </c:pt>
              </c:numCache>
            </c:numRef>
          </c:xVal>
          <c:yVal>
            <c:numRef>
              <c:f>'WS-Konsolidasi'!$N$255:$N$263</c:f>
              <c:numCache>
                <c:formatCode>0.0000</c:formatCode>
                <c:ptCount val="9"/>
                <c:pt idx="0">
                  <c:v>0.9496638010564542</c:v>
                </c:pt>
                <c:pt idx="1">
                  <c:v>0.9496638010564542</c:v>
                </c:pt>
                <c:pt idx="2">
                  <c:v>0.9496638010564542</c:v>
                </c:pt>
                <c:pt idx="3">
                  <c:v>0.9496638010564542</c:v>
                </c:pt>
                <c:pt idx="4">
                  <c:v>0.9496638010564542</c:v>
                </c:pt>
                <c:pt idx="5">
                  <c:v>0.9496638010564542</c:v>
                </c:pt>
                <c:pt idx="6">
                  <c:v>0.9496638010564542</c:v>
                </c:pt>
                <c:pt idx="7">
                  <c:v>0.9496638010564542</c:v>
                </c:pt>
                <c:pt idx="8">
                  <c:v>0.9496638010564542</c:v>
                </c:pt>
              </c:numCache>
            </c:numRef>
          </c:yVal>
          <c:smooth val="1"/>
          <c:extLst>
            <c:ext xmlns:c16="http://schemas.microsoft.com/office/drawing/2014/chart" uri="{C3380CC4-5D6E-409C-BE32-E72D297353CC}">
              <c16:uniqueId val="{00000001-E0A5-8849-91B8-4D3EF6061AB1}"/>
            </c:ext>
          </c:extLst>
        </c:ser>
        <c:ser>
          <c:idx val="3"/>
          <c:order val="3"/>
          <c:tx>
            <c:v>bisector</c:v>
          </c:tx>
          <c:spPr>
            <a:ln w="12700" cap="rnd">
              <a:solidFill>
                <a:schemeClr val="accent4"/>
              </a:solidFill>
              <a:prstDash val="dash"/>
              <a:round/>
            </a:ln>
            <a:effectLst/>
          </c:spPr>
          <c:marker>
            <c:symbol val="none"/>
          </c:marker>
          <c:xVal>
            <c:numRef>
              <c:f>'WS-Konsolidasi'!$L$255:$L$263</c:f>
              <c:numCache>
                <c:formatCode>General</c:formatCode>
                <c:ptCount val="9"/>
                <c:pt idx="0">
                  <c:v>0.25</c:v>
                </c:pt>
                <c:pt idx="1">
                  <c:v>0.3</c:v>
                </c:pt>
                <c:pt idx="2">
                  <c:v>0.4</c:v>
                </c:pt>
                <c:pt idx="3">
                  <c:v>0.5</c:v>
                </c:pt>
                <c:pt idx="4">
                  <c:v>0.7</c:v>
                </c:pt>
                <c:pt idx="5">
                  <c:v>1</c:v>
                </c:pt>
                <c:pt idx="6">
                  <c:v>2</c:v>
                </c:pt>
                <c:pt idx="7">
                  <c:v>4</c:v>
                </c:pt>
                <c:pt idx="8">
                  <c:v>8</c:v>
                </c:pt>
              </c:numCache>
            </c:numRef>
          </c:xVal>
          <c:yVal>
            <c:numRef>
              <c:f>'WS-Konsolidasi'!$O$255:$O$263</c:f>
              <c:numCache>
                <c:formatCode>General</c:formatCode>
                <c:ptCount val="9"/>
                <c:pt idx="0">
                  <c:v>0.96029450764925628</c:v>
                </c:pt>
                <c:pt idx="1">
                  <c:v>0.95936242711851261</c:v>
                </c:pt>
                <c:pt idx="2">
                  <c:v>0.95789171315856469</c:v>
                </c:pt>
                <c:pt idx="3">
                  <c:v>0.95675093878498885</c:v>
                </c:pt>
                <c:pt idx="4">
                  <c:v>0.95503079539434832</c:v>
                </c:pt>
                <c:pt idx="5">
                  <c:v>0.95320736992072153</c:v>
                </c:pt>
                <c:pt idx="6">
                  <c:v>0.9496638010564542</c:v>
                </c:pt>
                <c:pt idx="7">
                  <c:v>0.94612023219218688</c:v>
                </c:pt>
                <c:pt idx="8">
                  <c:v>0.94257666332791956</c:v>
                </c:pt>
              </c:numCache>
            </c:numRef>
          </c:yVal>
          <c:smooth val="1"/>
          <c:extLst>
            <c:ext xmlns:c16="http://schemas.microsoft.com/office/drawing/2014/chart" uri="{C3380CC4-5D6E-409C-BE32-E72D297353CC}">
              <c16:uniqueId val="{00000002-E0A5-8849-91B8-4D3EF6061AB1}"/>
            </c:ext>
          </c:extLst>
        </c:ser>
        <c:ser>
          <c:idx val="4"/>
          <c:order val="4"/>
          <c:tx>
            <c:v>VL-line</c:v>
          </c:tx>
          <c:spPr>
            <a:ln w="12700" cap="rnd">
              <a:solidFill>
                <a:schemeClr val="accent5"/>
              </a:solidFill>
              <a:prstDash val="dash"/>
              <a:round/>
            </a:ln>
            <a:effectLst/>
          </c:spPr>
          <c:marker>
            <c:symbol val="none"/>
          </c:marker>
          <c:xVal>
            <c:numRef>
              <c:f>'WS-Konsolidasi'!$L$255:$L$263</c:f>
              <c:numCache>
                <c:formatCode>General</c:formatCode>
                <c:ptCount val="9"/>
                <c:pt idx="0">
                  <c:v>0.25</c:v>
                </c:pt>
                <c:pt idx="1">
                  <c:v>0.3</c:v>
                </c:pt>
                <c:pt idx="2">
                  <c:v>0.4</c:v>
                </c:pt>
                <c:pt idx="3">
                  <c:v>0.5</c:v>
                </c:pt>
                <c:pt idx="4">
                  <c:v>0.7</c:v>
                </c:pt>
                <c:pt idx="5">
                  <c:v>1</c:v>
                </c:pt>
                <c:pt idx="6">
                  <c:v>2</c:v>
                </c:pt>
                <c:pt idx="7">
                  <c:v>4</c:v>
                </c:pt>
                <c:pt idx="8">
                  <c:v>8</c:v>
                </c:pt>
              </c:numCache>
            </c:numRef>
          </c:xVal>
          <c:yVal>
            <c:numRef>
              <c:f>'WS-Konsolidasi'!$P$255:$P$263</c:f>
              <c:numCache>
                <c:formatCode>General</c:formatCode>
                <c:ptCount val="9"/>
                <c:pt idx="0">
                  <c:v>0.97964784529256277</c:v>
                </c:pt>
                <c:pt idx="1">
                  <c:v>0.97716912563937619</c:v>
                </c:pt>
                <c:pt idx="2">
                  <c:v>0.97325799620742692</c:v>
                </c:pt>
                <c:pt idx="3">
                  <c:v>0.97022428853264298</c:v>
                </c:pt>
                <c:pt idx="4">
                  <c:v>0.96564984127401643</c:v>
                </c:pt>
                <c:pt idx="5">
                  <c:v>0.96080073177272318</c:v>
                </c:pt>
                <c:pt idx="6">
                  <c:v>0.95137717501280339</c:v>
                </c:pt>
                <c:pt idx="7">
                  <c:v>0.9419536182528836</c:v>
                </c:pt>
                <c:pt idx="8">
                  <c:v>0.9325300614929638</c:v>
                </c:pt>
              </c:numCache>
            </c:numRef>
          </c:yVal>
          <c:smooth val="1"/>
          <c:extLst>
            <c:ext xmlns:c16="http://schemas.microsoft.com/office/drawing/2014/chart" uri="{C3380CC4-5D6E-409C-BE32-E72D297353CC}">
              <c16:uniqueId val="{00000003-E0A5-8849-91B8-4D3EF6061AB1}"/>
            </c:ext>
          </c:extLst>
        </c:ser>
        <c:ser>
          <c:idx val="5"/>
          <c:order val="5"/>
          <c:tx>
            <c:v>Pc</c:v>
          </c:tx>
          <c:spPr>
            <a:ln w="19050" cap="rnd">
              <a:solidFill>
                <a:schemeClr val="accent6"/>
              </a:solidFill>
              <a:round/>
            </a:ln>
            <a:effectLst/>
          </c:spPr>
          <c:marker>
            <c:symbol val="diamond"/>
            <c:size val="7"/>
            <c:spPr>
              <a:solidFill>
                <a:schemeClr val="accent6"/>
              </a:solidFill>
              <a:ln w="9525">
                <a:solidFill>
                  <a:schemeClr val="accent6"/>
                </a:solidFill>
              </a:ln>
              <a:effectLst/>
            </c:spPr>
          </c:marker>
          <c:dPt>
            <c:idx val="0"/>
            <c:marker>
              <c:symbol val="diamond"/>
              <c:size val="7"/>
              <c:spPr>
                <a:solidFill>
                  <a:schemeClr val="accent6"/>
                </a:solidFill>
                <a:ln w="9525">
                  <a:solidFill>
                    <a:schemeClr val="accent6"/>
                  </a:solidFill>
                </a:ln>
                <a:effectLst/>
              </c:spPr>
            </c:marker>
            <c:bubble3D val="0"/>
            <c:spPr>
              <a:ln w="19050" cap="rnd">
                <a:solidFill>
                  <a:schemeClr val="accent6"/>
                </a:solidFill>
                <a:round/>
              </a:ln>
              <a:effectLst/>
            </c:spPr>
            <c:extLst>
              <c:ext xmlns:c16="http://schemas.microsoft.com/office/drawing/2014/chart" uri="{C3380CC4-5D6E-409C-BE32-E72D297353CC}">
                <c16:uniqueId val="{00000001-9A4C-7A4A-9126-353550CFD5A2}"/>
              </c:ext>
            </c:extLst>
          </c:dPt>
          <c:xVal>
            <c:numRef>
              <c:f>'WS-Konsolidasi'!$M$274</c:f>
              <c:numCache>
                <c:formatCode>General</c:formatCode>
                <c:ptCount val="1"/>
              </c:numCache>
            </c:numRef>
          </c:xVal>
          <c:yVal>
            <c:numRef>
              <c:f>'WS-Konsolidasi'!$N$274</c:f>
              <c:numCache>
                <c:formatCode>General</c:formatCode>
                <c:ptCount val="1"/>
              </c:numCache>
            </c:numRef>
          </c:yVal>
          <c:smooth val="1"/>
          <c:extLst>
            <c:ext xmlns:c16="http://schemas.microsoft.com/office/drawing/2014/chart" uri="{C3380CC4-5D6E-409C-BE32-E72D297353CC}">
              <c16:uniqueId val="{00000004-E0A5-8849-91B8-4D3EF6061AB1}"/>
            </c:ext>
          </c:extLst>
        </c:ser>
        <c:dLbls>
          <c:showLegendKey val="0"/>
          <c:showVal val="0"/>
          <c:showCatName val="0"/>
          <c:showSerName val="0"/>
          <c:showPercent val="0"/>
          <c:showBubbleSize val="0"/>
        </c:dLbls>
        <c:axId val="21069264"/>
        <c:axId val="21187264"/>
      </c:scatterChart>
      <c:valAx>
        <c:axId val="2106926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264"/>
        <c:crosses val="autoZero"/>
        <c:crossBetween val="midCat"/>
      </c:valAx>
      <c:valAx>
        <c:axId val="2118726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264"/>
        <c:crossesAt val="-0.60199999999999998"/>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e log P</c:v>
          </c:tx>
          <c:spPr>
            <a:ln w="9525" cap="rnd">
              <a:solidFill>
                <a:schemeClr val="accent1"/>
              </a:solidFill>
              <a:round/>
            </a:ln>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'WS-Konsolidasi'!$L$318:$L$325</c:f>
              <c:numCache>
                <c:formatCode>General</c:formatCode>
                <c:ptCount val="8"/>
                <c:pt idx="0">
                  <c:v>25</c:v>
                </c:pt>
                <c:pt idx="1">
                  <c:v>50</c:v>
                </c:pt>
                <c:pt idx="2">
                  <c:v>100</c:v>
                </c:pt>
                <c:pt idx="3">
                  <c:v>200</c:v>
                </c:pt>
                <c:pt idx="4">
                  <c:v>400</c:v>
                </c:pt>
                <c:pt idx="5">
                  <c:v>800</c:v>
                </c:pt>
                <c:pt idx="6">
                  <c:v>200</c:v>
                </c:pt>
                <c:pt idx="7">
                  <c:v>25</c:v>
                </c:pt>
              </c:numCache>
            </c:numRef>
          </c:xVal>
          <c:yVal>
            <c:numRef>
              <c:f>'WS-Konsolidasi'!$M$318:$M$325</c:f>
              <c:numCache>
                <c:formatCode>General</c:formatCode>
                <c:ptCount val="8"/>
                <c:pt idx="0">
                  <c:v>0.9642566849233134</c:v>
                </c:pt>
                <c:pt idx="1">
                  <c:v>0.96113172446883588</c:v>
                </c:pt>
                <c:pt idx="2">
                  <c:v>0.95612789370995288</c:v>
                </c:pt>
                <c:pt idx="3">
                  <c:v>0.9496638010564542</c:v>
                </c:pt>
                <c:pt idx="4">
                  <c:v>0.94195361825288348</c:v>
                </c:pt>
                <c:pt idx="5">
                  <c:v>0.93253006149296369</c:v>
                </c:pt>
                <c:pt idx="6">
                  <c:v>0.93296814006134843</c:v>
                </c:pt>
                <c:pt idx="7">
                  <c:v>0.93428237576650253</c:v>
                </c:pt>
              </c:numCache>
            </c:numRef>
          </c:yVal>
          <c:smooth val="1"/>
          <c:extLst>
            <c:ext xmlns:c16="http://schemas.microsoft.com/office/drawing/2014/chart" uri="{C3380CC4-5D6E-409C-BE32-E72D297353CC}">
              <c16:uniqueId val="{00000000-CECB-474B-8A5F-24E5DA96267D}"/>
            </c:ext>
          </c:extLst>
        </c:ser>
        <c:ser>
          <c:idx val="1"/>
          <c:order val="1"/>
          <c:tx>
            <c:v>Bisector Line</c:v>
          </c:tx>
          <c:spPr>
            <a:ln w="12700" cap="rnd">
              <a:solidFill>
                <a:schemeClr val="accent2">
                  <a:lumMod val="75000"/>
                </a:schemeClr>
              </a:solidFill>
              <a:prstDash val="sysDash"/>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'WS-Konsolidasi'!$R$320:$R$326</c:f>
              <c:numCache>
                <c:formatCode>General</c:formatCode>
                <c:ptCount val="7"/>
                <c:pt idx="0">
                  <c:v>0.95789171315856469</c:v>
                </c:pt>
                <c:pt idx="1">
                  <c:v>0.95675093878498885</c:v>
                </c:pt>
                <c:pt idx="2">
                  <c:v>0.95503079539434832</c:v>
                </c:pt>
                <c:pt idx="3">
                  <c:v>0.95320736992072153</c:v>
                </c:pt>
                <c:pt idx="4">
                  <c:v>0.9496638010564542</c:v>
                </c:pt>
                <c:pt idx="5">
                  <c:v>0.94612023219218688</c:v>
                </c:pt>
                <c:pt idx="6">
                  <c:v>0.94257666332791956</c:v>
                </c:pt>
              </c:numCache>
            </c:numRef>
          </c:yVal>
          <c:smooth val="1"/>
          <c:extLst>
            <c:ext xmlns:c16="http://schemas.microsoft.com/office/drawing/2014/chart" uri="{C3380CC4-5D6E-409C-BE32-E72D297353CC}">
              <c16:uniqueId val="{00000002-CECB-474B-8A5F-24E5DA96267D}"/>
            </c:ext>
          </c:extLst>
        </c:ser>
        <c:ser>
          <c:idx val="2"/>
          <c:order val="2"/>
          <c:tx>
            <c:v>VCL</c:v>
          </c:tx>
          <c:spPr>
            <a:ln w="12700" cap="rnd">
              <a:solidFill>
                <a:schemeClr val="accent3"/>
              </a:solidFill>
              <a:prstDash val="dashDot"/>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'WS-Konsolidasi'!$T$320:$T$326</c:f>
              <c:numCache>
                <c:formatCode>General</c:formatCode>
                <c:ptCount val="7"/>
                <c:pt idx="0">
                  <c:v>0.97325799620742692</c:v>
                </c:pt>
                <c:pt idx="1">
                  <c:v>0.97022428853264298</c:v>
                </c:pt>
                <c:pt idx="2">
                  <c:v>0.96564984127401643</c:v>
                </c:pt>
                <c:pt idx="3">
                  <c:v>0.96080073177272318</c:v>
                </c:pt>
                <c:pt idx="4">
                  <c:v>0.95137717501280339</c:v>
                </c:pt>
                <c:pt idx="5">
                  <c:v>0.9419536182528836</c:v>
                </c:pt>
                <c:pt idx="6">
                  <c:v>0.9325300614929638</c:v>
                </c:pt>
              </c:numCache>
            </c:numRef>
          </c:yVal>
          <c:smooth val="1"/>
          <c:extLst>
            <c:ext xmlns:c16="http://schemas.microsoft.com/office/drawing/2014/chart" uri="{C3380CC4-5D6E-409C-BE32-E72D297353CC}">
              <c16:uniqueId val="{00000003-CECB-474B-8A5F-24E5DA96267D}"/>
            </c:ext>
          </c:extLst>
        </c:ser>
        <c:dLbls>
          <c:showLegendKey val="0"/>
          <c:showVal val="0"/>
          <c:showCatName val="0"/>
          <c:showSerName val="0"/>
          <c:showPercent val="0"/>
          <c:showBubbleSize val="0"/>
        </c:dLbls>
        <c:axId val="1008767040"/>
        <c:axId val="1006683040"/>
      </c:scatterChart>
      <c:scatterChart>
        <c:scatterStyle val="lineMarker"/>
        <c:varyColors val="0"/>
        <c:ser>
          <c:idx val="3"/>
          <c:order val="3"/>
          <c:tx>
            <c:v>Pc Line</c:v>
          </c:tx>
          <c:spPr>
            <a:ln w="9525" cap="rnd">
              <a:solidFill>
                <a:schemeClr val="accent5">
                  <a:lumMod val="75000"/>
                </a:schemeClr>
              </a:solidFill>
              <a:prstDash val="dash"/>
              <a:round/>
            </a:ln>
            <a:effectLst/>
          </c:spPr>
          <c:marker>
            <c:symbol val="none"/>
          </c:marker>
          <c:dPt>
            <c:idx val="1"/>
            <c:marker>
              <c:symbol val="none"/>
            </c:marker>
            <c:bubble3D val="0"/>
            <c:extLst>
              <c:ext xmlns:c16="http://schemas.microsoft.com/office/drawing/2014/chart" uri="{C3380CC4-5D6E-409C-BE32-E72D297353CC}">
                <c16:uniqueId val="{00000005-CECB-474B-8A5F-24E5DA96267D}"/>
              </c:ext>
            </c:extLst>
          </c:dPt>
          <c:xVal>
            <c:numRef>
              <c:f>'WS-Konsolidasi'!$P$331:$P$332</c:f>
              <c:numCache>
                <c:formatCode>General</c:formatCode>
                <c:ptCount val="2"/>
                <c:pt idx="0">
                  <c:v>230</c:v>
                </c:pt>
                <c:pt idx="1">
                  <c:v>230</c:v>
                </c:pt>
              </c:numCache>
            </c:numRef>
          </c:xVal>
          <c:yVal>
            <c:numRef>
              <c:f>'WS-Konsolidasi'!$R$331:$R$332</c:f>
              <c:numCache>
                <c:formatCode>General</c:formatCode>
                <c:ptCount val="2"/>
                <c:pt idx="0">
                  <c:v>0.94899999999999995</c:v>
                </c:pt>
                <c:pt idx="1">
                  <c:v>0.92</c:v>
                </c:pt>
              </c:numCache>
            </c:numRef>
          </c:yVal>
          <c:smooth val="0"/>
          <c:extLst>
            <c:ext xmlns:c16="http://schemas.microsoft.com/office/drawing/2014/chart" uri="{C3380CC4-5D6E-409C-BE32-E72D297353CC}">
              <c16:uniqueId val="{00000004-CECB-474B-8A5F-24E5DA96267D}"/>
            </c:ext>
          </c:extLst>
        </c:ser>
        <c:ser>
          <c:idx val="4"/>
          <c:order val="4"/>
          <c:tx>
            <c:strRef>
              <c:f>'WS-Konsolidasi'!$P$337</c:f>
              <c:strCache>
                <c:ptCount val="1"/>
                <c:pt idx="0">
                  <c:v>Pc = 230 kPa</c:v>
                </c:pt>
              </c:strCache>
            </c:strRef>
          </c:tx>
          <c:spPr>
            <a:ln w="25400" cap="rnd">
              <a:noFill/>
              <a:round/>
            </a:ln>
            <a:effectLst/>
          </c:spPr>
          <c:marker>
            <c:symbol val="triangle"/>
            <c:size val="8"/>
            <c:spPr>
              <a:solidFill>
                <a:srgbClr val="FF0000"/>
              </a:solidFill>
              <a:ln w="9525">
                <a:noFill/>
                <a:round/>
              </a:ln>
              <a:effectLst/>
            </c:spPr>
          </c:marker>
          <c:xVal>
            <c:numRef>
              <c:f>'WS-Konsolidasi'!$P$335</c:f>
              <c:numCache>
                <c:formatCode>General</c:formatCode>
                <c:ptCount val="1"/>
                <c:pt idx="0">
                  <c:v>230</c:v>
                </c:pt>
              </c:numCache>
            </c:numRef>
          </c:xVal>
          <c:yVal>
            <c:numRef>
              <c:f>'WS-Konsolidasi'!$Q$335</c:f>
              <c:numCache>
                <c:formatCode>General</c:formatCode>
                <c:ptCount val="1"/>
                <c:pt idx="0">
                  <c:v>0.94899999999999995</c:v>
                </c:pt>
              </c:numCache>
            </c:numRef>
          </c:yVal>
          <c:smooth val="0"/>
          <c:extLst>
            <c:ext xmlns:c16="http://schemas.microsoft.com/office/drawing/2014/chart" uri="{C3380CC4-5D6E-409C-BE32-E72D297353CC}">
              <c16:uniqueId val="{00000001-B646-4413-A553-D457C07A84A5}"/>
            </c:ext>
          </c:extLst>
        </c:ser>
        <c:dLbls>
          <c:showLegendKey val="0"/>
          <c:showVal val="0"/>
          <c:showCatName val="0"/>
          <c:showSerName val="0"/>
          <c:showPercent val="0"/>
          <c:showBubbleSize val="0"/>
        </c:dLbls>
        <c:axId val="1008767040"/>
        <c:axId val="1006683040"/>
      </c:scatterChart>
      <c:valAx>
        <c:axId val="1008767040"/>
        <c:scaling>
          <c:logBase val="10"/>
          <c:orientation val="minMax"/>
          <c:min val="1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ID" sz="800" b="0">
                    <a:latin typeface="Arial" panose="020B0604020202020204" pitchFamily="34" charset="0"/>
                    <a:cs typeface="Arial" panose="020B0604020202020204" pitchFamily="34" charset="0"/>
                  </a:rPr>
                  <a:t>Pressure (kPa) </a:t>
                </a:r>
                <a:endParaRPr lang="en-US" sz="800" b="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6683040"/>
        <c:crosses val="autoZero"/>
        <c:crossBetween val="midCat"/>
      </c:valAx>
      <c:valAx>
        <c:axId val="1006683040"/>
        <c:scaling>
          <c:orientation val="minMax"/>
          <c:max val="0.98"/>
          <c:min val="0.92"/>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US" sz="800" b="0" i="0" u="none" strike="noStrike" baseline="0"/>
                  <a:t>Void Ratio (e)</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8767040"/>
        <c:crosses val="autoZero"/>
        <c:crossBetween val="midCat"/>
        <c:majorUnit val="2.0000000000000004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LOAD INCREMENT 25 kPa</a:t>
            </a:r>
            <a:endParaRPr lang="en-US" sz="700" b="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autoTitleDeleted val="0"/>
    <c:plotArea>
      <c:layout>
        <c:manualLayout>
          <c:layoutTarget val="inner"/>
          <c:xMode val="edge"/>
          <c:yMode val="edge"/>
          <c:x val="0.10006794656285942"/>
          <c:y val="0.12638920134983125"/>
          <c:w val="0.86322427674068836"/>
          <c:h val="0.66858861392325963"/>
        </c:manualLayout>
      </c:layout>
      <c:scatterChart>
        <c:scatterStyle val="lineMarker"/>
        <c:varyColors val="0"/>
        <c:ser>
          <c:idx val="1"/>
          <c:order val="1"/>
          <c:tx>
            <c:v>Initial tangent</c:v>
          </c:tx>
          <c:spPr>
            <a:ln w="9525"/>
          </c:spPr>
          <c:marker>
            <c:symbol val="none"/>
          </c:marker>
          <c:xVal>
            <c:numRef>
              <c:f>'WS-Konsolidasi'!$I$91:$I$92</c:f>
              <c:numCache>
                <c:formatCode>0.00</c:formatCode>
                <c:ptCount val="2"/>
                <c:pt idx="0">
                  <c:v>0</c:v>
                </c:pt>
                <c:pt idx="1">
                  <c:v>37.947331922020552</c:v>
                </c:pt>
              </c:numCache>
            </c:numRef>
          </c:xVal>
          <c:yVal>
            <c:numRef>
              <c:f>'WS-Konsolidasi'!$K$91:$K$92</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5-0A76-9B4A-8D71-F1099C298FD7}"/>
            </c:ext>
          </c:extLst>
        </c:ser>
        <c:ser>
          <c:idx val="2"/>
          <c:order val="2"/>
          <c:tx>
            <c:v>Taylor line</c:v>
          </c:tx>
          <c:spPr>
            <a:ln w="9525"/>
          </c:spPr>
          <c:marker>
            <c:symbol val="none"/>
          </c:marker>
          <c:xVal>
            <c:numRef>
              <c:f>'WS-Konsolidasi'!$I$96:$I$97</c:f>
              <c:numCache>
                <c:formatCode>0.00</c:formatCode>
                <c:ptCount val="2"/>
                <c:pt idx="0" formatCode="General">
                  <c:v>0</c:v>
                </c:pt>
                <c:pt idx="1">
                  <c:v>43.639431710323635</c:v>
                </c:pt>
              </c:numCache>
            </c:numRef>
          </c:xVal>
          <c:yVal>
            <c:numRef>
              <c:f>'WS-Konsolidasi'!$K$96:$K$97</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6-0A76-9B4A-8D71-F1099C298FD7}"/>
            </c:ext>
          </c:extLst>
        </c:ser>
        <c:ser>
          <c:idx val="3"/>
          <c:order val="3"/>
          <c:tx>
            <c:v>t90</c:v>
          </c:tx>
          <c:spPr>
            <a:ln w="9525">
              <a:solidFill>
                <a:schemeClr val="accent1"/>
              </a:solidFill>
              <a:prstDash val="dash"/>
            </a:ln>
          </c:spPr>
          <c:marker>
            <c:symbol val="none"/>
          </c:marker>
          <c:dPt>
            <c:idx val="1"/>
            <c:bubble3D val="0"/>
            <c:extLst>
              <c:ext xmlns:c16="http://schemas.microsoft.com/office/drawing/2014/chart" uri="{C3380CC4-5D6E-409C-BE32-E72D297353CC}">
                <c16:uniqueId val="{00000009-0A76-9B4A-8D71-F1099C298FD7}"/>
              </c:ext>
            </c:extLst>
          </c:dPt>
          <c:dPt>
            <c:idx val="2"/>
            <c:bubble3D val="0"/>
            <c:extLst>
              <c:ext xmlns:c16="http://schemas.microsoft.com/office/drawing/2014/chart" uri="{C3380CC4-5D6E-409C-BE32-E72D297353CC}">
                <c16:uniqueId val="{00000008-0A76-9B4A-8D71-F1099C298FD7}"/>
              </c:ext>
            </c:extLst>
          </c:dPt>
          <c:xVal>
            <c:numRef>
              <c:f>'WS-Konsolidasi'!$I$101:$I$103</c:f>
              <c:numCache>
                <c:formatCode>General</c:formatCode>
                <c:ptCount val="3"/>
                <c:pt idx="0">
                  <c:v>0</c:v>
                </c:pt>
                <c:pt idx="1">
                  <c:v>1.8</c:v>
                </c:pt>
                <c:pt idx="2">
                  <c:v>1.8</c:v>
                </c:pt>
              </c:numCache>
            </c:numRef>
          </c:xVal>
          <c:yVal>
            <c:numRef>
              <c:f>'WS-Konsolidasi'!$K$101:$K$103</c:f>
              <c:numCache>
                <c:formatCode>General</c:formatCode>
                <c:ptCount val="3"/>
                <c:pt idx="0">
                  <c:v>5600</c:v>
                </c:pt>
                <c:pt idx="1">
                  <c:v>5600</c:v>
                </c:pt>
                <c:pt idx="2">
                  <c:v>120080.30278036751</c:v>
                </c:pt>
              </c:numCache>
            </c:numRef>
          </c:yVal>
          <c:smooth val="0"/>
          <c:extLst>
            <c:ext xmlns:c16="http://schemas.microsoft.com/office/drawing/2014/chart" uri="{C3380CC4-5D6E-409C-BE32-E72D297353CC}">
              <c16:uniqueId val="{00000007-0A76-9B4A-8D71-F1099C298FD7}"/>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spPr>
          <c:marker>
            <c:symbol val="none"/>
          </c:marker>
          <c:xVal>
            <c:numRef>
              <c:f>'WS-Konsolidasi'!$C$87:$C$100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'WS-Konsolidasi'!$H$87:$H$100</c:f>
              <c:numCache>
                <c:formatCode>General</c:formatCode>
                <c:ptCount val="14"/>
                <c:pt idx="0">
                  <c:v>994.9</c:v>
                </c:pt>
                <c:pt idx="1">
                  <c:v>1976.1</c:v>
                </c:pt>
                <c:pt idx="2">
                  <c:v>2955.8999999999996</c:v>
                </c:pt>
                <c:pt idx="3">
                  <c:v>3934.0999999999995</c:v>
                </c:pt>
                <c:pt idx="4">
                  <c:v>4910.9999999999991</c:v>
                </c:pt>
                <c:pt idx="5">
                  <c:v>5886.4999999999991</c:v>
                </c:pt>
                <c:pt idx="6">
                  <c:v>6861.0999999999995</c:v>
                </c:pt>
                <c:pt idx="7">
                  <c:v>7834.9</c:v>
                </c:pt>
                <c:pt idx="8">
                  <c:v>8808.4</c:v>
                </c:pt>
                <c:pt idx="9">
                  <c:v>9781.6</c:v>
                </c:pt>
                <c:pt idx="10">
                  <c:v>10754.5</c:v>
                </c:pt>
                <c:pt idx="11">
                  <c:v>11727.1</c:v>
                </c:pt>
                <c:pt idx="12">
                  <c:v>12699.4</c:v>
                </c:pt>
                <c:pt idx="13">
                  <c:v>13671.4</c:v>
                </c:pt>
              </c:numCache>
            </c:numRef>
          </c:yVal>
          <c:smooth val="1"/>
          <c:extLst>
            <c:ext xmlns:c16="http://schemas.microsoft.com/office/drawing/2014/chart" uri="{C3380CC4-5D6E-409C-BE32-E72D297353CC}">
              <c16:uniqueId val="{00000004-0A76-9B4A-8D71-F1099C298FD7}"/>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930354773069096"/>
              <c:y val="0.8619247594050744"/>
            </c:manualLayout>
          </c:layout>
          <c:overlay val="0"/>
          <c:spPr>
            <a:noFill/>
            <a:ln>
              <a:noFill/>
            </a:ln>
            <a:effectLst/>
          </c:sp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plotArea>
    <c:legend>
      <c:legendPos val="b"/>
      <c:overlay val="0"/>
      <c:txPr>
        <a:bodyPr/>
        <a:lstStyle/>
        <a:p>
          <a:pPr>
            <a:defRPr sz="700">
              <a:solidFill>
                <a:schemeClr val="bg2">
                  <a:lumMod val="25000"/>
                </a:schemeClr>
              </a:solidFill>
              <a:latin typeface="Arial" panose="020B0604020202020204" pitchFamily="34" charset="0"/>
              <a:cs typeface="Arial" panose="020B0604020202020204" pitchFamily="34" charset="0"/>
            </a:defRPr>
          </a:pPr>
          <a:endParaRPr lang="en-US"/>
        </a:p>
      </c:txPr>
    </c:legend>
    <c:plotVisOnly val="1"/>
    <c:dispBlanksAs val="gap"/>
    <c:showDLblsOverMax val="0"/>
    <c:extLst/>
  </c:chart>
  <c:spPr>
    <a:ln w="9525">
      <a:solidFill>
        <a:schemeClr val="accent5">
          <a:lumMod val="60000"/>
          <a:lumOff val="40000"/>
        </a:schemeClr>
      </a:solidFill>
    </a:ln>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e log P</c:v>
          </c:tx>
          <c:spPr>
            <a:ln w="9525" cap="rnd">
              <a:solidFill>
                <a:schemeClr val="accent1"/>
              </a:solidFill>
              <a:round/>
            </a:ln>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'WS-Konsolidasi'!$L$318:$L$325</c:f>
              <c:numCache>
                <c:formatCode>General</c:formatCode>
                <c:ptCount val="8"/>
                <c:pt idx="0">
                  <c:v>25</c:v>
                </c:pt>
                <c:pt idx="1">
                  <c:v>50</c:v>
                </c:pt>
                <c:pt idx="2">
                  <c:v>100</c:v>
                </c:pt>
                <c:pt idx="3">
                  <c:v>200</c:v>
                </c:pt>
                <c:pt idx="4">
                  <c:v>400</c:v>
                </c:pt>
                <c:pt idx="5">
                  <c:v>800</c:v>
                </c:pt>
                <c:pt idx="6">
                  <c:v>200</c:v>
                </c:pt>
                <c:pt idx="7">
                  <c:v>25</c:v>
                </c:pt>
              </c:numCache>
            </c:numRef>
          </c:xVal>
          <c:yVal>
            <c:numRef>
              <c:f>'WS-Konsolidasi'!$M$318:$M$325</c:f>
              <c:numCache>
                <c:formatCode>General</c:formatCode>
                <c:ptCount val="8"/>
                <c:pt idx="0">
                  <c:v>0.9642566849233134</c:v>
                </c:pt>
                <c:pt idx="1">
                  <c:v>0.96113172446883588</c:v>
                </c:pt>
                <c:pt idx="2">
                  <c:v>0.95612789370995288</c:v>
                </c:pt>
                <c:pt idx="3">
                  <c:v>0.9496638010564542</c:v>
                </c:pt>
                <c:pt idx="4">
                  <c:v>0.94195361825288348</c:v>
                </c:pt>
                <c:pt idx="5">
                  <c:v>0.93253006149296369</c:v>
                </c:pt>
                <c:pt idx="6">
                  <c:v>0.93296814006134843</c:v>
                </c:pt>
                <c:pt idx="7">
                  <c:v>0.93428237576650253</c:v>
                </c:pt>
              </c:numCache>
            </c:numRef>
          </c:yVal>
          <c:smooth val="1"/>
          <c:extLst>
            <c:ext xmlns:c16="http://schemas.microsoft.com/office/drawing/2014/chart" uri="{C3380CC4-5D6E-409C-BE32-E72D297353CC}">
              <c16:uniqueId val="{00000000-5B37-4D43-86FF-9DCD3F99CE77}"/>
            </c:ext>
          </c:extLst>
        </c:ser>
        <c:ser>
          <c:idx val="1"/>
          <c:order val="1"/>
          <c:tx>
            <c:v>Bisector Line</c:v>
          </c:tx>
          <c:spPr>
            <a:ln w="12700" cap="rnd">
              <a:solidFill>
                <a:schemeClr val="accent2">
                  <a:lumMod val="75000"/>
                </a:schemeClr>
              </a:solidFill>
              <a:prstDash val="sysDash"/>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'WS-Konsolidasi'!$R$320:$R$326</c:f>
              <c:numCache>
                <c:formatCode>General</c:formatCode>
                <c:ptCount val="7"/>
                <c:pt idx="0">
                  <c:v>0.95789171315856469</c:v>
                </c:pt>
                <c:pt idx="1">
                  <c:v>0.95675093878498885</c:v>
                </c:pt>
                <c:pt idx="2">
                  <c:v>0.95503079539434832</c:v>
                </c:pt>
                <c:pt idx="3">
                  <c:v>0.95320736992072153</c:v>
                </c:pt>
                <c:pt idx="4">
                  <c:v>0.9496638010564542</c:v>
                </c:pt>
                <c:pt idx="5">
                  <c:v>0.94612023219218688</c:v>
                </c:pt>
                <c:pt idx="6">
                  <c:v>0.94257666332791956</c:v>
                </c:pt>
              </c:numCache>
            </c:numRef>
          </c:yVal>
          <c:smooth val="1"/>
          <c:extLst>
            <c:ext xmlns:c16="http://schemas.microsoft.com/office/drawing/2014/chart" uri="{C3380CC4-5D6E-409C-BE32-E72D297353CC}">
              <c16:uniqueId val="{00000001-5B37-4D43-86FF-9DCD3F99CE77}"/>
            </c:ext>
          </c:extLst>
        </c:ser>
        <c:ser>
          <c:idx val="2"/>
          <c:order val="2"/>
          <c:tx>
            <c:v>VCL</c:v>
          </c:tx>
          <c:spPr>
            <a:ln w="12700" cap="rnd">
              <a:solidFill>
                <a:schemeClr val="accent3"/>
              </a:solidFill>
              <a:prstDash val="dashDot"/>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'WS-Konsolidasi'!$T$320:$T$326</c:f>
              <c:numCache>
                <c:formatCode>General</c:formatCode>
                <c:ptCount val="7"/>
                <c:pt idx="0">
                  <c:v>0.97325799620742692</c:v>
                </c:pt>
                <c:pt idx="1">
                  <c:v>0.97022428853264298</c:v>
                </c:pt>
                <c:pt idx="2">
                  <c:v>0.96564984127401643</c:v>
                </c:pt>
                <c:pt idx="3">
                  <c:v>0.96080073177272318</c:v>
                </c:pt>
                <c:pt idx="4">
                  <c:v>0.95137717501280339</c:v>
                </c:pt>
                <c:pt idx="5">
                  <c:v>0.9419536182528836</c:v>
                </c:pt>
                <c:pt idx="6">
                  <c:v>0.9325300614929638</c:v>
                </c:pt>
              </c:numCache>
            </c:numRef>
          </c:yVal>
          <c:smooth val="1"/>
          <c:extLst>
            <c:ext xmlns:c16="http://schemas.microsoft.com/office/drawing/2014/chart" uri="{C3380CC4-5D6E-409C-BE32-E72D297353CC}">
              <c16:uniqueId val="{00000002-5B37-4D43-86FF-9DCD3F99CE77}"/>
            </c:ext>
          </c:extLst>
        </c:ser>
        <c:dLbls>
          <c:showLegendKey val="0"/>
          <c:showVal val="0"/>
          <c:showCatName val="0"/>
          <c:showSerName val="0"/>
          <c:showPercent val="0"/>
          <c:showBubbleSize val="0"/>
        </c:dLbls>
        <c:axId val="1008767040"/>
        <c:axId val="1006683040"/>
      </c:scatterChart>
      <c:scatterChart>
        <c:scatterStyle val="lineMarker"/>
        <c:varyColors val="0"/>
        <c:ser>
          <c:idx val="3"/>
          <c:order val="3"/>
          <c:tx>
            <c:v>Pc Line</c:v>
          </c:tx>
          <c:spPr>
            <a:ln w="9525" cap="rnd">
              <a:solidFill>
                <a:schemeClr val="accent5">
                  <a:lumMod val="75000"/>
                </a:schemeClr>
              </a:solidFill>
              <a:prstDash val="dash"/>
              <a:round/>
            </a:ln>
            <a:effectLst/>
          </c:spPr>
          <c:marker>
            <c:symbol val="none"/>
          </c:marker>
          <c:dPt>
            <c:idx val="1"/>
            <c:marker>
              <c:symbol val="none"/>
            </c:marker>
            <c:bubble3D val="0"/>
            <c:extLst>
              <c:ext xmlns:c16="http://schemas.microsoft.com/office/drawing/2014/chart" uri="{C3380CC4-5D6E-409C-BE32-E72D297353CC}">
                <c16:uniqueId val="{00000003-5B37-4D43-86FF-9DCD3F99CE77}"/>
              </c:ext>
            </c:extLst>
          </c:dPt>
          <c:xVal>
            <c:numRef>
              <c:f>'WS-Konsolidasi'!$P$331:$P$332</c:f>
              <c:numCache>
                <c:formatCode>General</c:formatCode>
                <c:ptCount val="2"/>
                <c:pt idx="0">
                  <c:v>230</c:v>
                </c:pt>
                <c:pt idx="1">
                  <c:v>230</c:v>
                </c:pt>
              </c:numCache>
            </c:numRef>
          </c:xVal>
          <c:yVal>
            <c:numRef>
              <c:f>'WS-Konsolidasi'!$R$331:$R$332</c:f>
              <c:numCache>
                <c:formatCode>General</c:formatCode>
                <c:ptCount val="2"/>
                <c:pt idx="0">
                  <c:v>0.94899999999999995</c:v>
                </c:pt>
                <c:pt idx="1">
                  <c:v>0.92</c:v>
                </c:pt>
              </c:numCache>
            </c:numRef>
          </c:yVal>
          <c:smooth val="0"/>
          <c:extLst>
            <c:ext xmlns:c16="http://schemas.microsoft.com/office/drawing/2014/chart" uri="{C3380CC4-5D6E-409C-BE32-E72D297353CC}">
              <c16:uniqueId val="{00000004-5B37-4D43-86FF-9DCD3F99CE77}"/>
            </c:ext>
          </c:extLst>
        </c:ser>
        <c:ser>
          <c:idx val="4"/>
          <c:order val="4"/>
          <c:tx>
            <c:strRef>
              <c:f>'WS-Konsolidasi'!$P$337</c:f>
              <c:strCache>
                <c:ptCount val="1"/>
                <c:pt idx="0">
                  <c:v>Pc = 230 kPa</c:v>
                </c:pt>
              </c:strCache>
            </c:strRef>
          </c:tx>
          <c:spPr>
            <a:ln w="25400" cap="rnd">
              <a:noFill/>
              <a:round/>
            </a:ln>
            <a:effectLst/>
          </c:spPr>
          <c:marker>
            <c:symbol val="triangle"/>
            <c:size val="6"/>
            <c:spPr>
              <a:solidFill>
                <a:srgbClr val="FF0000"/>
              </a:solidFill>
              <a:ln w="9525">
                <a:noFill/>
                <a:round/>
              </a:ln>
              <a:effectLst/>
            </c:spPr>
          </c:marker>
          <c:xVal>
            <c:numRef>
              <c:f>'WS-Konsolidasi'!$P$335</c:f>
              <c:numCache>
                <c:formatCode>General</c:formatCode>
                <c:ptCount val="1"/>
                <c:pt idx="0">
                  <c:v>230</c:v>
                </c:pt>
              </c:numCache>
            </c:numRef>
          </c:xVal>
          <c:yVal>
            <c:numRef>
              <c:f>'WS-Konsolidasi'!$Q$335</c:f>
              <c:numCache>
                <c:formatCode>General</c:formatCode>
                <c:ptCount val="1"/>
                <c:pt idx="0">
                  <c:v>0.94899999999999995</c:v>
                </c:pt>
              </c:numCache>
            </c:numRef>
          </c:yVal>
          <c:smooth val="0"/>
          <c:extLst>
            <c:ext xmlns:c16="http://schemas.microsoft.com/office/drawing/2014/chart" uri="{C3380CC4-5D6E-409C-BE32-E72D297353CC}">
              <c16:uniqueId val="{00000005-5B37-4D43-86FF-9DCD3F99CE77}"/>
            </c:ext>
          </c:extLst>
        </c:ser>
        <c:dLbls>
          <c:showLegendKey val="0"/>
          <c:showVal val="0"/>
          <c:showCatName val="0"/>
          <c:showSerName val="0"/>
          <c:showPercent val="0"/>
          <c:showBubbleSize val="0"/>
        </c:dLbls>
        <c:axId val="1008767040"/>
        <c:axId val="1006683040"/>
      </c:scatterChart>
      <c:valAx>
        <c:axId val="1008767040"/>
        <c:scaling>
          <c:logBase val="10"/>
          <c:orientation val="minMax"/>
          <c:min val="1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ID" sz="800" b="0">
                    <a:latin typeface="Arial" panose="020B0604020202020204" pitchFamily="34" charset="0"/>
                    <a:cs typeface="Arial" panose="020B0604020202020204" pitchFamily="34" charset="0"/>
                  </a:rPr>
                  <a:t>Pressure (kPa) </a:t>
                </a:r>
                <a:endParaRPr lang="en-US" sz="800" b="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6683040"/>
        <c:crosses val="autoZero"/>
        <c:crossBetween val="midCat"/>
      </c:valAx>
      <c:valAx>
        <c:axId val="1006683040"/>
        <c:scaling>
          <c:orientation val="minMax"/>
          <c:max val="0.98"/>
          <c:min val="0.92"/>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US" sz="800" b="0" i="0" u="none" strike="noStrike" baseline="0"/>
                  <a:t>Void Ratio (e)</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8767040"/>
        <c:crosses val="autoZero"/>
        <c:crossBetween val="midCat"/>
        <c:majorUnit val="2.0000000000000004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LOAD INCREMENT 25 kPa</a:t>
            </a:r>
            <a:endParaRPr lang="en-US" sz="700" b="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autoTitleDeleted val="0"/>
    <c:plotArea>
      <c:layout>
        <c:manualLayout>
          <c:layoutTarget val="inner"/>
          <c:xMode val="edge"/>
          <c:yMode val="edge"/>
          <c:x val="0.10006794656285942"/>
          <c:y val="0.12638920134983125"/>
          <c:w val="0.86322427674068836"/>
          <c:h val="0.66858861392325963"/>
        </c:manualLayout>
      </c:layout>
      <c:scatterChart>
        <c:scatterStyle val="lineMarker"/>
        <c:varyColors val="0"/>
        <c:ser>
          <c:idx val="1"/>
          <c:order val="1"/>
          <c:tx>
            <c:v>Initial tangent</c:v>
          </c:tx>
          <c:spPr>
            <a:ln w="9525"/>
          </c:spPr>
          <c:marker>
            <c:symbol val="none"/>
          </c:marker>
          <c:xVal>
            <c:numRef>
              <c:f>'WS-Konsolidasi'!$I$91:$I$92</c:f>
              <c:numCache>
                <c:formatCode>0.00</c:formatCode>
                <c:ptCount val="2"/>
                <c:pt idx="0">
                  <c:v>0</c:v>
                </c:pt>
                <c:pt idx="1">
                  <c:v>37.947331922020552</c:v>
                </c:pt>
              </c:numCache>
            </c:numRef>
          </c:xVal>
          <c:yVal>
            <c:numRef>
              <c:f>'WS-Konsolidasi'!$K$91:$K$92</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0-DB84-4AA7-AC59-A922F69D63F8}"/>
            </c:ext>
          </c:extLst>
        </c:ser>
        <c:ser>
          <c:idx val="2"/>
          <c:order val="2"/>
          <c:tx>
            <c:v>Taylor line</c:v>
          </c:tx>
          <c:spPr>
            <a:ln w="9525"/>
          </c:spPr>
          <c:marker>
            <c:symbol val="none"/>
          </c:marker>
          <c:xVal>
            <c:numRef>
              <c:f>'WS-Konsolidasi'!$I$96:$I$97</c:f>
              <c:numCache>
                <c:formatCode>0.00</c:formatCode>
                <c:ptCount val="2"/>
                <c:pt idx="0" formatCode="General">
                  <c:v>0</c:v>
                </c:pt>
                <c:pt idx="1">
                  <c:v>43.639431710323635</c:v>
                </c:pt>
              </c:numCache>
            </c:numRef>
          </c:xVal>
          <c:yVal>
            <c:numRef>
              <c:f>'WS-Konsolidasi'!$K$96:$K$97</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1-DB84-4AA7-AC59-A922F69D63F8}"/>
            </c:ext>
          </c:extLst>
        </c:ser>
        <c:ser>
          <c:idx val="3"/>
          <c:order val="3"/>
          <c:tx>
            <c:v>t90</c:v>
          </c:tx>
          <c:spPr>
            <a:ln w="9525">
              <a:solidFill>
                <a:schemeClr val="accent1"/>
              </a:solidFill>
              <a:prstDash val="dash"/>
            </a:ln>
          </c:spPr>
          <c:marker>
            <c:symbol val="none"/>
          </c:marker>
          <c:dPt>
            <c:idx val="1"/>
            <c:bubble3D val="0"/>
            <c:extLst>
              <c:ext xmlns:c16="http://schemas.microsoft.com/office/drawing/2014/chart" uri="{C3380CC4-5D6E-409C-BE32-E72D297353CC}">
                <c16:uniqueId val="{00000002-DB84-4AA7-AC59-A922F69D63F8}"/>
              </c:ext>
            </c:extLst>
          </c:dPt>
          <c:dPt>
            <c:idx val="2"/>
            <c:bubble3D val="0"/>
            <c:extLst>
              <c:ext xmlns:c16="http://schemas.microsoft.com/office/drawing/2014/chart" uri="{C3380CC4-5D6E-409C-BE32-E72D297353CC}">
                <c16:uniqueId val="{00000003-DB84-4AA7-AC59-A922F69D63F8}"/>
              </c:ext>
            </c:extLst>
          </c:dPt>
          <c:xVal>
            <c:numRef>
              <c:f>'WS-Konsolidasi'!$I$101:$I$103</c:f>
              <c:numCache>
                <c:formatCode>General</c:formatCode>
                <c:ptCount val="3"/>
                <c:pt idx="0">
                  <c:v>0</c:v>
                </c:pt>
                <c:pt idx="1">
                  <c:v>1.8</c:v>
                </c:pt>
                <c:pt idx="2">
                  <c:v>1.8</c:v>
                </c:pt>
              </c:numCache>
            </c:numRef>
          </c:xVal>
          <c:yVal>
            <c:numRef>
              <c:f>'WS-Konsolidasi'!$K$101:$K$103</c:f>
              <c:numCache>
                <c:formatCode>General</c:formatCode>
                <c:ptCount val="3"/>
                <c:pt idx="0">
                  <c:v>5600</c:v>
                </c:pt>
                <c:pt idx="1">
                  <c:v>5600</c:v>
                </c:pt>
                <c:pt idx="2">
                  <c:v>120080.30278036751</c:v>
                </c:pt>
              </c:numCache>
            </c:numRef>
          </c:yVal>
          <c:smooth val="0"/>
          <c:extLst>
            <c:ext xmlns:c16="http://schemas.microsoft.com/office/drawing/2014/chart" uri="{C3380CC4-5D6E-409C-BE32-E72D297353CC}">
              <c16:uniqueId val="{00000004-DB84-4AA7-AC59-A922F69D63F8}"/>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spPr>
          <c:marker>
            <c:symbol val="none"/>
          </c:marker>
          <c:xVal>
            <c:numRef>
              <c:f>'WS-Konsolidasi'!$C$87:$C$100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'WS-Konsolidasi'!$H$87:$H$100</c:f>
              <c:numCache>
                <c:formatCode>General</c:formatCode>
                <c:ptCount val="14"/>
                <c:pt idx="0">
                  <c:v>994.9</c:v>
                </c:pt>
                <c:pt idx="1">
                  <c:v>1976.1</c:v>
                </c:pt>
                <c:pt idx="2">
                  <c:v>2955.8999999999996</c:v>
                </c:pt>
                <c:pt idx="3">
                  <c:v>3934.0999999999995</c:v>
                </c:pt>
                <c:pt idx="4">
                  <c:v>4910.9999999999991</c:v>
                </c:pt>
                <c:pt idx="5">
                  <c:v>5886.4999999999991</c:v>
                </c:pt>
                <c:pt idx="6">
                  <c:v>6861.0999999999995</c:v>
                </c:pt>
                <c:pt idx="7">
                  <c:v>7834.9</c:v>
                </c:pt>
                <c:pt idx="8">
                  <c:v>8808.4</c:v>
                </c:pt>
                <c:pt idx="9">
                  <c:v>9781.6</c:v>
                </c:pt>
                <c:pt idx="10">
                  <c:v>10754.5</c:v>
                </c:pt>
                <c:pt idx="11">
                  <c:v>11727.1</c:v>
                </c:pt>
                <c:pt idx="12">
                  <c:v>12699.4</c:v>
                </c:pt>
                <c:pt idx="13">
                  <c:v>13671.4</c:v>
                </c:pt>
              </c:numCache>
            </c:numRef>
          </c:yVal>
          <c:smooth val="1"/>
          <c:extLst>
            <c:ext xmlns:c16="http://schemas.microsoft.com/office/drawing/2014/chart" uri="{C3380CC4-5D6E-409C-BE32-E72D297353CC}">
              <c16:uniqueId val="{00000005-DB84-4AA7-AC59-A922F69D63F8}"/>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930354773069096"/>
              <c:y val="0.8619247594050744"/>
            </c:manualLayout>
          </c:layout>
          <c:overlay val="0"/>
          <c:spPr>
            <a:noFill/>
            <a:ln>
              <a:noFill/>
            </a:ln>
            <a:effectLst/>
          </c:sp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plotArea>
    <c:legend>
      <c:legendPos val="b"/>
      <c:overlay val="0"/>
      <c:txPr>
        <a:bodyPr/>
        <a:lstStyle/>
        <a:p>
          <a:pPr>
            <a:defRPr sz="700">
              <a:solidFill>
                <a:schemeClr val="bg2">
                  <a:lumMod val="25000"/>
                </a:schemeClr>
              </a:solidFill>
              <a:latin typeface="Arial" panose="020B0604020202020204" pitchFamily="34" charset="0"/>
              <a:cs typeface="Arial" panose="020B0604020202020204" pitchFamily="34" charset="0"/>
            </a:defRPr>
          </a:pPr>
          <a:endParaRPr lang="en-US"/>
        </a:p>
      </c:txPr>
    </c:legend>
    <c:plotVisOnly val="1"/>
    <c:dispBlanksAs val="gap"/>
    <c:showDLblsOverMax val="0"/>
    <c:extLst/>
  </c:chart>
  <c:spPr>
    <a:ln w="9525">
      <a:solidFill>
        <a:schemeClr val="accent5">
          <a:lumMod val="60000"/>
          <a:lumOff val="40000"/>
        </a:schemeClr>
      </a:solidFill>
    </a:ln>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50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926491085166079"/>
          <c:y val="0.12922112008726183"/>
          <c:w val="0.86008000724047429"/>
          <c:h val="0.63846030609810134"/>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'WS-Konsolidasi'!$I$112:$I$113</c:f>
              <c:numCache>
                <c:formatCode>0.00</c:formatCode>
                <c:ptCount val="2"/>
                <c:pt idx="0">
                  <c:v>0</c:v>
                </c:pt>
                <c:pt idx="1">
                  <c:v>37.947331922020552</c:v>
                </c:pt>
              </c:numCache>
            </c:numRef>
          </c:xVal>
          <c:yVal>
            <c:numRef>
              <c:f>'WS-Konsolidasi'!$K$112:$K$113</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0-8FA3-4F50-BCCA-4BF8E8DC49F6}"/>
            </c:ext>
          </c:extLst>
        </c:ser>
        <c:ser>
          <c:idx val="2"/>
          <c:order val="1"/>
          <c:tx>
            <c:v>Taylor line</c:v>
          </c:tx>
          <c:spPr>
            <a:ln w="9525" cap="rnd">
              <a:solidFill>
                <a:schemeClr val="accent3"/>
              </a:solidFill>
              <a:round/>
            </a:ln>
            <a:effectLst/>
          </c:spPr>
          <c:marker>
            <c:symbol val="none"/>
          </c:marker>
          <c:xVal>
            <c:numRef>
              <c:f>'WS-Konsolidasi'!$I$117:$I$118</c:f>
              <c:numCache>
                <c:formatCode>0.00</c:formatCode>
                <c:ptCount val="2"/>
                <c:pt idx="0">
                  <c:v>0</c:v>
                </c:pt>
                <c:pt idx="1">
                  <c:v>43.639431710323635</c:v>
                </c:pt>
              </c:numCache>
            </c:numRef>
          </c:xVal>
          <c:yVal>
            <c:numRef>
              <c:f>'WS-Konsolidasi'!$K$117:$K$118</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1-8FA3-4F50-BCCA-4BF8E8DC49F6}"/>
            </c:ext>
          </c:extLst>
        </c:ser>
        <c:ser>
          <c:idx val="3"/>
          <c:order val="2"/>
          <c:tx>
            <c:v>t90</c:v>
          </c:tx>
          <c:spPr>
            <a:ln w="9525" cap="rnd">
              <a:solidFill>
                <a:schemeClr val="accent5">
                  <a:lumMod val="75000"/>
                </a:schemeClr>
              </a:solidFill>
              <a:prstDash val="dash"/>
              <a:round/>
            </a:ln>
            <a:effectLst/>
          </c:spPr>
          <c:marker>
            <c:symbol val="none"/>
          </c:marker>
          <c:xVal>
            <c:numRef>
              <c:f>'WS-Konsolidasi'!$I$122:$I$124</c:f>
              <c:numCache>
                <c:formatCode>General</c:formatCode>
                <c:ptCount val="3"/>
                <c:pt idx="0">
                  <c:v>0</c:v>
                </c:pt>
                <c:pt idx="1">
                  <c:v>2.2999999999999998</c:v>
                </c:pt>
                <c:pt idx="2">
                  <c:v>2.2999999999999998</c:v>
                </c:pt>
              </c:numCache>
            </c:numRef>
          </c:xVal>
          <c:yVal>
            <c:numRef>
              <c:f>'WS-Konsolidasi'!$K$122:$K$124</c:f>
              <c:numCache>
                <c:formatCode>General</c:formatCode>
                <c:ptCount val="3"/>
                <c:pt idx="0">
                  <c:v>6000</c:v>
                </c:pt>
                <c:pt idx="1">
                  <c:v>6000</c:v>
                </c:pt>
                <c:pt idx="2">
                  <c:v>94037.094541706552</c:v>
                </c:pt>
              </c:numCache>
            </c:numRef>
          </c:yVal>
          <c:smooth val="0"/>
          <c:extLst>
            <c:ext xmlns:c16="http://schemas.microsoft.com/office/drawing/2014/chart" uri="{C3380CC4-5D6E-409C-BE32-E72D297353CC}">
              <c16:uniqueId val="{00000002-8FA3-4F50-BCCA-4BF8E8DC49F6}"/>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'WS-Konsolidasi'!$C$107:$C$120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'WS-Konsolidasi'!$H$107:$H$120</c:f>
              <c:numCache>
                <c:formatCode>General</c:formatCode>
                <c:ptCount val="14"/>
                <c:pt idx="0">
                  <c:v>972</c:v>
                </c:pt>
                <c:pt idx="1">
                  <c:v>1920.5</c:v>
                </c:pt>
                <c:pt idx="2">
                  <c:v>2867.8</c:v>
                </c:pt>
                <c:pt idx="3">
                  <c:v>3814</c:v>
                </c:pt>
                <c:pt idx="4">
                  <c:v>4758.8</c:v>
                </c:pt>
                <c:pt idx="5">
                  <c:v>5702.1</c:v>
                </c:pt>
                <c:pt idx="6">
                  <c:v>6644.6</c:v>
                </c:pt>
                <c:pt idx="7">
                  <c:v>7586.6</c:v>
                </c:pt>
                <c:pt idx="8">
                  <c:v>8528.2000000000007</c:v>
                </c:pt>
                <c:pt idx="9">
                  <c:v>9469.4000000000015</c:v>
                </c:pt>
                <c:pt idx="10">
                  <c:v>10410.200000000001</c:v>
                </c:pt>
                <c:pt idx="11">
                  <c:v>11350.7</c:v>
                </c:pt>
                <c:pt idx="12">
                  <c:v>12290.900000000001</c:v>
                </c:pt>
                <c:pt idx="13">
                  <c:v>13230.800000000001</c:v>
                </c:pt>
              </c:numCache>
            </c:numRef>
          </c:yVal>
          <c:smooth val="1"/>
          <c:extLst>
            <c:ext xmlns:c16="http://schemas.microsoft.com/office/drawing/2014/chart" uri="{C3380CC4-5D6E-409C-BE32-E72D297353CC}">
              <c16:uniqueId val="{00000003-8FA3-4F50-BCCA-4BF8E8DC49F6}"/>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880477871300571"/>
              <c:y val="0.82869379963868151"/>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0.05"/>
          <c:y val="0.92879890661335729"/>
          <c:w val="0.9"/>
          <c:h val="7.1201093386642739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LOAD INCREMENT 100 kPa</a:t>
            </a:r>
            <a:endParaRPr lang="en-US" sz="700" b="0" i="0" u="none" strike="noStrike" kern="1200" spc="0" baseline="3000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82139520695506"/>
          <c:y val="0.11666695509215193"/>
          <c:w val="0.85262664200873195"/>
          <c:h val="0.68664763058463851"/>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'WS-Konsolidasi'!$I$133:$I$134</c:f>
              <c:numCache>
                <c:formatCode>0.00</c:formatCode>
                <c:ptCount val="2"/>
                <c:pt idx="0">
                  <c:v>0</c:v>
                </c:pt>
                <c:pt idx="1">
                  <c:v>37.947331922020552</c:v>
                </c:pt>
              </c:numCache>
            </c:numRef>
          </c:xVal>
          <c:yVal>
            <c:numRef>
              <c:f>'WS-Konsolidasi'!$K$133:$K$134</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0-27D3-4079-BB2C-06F7FDA173B5}"/>
            </c:ext>
          </c:extLst>
        </c:ser>
        <c:ser>
          <c:idx val="2"/>
          <c:order val="1"/>
          <c:tx>
            <c:v>Taylor line</c:v>
          </c:tx>
          <c:spPr>
            <a:ln w="9525" cap="rnd">
              <a:solidFill>
                <a:schemeClr val="accent3"/>
              </a:solidFill>
              <a:round/>
            </a:ln>
            <a:effectLst/>
          </c:spPr>
          <c:marker>
            <c:symbol val="none"/>
          </c:marker>
          <c:xVal>
            <c:numRef>
              <c:f>'WS-Konsolidasi'!$I$138:$I$139</c:f>
              <c:numCache>
                <c:formatCode>General</c:formatCode>
                <c:ptCount val="2"/>
                <c:pt idx="0">
                  <c:v>0</c:v>
                </c:pt>
                <c:pt idx="1">
                  <c:v>43.639431710323635</c:v>
                </c:pt>
              </c:numCache>
            </c:numRef>
          </c:xVal>
          <c:yVal>
            <c:numRef>
              <c:f>'WS-Konsolidasi'!$K$138:$K$139</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1-27D3-4079-BB2C-06F7FDA173B5}"/>
            </c:ext>
          </c:extLst>
        </c:ser>
        <c:ser>
          <c:idx val="3"/>
          <c:order val="2"/>
          <c:tx>
            <c:v>t90</c:v>
          </c:tx>
          <c:spPr>
            <a:ln w="9525" cap="rnd">
              <a:solidFill>
                <a:schemeClr val="accent5">
                  <a:lumMod val="75000"/>
                </a:schemeClr>
              </a:solidFill>
              <a:prstDash val="dash"/>
              <a:round/>
            </a:ln>
            <a:effectLst/>
          </c:spPr>
          <c:marker>
            <c:symbol val="none"/>
          </c:marker>
          <c:xVal>
            <c:numRef>
              <c:f>'WS-Konsolidasi'!$I$143:$I$145</c:f>
              <c:numCache>
                <c:formatCode>General</c:formatCode>
                <c:ptCount val="3"/>
                <c:pt idx="0">
                  <c:v>0</c:v>
                </c:pt>
                <c:pt idx="1">
                  <c:v>2.2000000000000002</c:v>
                </c:pt>
                <c:pt idx="2">
                  <c:v>2.2000000000000002</c:v>
                </c:pt>
              </c:numCache>
            </c:numRef>
          </c:xVal>
          <c:yVal>
            <c:numRef>
              <c:f>'WS-Konsolidasi'!$K$143:$K$145</c:f>
              <c:numCache>
                <c:formatCode>General</c:formatCode>
                <c:ptCount val="3"/>
                <c:pt idx="0">
                  <c:v>5600</c:v>
                </c:pt>
                <c:pt idx="1">
                  <c:v>5600</c:v>
                </c:pt>
                <c:pt idx="2">
                  <c:v>89095.26731512438</c:v>
                </c:pt>
              </c:numCache>
            </c:numRef>
          </c:yVal>
          <c:smooth val="0"/>
          <c:extLst>
            <c:ext xmlns:c16="http://schemas.microsoft.com/office/drawing/2014/chart" uri="{C3380CC4-5D6E-409C-BE32-E72D297353CC}">
              <c16:uniqueId val="{00000002-27D3-4079-BB2C-06F7FDA173B5}"/>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'WS-Konsolidasi'!$C$128:$C$141</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'WS-Konsolidasi'!$H$128:$H$141</c:f>
              <c:numCache>
                <c:formatCode>General</c:formatCode>
                <c:ptCount val="14"/>
                <c:pt idx="0">
                  <c:v>939.9</c:v>
                </c:pt>
                <c:pt idx="1">
                  <c:v>1839.1</c:v>
                </c:pt>
                <c:pt idx="2">
                  <c:v>2736.6</c:v>
                </c:pt>
                <c:pt idx="3">
                  <c:v>3633.2</c:v>
                </c:pt>
                <c:pt idx="4">
                  <c:v>4527.7</c:v>
                </c:pt>
                <c:pt idx="5">
                  <c:v>5421.2999999999993</c:v>
                </c:pt>
                <c:pt idx="6">
                  <c:v>6313.2999999999993</c:v>
                </c:pt>
                <c:pt idx="7">
                  <c:v>7204.4999999999991</c:v>
                </c:pt>
                <c:pt idx="8">
                  <c:v>8095.0999999999985</c:v>
                </c:pt>
                <c:pt idx="9">
                  <c:v>8985.2999999999993</c:v>
                </c:pt>
                <c:pt idx="10">
                  <c:v>9875</c:v>
                </c:pt>
                <c:pt idx="11">
                  <c:v>10764.3</c:v>
                </c:pt>
                <c:pt idx="12">
                  <c:v>11653.199999999999</c:v>
                </c:pt>
                <c:pt idx="13">
                  <c:v>12541.699999999999</c:v>
                </c:pt>
              </c:numCache>
            </c:numRef>
          </c:yVal>
          <c:smooth val="1"/>
          <c:extLst>
            <c:ext xmlns:c16="http://schemas.microsoft.com/office/drawing/2014/chart" uri="{C3380CC4-5D6E-409C-BE32-E72D297353CC}">
              <c16:uniqueId val="{00000003-27D3-4079-BB2C-06F7FDA173B5}"/>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0031496062992131"/>
              <c:y val="0.8615569207695191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(10-</a:t>
                </a:r>
                <a:r>
                  <a:rPr lang="en-US" sz="700" b="0" i="0" u="none" strike="noStrike" kern="1200" baseline="30000">
                    <a:solidFill>
                      <a:sysClr val="windowText" lastClr="000000"/>
                    </a:solidFill>
                    <a:latin typeface="Arial" panose="020B0604020202020204" pitchFamily="34" charset="0"/>
                    <a:cs typeface="Arial" panose="020B0604020202020204" pitchFamily="34" charset="0"/>
                  </a:rPr>
                  <a:t>3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mm</a:t>
                </a:r>
                <a:r>
                  <a:rPr lang="en-US" sz="700" baseline="0">
                    <a:solidFill>
                      <a:sysClr val="windowText" lastClr="000000"/>
                    </a:solidFill>
                    <a:latin typeface="Arial" panose="020B0604020202020204" pitchFamily="34" charset="0"/>
                    <a:cs typeface="Arial" panose="020B0604020202020204" pitchFamily="34" charset="0"/>
                  </a:rPr>
                  <a:t>)</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4.7014936423771636E-2"/>
          <c:y val="0.92307981032181896"/>
          <c:w val="0.89999997649546981"/>
          <c:h val="7.692018967818109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200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05008157764064"/>
          <c:y val="0.12235521754319958"/>
          <c:w val="0.86579818012661958"/>
          <c:h val="0.66635615667368819"/>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'WS-Konsolidasi'!$I$154:$I$155</c:f>
              <c:numCache>
                <c:formatCode>0.00</c:formatCode>
                <c:ptCount val="2"/>
                <c:pt idx="0">
                  <c:v>0</c:v>
                </c:pt>
                <c:pt idx="1">
                  <c:v>37.947331922020552</c:v>
                </c:pt>
              </c:numCache>
            </c:numRef>
          </c:xVal>
          <c:yVal>
            <c:numRef>
              <c:f>'WS-Konsolidasi'!$K$154:$K$155</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0-191B-47CE-9B62-84912F5D16C6}"/>
            </c:ext>
          </c:extLst>
        </c:ser>
        <c:ser>
          <c:idx val="2"/>
          <c:order val="2"/>
          <c:tx>
            <c:v>Taylor line</c:v>
          </c:tx>
          <c:spPr>
            <a:ln w="9525" cap="rnd">
              <a:solidFill>
                <a:schemeClr val="accent3"/>
              </a:solidFill>
              <a:round/>
            </a:ln>
            <a:effectLst/>
          </c:spPr>
          <c:marker>
            <c:symbol val="none"/>
          </c:marker>
          <c:dPt>
            <c:idx val="1"/>
            <c:marker>
              <c:symbol val="none"/>
            </c:marker>
            <c:bubble3D val="0"/>
            <c:spPr>
              <a:ln w="9525" cap="rnd">
                <a:solidFill>
                  <a:schemeClr val="accent3"/>
                </a:solidFill>
                <a:round/>
              </a:ln>
              <a:effectLst/>
            </c:spPr>
            <c:extLst>
              <c:ext xmlns:c16="http://schemas.microsoft.com/office/drawing/2014/chart" uri="{C3380CC4-5D6E-409C-BE32-E72D297353CC}">
                <c16:uniqueId val="{00000002-191B-47CE-9B62-84912F5D16C6}"/>
              </c:ext>
            </c:extLst>
          </c:dPt>
          <c:xVal>
            <c:numRef>
              <c:f>'WS-Konsolidasi'!$I$159:$I$160</c:f>
              <c:numCache>
                <c:formatCode>General</c:formatCode>
                <c:ptCount val="2"/>
                <c:pt idx="0">
                  <c:v>0</c:v>
                </c:pt>
                <c:pt idx="1">
                  <c:v>43.639431710323635</c:v>
                </c:pt>
              </c:numCache>
            </c:numRef>
          </c:xVal>
          <c:yVal>
            <c:numRef>
              <c:f>'WS-Konsolidasi'!$K$159:$K$160</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3-191B-47CE-9B62-84912F5D16C6}"/>
            </c:ext>
          </c:extLst>
        </c:ser>
        <c:ser>
          <c:idx val="3"/>
          <c:order val="3"/>
          <c:tx>
            <c:v>t90</c:v>
          </c:tx>
          <c:spPr>
            <a:ln w="9525" cap="rnd">
              <a:solidFill>
                <a:schemeClr val="accent5">
                  <a:lumMod val="75000"/>
                </a:schemeClr>
              </a:solidFill>
              <a:prstDash val="dash"/>
              <a:round/>
            </a:ln>
            <a:effectLst/>
          </c:spPr>
          <c:marker>
            <c:symbol val="none"/>
          </c:marker>
          <c:xVal>
            <c:numRef>
              <c:f>'WS-Konsolidasi'!$I$164:$I$166</c:f>
              <c:numCache>
                <c:formatCode>General</c:formatCode>
                <c:ptCount val="3"/>
                <c:pt idx="0">
                  <c:v>0</c:v>
                </c:pt>
                <c:pt idx="1">
                  <c:v>2.2999999999999998</c:v>
                </c:pt>
                <c:pt idx="2">
                  <c:v>2.2999999999999998</c:v>
                </c:pt>
              </c:numCache>
            </c:numRef>
          </c:xVal>
          <c:yVal>
            <c:numRef>
              <c:f>'WS-Konsolidasi'!$K$164:$K$166</c:f>
              <c:numCache>
                <c:formatCode>General</c:formatCode>
                <c:ptCount val="3"/>
                <c:pt idx="0">
                  <c:v>5300</c:v>
                </c:pt>
                <c:pt idx="1">
                  <c:v>5300</c:v>
                </c:pt>
                <c:pt idx="2">
                  <c:v>82645.688378369305</c:v>
                </c:pt>
              </c:numCache>
            </c:numRef>
          </c:yVal>
          <c:smooth val="0"/>
          <c:extLst>
            <c:ext xmlns:c16="http://schemas.microsoft.com/office/drawing/2014/chart" uri="{C3380CC4-5D6E-409C-BE32-E72D297353CC}">
              <c16:uniqueId val="{00000004-191B-47CE-9B62-84912F5D16C6}"/>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'WS-Konsolidasi'!$C$149:$C$162</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'WS-Konsolidasi'!$H$149:$H$162</c:f>
              <c:numCache>
                <c:formatCode>General</c:formatCode>
                <c:ptCount val="14"/>
                <c:pt idx="0">
                  <c:v>888.5</c:v>
                </c:pt>
                <c:pt idx="1">
                  <c:v>1730.1</c:v>
                </c:pt>
                <c:pt idx="2">
                  <c:v>2565.3000000000002</c:v>
                </c:pt>
                <c:pt idx="3">
                  <c:v>3397</c:v>
                </c:pt>
                <c:pt idx="4">
                  <c:v>4225.6000000000004</c:v>
                </c:pt>
                <c:pt idx="5">
                  <c:v>5053</c:v>
                </c:pt>
                <c:pt idx="6">
                  <c:v>5879.2</c:v>
                </c:pt>
                <c:pt idx="7">
                  <c:v>6704.0999999999995</c:v>
                </c:pt>
                <c:pt idx="8">
                  <c:v>7528.4999999999991</c:v>
                </c:pt>
                <c:pt idx="9">
                  <c:v>8352.4</c:v>
                </c:pt>
                <c:pt idx="10">
                  <c:v>9175.7999999999993</c:v>
                </c:pt>
                <c:pt idx="11">
                  <c:v>9998.6999999999989</c:v>
                </c:pt>
                <c:pt idx="12">
                  <c:v>10821.199999999999</c:v>
                </c:pt>
                <c:pt idx="13">
                  <c:v>11643.3</c:v>
                </c:pt>
              </c:numCache>
            </c:numRef>
          </c:yVal>
          <c:smooth val="1"/>
          <c:extLst>
            <c:ext xmlns:c16="http://schemas.microsoft.com/office/drawing/2014/chart" uri="{C3380CC4-5D6E-409C-BE32-E72D297353CC}">
              <c16:uniqueId val="{00000005-191B-47CE-9B62-84912F5D16C6}"/>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9208650071478816"/>
              <c:y val="0.8546378450401078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3.7878796916916466E-2"/>
          <c:y val="0.93024464197424284"/>
          <c:w val="0.89999997613934057"/>
          <c:h val="6.9755358025757219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400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77720679651885"/>
          <c:y val="0.10982785772468097"/>
          <c:w val="0.84967542478242852"/>
          <c:h val="0.6830225359761064"/>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'WS-Konsolidasi'!$I$176:$I$177</c:f>
              <c:numCache>
                <c:formatCode>0.00</c:formatCode>
                <c:ptCount val="2"/>
                <c:pt idx="0">
                  <c:v>0</c:v>
                </c:pt>
                <c:pt idx="1">
                  <c:v>37.947331922020552</c:v>
                </c:pt>
              </c:numCache>
            </c:numRef>
          </c:xVal>
          <c:yVal>
            <c:numRef>
              <c:f>'WS-Konsolidasi'!$K$176:$K$177</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0-AC12-498E-AF72-2784A4B9452F}"/>
            </c:ext>
          </c:extLst>
        </c:ser>
        <c:ser>
          <c:idx val="2"/>
          <c:order val="2"/>
          <c:tx>
            <c:v>Taylor line</c:v>
          </c:tx>
          <c:spPr>
            <a:ln w="9525" cap="rnd">
              <a:solidFill>
                <a:schemeClr val="accent3"/>
              </a:solidFill>
              <a:round/>
            </a:ln>
            <a:effectLst/>
          </c:spPr>
          <c:marker>
            <c:symbol val="none"/>
          </c:marker>
          <c:xVal>
            <c:numRef>
              <c:f>'WS-Konsolidasi'!$I$181:$I$182</c:f>
              <c:numCache>
                <c:formatCode>0.00</c:formatCode>
                <c:ptCount val="2"/>
                <c:pt idx="0" formatCode="General">
                  <c:v>0</c:v>
                </c:pt>
                <c:pt idx="1">
                  <c:v>43.639431710323635</c:v>
                </c:pt>
              </c:numCache>
            </c:numRef>
          </c:xVal>
          <c:yVal>
            <c:numRef>
              <c:f>'WS-Konsolidasi'!$K$181:$K$182</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1-AC12-498E-AF72-2784A4B9452F}"/>
            </c:ext>
          </c:extLst>
        </c:ser>
        <c:ser>
          <c:idx val="3"/>
          <c:order val="3"/>
          <c:tx>
            <c:v>t90</c:v>
          </c:tx>
          <c:spPr>
            <a:ln w="9525" cap="rnd">
              <a:solidFill>
                <a:schemeClr val="accent5">
                  <a:lumMod val="75000"/>
                </a:schemeClr>
              </a:solidFill>
              <a:prstDash val="dash"/>
              <a:round/>
            </a:ln>
            <a:effectLst/>
          </c:spPr>
          <c:marker>
            <c:symbol val="none"/>
          </c:marker>
          <c:xVal>
            <c:numRef>
              <c:f>'WS-Konsolidasi'!$I$186:$I$188</c:f>
              <c:numCache>
                <c:formatCode>General</c:formatCode>
                <c:ptCount val="3"/>
                <c:pt idx="0">
                  <c:v>0</c:v>
                </c:pt>
                <c:pt idx="1">
                  <c:v>2.2000000000000002</c:v>
                </c:pt>
                <c:pt idx="2">
                  <c:v>2.2000000000000002</c:v>
                </c:pt>
              </c:numCache>
            </c:numRef>
          </c:xVal>
          <c:yVal>
            <c:numRef>
              <c:f>'WS-Konsolidasi'!$K$186:$K$188</c:f>
              <c:numCache>
                <c:formatCode>General</c:formatCode>
                <c:ptCount val="3"/>
                <c:pt idx="0">
                  <c:v>4800</c:v>
                </c:pt>
                <c:pt idx="1">
                  <c:v>4800</c:v>
                </c:pt>
                <c:pt idx="2">
                  <c:v>75503.727939478107</c:v>
                </c:pt>
              </c:numCache>
            </c:numRef>
          </c:yVal>
          <c:smooth val="0"/>
          <c:extLst>
            <c:ext xmlns:c16="http://schemas.microsoft.com/office/drawing/2014/chart" uri="{C3380CC4-5D6E-409C-BE32-E72D297353CC}">
              <c16:uniqueId val="{00000002-AC12-498E-AF72-2784A4B9452F}"/>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'WS-Konsolidasi'!$C$171:$C$184</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'WS-Konsolidasi'!$H$171:$H$184</c:f>
              <c:numCache>
                <c:formatCode>General</c:formatCode>
                <c:ptCount val="14"/>
                <c:pt idx="0">
                  <c:v>822.1</c:v>
                </c:pt>
                <c:pt idx="1">
                  <c:v>1592.3000000000002</c:v>
                </c:pt>
                <c:pt idx="2">
                  <c:v>2358.6000000000004</c:v>
                </c:pt>
                <c:pt idx="3">
                  <c:v>3120.1000000000004</c:v>
                </c:pt>
                <c:pt idx="4">
                  <c:v>3876.9000000000005</c:v>
                </c:pt>
                <c:pt idx="5">
                  <c:v>4628.1000000000004</c:v>
                </c:pt>
                <c:pt idx="6">
                  <c:v>5376.3</c:v>
                </c:pt>
                <c:pt idx="7">
                  <c:v>6122.9000000000005</c:v>
                </c:pt>
                <c:pt idx="8">
                  <c:v>6868.3</c:v>
                </c:pt>
                <c:pt idx="9">
                  <c:v>7613.2</c:v>
                </c:pt>
                <c:pt idx="10">
                  <c:v>8357.6</c:v>
                </c:pt>
                <c:pt idx="11">
                  <c:v>9101.5</c:v>
                </c:pt>
                <c:pt idx="12">
                  <c:v>9844.9</c:v>
                </c:pt>
                <c:pt idx="13">
                  <c:v>10587.8</c:v>
                </c:pt>
              </c:numCache>
            </c:numRef>
          </c:yVal>
          <c:smooth val="1"/>
          <c:extLst>
            <c:ext xmlns:c16="http://schemas.microsoft.com/office/drawing/2014/chart" uri="{C3380CC4-5D6E-409C-BE32-E72D297353CC}">
              <c16:uniqueId val="{00000003-AC12-498E-AF72-2784A4B9452F}"/>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a:latin typeface="Arial" panose="020B0604020202020204" pitchFamily="34" charset="0"/>
                    <a:cs typeface="Arial" panose="020B0604020202020204" pitchFamily="34" charset="0"/>
                  </a:rPr>
                  <a:t>√t (min½)</a:t>
                </a:r>
              </a:p>
            </c:rich>
          </c:tx>
          <c:layout>
            <c:manualLayout>
              <c:xMode val="edge"/>
              <c:yMode val="edge"/>
              <c:x val="0.54878856195607129"/>
              <c:y val="0.838638066793374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5.3012035619951714E-2"/>
          <c:y val="0.92425719106540249"/>
          <c:w val="0.89999978654781654"/>
          <c:h val="7.574280893459746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800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217143284642864"/>
          <c:y val="0.12349653661713336"/>
          <c:w val="0.8232442441131913"/>
          <c:h val="0.65442306553786045"/>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'WS-Konsolidasi'!$I$198:$I$199</c:f>
              <c:numCache>
                <c:formatCode>0.00</c:formatCode>
                <c:ptCount val="2"/>
                <c:pt idx="0">
                  <c:v>0.5</c:v>
                </c:pt>
                <c:pt idx="1">
                  <c:v>37.947331922020552</c:v>
                </c:pt>
              </c:numCache>
            </c:numRef>
          </c:xVal>
          <c:yVal>
            <c:numRef>
              <c:f>'WS-Konsolidasi'!$K$198:$K$199</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0-FA6C-412E-8951-14CD3D143BA1}"/>
            </c:ext>
          </c:extLst>
        </c:ser>
        <c:ser>
          <c:idx val="2"/>
          <c:order val="2"/>
          <c:tx>
            <c:v>Taylor line</c:v>
          </c:tx>
          <c:spPr>
            <a:ln w="9525" cap="rnd">
              <a:solidFill>
                <a:schemeClr val="accent3"/>
              </a:solidFill>
              <a:round/>
            </a:ln>
            <a:effectLst/>
          </c:spPr>
          <c:marker>
            <c:symbol val="none"/>
          </c:marker>
          <c:xVal>
            <c:numRef>
              <c:f>'WS-Konsolidasi'!$I$203:$I$204</c:f>
              <c:numCache>
                <c:formatCode>General</c:formatCode>
                <c:ptCount val="2"/>
                <c:pt idx="0">
                  <c:v>0.5</c:v>
                </c:pt>
                <c:pt idx="1">
                  <c:v>43.639431710323635</c:v>
                </c:pt>
              </c:numCache>
            </c:numRef>
          </c:xVal>
          <c:yVal>
            <c:numRef>
              <c:f>'WS-Konsolidasi'!$K$203:$K$204</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1-FA6C-412E-8951-14CD3D143BA1}"/>
            </c:ext>
          </c:extLst>
        </c:ser>
        <c:ser>
          <c:idx val="3"/>
          <c:order val="3"/>
          <c:tx>
            <c:v>t90</c:v>
          </c:tx>
          <c:spPr>
            <a:ln w="9525" cap="rnd">
              <a:solidFill>
                <a:schemeClr val="accent5">
                  <a:lumMod val="75000"/>
                </a:schemeClr>
              </a:solidFill>
              <a:prstDash val="dash"/>
              <a:round/>
            </a:ln>
            <a:effectLst/>
          </c:spPr>
          <c:marker>
            <c:symbol val="none"/>
          </c:marker>
          <c:xVal>
            <c:numRef>
              <c:f>'WS-Konsolidasi'!$I$208:$I$210</c:f>
              <c:numCache>
                <c:formatCode>General</c:formatCode>
                <c:ptCount val="3"/>
                <c:pt idx="0">
                  <c:v>0</c:v>
                </c:pt>
                <c:pt idx="1">
                  <c:v>2</c:v>
                </c:pt>
                <c:pt idx="2">
                  <c:v>2</c:v>
                </c:pt>
              </c:numCache>
            </c:numRef>
          </c:xVal>
          <c:yVal>
            <c:numRef>
              <c:f>'WS-Konsolidasi'!$K$208:$K$210</c:f>
              <c:numCache>
                <c:formatCode>General</c:formatCode>
                <c:ptCount val="3"/>
                <c:pt idx="0">
                  <c:v>4200</c:v>
                </c:pt>
                <c:pt idx="1">
                  <c:v>4200</c:v>
                </c:pt>
                <c:pt idx="2">
                  <c:v>68223.450137963082</c:v>
                </c:pt>
              </c:numCache>
            </c:numRef>
          </c:yVal>
          <c:smooth val="0"/>
          <c:extLst>
            <c:ext xmlns:c16="http://schemas.microsoft.com/office/drawing/2014/chart" uri="{C3380CC4-5D6E-409C-BE32-E72D297353CC}">
              <c16:uniqueId val="{00000002-FA6C-412E-8951-14CD3D143BA1}"/>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'WS-Konsolidasi'!$C$193:$C$206</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'WS-Konsolidasi'!$H$193:$H$206</c:f>
              <c:numCache>
                <c:formatCode>General</c:formatCode>
                <c:ptCount val="14"/>
                <c:pt idx="0">
                  <c:v>742.9</c:v>
                </c:pt>
                <c:pt idx="1">
                  <c:v>1454.5</c:v>
                </c:pt>
                <c:pt idx="2">
                  <c:v>2156.6999999999998</c:v>
                </c:pt>
                <c:pt idx="3">
                  <c:v>2847.95</c:v>
                </c:pt>
                <c:pt idx="4">
                  <c:v>3529.1499999999996</c:v>
                </c:pt>
                <c:pt idx="5">
                  <c:v>4199.6499999999996</c:v>
                </c:pt>
                <c:pt idx="6">
                  <c:v>4861.95</c:v>
                </c:pt>
                <c:pt idx="7">
                  <c:v>5517.15</c:v>
                </c:pt>
                <c:pt idx="8">
                  <c:v>6166.3499999999995</c:v>
                </c:pt>
                <c:pt idx="9">
                  <c:v>6814.8499999999995</c:v>
                </c:pt>
                <c:pt idx="10">
                  <c:v>7462.65</c:v>
                </c:pt>
                <c:pt idx="11">
                  <c:v>8109.8499999999995</c:v>
                </c:pt>
                <c:pt idx="12">
                  <c:v>8756.4499999999989</c:v>
                </c:pt>
                <c:pt idx="13">
                  <c:v>9402.5499999999993</c:v>
                </c:pt>
              </c:numCache>
            </c:numRef>
          </c:yVal>
          <c:smooth val="1"/>
          <c:extLst>
            <c:ext xmlns:c16="http://schemas.microsoft.com/office/drawing/2014/chart" uri="{C3380CC4-5D6E-409C-BE32-E72D297353CC}">
              <c16:uniqueId val="{00000003-FA6C-412E-8951-14CD3D143BA1}"/>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2774234574597412"/>
              <c:y val="0.83535729086495769"/>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 val="autoZero"/>
        <c:crossBetween val="midCat"/>
      </c:valAx>
      <c:valAx>
        <c:axId val="1415920911"/>
        <c:scaling>
          <c:orientation val="maxMin"/>
          <c:max val="1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 val="autoZero"/>
        <c:crossBetween val="midCat"/>
        <c:majorUnit val="3000"/>
      </c:valAx>
      <c:spPr>
        <a:noFill/>
        <a:ln>
          <a:noFill/>
        </a:ln>
        <a:effectLst/>
      </c:spPr>
    </c:plotArea>
    <c:legend>
      <c:legendPos val="b"/>
      <c:layout>
        <c:manualLayout>
          <c:xMode val="edge"/>
          <c:yMode val="edge"/>
          <c:x val="5.3039526371856105E-2"/>
          <c:y val="0.92502226994352976"/>
          <c:w val="0.8999999760668157"/>
          <c:h val="7.49777300564702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Undisturb</c:v>
          </c:tx>
          <c:spPr>
            <a:ln w="19050" cap="rnd">
              <a:solidFill>
                <a:schemeClr val="accent1"/>
              </a:solidFill>
              <a:round/>
            </a:ln>
            <a:effectLst/>
          </c:spPr>
          <c:marker>
            <c:symbol val="none"/>
          </c:marker>
          <c:xVal>
            <c:numRef>
              <c:f>'WS-UCT'!$D$122:$D$158</c:f>
              <c:numCache>
                <c:formatCode>0.00</c:formatCode>
                <c:ptCount val="37"/>
                <c:pt idx="0">
                  <c:v>107.17375121966415</c:v>
                </c:pt>
                <c:pt idx="1">
                  <c:v>106.96983697964868</c:v>
                </c:pt>
                <c:pt idx="2">
                  <c:v>106.3596461700955</c:v>
                </c:pt>
                <c:pt idx="3">
                  <c:v>105.34782271150866</c:v>
                </c:pt>
                <c:pt idx="4">
                  <c:v>103.94206719136366</c:v>
                </c:pt>
                <c:pt idx="5">
                  <c:v>102.15307825798722</c:v>
                </c:pt>
                <c:pt idx="6">
                  <c:v>99.99447119738339</c:v>
                </c:pt>
                <c:pt idx="7">
                  <c:v>97.48267431268593</c:v>
                </c:pt>
                <c:pt idx="8">
                  <c:v>94.636803894851838</c:v>
                </c:pt>
                <c:pt idx="9">
                  <c:v>91.478518736144352</c:v>
                </c:pt>
                <c:pt idx="10">
                  <c:v>88.031855293645947</c:v>
                </c:pt>
                <c:pt idx="11">
                  <c:v>84.323044757306349</c:v>
                </c:pt>
                <c:pt idx="12">
                  <c:v>80.380313414748116</c:v>
                </c:pt>
                <c:pt idx="13">
                  <c:v>76.23366783217439</c:v>
                </c:pt>
                <c:pt idx="14">
                  <c:v>71.914666486281632</c:v>
                </c:pt>
                <c:pt idx="15">
                  <c:v>67.456179585196367</c:v>
                </c:pt>
                <c:pt idx="16">
                  <c:v>62.892138906343902</c:v>
                </c:pt>
                <c:pt idx="17">
                  <c:v>58.257279555133358</c:v>
                </c:pt>
                <c:pt idx="18">
                  <c:v>53.586875609832077</c:v>
                </c:pt>
                <c:pt idx="19">
                  <c:v>48.916471664530789</c:v>
                </c:pt>
                <c:pt idx="20">
                  <c:v>44.281612313320267</c:v>
                </c:pt>
                <c:pt idx="21">
                  <c:v>39.717571634467774</c:v>
                </c:pt>
                <c:pt idx="22">
                  <c:v>35.259084733382529</c:v>
                </c:pt>
                <c:pt idx="23">
                  <c:v>30.940083387489768</c:v>
                </c:pt>
                <c:pt idx="24">
                  <c:v>26.793437804916049</c:v>
                </c:pt>
                <c:pt idx="25">
                  <c:v>22.850706462357802</c:v>
                </c:pt>
                <c:pt idx="26">
                  <c:v>19.141895926018201</c:v>
                </c:pt>
                <c:pt idx="27">
                  <c:v>15.69523248351981</c:v>
                </c:pt>
                <c:pt idx="28">
                  <c:v>12.536947324812324</c:v>
                </c:pt>
                <c:pt idx="29">
                  <c:v>9.6910769069782106</c:v>
                </c:pt>
                <c:pt idx="30">
                  <c:v>7.1792800222807642</c:v>
                </c:pt>
                <c:pt idx="31">
                  <c:v>5.0206729616769366</c:v>
                </c:pt>
                <c:pt idx="32">
                  <c:v>3.2316840283005064</c:v>
                </c:pt>
                <c:pt idx="33">
                  <c:v>1.8259285081555134</c:v>
                </c:pt>
                <c:pt idx="34">
                  <c:v>0.81410504956865282</c:v>
                </c:pt>
                <c:pt idx="35">
                  <c:v>0.20391424001548586</c:v>
                </c:pt>
                <c:pt idx="36">
                  <c:v>0</c:v>
                </c:pt>
              </c:numCache>
            </c:numRef>
          </c:xVal>
          <c:yVal>
            <c:numRef>
              <c:f>'WS-UCT'!$E$122:$E$158</c:f>
              <c:numCache>
                <c:formatCode>General</c:formatCode>
                <c:ptCount val="37"/>
                <c:pt idx="0">
                  <c:v>0</c:v>
                </c:pt>
                <c:pt idx="1">
                  <c:v>4.670403945301282</c:v>
                </c:pt>
                <c:pt idx="2">
                  <c:v>9.3052632965118161</c:v>
                </c:pt>
                <c:pt idx="3">
                  <c:v>13.869303975364296</c:v>
                </c:pt>
                <c:pt idx="4">
                  <c:v>18.327790876449548</c:v>
                </c:pt>
                <c:pt idx="5">
                  <c:v>22.646792222342317</c:v>
                </c:pt>
                <c:pt idx="6">
                  <c:v>26.793437804916035</c:v>
                </c:pt>
                <c:pt idx="7">
                  <c:v>30.736169147474271</c:v>
                </c:pt>
                <c:pt idx="8">
                  <c:v>34.44497968381387</c:v>
                </c:pt>
                <c:pt idx="9">
                  <c:v>37.891643126312267</c:v>
                </c:pt>
                <c:pt idx="10">
                  <c:v>41.04992828501976</c:v>
                </c:pt>
                <c:pt idx="11">
                  <c:v>43.89579870285386</c:v>
                </c:pt>
                <c:pt idx="12">
                  <c:v>46.407595587551306</c:v>
                </c:pt>
                <c:pt idx="13">
                  <c:v>48.566202648155141</c:v>
                </c:pt>
                <c:pt idx="14">
                  <c:v>50.355191581531571</c:v>
                </c:pt>
                <c:pt idx="15">
                  <c:v>51.760947101676571</c:v>
                </c:pt>
                <c:pt idx="16">
                  <c:v>52.772770560263424</c:v>
                </c:pt>
                <c:pt idx="17">
                  <c:v>53.382961369816591</c:v>
                </c:pt>
                <c:pt idx="18">
                  <c:v>53.586875609832077</c:v>
                </c:pt>
                <c:pt idx="19">
                  <c:v>53.382961369816591</c:v>
                </c:pt>
                <c:pt idx="20">
                  <c:v>52.772770560263424</c:v>
                </c:pt>
                <c:pt idx="21">
                  <c:v>51.760947101676571</c:v>
                </c:pt>
                <c:pt idx="22">
                  <c:v>50.355191581531578</c:v>
                </c:pt>
                <c:pt idx="23">
                  <c:v>48.566202648155148</c:v>
                </c:pt>
                <c:pt idx="24">
                  <c:v>46.407595587551313</c:v>
                </c:pt>
                <c:pt idx="25">
                  <c:v>43.895798702853853</c:v>
                </c:pt>
                <c:pt idx="26">
                  <c:v>41.04992828501976</c:v>
                </c:pt>
                <c:pt idx="27">
                  <c:v>37.891643126312275</c:v>
                </c:pt>
                <c:pt idx="28">
                  <c:v>34.444979683813884</c:v>
                </c:pt>
                <c:pt idx="29">
                  <c:v>30.736169147474264</c:v>
                </c:pt>
                <c:pt idx="30">
                  <c:v>26.793437804916035</c:v>
                </c:pt>
                <c:pt idx="31">
                  <c:v>22.64679222234232</c:v>
                </c:pt>
                <c:pt idx="32">
                  <c:v>18.327790876449559</c:v>
                </c:pt>
                <c:pt idx="33">
                  <c:v>13.869303975364312</c:v>
                </c:pt>
                <c:pt idx="34">
                  <c:v>9.3052632965118125</c:v>
                </c:pt>
                <c:pt idx="35">
                  <c:v>4.6704039453012838</c:v>
                </c:pt>
                <c:pt idx="36">
                  <c:v>6.5651877856766187E-15</c:v>
                </c:pt>
              </c:numCache>
            </c:numRef>
          </c:yVal>
          <c:smooth val="1"/>
          <c:extLst>
            <c:ext xmlns:c16="http://schemas.microsoft.com/office/drawing/2014/chart" uri="{C3380CC4-5D6E-409C-BE32-E72D297353CC}">
              <c16:uniqueId val="{00000000-F257-7043-8D5E-ED5F655945D4}"/>
            </c:ext>
          </c:extLst>
        </c:ser>
        <c:ser>
          <c:idx val="1"/>
          <c:order val="1"/>
          <c:tx>
            <c:v>Remolded</c:v>
          </c:tx>
          <c:spPr>
            <a:ln w="19050" cap="rnd">
              <a:solidFill>
                <a:schemeClr val="accent1"/>
              </a:solidFill>
              <a:prstDash val="dash"/>
              <a:round/>
            </a:ln>
            <a:effectLst/>
          </c:spPr>
          <c:marker>
            <c:symbol val="none"/>
          </c:marker>
          <c:xVal>
            <c:numRef>
              <c:f>'WS-UCT'!$H$122:$H$158</c:f>
              <c:numCache>
                <c:formatCode>0.00</c:formatCode>
                <c:ptCount val="37"/>
                <c:pt idx="0">
                  <c:v>83.866106310793427</c:v>
                </c:pt>
                <c:pt idx="1">
                  <c:v>83.706538383602265</c:v>
                </c:pt>
                <c:pt idx="2">
                  <c:v>83.229049010304436</c:v>
                </c:pt>
                <c:pt idx="3">
                  <c:v>82.437272173346713</c:v>
                </c:pt>
                <c:pt idx="4">
                  <c:v>81.337233772546256</c:v>
                </c:pt>
                <c:pt idx="5">
                  <c:v>79.93730576435452</c:v>
                </c:pt>
                <c:pt idx="6">
                  <c:v>78.248142446213478</c:v>
                </c:pt>
                <c:pt idx="7">
                  <c:v>76.282599370918888</c:v>
                </c:pt>
                <c:pt idx="8">
                  <c:v>74.055635508101091</c:v>
                </c:pt>
                <c:pt idx="9">
                  <c:v>71.584199397433679</c:v>
                </c:pt>
                <c:pt idx="10">
                  <c:v>68.887100160012764</c:v>
                </c:pt>
                <c:pt idx="11">
                  <c:v>65.98486434958815</c:v>
                </c:pt>
                <c:pt idx="12">
                  <c:v>62.899579733095074</c:v>
                </c:pt>
                <c:pt idx="13">
                  <c:v>59.654727189410821</c:v>
                </c:pt>
                <c:pt idx="14">
                  <c:v>56.275002005688386</c:v>
                </c:pt>
                <c:pt idx="15">
                  <c:v>52.786125931309734</c:v>
                </c:pt>
                <c:pt idx="16">
                  <c:v>49.214651419841879</c:v>
                </c:pt>
                <c:pt idx="17">
                  <c:v>45.587759548832345</c:v>
                </c:pt>
                <c:pt idx="18">
                  <c:v>41.933053155396713</c:v>
                </c:pt>
                <c:pt idx="19">
                  <c:v>38.278346761961082</c:v>
                </c:pt>
                <c:pt idx="20">
                  <c:v>34.651454890951555</c:v>
                </c:pt>
                <c:pt idx="21">
                  <c:v>31.079980379483686</c:v>
                </c:pt>
                <c:pt idx="22">
                  <c:v>27.591104305105045</c:v>
                </c:pt>
                <c:pt idx="23">
                  <c:v>24.211379121382606</c:v>
                </c:pt>
                <c:pt idx="24">
                  <c:v>20.966526577698367</c:v>
                </c:pt>
                <c:pt idx="25">
                  <c:v>17.881241961205276</c:v>
                </c:pt>
                <c:pt idx="26">
                  <c:v>14.979006150780663</c:v>
                </c:pt>
                <c:pt idx="27">
                  <c:v>12.281906913359744</c:v>
                </c:pt>
                <c:pt idx="28">
                  <c:v>9.8104708026923362</c:v>
                </c:pt>
                <c:pt idx="29">
                  <c:v>7.5835069398745318</c:v>
                </c:pt>
                <c:pt idx="30">
                  <c:v>5.6179638645799415</c:v>
                </c:pt>
                <c:pt idx="31">
                  <c:v>3.9288005464389073</c:v>
                </c:pt>
                <c:pt idx="32">
                  <c:v>2.5288725382471711</c:v>
                </c:pt>
                <c:pt idx="33">
                  <c:v>1.4288341374467279</c:v>
                </c:pt>
                <c:pt idx="34">
                  <c:v>0.63705730048899767</c:v>
                </c:pt>
                <c:pt idx="35">
                  <c:v>0.15956792719116919</c:v>
                </c:pt>
                <c:pt idx="36">
                  <c:v>0</c:v>
                </c:pt>
              </c:numCache>
            </c:numRef>
          </c:xVal>
          <c:yVal>
            <c:numRef>
              <c:f>'WS-UCT'!$I$122:$I$158</c:f>
              <c:numCache>
                <c:formatCode>General</c:formatCode>
                <c:ptCount val="37"/>
                <c:pt idx="0">
                  <c:v>0</c:v>
                </c:pt>
                <c:pt idx="1">
                  <c:v>3.6547063934356316</c:v>
                </c:pt>
                <c:pt idx="2">
                  <c:v>7.2815982644451624</c:v>
                </c:pt>
                <c:pt idx="3">
                  <c:v>10.853072775913022</c:v>
                </c:pt>
                <c:pt idx="4">
                  <c:v>14.341948850291669</c:v>
                </c:pt>
                <c:pt idx="5">
                  <c:v>17.721674034014111</c:v>
                </c:pt>
                <c:pt idx="6">
                  <c:v>20.966526577698353</c:v>
                </c:pt>
                <c:pt idx="7">
                  <c:v>24.051811194191433</c:v>
                </c:pt>
                <c:pt idx="8">
                  <c:v>26.954047004616047</c:v>
                </c:pt>
                <c:pt idx="9">
                  <c:v>29.651146242036969</c:v>
                </c:pt>
                <c:pt idx="10">
                  <c:v>32.122582352704377</c:v>
                </c:pt>
                <c:pt idx="11">
                  <c:v>34.349546215522174</c:v>
                </c:pt>
                <c:pt idx="12">
                  <c:v>36.315089290816765</c:v>
                </c:pt>
                <c:pt idx="13">
                  <c:v>38.004252608957806</c:v>
                </c:pt>
                <c:pt idx="14">
                  <c:v>39.404180617149542</c:v>
                </c:pt>
                <c:pt idx="15">
                  <c:v>40.504219017949993</c:v>
                </c:pt>
                <c:pt idx="16">
                  <c:v>41.295995854907716</c:v>
                </c:pt>
                <c:pt idx="17">
                  <c:v>41.773485228205544</c:v>
                </c:pt>
                <c:pt idx="18">
                  <c:v>41.933053155396713</c:v>
                </c:pt>
                <c:pt idx="19">
                  <c:v>41.773485228205544</c:v>
                </c:pt>
                <c:pt idx="20">
                  <c:v>41.295995854907716</c:v>
                </c:pt>
                <c:pt idx="21">
                  <c:v>40.504219017949993</c:v>
                </c:pt>
                <c:pt idx="22">
                  <c:v>39.404180617149542</c:v>
                </c:pt>
                <c:pt idx="23">
                  <c:v>38.004252608957813</c:v>
                </c:pt>
                <c:pt idx="24">
                  <c:v>36.315089290816772</c:v>
                </c:pt>
                <c:pt idx="25">
                  <c:v>34.349546215522174</c:v>
                </c:pt>
                <c:pt idx="26">
                  <c:v>32.122582352704377</c:v>
                </c:pt>
                <c:pt idx="27">
                  <c:v>29.651146242036972</c:v>
                </c:pt>
                <c:pt idx="28">
                  <c:v>26.954047004616054</c:v>
                </c:pt>
                <c:pt idx="29">
                  <c:v>24.05181119419143</c:v>
                </c:pt>
                <c:pt idx="30">
                  <c:v>20.966526577698353</c:v>
                </c:pt>
                <c:pt idx="31">
                  <c:v>17.721674034014114</c:v>
                </c:pt>
                <c:pt idx="32">
                  <c:v>14.341948850291676</c:v>
                </c:pt>
                <c:pt idx="33">
                  <c:v>10.853072775913033</c:v>
                </c:pt>
                <c:pt idx="34">
                  <c:v>7.2815982644451598</c:v>
                </c:pt>
                <c:pt idx="35">
                  <c:v>3.6547063934356325</c:v>
                </c:pt>
                <c:pt idx="36">
                  <c:v>5.1374215282935316E-15</c:v>
                </c:pt>
              </c:numCache>
            </c:numRef>
          </c:yVal>
          <c:smooth val="1"/>
          <c:extLst>
            <c:ext xmlns:c16="http://schemas.microsoft.com/office/drawing/2014/chart" uri="{C3380CC4-5D6E-409C-BE32-E72D297353CC}">
              <c16:uniqueId val="{00000001-F257-7043-8D5E-ED5F655945D4}"/>
            </c:ext>
          </c:extLst>
        </c:ser>
        <c:dLbls>
          <c:showLegendKey val="0"/>
          <c:showVal val="0"/>
          <c:showCatName val="0"/>
          <c:showSerName val="0"/>
          <c:showPercent val="0"/>
          <c:showBubbleSize val="0"/>
        </c:dLbls>
        <c:axId val="663896304"/>
        <c:axId val="664120096"/>
      </c:scatterChart>
      <c:valAx>
        <c:axId val="663896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20096"/>
        <c:crosses val="autoZero"/>
        <c:crossBetween val="midCat"/>
      </c:valAx>
      <c:valAx>
        <c:axId val="66412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96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2"/>
          <c:tx>
            <c:strRef>
              <c:f>'WS-UCT'!$R$77</c:f>
              <c:strCache>
                <c:ptCount val="1"/>
                <c:pt idx="0">
                  <c:v>Undisturb</c:v>
                </c:pt>
              </c:strCache>
            </c:strRef>
          </c:tx>
          <c:spPr>
            <a:ln w="19050" cap="rnd">
              <a:solidFill>
                <a:schemeClr val="accent1"/>
              </a:solidFill>
              <a:round/>
            </a:ln>
            <a:effectLst/>
          </c:spPr>
          <c:marker>
            <c:symbol val="none"/>
          </c:marker>
          <c:xVal>
            <c:numRef>
              <c:f>'WS-UCT'!$E$44:$E$68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'WS-UCT'!$I$44:$I$68</c:f>
              <c:numCache>
                <c:formatCode>0.00</c:formatCode>
                <c:ptCount val="25"/>
                <c:pt idx="0" formatCode="General">
                  <c:v>0</c:v>
                </c:pt>
                <c:pt idx="1">
                  <c:v>29.779616820528652</c:v>
                </c:pt>
                <c:pt idx="2">
                  <c:v>44.37360122264203</c:v>
                </c:pt>
                <c:pt idx="3">
                  <c:v>58.77036961932145</c:v>
                </c:pt>
                <c:pt idx="4">
                  <c:v>72.969922010566904</c:v>
                </c:pt>
                <c:pt idx="5">
                  <c:v>82.140466263246253</c:v>
                </c:pt>
                <c:pt idx="6">
                  <c:v>91.179533178969635</c:v>
                </c:pt>
                <c:pt idx="7">
                  <c:v>95.321069293082886</c:v>
                </c:pt>
                <c:pt idx="8">
                  <c:v>99.396866738718145</c:v>
                </c:pt>
                <c:pt idx="9">
                  <c:v>103.40692551587541</c:v>
                </c:pt>
                <c:pt idx="10">
                  <c:v>105.01752289358615</c:v>
                </c:pt>
                <c:pt idx="11">
                  <c:v>106.59525093705786</c:v>
                </c:pt>
                <c:pt idx="12">
                  <c:v>106.75959760825283</c:v>
                </c:pt>
                <c:pt idx="13">
                  <c:v>106.91079654575219</c:v>
                </c:pt>
                <c:pt idx="14">
                  <c:v>107.04884774955599</c:v>
                </c:pt>
                <c:pt idx="15">
                  <c:v>107.17375121966415</c:v>
                </c:pt>
                <c:pt idx="16">
                  <c:v>106.83848401042641</c:v>
                </c:pt>
                <c:pt idx="17">
                  <c:v>106.49664293434088</c:v>
                </c:pt>
                <c:pt idx="18">
                  <c:v>105.70777891260502</c:v>
                </c:pt>
                <c:pt idx="19">
                  <c:v>104.91891489086917</c:v>
                </c:pt>
                <c:pt idx="20">
                  <c:v>104.1300508691333</c:v>
                </c:pt>
                <c:pt idx="21">
                  <c:v>103.34118684739747</c:v>
                </c:pt>
                <c:pt idx="22">
                  <c:v>102.55232282566159</c:v>
                </c:pt>
                <c:pt idx="23">
                  <c:v>101.76345880392573</c:v>
                </c:pt>
                <c:pt idx="24">
                  <c:v>100.97459478218985</c:v>
                </c:pt>
              </c:numCache>
            </c:numRef>
          </c:yVal>
          <c:smooth val="1"/>
          <c:extLst>
            <c:ext xmlns:c16="http://schemas.microsoft.com/office/drawing/2014/chart" uri="{C3380CC4-5D6E-409C-BE32-E72D297353CC}">
              <c16:uniqueId val="{00000000-21B9-4642-B540-BE55FA8E1246}"/>
            </c:ext>
          </c:extLst>
        </c:ser>
        <c:ser>
          <c:idx val="1"/>
          <c:order val="3"/>
          <c:tx>
            <c:strRef>
              <c:f>'WS-UCT'!$R$78</c:f>
              <c:strCache>
                <c:ptCount val="1"/>
                <c:pt idx="0">
                  <c:v>Remolded</c:v>
                </c:pt>
              </c:strCache>
            </c:strRef>
          </c:tx>
          <c:spPr>
            <a:ln w="19050" cap="rnd">
              <a:solidFill>
                <a:schemeClr val="accent2"/>
              </a:solidFill>
              <a:round/>
            </a:ln>
            <a:effectLst/>
          </c:spPr>
          <c:marker>
            <c:symbol val="none"/>
          </c:marker>
          <c:xVal>
            <c:numRef>
              <c:f>'WS-UCT'!$E$84:$E$108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'WS-UCT'!$I$84:$I$108</c:f>
              <c:numCache>
                <c:formatCode>0.00</c:formatCode>
                <c:ptCount val="25"/>
                <c:pt idx="0" formatCode="General">
                  <c:v>0</c:v>
                </c:pt>
                <c:pt idx="1">
                  <c:v>14.889808410264326</c:v>
                </c:pt>
                <c:pt idx="2">
                  <c:v>29.582400815094687</c:v>
                </c:pt>
                <c:pt idx="3">
                  <c:v>39.180246412880962</c:v>
                </c:pt>
                <c:pt idx="4">
                  <c:v>48.646614673711262</c:v>
                </c:pt>
                <c:pt idx="5">
                  <c:v>57.981505597585596</c:v>
                </c:pt>
                <c:pt idx="6">
                  <c:v>62.38599638561081</c:v>
                </c:pt>
                <c:pt idx="7">
                  <c:v>66.724748505158018</c:v>
                </c:pt>
                <c:pt idx="8">
                  <c:v>70.997761956227251</c:v>
                </c:pt>
                <c:pt idx="9">
                  <c:v>74.264973779583244</c:v>
                </c:pt>
                <c:pt idx="10">
                  <c:v>77.012850121963169</c:v>
                </c:pt>
                <c:pt idx="11">
                  <c:v>78.78779417086885</c:v>
                </c:pt>
                <c:pt idx="12">
                  <c:v>80.529868885535535</c:v>
                </c:pt>
                <c:pt idx="13">
                  <c:v>82.239074265963225</c:v>
                </c:pt>
                <c:pt idx="14">
                  <c:v>82.554619874657575</c:v>
                </c:pt>
                <c:pt idx="15">
                  <c:v>82.857017749656308</c:v>
                </c:pt>
                <c:pt idx="16">
                  <c:v>83.146267890959479</c:v>
                </c:pt>
                <c:pt idx="17">
                  <c:v>83.866106310793427</c:v>
                </c:pt>
                <c:pt idx="18">
                  <c:v>83.685324972478966</c:v>
                </c:pt>
                <c:pt idx="19">
                  <c:v>83.060807621938082</c:v>
                </c:pt>
                <c:pt idx="20">
                  <c:v>82.436290271397198</c:v>
                </c:pt>
                <c:pt idx="21">
                  <c:v>81.811772920856299</c:v>
                </c:pt>
                <c:pt idx="22">
                  <c:v>81.187255570315429</c:v>
                </c:pt>
                <c:pt idx="23">
                  <c:v>80.562738219774531</c:v>
                </c:pt>
                <c:pt idx="24">
                  <c:v>79.938220869233632</c:v>
                </c:pt>
              </c:numCache>
            </c:numRef>
          </c:yVal>
          <c:smooth val="1"/>
          <c:extLst>
            <c:ext xmlns:c16="http://schemas.microsoft.com/office/drawing/2014/chart" uri="{C3380CC4-5D6E-409C-BE32-E72D297353CC}">
              <c16:uniqueId val="{00000001-21B9-4642-B540-BE55FA8E1246}"/>
            </c:ext>
          </c:extLst>
        </c:ser>
        <c:dLbls>
          <c:showLegendKey val="0"/>
          <c:showVal val="0"/>
          <c:showCatName val="0"/>
          <c:showSerName val="0"/>
          <c:showPercent val="0"/>
          <c:showBubbleSize val="0"/>
        </c:dLbls>
        <c:axId val="663995376"/>
        <c:axId val="664072128"/>
      </c:scatterChart>
      <c:scatterChart>
        <c:scatterStyle val="lineMarker"/>
        <c:varyColors val="0"/>
        <c:ser>
          <c:idx val="4"/>
          <c:order val="0"/>
          <c:tx>
            <c:strRef>
              <c:f>'WS-UCT'!$R$75</c:f>
              <c:strCache>
                <c:ptCount val="1"/>
                <c:pt idx="0">
                  <c:v>qu = 107 kPa</c:v>
                </c:pt>
              </c:strCache>
            </c:strRef>
          </c:tx>
          <c:spPr>
            <a:ln w="25400" cap="rnd">
              <a:noFill/>
              <a:round/>
            </a:ln>
            <a:effectLst/>
          </c:spPr>
          <c:marker>
            <c:symbol val="triangle"/>
            <c:size val="6"/>
            <c:spPr>
              <a:solidFill>
                <a:srgbClr val="FF0000"/>
              </a:solidFill>
              <a:ln w="9525">
                <a:noFill/>
              </a:ln>
              <a:effectLst/>
            </c:spPr>
          </c:marker>
          <c:xVal>
            <c:numRef>
              <c:f>'WS-UCT'!$U$56:$U$56</c:f>
              <c:numCache>
                <c:formatCode>0.00</c:formatCode>
                <c:ptCount val="1"/>
                <c:pt idx="0">
                  <c:v>9.8684210526315788</c:v>
                </c:pt>
              </c:numCache>
            </c:numRef>
          </c:xVal>
          <c:yVal>
            <c:numRef>
              <c:f>'WS-UCT'!$V$56:$V$56</c:f>
              <c:numCache>
                <c:formatCode>0.000</c:formatCode>
                <c:ptCount val="1"/>
                <c:pt idx="0">
                  <c:v>107.17375121966415</c:v>
                </c:pt>
              </c:numCache>
            </c:numRef>
          </c:yVal>
          <c:smooth val="0"/>
          <c:extLst>
            <c:ext xmlns:c16="http://schemas.microsoft.com/office/drawing/2014/chart" uri="{C3380CC4-5D6E-409C-BE32-E72D297353CC}">
              <c16:uniqueId val="{00000002-36DD-3B41-AEF2-2C34B8848944}"/>
            </c:ext>
          </c:extLst>
        </c:ser>
        <c:ser>
          <c:idx val="5"/>
          <c:order val="1"/>
          <c:tx>
            <c:strRef>
              <c:f>'WS-UCT'!$R$76</c:f>
              <c:strCache>
                <c:ptCount val="1"/>
                <c:pt idx="0">
                  <c:v>qu = 84 kPa</c:v>
                </c:pt>
              </c:strCache>
            </c:strRef>
          </c:tx>
          <c:spPr>
            <a:ln w="25400" cap="rnd">
              <a:noFill/>
              <a:round/>
            </a:ln>
            <a:effectLst/>
          </c:spPr>
          <c:marker>
            <c:symbol val="square"/>
            <c:size val="5"/>
            <c:spPr>
              <a:solidFill>
                <a:srgbClr val="FF0000"/>
              </a:solidFill>
              <a:ln w="9525">
                <a:noFill/>
              </a:ln>
              <a:effectLst/>
            </c:spPr>
          </c:marker>
          <c:xVal>
            <c:numRef>
              <c:f>'WS-UCT'!$U$59:$U$59</c:f>
              <c:numCache>
                <c:formatCode>0.00</c:formatCode>
                <c:ptCount val="1"/>
                <c:pt idx="0">
                  <c:v>11.184210526315789</c:v>
                </c:pt>
              </c:numCache>
            </c:numRef>
          </c:xVal>
          <c:yVal>
            <c:numRef>
              <c:f>'WS-UCT'!$V$59:$V$59</c:f>
              <c:numCache>
                <c:formatCode>0.000</c:formatCode>
                <c:ptCount val="1"/>
                <c:pt idx="0">
                  <c:v>83.866106310793427</c:v>
                </c:pt>
              </c:numCache>
            </c:numRef>
          </c:yVal>
          <c:smooth val="0"/>
          <c:extLst>
            <c:ext xmlns:c16="http://schemas.microsoft.com/office/drawing/2014/chart" uri="{C3380CC4-5D6E-409C-BE32-E72D297353CC}">
              <c16:uniqueId val="{00000003-36DD-3B41-AEF2-2C34B8848944}"/>
            </c:ext>
          </c:extLst>
        </c:ser>
        <c:ser>
          <c:idx val="2"/>
          <c:order val="4"/>
          <c:tx>
            <c:strRef>
              <c:f>'WS-UCT'!$R$79</c:f>
              <c:strCache>
                <c:ptCount val="1"/>
                <c:pt idx="0">
                  <c:v>Peak Undisturbed</c:v>
                </c:pt>
              </c:strCache>
            </c:strRef>
          </c:tx>
          <c:spPr>
            <a:ln w="9525" cap="rnd">
              <a:solidFill>
                <a:schemeClr val="accent5">
                  <a:lumMod val="60000"/>
                  <a:lumOff val="40000"/>
                </a:schemeClr>
              </a:solidFill>
              <a:prstDash val="dash"/>
              <a:round/>
            </a:ln>
            <a:effectLst/>
          </c:spPr>
          <c:marker>
            <c:symbol val="none"/>
          </c:marker>
          <c:xVal>
            <c:numRef>
              <c:f>'WS-UCT'!$R$65:$R$67</c:f>
              <c:numCache>
                <c:formatCode>0.00</c:formatCode>
                <c:ptCount val="3"/>
                <c:pt idx="0" formatCode="General">
                  <c:v>0</c:v>
                </c:pt>
                <c:pt idx="1">
                  <c:v>9.8684210526315788</c:v>
                </c:pt>
                <c:pt idx="2">
                  <c:v>9.8684210526315788</c:v>
                </c:pt>
              </c:numCache>
            </c:numRef>
          </c:xVal>
          <c:yVal>
            <c:numRef>
              <c:f>'WS-UCT'!$S$65:$S$67</c:f>
              <c:numCache>
                <c:formatCode>0.000</c:formatCode>
                <c:ptCount val="3"/>
                <c:pt idx="0">
                  <c:v>107.17375121966415</c:v>
                </c:pt>
                <c:pt idx="1">
                  <c:v>107.17375121966415</c:v>
                </c:pt>
                <c:pt idx="2" formatCode="General">
                  <c:v>0</c:v>
                </c:pt>
              </c:numCache>
            </c:numRef>
          </c:yVal>
          <c:smooth val="0"/>
          <c:extLst>
            <c:ext xmlns:c16="http://schemas.microsoft.com/office/drawing/2014/chart" uri="{C3380CC4-5D6E-409C-BE32-E72D297353CC}">
              <c16:uniqueId val="{00000006-36DD-3B41-AEF2-2C34B8848944}"/>
            </c:ext>
          </c:extLst>
        </c:ser>
        <c:ser>
          <c:idx val="3"/>
          <c:order val="5"/>
          <c:tx>
            <c:strRef>
              <c:f>'WS-UCT'!$R$80</c:f>
              <c:strCache>
                <c:ptCount val="1"/>
                <c:pt idx="0">
                  <c:v>Peak Remolded</c:v>
                </c:pt>
              </c:strCache>
            </c:strRef>
          </c:tx>
          <c:spPr>
            <a:ln w="9525" cap="rnd">
              <a:solidFill>
                <a:schemeClr val="accent2">
                  <a:lumMod val="75000"/>
                </a:schemeClr>
              </a:solidFill>
              <a:prstDash val="dash"/>
              <a:round/>
            </a:ln>
            <a:effectLst/>
          </c:spPr>
          <c:marker>
            <c:symbol val="none"/>
          </c:marker>
          <c:xVal>
            <c:numRef>
              <c:f>'WS-UCT'!$R$69:$R$71</c:f>
              <c:numCache>
                <c:formatCode>0.00</c:formatCode>
                <c:ptCount val="3"/>
                <c:pt idx="0" formatCode="General">
                  <c:v>0</c:v>
                </c:pt>
                <c:pt idx="1">
                  <c:v>11.184210526315789</c:v>
                </c:pt>
                <c:pt idx="2">
                  <c:v>11.184210526315789</c:v>
                </c:pt>
              </c:numCache>
            </c:numRef>
          </c:xVal>
          <c:yVal>
            <c:numRef>
              <c:f>'WS-UCT'!$S$69:$S$71</c:f>
              <c:numCache>
                <c:formatCode>0.000</c:formatCode>
                <c:ptCount val="3"/>
                <c:pt idx="0">
                  <c:v>83.866106310793427</c:v>
                </c:pt>
                <c:pt idx="1">
                  <c:v>83.866106310793427</c:v>
                </c:pt>
                <c:pt idx="2" formatCode="General">
                  <c:v>0</c:v>
                </c:pt>
              </c:numCache>
            </c:numRef>
          </c:yVal>
          <c:smooth val="0"/>
          <c:extLst>
            <c:ext xmlns:c16="http://schemas.microsoft.com/office/drawing/2014/chart" uri="{C3380CC4-5D6E-409C-BE32-E72D297353CC}">
              <c16:uniqueId val="{00000007-36DD-3B41-AEF2-2C34B8848944}"/>
            </c:ext>
          </c:extLst>
        </c:ser>
        <c:dLbls>
          <c:showLegendKey val="0"/>
          <c:showVal val="0"/>
          <c:showCatName val="0"/>
          <c:showSerName val="0"/>
          <c:showPercent val="0"/>
          <c:showBubbleSize val="0"/>
        </c:dLbls>
        <c:axId val="663995376"/>
        <c:axId val="664072128"/>
      </c:scatterChart>
      <c:valAx>
        <c:axId val="663995376"/>
        <c:scaling>
          <c:orientation val="minMax"/>
          <c:max val="20"/>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Strain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4072128"/>
        <c:crosses val="autoZero"/>
        <c:crossBetween val="midCat"/>
        <c:majorUnit val="5"/>
        <c:minorUnit val="5"/>
      </c:valAx>
      <c:valAx>
        <c:axId val="664072128"/>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3995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2"/>
          <c:tx>
            <c:strRef>
              <c:f>'WS-UCT'!$R$77</c:f>
              <c:strCache>
                <c:ptCount val="1"/>
                <c:pt idx="0">
                  <c:v>Undisturb</c:v>
                </c:pt>
              </c:strCache>
            </c:strRef>
          </c:tx>
          <c:spPr>
            <a:ln w="19050" cap="rnd">
              <a:solidFill>
                <a:schemeClr val="accent1"/>
              </a:solidFill>
              <a:round/>
            </a:ln>
            <a:effectLst/>
          </c:spPr>
          <c:marker>
            <c:symbol val="none"/>
          </c:marker>
          <c:xVal>
            <c:numRef>
              <c:f>'WS-UCT'!$E$44:$E$68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'WS-UCT'!$I$44:$I$68</c:f>
              <c:numCache>
                <c:formatCode>0.00</c:formatCode>
                <c:ptCount val="25"/>
                <c:pt idx="0" formatCode="General">
                  <c:v>0</c:v>
                </c:pt>
                <c:pt idx="1">
                  <c:v>29.779616820528652</c:v>
                </c:pt>
                <c:pt idx="2">
                  <c:v>44.37360122264203</c:v>
                </c:pt>
                <c:pt idx="3">
                  <c:v>58.77036961932145</c:v>
                </c:pt>
                <c:pt idx="4">
                  <c:v>72.969922010566904</c:v>
                </c:pt>
                <c:pt idx="5">
                  <c:v>82.140466263246253</c:v>
                </c:pt>
                <c:pt idx="6">
                  <c:v>91.179533178969635</c:v>
                </c:pt>
                <c:pt idx="7">
                  <c:v>95.321069293082886</c:v>
                </c:pt>
                <c:pt idx="8">
                  <c:v>99.396866738718145</c:v>
                </c:pt>
                <c:pt idx="9">
                  <c:v>103.40692551587541</c:v>
                </c:pt>
                <c:pt idx="10">
                  <c:v>105.01752289358615</c:v>
                </c:pt>
                <c:pt idx="11">
                  <c:v>106.59525093705786</c:v>
                </c:pt>
                <c:pt idx="12">
                  <c:v>106.75959760825283</c:v>
                </c:pt>
                <c:pt idx="13">
                  <c:v>106.91079654575219</c:v>
                </c:pt>
                <c:pt idx="14">
                  <c:v>107.04884774955599</c:v>
                </c:pt>
                <c:pt idx="15">
                  <c:v>107.17375121966415</c:v>
                </c:pt>
                <c:pt idx="16">
                  <c:v>106.83848401042641</c:v>
                </c:pt>
                <c:pt idx="17">
                  <c:v>106.49664293434088</c:v>
                </c:pt>
                <c:pt idx="18">
                  <c:v>105.70777891260502</c:v>
                </c:pt>
                <c:pt idx="19">
                  <c:v>104.91891489086917</c:v>
                </c:pt>
                <c:pt idx="20">
                  <c:v>104.1300508691333</c:v>
                </c:pt>
                <c:pt idx="21">
                  <c:v>103.34118684739747</c:v>
                </c:pt>
                <c:pt idx="22">
                  <c:v>102.55232282566159</c:v>
                </c:pt>
                <c:pt idx="23">
                  <c:v>101.76345880392573</c:v>
                </c:pt>
                <c:pt idx="24">
                  <c:v>100.97459478218985</c:v>
                </c:pt>
              </c:numCache>
            </c:numRef>
          </c:yVal>
          <c:smooth val="1"/>
          <c:extLst>
            <c:ext xmlns:c16="http://schemas.microsoft.com/office/drawing/2014/chart" uri="{C3380CC4-5D6E-409C-BE32-E72D297353CC}">
              <c16:uniqueId val="{00000000-7033-CD45-86FC-9E251C06EA05}"/>
            </c:ext>
          </c:extLst>
        </c:ser>
        <c:ser>
          <c:idx val="1"/>
          <c:order val="3"/>
          <c:tx>
            <c:strRef>
              <c:f>'WS-UCT'!$R$78</c:f>
              <c:strCache>
                <c:ptCount val="1"/>
                <c:pt idx="0">
                  <c:v>Remolded</c:v>
                </c:pt>
              </c:strCache>
            </c:strRef>
          </c:tx>
          <c:spPr>
            <a:ln w="19050" cap="rnd">
              <a:solidFill>
                <a:schemeClr val="accent2"/>
              </a:solidFill>
              <a:round/>
            </a:ln>
            <a:effectLst/>
          </c:spPr>
          <c:marker>
            <c:symbol val="none"/>
          </c:marker>
          <c:xVal>
            <c:numRef>
              <c:f>'WS-UCT'!$E$84:$E$108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'WS-UCT'!$I$84:$I$108</c:f>
              <c:numCache>
                <c:formatCode>0.00</c:formatCode>
                <c:ptCount val="25"/>
                <c:pt idx="0" formatCode="General">
                  <c:v>0</c:v>
                </c:pt>
                <c:pt idx="1">
                  <c:v>14.889808410264326</c:v>
                </c:pt>
                <c:pt idx="2">
                  <c:v>29.582400815094687</c:v>
                </c:pt>
                <c:pt idx="3">
                  <c:v>39.180246412880962</c:v>
                </c:pt>
                <c:pt idx="4">
                  <c:v>48.646614673711262</c:v>
                </c:pt>
                <c:pt idx="5">
                  <c:v>57.981505597585596</c:v>
                </c:pt>
                <c:pt idx="6">
                  <c:v>62.38599638561081</c:v>
                </c:pt>
                <c:pt idx="7">
                  <c:v>66.724748505158018</c:v>
                </c:pt>
                <c:pt idx="8">
                  <c:v>70.997761956227251</c:v>
                </c:pt>
                <c:pt idx="9">
                  <c:v>74.264973779583244</c:v>
                </c:pt>
                <c:pt idx="10">
                  <c:v>77.012850121963169</c:v>
                </c:pt>
                <c:pt idx="11">
                  <c:v>78.78779417086885</c:v>
                </c:pt>
                <c:pt idx="12">
                  <c:v>80.529868885535535</c:v>
                </c:pt>
                <c:pt idx="13">
                  <c:v>82.239074265963225</c:v>
                </c:pt>
                <c:pt idx="14">
                  <c:v>82.554619874657575</c:v>
                </c:pt>
                <c:pt idx="15">
                  <c:v>82.857017749656308</c:v>
                </c:pt>
                <c:pt idx="16">
                  <c:v>83.146267890959479</c:v>
                </c:pt>
                <c:pt idx="17">
                  <c:v>83.866106310793427</c:v>
                </c:pt>
                <c:pt idx="18">
                  <c:v>83.685324972478966</c:v>
                </c:pt>
                <c:pt idx="19">
                  <c:v>83.060807621938082</c:v>
                </c:pt>
                <c:pt idx="20">
                  <c:v>82.436290271397198</c:v>
                </c:pt>
                <c:pt idx="21">
                  <c:v>81.811772920856299</c:v>
                </c:pt>
                <c:pt idx="22">
                  <c:v>81.187255570315429</c:v>
                </c:pt>
                <c:pt idx="23">
                  <c:v>80.562738219774531</c:v>
                </c:pt>
                <c:pt idx="24">
                  <c:v>79.938220869233632</c:v>
                </c:pt>
              </c:numCache>
            </c:numRef>
          </c:yVal>
          <c:smooth val="1"/>
          <c:extLst>
            <c:ext xmlns:c16="http://schemas.microsoft.com/office/drawing/2014/chart" uri="{C3380CC4-5D6E-409C-BE32-E72D297353CC}">
              <c16:uniqueId val="{00000001-7033-CD45-86FC-9E251C06EA05}"/>
            </c:ext>
          </c:extLst>
        </c:ser>
        <c:dLbls>
          <c:showLegendKey val="0"/>
          <c:showVal val="0"/>
          <c:showCatName val="0"/>
          <c:showSerName val="0"/>
          <c:showPercent val="0"/>
          <c:showBubbleSize val="0"/>
        </c:dLbls>
        <c:axId val="663995376"/>
        <c:axId val="664072128"/>
      </c:scatterChart>
      <c:scatterChart>
        <c:scatterStyle val="lineMarker"/>
        <c:varyColors val="0"/>
        <c:ser>
          <c:idx val="4"/>
          <c:order val="0"/>
          <c:tx>
            <c:strRef>
              <c:f>'WS-UCT'!$R$75</c:f>
              <c:strCache>
                <c:ptCount val="1"/>
                <c:pt idx="0">
                  <c:v>qu = 107 kPa</c:v>
                </c:pt>
              </c:strCache>
            </c:strRef>
          </c:tx>
          <c:spPr>
            <a:ln w="25400" cap="rnd">
              <a:noFill/>
              <a:round/>
            </a:ln>
            <a:effectLst/>
          </c:spPr>
          <c:marker>
            <c:symbol val="triangle"/>
            <c:size val="6"/>
            <c:spPr>
              <a:solidFill>
                <a:srgbClr val="FF0000"/>
              </a:solidFill>
              <a:ln w="9525">
                <a:noFill/>
              </a:ln>
              <a:effectLst/>
            </c:spPr>
          </c:marker>
          <c:xVal>
            <c:numRef>
              <c:f>'WS-UCT'!$U$56</c:f>
              <c:numCache>
                <c:formatCode>0.00</c:formatCode>
                <c:ptCount val="1"/>
                <c:pt idx="0">
                  <c:v>9.8684210526315788</c:v>
                </c:pt>
              </c:numCache>
            </c:numRef>
          </c:xVal>
          <c:yVal>
            <c:numRef>
              <c:f>'WS-UCT'!$V$56</c:f>
              <c:numCache>
                <c:formatCode>0.000</c:formatCode>
                <c:ptCount val="1"/>
                <c:pt idx="0">
                  <c:v>107.17375121966415</c:v>
                </c:pt>
              </c:numCache>
            </c:numRef>
          </c:yVal>
          <c:smooth val="0"/>
          <c:extLst>
            <c:ext xmlns:c16="http://schemas.microsoft.com/office/drawing/2014/chart" uri="{C3380CC4-5D6E-409C-BE32-E72D297353CC}">
              <c16:uniqueId val="{00000002-7033-CD45-86FC-9E251C06EA05}"/>
            </c:ext>
          </c:extLst>
        </c:ser>
        <c:ser>
          <c:idx val="5"/>
          <c:order val="1"/>
          <c:tx>
            <c:strRef>
              <c:f>'WS-UCT'!$R$76</c:f>
              <c:strCache>
                <c:ptCount val="1"/>
                <c:pt idx="0">
                  <c:v>qu = 84 kPa</c:v>
                </c:pt>
              </c:strCache>
            </c:strRef>
          </c:tx>
          <c:spPr>
            <a:ln w="25400" cap="rnd">
              <a:noFill/>
              <a:round/>
            </a:ln>
            <a:effectLst/>
          </c:spPr>
          <c:marker>
            <c:symbol val="square"/>
            <c:size val="5"/>
            <c:spPr>
              <a:solidFill>
                <a:srgbClr val="FF0000"/>
              </a:solidFill>
              <a:ln w="9525">
                <a:noFill/>
              </a:ln>
              <a:effectLst/>
            </c:spPr>
          </c:marker>
          <c:xVal>
            <c:numRef>
              <c:f>'WS-UCT'!$U$59</c:f>
              <c:numCache>
                <c:formatCode>0.00</c:formatCode>
                <c:ptCount val="1"/>
                <c:pt idx="0">
                  <c:v>11.184210526315789</c:v>
                </c:pt>
              </c:numCache>
            </c:numRef>
          </c:xVal>
          <c:yVal>
            <c:numRef>
              <c:f>'WS-UCT'!$V$59</c:f>
              <c:numCache>
                <c:formatCode>0.000</c:formatCode>
                <c:ptCount val="1"/>
                <c:pt idx="0">
                  <c:v>83.866106310793427</c:v>
                </c:pt>
              </c:numCache>
            </c:numRef>
          </c:yVal>
          <c:smooth val="0"/>
          <c:extLst>
            <c:ext xmlns:c16="http://schemas.microsoft.com/office/drawing/2014/chart" uri="{C3380CC4-5D6E-409C-BE32-E72D297353CC}">
              <c16:uniqueId val="{00000003-7033-CD45-86FC-9E251C06EA05}"/>
            </c:ext>
          </c:extLst>
        </c:ser>
        <c:ser>
          <c:idx val="2"/>
          <c:order val="4"/>
          <c:tx>
            <c:strRef>
              <c:f>'WS-UCT'!$R$79</c:f>
              <c:strCache>
                <c:ptCount val="1"/>
                <c:pt idx="0">
                  <c:v>Peak Undisturbed</c:v>
                </c:pt>
              </c:strCache>
            </c:strRef>
          </c:tx>
          <c:spPr>
            <a:ln w="9525" cap="rnd">
              <a:solidFill>
                <a:schemeClr val="accent5">
                  <a:lumMod val="60000"/>
                  <a:lumOff val="40000"/>
                </a:schemeClr>
              </a:solidFill>
              <a:prstDash val="dash"/>
              <a:round/>
            </a:ln>
            <a:effectLst/>
          </c:spPr>
          <c:marker>
            <c:symbol val="none"/>
          </c:marker>
          <c:xVal>
            <c:numRef>
              <c:f>'WS-UCT'!$R$65:$R$67</c:f>
              <c:numCache>
                <c:formatCode>0.00</c:formatCode>
                <c:ptCount val="3"/>
                <c:pt idx="0" formatCode="General">
                  <c:v>0</c:v>
                </c:pt>
                <c:pt idx="1">
                  <c:v>9.8684210526315788</c:v>
                </c:pt>
                <c:pt idx="2">
                  <c:v>9.8684210526315788</c:v>
                </c:pt>
              </c:numCache>
            </c:numRef>
          </c:xVal>
          <c:yVal>
            <c:numRef>
              <c:f>'WS-UCT'!$S$65:$S$67</c:f>
              <c:numCache>
                <c:formatCode>0.000</c:formatCode>
                <c:ptCount val="3"/>
                <c:pt idx="0">
                  <c:v>107.17375121966415</c:v>
                </c:pt>
                <c:pt idx="1">
                  <c:v>107.17375121966415</c:v>
                </c:pt>
                <c:pt idx="2" formatCode="General">
                  <c:v>0</c:v>
                </c:pt>
              </c:numCache>
            </c:numRef>
          </c:yVal>
          <c:smooth val="0"/>
          <c:extLst>
            <c:ext xmlns:c16="http://schemas.microsoft.com/office/drawing/2014/chart" uri="{C3380CC4-5D6E-409C-BE32-E72D297353CC}">
              <c16:uniqueId val="{00000004-7033-CD45-86FC-9E251C06EA05}"/>
            </c:ext>
          </c:extLst>
        </c:ser>
        <c:ser>
          <c:idx val="3"/>
          <c:order val="5"/>
          <c:tx>
            <c:strRef>
              <c:f>'WS-UCT'!$R$80</c:f>
              <c:strCache>
                <c:ptCount val="1"/>
                <c:pt idx="0">
                  <c:v>Peak Remolded</c:v>
                </c:pt>
              </c:strCache>
            </c:strRef>
          </c:tx>
          <c:spPr>
            <a:ln w="9525" cap="rnd">
              <a:solidFill>
                <a:schemeClr val="accent2">
                  <a:lumMod val="75000"/>
                </a:schemeClr>
              </a:solidFill>
              <a:prstDash val="dash"/>
              <a:round/>
            </a:ln>
            <a:effectLst/>
          </c:spPr>
          <c:marker>
            <c:symbol val="none"/>
          </c:marker>
          <c:xVal>
            <c:numRef>
              <c:f>'WS-UCT'!$R$69:$R$71</c:f>
              <c:numCache>
                <c:formatCode>0.00</c:formatCode>
                <c:ptCount val="3"/>
                <c:pt idx="0" formatCode="General">
                  <c:v>0</c:v>
                </c:pt>
                <c:pt idx="1">
                  <c:v>11.184210526315789</c:v>
                </c:pt>
                <c:pt idx="2">
                  <c:v>11.184210526315789</c:v>
                </c:pt>
              </c:numCache>
            </c:numRef>
          </c:xVal>
          <c:yVal>
            <c:numRef>
              <c:f>'WS-UCT'!$S$69:$S$71</c:f>
              <c:numCache>
                <c:formatCode>0.000</c:formatCode>
                <c:ptCount val="3"/>
                <c:pt idx="0">
                  <c:v>83.866106310793427</c:v>
                </c:pt>
                <c:pt idx="1">
                  <c:v>83.866106310793427</c:v>
                </c:pt>
                <c:pt idx="2" formatCode="General">
                  <c:v>0</c:v>
                </c:pt>
              </c:numCache>
            </c:numRef>
          </c:yVal>
          <c:smooth val="0"/>
          <c:extLst>
            <c:ext xmlns:c16="http://schemas.microsoft.com/office/drawing/2014/chart" uri="{C3380CC4-5D6E-409C-BE32-E72D297353CC}">
              <c16:uniqueId val="{00000005-7033-CD45-86FC-9E251C06EA05}"/>
            </c:ext>
          </c:extLst>
        </c:ser>
        <c:dLbls>
          <c:showLegendKey val="0"/>
          <c:showVal val="0"/>
          <c:showCatName val="0"/>
          <c:showSerName val="0"/>
          <c:showPercent val="0"/>
          <c:showBubbleSize val="0"/>
        </c:dLbls>
        <c:axId val="663995376"/>
        <c:axId val="664072128"/>
      </c:scatterChart>
      <c:valAx>
        <c:axId val="663995376"/>
        <c:scaling>
          <c:orientation val="minMax"/>
          <c:max val="20"/>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Strain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4072128"/>
        <c:crosses val="autoZero"/>
        <c:crossBetween val="midCat"/>
        <c:majorUnit val="5"/>
        <c:minorUnit val="5"/>
      </c:valAx>
      <c:valAx>
        <c:axId val="664072128"/>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3995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'WS_DS-CD'!$P$125</c:f>
              <c:strCache>
                <c:ptCount val="1"/>
                <c:pt idx="0">
                  <c:v>σₙ =18 kPa</c:v>
                </c:pt>
              </c:strCache>
            </c:strRef>
          </c:tx>
          <c:spPr>
            <a:ln w="15875" cap="rnd">
              <a:solidFill>
                <a:schemeClr val="accent1"/>
              </a:solidFill>
              <a:round/>
            </a:ln>
            <a:effectLst/>
          </c:spPr>
          <c:marker>
            <c:symbol val="none"/>
          </c:marker>
          <c:xVal>
            <c:numRef>
              <c:f>'WS_DS-CD'!$B$83:$B$110</c:f>
              <c:numCache>
                <c:formatCode>0.00</c:formatCode>
                <c:ptCount val="28"/>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numCache>
            </c:numRef>
          </c:xVal>
          <c:yVal>
            <c:numRef>
              <c:f>'WS_DS-CD'!$F$83:$F$110</c:f>
              <c:numCache>
                <c:formatCode>General</c:formatCode>
                <c:ptCount val="28"/>
                <c:pt idx="0">
                  <c:v>0</c:v>
                </c:pt>
                <c:pt idx="1">
                  <c:v>1.2940771722448496</c:v>
                </c:pt>
                <c:pt idx="2">
                  <c:v>2.0872212455562091</c:v>
                </c:pt>
                <c:pt idx="3">
                  <c:v>3.130831868334313</c:v>
                </c:pt>
                <c:pt idx="4">
                  <c:v>3.7569982420011763</c:v>
                </c:pt>
                <c:pt idx="5">
                  <c:v>4.5918867402236598</c:v>
                </c:pt>
                <c:pt idx="6">
                  <c:v>5.2180531138905222</c:v>
                </c:pt>
                <c:pt idx="7">
                  <c:v>5.8442194875573854</c:v>
                </c:pt>
                <c:pt idx="8">
                  <c:v>6.2616637366686261</c:v>
                </c:pt>
                <c:pt idx="9">
                  <c:v>6.4703858612242477</c:v>
                </c:pt>
                <c:pt idx="10">
                  <c:v>6.574746923502059</c:v>
                </c:pt>
                <c:pt idx="11">
                  <c:v>6.6791079857798694</c:v>
                </c:pt>
                <c:pt idx="12">
                  <c:v>6.720852410690993</c:v>
                </c:pt>
                <c:pt idx="13">
                  <c:v>6.7625968356021158</c:v>
                </c:pt>
                <c:pt idx="14">
                  <c:v>6.8043412605132412</c:v>
                </c:pt>
                <c:pt idx="15">
                  <c:v>6.8460856854243657</c:v>
                </c:pt>
                <c:pt idx="16">
                  <c:v>6.8669578978799279</c:v>
                </c:pt>
                <c:pt idx="17">
                  <c:v>6.8878301103354893</c:v>
                </c:pt>
                <c:pt idx="18">
                  <c:v>6.8878301103354893</c:v>
                </c:pt>
                <c:pt idx="19">
                  <c:v>6.8878301103354893</c:v>
                </c:pt>
                <c:pt idx="20">
                  <c:v>6.8878301103354893</c:v>
                </c:pt>
                <c:pt idx="21">
                  <c:v>6.8878301103354893</c:v>
                </c:pt>
                <c:pt idx="22">
                  <c:v>6.8878301103354893</c:v>
                </c:pt>
                <c:pt idx="23">
                  <c:v>6.8878301103354893</c:v>
                </c:pt>
                <c:pt idx="24">
                  <c:v>6.8878301103354893</c:v>
                </c:pt>
                <c:pt idx="25">
                  <c:v>6.8878301103354893</c:v>
                </c:pt>
                <c:pt idx="26">
                  <c:v>6.8878301103354893</c:v>
                </c:pt>
                <c:pt idx="27">
                  <c:v>6.8878301103354893</c:v>
                </c:pt>
              </c:numCache>
            </c:numRef>
          </c:yVal>
          <c:smooth val="1"/>
          <c:extLst>
            <c:ext xmlns:c16="http://schemas.microsoft.com/office/drawing/2014/chart" uri="{C3380CC4-5D6E-409C-BE32-E72D297353CC}">
              <c16:uniqueId val="{00000000-3159-8D4A-BDA3-E0734C2F3B37}"/>
            </c:ext>
          </c:extLst>
        </c:ser>
        <c:ser>
          <c:idx val="1"/>
          <c:order val="1"/>
          <c:tx>
            <c:strRef>
              <c:f>'WS_DS-CD'!$P$126</c:f>
              <c:strCache>
                <c:ptCount val="1"/>
                <c:pt idx="0">
                  <c:v>σₙ =35 kPa</c:v>
                </c:pt>
              </c:strCache>
            </c:strRef>
          </c:tx>
          <c:spPr>
            <a:ln w="15875" cap="rnd">
              <a:solidFill>
                <a:schemeClr val="accent2"/>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'WS_DS-CD'!$K$83:$K$111</c:f>
              <c:numCache>
                <c:formatCode>General</c:formatCode>
                <c:ptCount val="29"/>
                <c:pt idx="0">
                  <c:v>0</c:v>
                </c:pt>
                <c:pt idx="1">
                  <c:v>2.5046654946674511</c:v>
                </c:pt>
                <c:pt idx="2">
                  <c:v>4.1744424911124183</c:v>
                </c:pt>
                <c:pt idx="3">
                  <c:v>5.2180531138905222</c:v>
                </c:pt>
                <c:pt idx="4">
                  <c:v>6.2616637366686261</c:v>
                </c:pt>
                <c:pt idx="5">
                  <c:v>7.3052743594467326</c:v>
                </c:pt>
                <c:pt idx="6">
                  <c:v>8.3488849822248365</c:v>
                </c:pt>
                <c:pt idx="7">
                  <c:v>9.3924956050029405</c:v>
                </c:pt>
                <c:pt idx="8">
                  <c:v>10.436106227781044</c:v>
                </c:pt>
                <c:pt idx="9">
                  <c:v>11.47971685055915</c:v>
                </c:pt>
                <c:pt idx="10">
                  <c:v>12.523327473337252</c:v>
                </c:pt>
                <c:pt idx="11">
                  <c:v>13.566938096115358</c:v>
                </c:pt>
                <c:pt idx="12">
                  <c:v>14.610548718893465</c:v>
                </c:pt>
                <c:pt idx="13">
                  <c:v>15.654159341671569</c:v>
                </c:pt>
                <c:pt idx="14">
                  <c:v>16.071603590782811</c:v>
                </c:pt>
                <c:pt idx="15">
                  <c:v>16.280325715338432</c:v>
                </c:pt>
                <c:pt idx="16">
                  <c:v>16.384686777616242</c:v>
                </c:pt>
                <c:pt idx="17">
                  <c:v>16.489047839894049</c:v>
                </c:pt>
                <c:pt idx="18">
                  <c:v>16.530792264805175</c:v>
                </c:pt>
                <c:pt idx="19">
                  <c:v>16.572536689716301</c:v>
                </c:pt>
                <c:pt idx="20">
                  <c:v>16.614281114627424</c:v>
                </c:pt>
                <c:pt idx="21">
                  <c:v>16.656025539538547</c:v>
                </c:pt>
                <c:pt idx="22">
                  <c:v>16.697769964449673</c:v>
                </c:pt>
                <c:pt idx="23">
                  <c:v>16.697769964449673</c:v>
                </c:pt>
                <c:pt idx="24">
                  <c:v>16.697769964449673</c:v>
                </c:pt>
                <c:pt idx="25">
                  <c:v>16.697769964449673</c:v>
                </c:pt>
                <c:pt idx="26">
                  <c:v>16.697769964449673</c:v>
                </c:pt>
                <c:pt idx="27">
                  <c:v>16.697769964449673</c:v>
                </c:pt>
                <c:pt idx="28">
                  <c:v>16.697769964449673</c:v>
                </c:pt>
              </c:numCache>
            </c:numRef>
          </c:yVal>
          <c:smooth val="1"/>
          <c:extLst>
            <c:ext xmlns:c16="http://schemas.microsoft.com/office/drawing/2014/chart" uri="{C3380CC4-5D6E-409C-BE32-E72D297353CC}">
              <c16:uniqueId val="{00000001-3159-8D4A-BDA3-E0734C2F3B37}"/>
            </c:ext>
          </c:extLst>
        </c:ser>
        <c:ser>
          <c:idx val="2"/>
          <c:order val="2"/>
          <c:tx>
            <c:strRef>
              <c:f>'WS_DS-CD'!$P$127</c:f>
              <c:strCache>
                <c:ptCount val="1"/>
                <c:pt idx="0">
                  <c:v>σₙ =71 kPa</c:v>
                </c:pt>
              </c:strCache>
            </c:strRef>
          </c:tx>
          <c:spPr>
            <a:ln w="15875" cap="rnd">
              <a:solidFill>
                <a:schemeClr val="accent3"/>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'WS_DS-CD'!$P$83:$P$111</c:f>
              <c:numCache>
                <c:formatCode>General</c:formatCode>
                <c:ptCount val="29"/>
                <c:pt idx="0">
                  <c:v>0</c:v>
                </c:pt>
                <c:pt idx="1">
                  <c:v>4.5918867402236598</c:v>
                </c:pt>
                <c:pt idx="2">
                  <c:v>7.3052743594467326</c:v>
                </c:pt>
                <c:pt idx="3">
                  <c:v>9.3924956050029405</c:v>
                </c:pt>
                <c:pt idx="4">
                  <c:v>11.47971685055915</c:v>
                </c:pt>
                <c:pt idx="5">
                  <c:v>13.566938096115358</c:v>
                </c:pt>
                <c:pt idx="6">
                  <c:v>15.654159341671569</c:v>
                </c:pt>
                <c:pt idx="7">
                  <c:v>17.741380587227773</c:v>
                </c:pt>
                <c:pt idx="8">
                  <c:v>19.411157583672743</c:v>
                </c:pt>
                <c:pt idx="9">
                  <c:v>20.872212455562089</c:v>
                </c:pt>
                <c:pt idx="10">
                  <c:v>22.9594337011183</c:v>
                </c:pt>
                <c:pt idx="11">
                  <c:v>24.003044323896404</c:v>
                </c:pt>
                <c:pt idx="12">
                  <c:v>25.046654946674504</c:v>
                </c:pt>
                <c:pt idx="13">
                  <c:v>26.090265569452612</c:v>
                </c:pt>
                <c:pt idx="14">
                  <c:v>26.507709818563857</c:v>
                </c:pt>
                <c:pt idx="15">
                  <c:v>26.925154067675098</c:v>
                </c:pt>
                <c:pt idx="16">
                  <c:v>27.342598316786336</c:v>
                </c:pt>
                <c:pt idx="17">
                  <c:v>27.551320441341957</c:v>
                </c:pt>
                <c:pt idx="18">
                  <c:v>27.655681503619771</c:v>
                </c:pt>
                <c:pt idx="19">
                  <c:v>27.760042565897578</c:v>
                </c:pt>
                <c:pt idx="20">
                  <c:v>27.968764690453199</c:v>
                </c:pt>
                <c:pt idx="21">
                  <c:v>28.010509115364325</c:v>
                </c:pt>
                <c:pt idx="22">
                  <c:v>28.052253540275451</c:v>
                </c:pt>
                <c:pt idx="23">
                  <c:v>28.093997965186571</c:v>
                </c:pt>
                <c:pt idx="24">
                  <c:v>28.135742390097697</c:v>
                </c:pt>
                <c:pt idx="25">
                  <c:v>28.156614602553258</c:v>
                </c:pt>
                <c:pt idx="26">
                  <c:v>28.177486815008823</c:v>
                </c:pt>
                <c:pt idx="27">
                  <c:v>28.177486815008823</c:v>
                </c:pt>
                <c:pt idx="28">
                  <c:v>28.177486815008823</c:v>
                </c:pt>
              </c:numCache>
            </c:numRef>
          </c:yVal>
          <c:smooth val="1"/>
          <c:extLst>
            <c:ext xmlns:c16="http://schemas.microsoft.com/office/drawing/2014/chart" uri="{C3380CC4-5D6E-409C-BE32-E72D297353CC}">
              <c16:uniqueId val="{00000003-3159-8D4A-BDA3-E0734C2F3B37}"/>
            </c:ext>
          </c:extLst>
        </c:ser>
        <c:dLbls>
          <c:showLegendKey val="0"/>
          <c:showVal val="0"/>
          <c:showCatName val="0"/>
          <c:showSerName val="0"/>
          <c:showPercent val="0"/>
          <c:showBubbleSize val="0"/>
        </c:dLbls>
        <c:axId val="827728527"/>
        <c:axId val="1351518175"/>
      </c:scatterChart>
      <c:valAx>
        <c:axId val="827728527"/>
        <c:scaling>
          <c:orientation val="minMax"/>
        </c:scaling>
        <c:delete val="0"/>
        <c:axPos val="b"/>
        <c:majorGridlines>
          <c:spPr>
            <a:ln w="6350" cap="flat" cmpd="sng" algn="ctr">
              <a:solidFill>
                <a:schemeClr val="tx1">
                  <a:lumMod val="15000"/>
                  <a:lumOff val="85000"/>
                  <a:alpha val="51731"/>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18175"/>
        <c:crosses val="autoZero"/>
        <c:crossBetween val="midCat"/>
      </c:valAx>
      <c:valAx>
        <c:axId val="135151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Strength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728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spesimen 1</c:v>
          </c:tx>
          <c:spPr>
            <a:ln w="19050" cap="rnd">
              <a:solidFill>
                <a:schemeClr val="accent1"/>
              </a:solidFill>
              <a:round/>
            </a:ln>
            <a:effectLst/>
          </c:spPr>
          <c:marker>
            <c:symbol val="none"/>
          </c:marker>
          <c:xVal>
            <c:numRef>
              <c:f>'WS_DS-CD'!$C$51:$C$64</c:f>
              <c:numCache>
                <c:formatCode>0.0</c:formatCode>
                <c:ptCount val="14"/>
                <c:pt idx="0" formatCode="General">
                  <c:v>0</c:v>
                </c:pt>
                <c:pt idx="1">
                  <c:v>0.5</c:v>
                </c:pt>
                <c:pt idx="2">
                  <c:v>1</c:v>
                </c:pt>
                <c:pt idx="3">
                  <c:v>2</c:v>
                </c:pt>
                <c:pt idx="4">
                  <c:v>2.5</c:v>
                </c:pt>
                <c:pt idx="5">
                  <c:v>3</c:v>
                </c:pt>
                <c:pt idx="6">
                  <c:v>3.5</c:v>
                </c:pt>
                <c:pt idx="7">
                  <c:v>4</c:v>
                </c:pt>
                <c:pt idx="8">
                  <c:v>4.5</c:v>
                </c:pt>
                <c:pt idx="9">
                  <c:v>7.745966692414834</c:v>
                </c:pt>
                <c:pt idx="10">
                  <c:v>10.954451150103322</c:v>
                </c:pt>
                <c:pt idx="11">
                  <c:v>15.491933384829668</c:v>
                </c:pt>
                <c:pt idx="12">
                  <c:v>21.908902300206645</c:v>
                </c:pt>
                <c:pt idx="13">
                  <c:v>37.947331922020552</c:v>
                </c:pt>
              </c:numCache>
            </c:numRef>
          </c:xVal>
          <c:yVal>
            <c:numRef>
              <c:f>'WS_DS-CD'!$E$51:$E$64</c:f>
              <c:numCache>
                <c:formatCode>0.000</c:formatCode>
                <c:ptCount val="14"/>
                <c:pt idx="0">
                  <c:v>24.900000000000002</c:v>
                </c:pt>
                <c:pt idx="1">
                  <c:v>24.603000000000002</c:v>
                </c:pt>
                <c:pt idx="2">
                  <c:v>24.582000000000004</c:v>
                </c:pt>
                <c:pt idx="3">
                  <c:v>24.569000000000003</c:v>
                </c:pt>
                <c:pt idx="4">
                  <c:v>24.559000000000001</c:v>
                </c:pt>
                <c:pt idx="5">
                  <c:v>24.55</c:v>
                </c:pt>
                <c:pt idx="6">
                  <c:v>24.548000000000002</c:v>
                </c:pt>
                <c:pt idx="7">
                  <c:v>24.542000000000002</c:v>
                </c:pt>
                <c:pt idx="8">
                  <c:v>24.523000000000003</c:v>
                </c:pt>
                <c:pt idx="9">
                  <c:v>24.51</c:v>
                </c:pt>
                <c:pt idx="10">
                  <c:v>24.500000000000004</c:v>
                </c:pt>
                <c:pt idx="11">
                  <c:v>24.492000000000001</c:v>
                </c:pt>
                <c:pt idx="12">
                  <c:v>24.471000000000004</c:v>
                </c:pt>
                <c:pt idx="13">
                  <c:v>24.453000000000003</c:v>
                </c:pt>
              </c:numCache>
            </c:numRef>
          </c:yVal>
          <c:smooth val="1"/>
          <c:extLst>
            <c:ext xmlns:c16="http://schemas.microsoft.com/office/drawing/2014/chart" uri="{C3380CC4-5D6E-409C-BE32-E72D297353CC}">
              <c16:uniqueId val="{00000000-5536-0947-B60D-92338A83D237}"/>
            </c:ext>
          </c:extLst>
        </c:ser>
        <c:ser>
          <c:idx val="1"/>
          <c:order val="1"/>
          <c:tx>
            <c:v>Spesimen 2</c:v>
          </c:tx>
          <c:spPr>
            <a:ln w="19050" cap="rnd">
              <a:solidFill>
                <a:schemeClr val="accent2"/>
              </a:solidFill>
              <a:round/>
            </a:ln>
            <a:effectLst/>
          </c:spPr>
          <c:marker>
            <c:symbol val="none"/>
          </c:marker>
          <c:xVal>
            <c:numRef>
              <c:f>'WS_DS-CD'!$C$51:$C$64</c:f>
              <c:numCache>
                <c:formatCode>0.0</c:formatCode>
                <c:ptCount val="14"/>
                <c:pt idx="0" formatCode="General">
                  <c:v>0</c:v>
                </c:pt>
                <c:pt idx="1">
                  <c:v>0.5</c:v>
                </c:pt>
                <c:pt idx="2">
                  <c:v>1</c:v>
                </c:pt>
                <c:pt idx="3">
                  <c:v>2</c:v>
                </c:pt>
                <c:pt idx="4">
                  <c:v>2.5</c:v>
                </c:pt>
                <c:pt idx="5">
                  <c:v>3</c:v>
                </c:pt>
                <c:pt idx="6">
                  <c:v>3.5</c:v>
                </c:pt>
                <c:pt idx="7">
                  <c:v>4</c:v>
                </c:pt>
                <c:pt idx="8">
                  <c:v>4.5</c:v>
                </c:pt>
                <c:pt idx="9">
                  <c:v>7.745966692414834</c:v>
                </c:pt>
                <c:pt idx="10">
                  <c:v>10.954451150103322</c:v>
                </c:pt>
                <c:pt idx="11">
                  <c:v>15.491933384829668</c:v>
                </c:pt>
                <c:pt idx="12">
                  <c:v>21.908902300206645</c:v>
                </c:pt>
                <c:pt idx="13">
                  <c:v>37.947331922020552</c:v>
                </c:pt>
              </c:numCache>
            </c:numRef>
          </c:xVal>
          <c:yVal>
            <c:numRef>
              <c:f>'WS_DS-CD'!$G$51:$G$64</c:f>
              <c:numCache>
                <c:formatCode>0.000</c:formatCode>
                <c:ptCount val="14"/>
                <c:pt idx="0">
                  <c:v>24.900000000000002</c:v>
                </c:pt>
                <c:pt idx="1">
                  <c:v>23.858000000000001</c:v>
                </c:pt>
                <c:pt idx="2">
                  <c:v>23.839000000000002</c:v>
                </c:pt>
                <c:pt idx="3">
                  <c:v>23.818000000000001</c:v>
                </c:pt>
                <c:pt idx="4">
                  <c:v>23.809000000000001</c:v>
                </c:pt>
                <c:pt idx="5">
                  <c:v>23.789000000000001</c:v>
                </c:pt>
                <c:pt idx="6">
                  <c:v>23.771000000000001</c:v>
                </c:pt>
                <c:pt idx="7">
                  <c:v>23.769000000000002</c:v>
                </c:pt>
                <c:pt idx="8">
                  <c:v>23.757000000000001</c:v>
                </c:pt>
                <c:pt idx="9">
                  <c:v>23.742000000000004</c:v>
                </c:pt>
                <c:pt idx="10">
                  <c:v>23.721000000000004</c:v>
                </c:pt>
                <c:pt idx="11">
                  <c:v>23.699000000000002</c:v>
                </c:pt>
                <c:pt idx="12">
                  <c:v>23.688000000000002</c:v>
                </c:pt>
                <c:pt idx="13">
                  <c:v>23.662000000000003</c:v>
                </c:pt>
              </c:numCache>
            </c:numRef>
          </c:yVal>
          <c:smooth val="1"/>
          <c:extLst>
            <c:ext xmlns:c16="http://schemas.microsoft.com/office/drawing/2014/chart" uri="{C3380CC4-5D6E-409C-BE32-E72D297353CC}">
              <c16:uniqueId val="{00000000-982B-0548-97B7-28111D085279}"/>
            </c:ext>
          </c:extLst>
        </c:ser>
        <c:ser>
          <c:idx val="2"/>
          <c:order val="2"/>
          <c:tx>
            <c:v>Spesimen 3</c:v>
          </c:tx>
          <c:spPr>
            <a:ln w="19050" cap="rnd">
              <a:solidFill>
                <a:schemeClr val="accent3"/>
              </a:solidFill>
              <a:round/>
            </a:ln>
            <a:effectLst/>
          </c:spPr>
          <c:marker>
            <c:symbol val="none"/>
          </c:marker>
          <c:xVal>
            <c:numRef>
              <c:f>'WS_DS-CD'!$C$51:$C$64</c:f>
              <c:numCache>
                <c:formatCode>0.0</c:formatCode>
                <c:ptCount val="14"/>
                <c:pt idx="0" formatCode="General">
                  <c:v>0</c:v>
                </c:pt>
                <c:pt idx="1">
                  <c:v>0.5</c:v>
                </c:pt>
                <c:pt idx="2">
                  <c:v>1</c:v>
                </c:pt>
                <c:pt idx="3">
                  <c:v>2</c:v>
                </c:pt>
                <c:pt idx="4">
                  <c:v>2.5</c:v>
                </c:pt>
                <c:pt idx="5">
                  <c:v>3</c:v>
                </c:pt>
                <c:pt idx="6">
                  <c:v>3.5</c:v>
                </c:pt>
                <c:pt idx="7">
                  <c:v>4</c:v>
                </c:pt>
                <c:pt idx="8">
                  <c:v>4.5</c:v>
                </c:pt>
                <c:pt idx="9">
                  <c:v>7.745966692414834</c:v>
                </c:pt>
                <c:pt idx="10">
                  <c:v>10.954451150103322</c:v>
                </c:pt>
                <c:pt idx="11">
                  <c:v>15.491933384829668</c:v>
                </c:pt>
                <c:pt idx="12">
                  <c:v>21.908902300206645</c:v>
                </c:pt>
                <c:pt idx="13">
                  <c:v>37.947331922020552</c:v>
                </c:pt>
              </c:numCache>
            </c:numRef>
          </c:xVal>
          <c:yVal>
            <c:numRef>
              <c:f>'WS_DS-CD'!$I$51:$I$64</c:f>
              <c:numCache>
                <c:formatCode>0.000</c:formatCode>
                <c:ptCount val="14"/>
                <c:pt idx="0">
                  <c:v>24.900000000000002</c:v>
                </c:pt>
                <c:pt idx="1">
                  <c:v>22.492000000000004</c:v>
                </c:pt>
                <c:pt idx="2">
                  <c:v>22.393000000000001</c:v>
                </c:pt>
                <c:pt idx="3">
                  <c:v>22.349000000000004</c:v>
                </c:pt>
                <c:pt idx="4">
                  <c:v>22.338000000000001</c:v>
                </c:pt>
                <c:pt idx="5">
                  <c:v>22.329000000000001</c:v>
                </c:pt>
                <c:pt idx="6">
                  <c:v>22.32</c:v>
                </c:pt>
                <c:pt idx="7">
                  <c:v>22.311000000000003</c:v>
                </c:pt>
                <c:pt idx="8">
                  <c:v>22.308</c:v>
                </c:pt>
                <c:pt idx="9">
                  <c:v>22.273000000000003</c:v>
                </c:pt>
                <c:pt idx="10">
                  <c:v>22.252000000000002</c:v>
                </c:pt>
                <c:pt idx="11">
                  <c:v>22.229000000000003</c:v>
                </c:pt>
                <c:pt idx="12">
                  <c:v>22.216000000000001</c:v>
                </c:pt>
                <c:pt idx="13">
                  <c:v>22.202000000000002</c:v>
                </c:pt>
              </c:numCache>
            </c:numRef>
          </c:yVal>
          <c:smooth val="1"/>
          <c:extLst>
            <c:ext xmlns:c16="http://schemas.microsoft.com/office/drawing/2014/chart" uri="{C3380CC4-5D6E-409C-BE32-E72D297353CC}">
              <c16:uniqueId val="{00000001-982B-0548-97B7-28111D085279}"/>
            </c:ext>
          </c:extLst>
        </c:ser>
        <c:dLbls>
          <c:showLegendKey val="0"/>
          <c:showVal val="0"/>
          <c:showCatName val="0"/>
          <c:showSerName val="0"/>
          <c:showPercent val="0"/>
          <c:showBubbleSize val="0"/>
        </c:dLbls>
        <c:axId val="1342725039"/>
        <c:axId val="1342318111"/>
      </c:scatterChart>
      <c:valAx>
        <c:axId val="1342725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318111"/>
        <c:crosses val="autoZero"/>
        <c:crossBetween val="midCat"/>
      </c:valAx>
      <c:valAx>
        <c:axId val="1342318111"/>
        <c:scaling>
          <c:orientation val="minMax"/>
          <c:max val="25"/>
          <c:min val="2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25039"/>
        <c:crosses val="autoZero"/>
        <c:crossBetween val="midCat"/>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5465892432859"/>
          <c:y val="3.4014727860857456E-2"/>
          <c:w val="0.85811342066540042"/>
          <c:h val="0.76893702391910146"/>
        </c:manualLayout>
      </c:layout>
      <c:scatterChart>
        <c:scatterStyle val="lineMarker"/>
        <c:varyColors val="0"/>
        <c:ser>
          <c:idx val="0"/>
          <c:order val="0"/>
          <c:tx>
            <c:v>Test Data</c:v>
          </c:tx>
          <c:spPr>
            <a:ln w="19050">
              <a:noFill/>
            </a:ln>
          </c:spPr>
          <c:marker>
            <c:symbol val="circle"/>
            <c:size val="5"/>
            <c:spPr>
              <a:solidFill>
                <a:schemeClr val="tx1"/>
              </a:solidFill>
              <a:ln>
                <a:noFill/>
              </a:ln>
            </c:spPr>
          </c:marker>
          <c:xVal>
            <c:numRef>
              <c:f>'WS_DS-CD'!$D$118:$F$118</c:f>
              <c:numCache>
                <c:formatCode>0.000</c:formatCode>
                <c:ptCount val="3"/>
                <c:pt idx="0">
                  <c:v>17.694076825178101</c:v>
                </c:pt>
                <c:pt idx="1">
                  <c:v>35.388153650356202</c:v>
                </c:pt>
                <c:pt idx="2">
                  <c:v>70.776307300712404</c:v>
                </c:pt>
              </c:numCache>
            </c:numRef>
          </c:xVal>
          <c:yVal>
            <c:numRef>
              <c:f>'WS_DS-CD'!$D$117:$F$117</c:f>
              <c:numCache>
                <c:formatCode>0.00</c:formatCode>
                <c:ptCount val="3"/>
                <c:pt idx="0">
                  <c:v>10.436106227781044</c:v>
                </c:pt>
                <c:pt idx="1">
                  <c:v>16.697769964449673</c:v>
                </c:pt>
                <c:pt idx="2">
                  <c:v>28.177486815008823</c:v>
                </c:pt>
              </c:numCache>
            </c:numRef>
          </c:yVal>
          <c:smooth val="0"/>
          <c:extLst>
            <c:ext xmlns:c16="http://schemas.microsoft.com/office/drawing/2014/chart" uri="{C3380CC4-5D6E-409C-BE32-E72D297353CC}">
              <c16:uniqueId val="{00000001-EF51-1743-A1E6-A8685DE114B9}"/>
            </c:ext>
          </c:extLst>
        </c:ser>
        <c:ser>
          <c:idx val="1"/>
          <c:order val="1"/>
          <c:marker>
            <c:symbol val="none"/>
          </c:marker>
          <c:xVal>
            <c:numRef>
              <c:f>'WS_DS-CD'!$C$126:$C$128</c:f>
              <c:numCache>
                <c:formatCode>General</c:formatCode>
                <c:ptCount val="3"/>
                <c:pt idx="0">
                  <c:v>0</c:v>
                </c:pt>
                <c:pt idx="1">
                  <c:v>50</c:v>
                </c:pt>
                <c:pt idx="2">
                  <c:v>100</c:v>
                </c:pt>
              </c:numCache>
            </c:numRef>
          </c:xVal>
          <c:yVal>
            <c:numRef>
              <c:f>'WS_DS-CD'!$E$126:$E$128</c:f>
              <c:numCache>
                <c:formatCode>General</c:formatCode>
                <c:ptCount val="3"/>
                <c:pt idx="0">
                  <c:v>4.6962478025014676</c:v>
                </c:pt>
                <c:pt idx="1">
                  <c:v>21.337256302942809</c:v>
                </c:pt>
                <c:pt idx="2">
                  <c:v>37.97826480338415</c:v>
                </c:pt>
              </c:numCache>
            </c:numRef>
          </c:yVal>
          <c:smooth val="0"/>
          <c:extLst>
            <c:ext xmlns:c16="http://schemas.microsoft.com/office/drawing/2014/chart" uri="{C3380CC4-5D6E-409C-BE32-E72D297353CC}">
              <c16:uniqueId val="{00000002-EF51-1743-A1E6-A8685DE114B9}"/>
            </c:ext>
          </c:extLst>
        </c:ser>
        <c:dLbls>
          <c:showLegendKey val="0"/>
          <c:showVal val="0"/>
          <c:showCatName val="0"/>
          <c:showSerName val="0"/>
          <c:showPercent val="0"/>
          <c:showBubbleSize val="0"/>
        </c:dLbls>
        <c:axId val="78946688"/>
        <c:axId val="78948224"/>
      </c:scatterChart>
      <c:valAx>
        <c:axId val="78946688"/>
        <c:scaling>
          <c:orientation val="minMax"/>
          <c:max val="100"/>
          <c:min val="0"/>
        </c:scaling>
        <c:delete val="0"/>
        <c:axPos val="b"/>
        <c:majorGridlines>
          <c:spPr>
            <a:ln>
              <a:solidFill>
                <a:schemeClr val="bg2">
                  <a:lumMod val="50000"/>
                  <a:alpha val="70000"/>
                </a:schemeClr>
              </a:solidFill>
            </a:ln>
          </c:spPr>
        </c:majorGridlines>
        <c:minorGridlines>
          <c:spPr>
            <a:ln>
              <a:prstDash val="sysDot"/>
            </a:ln>
          </c:spPr>
        </c:minorGridlines>
        <c:title>
          <c:tx>
            <c:rich>
              <a:bodyPr/>
              <a:lstStyle/>
              <a:p>
                <a:pPr>
                  <a:defRPr/>
                </a:pPr>
                <a:r>
                  <a:rPr lang="en-US" sz="800" b="0">
                    <a:latin typeface="Arial" panose="020B0604020202020204" pitchFamily="34" charset="0"/>
                    <a:cs typeface="Arial" panose="020B0604020202020204" pitchFamily="34" charset="0"/>
                  </a:rPr>
                  <a:t>Normal Stress (kPa)</a:t>
                </a:r>
              </a:p>
            </c:rich>
          </c:tx>
          <c:layout>
            <c:manualLayout>
              <c:xMode val="edge"/>
              <c:yMode val="edge"/>
              <c:x val="0.4445841577817915"/>
              <c:y val="0.86702541505479591"/>
            </c:manualLayout>
          </c:layout>
          <c:overlay val="0"/>
        </c:title>
        <c:numFmt formatCode="0.000" sourceLinked="1"/>
        <c:majorTickMark val="out"/>
        <c:minorTickMark val="none"/>
        <c:tickLblPos val="nextTo"/>
        <c:txPr>
          <a:bodyPr/>
          <a:lstStyle/>
          <a:p>
            <a:pPr>
              <a:defRPr sz="700">
                <a:latin typeface="Arial" panose="020B0604020202020204" pitchFamily="34" charset="0"/>
                <a:cs typeface="Arial" panose="020B0604020202020204" pitchFamily="34" charset="0"/>
              </a:defRPr>
            </a:pPr>
            <a:endParaRPr lang="en-US"/>
          </a:p>
        </c:txPr>
        <c:crossAx val="78948224"/>
        <c:crosses val="autoZero"/>
        <c:crossBetween val="midCat"/>
        <c:majorUnit val="10"/>
      </c:valAx>
      <c:valAx>
        <c:axId val="78948224"/>
        <c:scaling>
          <c:orientation val="minMax"/>
          <c:max val="50"/>
          <c:min val="0"/>
        </c:scaling>
        <c:delete val="0"/>
        <c:axPos val="l"/>
        <c:majorGridlines>
          <c:spPr>
            <a:ln>
              <a:solidFill>
                <a:schemeClr val="bg2">
                  <a:lumMod val="50000"/>
                  <a:alpha val="50000"/>
                </a:schemeClr>
              </a:solidFill>
            </a:ln>
          </c:spPr>
        </c:majorGridlines>
        <c:title>
          <c:tx>
            <c:rich>
              <a:bodyPr/>
              <a:lstStyle/>
              <a:p>
                <a:pPr>
                  <a:defRPr/>
                </a:pPr>
                <a:r>
                  <a:rPr lang="en-US" sz="800" b="0">
                    <a:solidFill>
                      <a:schemeClr val="tx1"/>
                    </a:solidFill>
                    <a:latin typeface="Arial" panose="020B0604020202020204" pitchFamily="34" charset="0"/>
                    <a:cs typeface="Arial" panose="020B0604020202020204" pitchFamily="34" charset="0"/>
                  </a:rPr>
                  <a:t>Shear Stress (kPa)</a:t>
                </a:r>
              </a:p>
            </c:rich>
          </c:tx>
          <c:layout>
            <c:manualLayout>
              <c:xMode val="edge"/>
              <c:yMode val="edge"/>
              <c:x val="2.1318636150964899E-2"/>
              <c:y val="0.1848920114399939"/>
            </c:manualLayout>
          </c:layout>
          <c:overlay val="0"/>
        </c:title>
        <c:numFmt formatCode="0" sourceLinked="0"/>
        <c:majorTickMark val="out"/>
        <c:minorTickMark val="none"/>
        <c:tickLblPos val="low"/>
        <c:txPr>
          <a:bodyPr/>
          <a:lstStyle/>
          <a:p>
            <a:pPr>
              <a:defRPr sz="700">
                <a:latin typeface="Arial" panose="020B0604020202020204" pitchFamily="34" charset="0"/>
                <a:cs typeface="Arial" panose="020B0604020202020204" pitchFamily="34" charset="0"/>
              </a:defRPr>
            </a:pPr>
            <a:endParaRPr lang="en-US"/>
          </a:p>
        </c:txPr>
        <c:crossAx val="78946688"/>
        <c:crosses val="autoZero"/>
        <c:crossBetween val="midCat"/>
      </c:valAx>
    </c:plotArea>
    <c:legend>
      <c:legendPos val="b"/>
      <c:layout>
        <c:manualLayout>
          <c:xMode val="edge"/>
          <c:yMode val="edge"/>
          <c:x val="0.34231949479715296"/>
          <c:y val="0.93090603524062077"/>
          <c:w val="0.40518445210008913"/>
          <c:h val="5.6724305895279409E-2"/>
        </c:manualLayout>
      </c:layout>
      <c:overlay val="0"/>
      <c:txPr>
        <a:bodyPr/>
        <a:lstStyle/>
        <a:p>
          <a:pPr>
            <a:defRPr sz="800">
              <a:latin typeface="Arial" panose="020B0604020202020204" pitchFamily="34" charset="0"/>
              <a:cs typeface="Arial" panose="020B0604020202020204" pitchFamily="34" charset="0"/>
            </a:defRPr>
          </a:pPr>
          <a:endParaRPr lang="en-US"/>
        </a:p>
      </c:txPr>
    </c:legend>
    <c:plotVisOnly val="1"/>
    <c:dispBlanksAs val="gap"/>
    <c:showDLblsOverMax val="0"/>
  </c:chart>
  <c:spPr>
    <a:noFill/>
    <a:ln w="12700">
      <a:solidFill>
        <a:schemeClr val="accent5">
          <a:lumMod val="40000"/>
          <a:lumOff val="60000"/>
        </a:schemeClr>
      </a:solidFill>
    </a:ln>
  </c:spPr>
  <c:txPr>
    <a:bodyPr/>
    <a:lstStyle/>
    <a:p>
      <a:pPr>
        <a:defRPr>
          <a:latin typeface="Aptos" panose="020B0004020202020204" pitchFamily="34" charset="0"/>
        </a:defRPr>
      </a:pPr>
      <a:endParaRPr lang="en-US"/>
    </a:p>
  </c:txPr>
  <c:printSettings>
    <c:headerFooter/>
    <c:pageMargins b="0.75000000000000588" l="0.70000000000000062" r="0.70000000000000062" t="0.75000000000000588"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5465892432859"/>
          <c:y val="3.4014727860857456E-2"/>
          <c:w val="0.85811342066540042"/>
          <c:h val="0.76893702391910146"/>
        </c:manualLayout>
      </c:layout>
      <c:scatterChart>
        <c:scatterStyle val="lineMarker"/>
        <c:varyColors val="0"/>
        <c:ser>
          <c:idx val="0"/>
          <c:order val="0"/>
          <c:tx>
            <c:v>Test Data</c:v>
          </c:tx>
          <c:spPr>
            <a:ln w="19050">
              <a:noFill/>
            </a:ln>
          </c:spPr>
          <c:marker>
            <c:symbol val="circle"/>
            <c:size val="5"/>
            <c:spPr>
              <a:solidFill>
                <a:schemeClr val="tx1"/>
              </a:solidFill>
              <a:ln>
                <a:noFill/>
              </a:ln>
            </c:spPr>
          </c:marker>
          <c:xVal>
            <c:numRef>
              <c:f>'WS_DS-CD'!$D$118:$F$118</c:f>
              <c:numCache>
                <c:formatCode>0.000</c:formatCode>
                <c:ptCount val="3"/>
                <c:pt idx="0">
                  <c:v>17.694076825178101</c:v>
                </c:pt>
                <c:pt idx="1">
                  <c:v>35.388153650356202</c:v>
                </c:pt>
                <c:pt idx="2">
                  <c:v>70.776307300712404</c:v>
                </c:pt>
              </c:numCache>
            </c:numRef>
          </c:xVal>
          <c:yVal>
            <c:numRef>
              <c:f>'WS_DS-CD'!$D$117:$F$117</c:f>
              <c:numCache>
                <c:formatCode>0.00</c:formatCode>
                <c:ptCount val="3"/>
                <c:pt idx="0">
                  <c:v>10.436106227781044</c:v>
                </c:pt>
                <c:pt idx="1">
                  <c:v>16.697769964449673</c:v>
                </c:pt>
                <c:pt idx="2">
                  <c:v>28.177486815008823</c:v>
                </c:pt>
              </c:numCache>
            </c:numRef>
          </c:yVal>
          <c:smooth val="0"/>
          <c:extLst>
            <c:ext xmlns:c16="http://schemas.microsoft.com/office/drawing/2014/chart" uri="{C3380CC4-5D6E-409C-BE32-E72D297353CC}">
              <c16:uniqueId val="{00000000-8CB1-4A0D-A5B3-2CF1788487AA}"/>
            </c:ext>
          </c:extLst>
        </c:ser>
        <c:ser>
          <c:idx val="1"/>
          <c:order val="1"/>
          <c:tx>
            <c:v>Failure Envelope</c:v>
          </c:tx>
          <c:marker>
            <c:symbol val="none"/>
          </c:marker>
          <c:xVal>
            <c:numRef>
              <c:f>'WS_DS-CD'!$C$126:$C$127</c:f>
              <c:numCache>
                <c:formatCode>General</c:formatCode>
                <c:ptCount val="2"/>
                <c:pt idx="0">
                  <c:v>0</c:v>
                </c:pt>
                <c:pt idx="1">
                  <c:v>50</c:v>
                </c:pt>
              </c:numCache>
            </c:numRef>
          </c:xVal>
          <c:yVal>
            <c:numRef>
              <c:f>'WS_DS-CD'!$E$126:$E$127</c:f>
              <c:numCache>
                <c:formatCode>General</c:formatCode>
                <c:ptCount val="2"/>
                <c:pt idx="0">
                  <c:v>4.6962478025014676</c:v>
                </c:pt>
                <c:pt idx="1">
                  <c:v>21.337256302942809</c:v>
                </c:pt>
              </c:numCache>
            </c:numRef>
          </c:yVal>
          <c:smooth val="0"/>
          <c:extLst>
            <c:ext xmlns:c16="http://schemas.microsoft.com/office/drawing/2014/chart" uri="{C3380CC4-5D6E-409C-BE32-E72D297353CC}">
              <c16:uniqueId val="{00000001-8CB1-4A0D-A5B3-2CF1788487AA}"/>
            </c:ext>
          </c:extLst>
        </c:ser>
        <c:dLbls>
          <c:showLegendKey val="0"/>
          <c:showVal val="0"/>
          <c:showCatName val="0"/>
          <c:showSerName val="0"/>
          <c:showPercent val="0"/>
          <c:showBubbleSize val="0"/>
        </c:dLbls>
        <c:axId val="78946688"/>
        <c:axId val="78948224"/>
      </c:scatterChart>
      <c:valAx>
        <c:axId val="78946688"/>
        <c:scaling>
          <c:orientation val="minMax"/>
          <c:max val="50"/>
          <c:min val="0"/>
        </c:scaling>
        <c:delete val="0"/>
        <c:axPos val="b"/>
        <c:majorGridlines>
          <c:spPr>
            <a:ln>
              <a:solidFill>
                <a:schemeClr val="bg2">
                  <a:lumMod val="50000"/>
                  <a:alpha val="70000"/>
                </a:schemeClr>
              </a:solidFill>
            </a:ln>
          </c:spPr>
        </c:majorGridlines>
        <c:minorGridlines>
          <c:spPr>
            <a:ln>
              <a:prstDash val="sysDot"/>
            </a:ln>
          </c:spPr>
        </c:minorGridlines>
        <c:title>
          <c:tx>
            <c:rich>
              <a:bodyPr/>
              <a:lstStyle/>
              <a:p>
                <a:pPr>
                  <a:defRPr/>
                </a:pPr>
                <a:r>
                  <a:rPr lang="en-US" sz="800" b="0">
                    <a:latin typeface="Arial" panose="020B0604020202020204" pitchFamily="34" charset="0"/>
                    <a:cs typeface="Arial" panose="020B0604020202020204" pitchFamily="34" charset="0"/>
                  </a:rPr>
                  <a:t>Normal Stress,</a:t>
                </a:r>
                <a:r>
                  <a:rPr lang="en-US" sz="800" b="0" i="0" u="none" strike="noStrike" baseline="0">
                    <a:latin typeface="Arial" panose="020B0604020202020204" pitchFamily="34" charset="0"/>
                    <a:cs typeface="Arial" panose="020B0604020202020204" pitchFamily="34" charset="0"/>
                  </a:rPr>
                  <a:t>σₙ</a:t>
                </a:r>
                <a:r>
                  <a:rPr lang="en-US" sz="800" b="0">
                    <a:latin typeface="Arial" panose="020B0604020202020204" pitchFamily="34" charset="0"/>
                    <a:cs typeface="Arial" panose="020B0604020202020204" pitchFamily="34" charset="0"/>
                  </a:rPr>
                  <a:t> (kPa)</a:t>
                </a:r>
              </a:p>
            </c:rich>
          </c:tx>
          <c:layout>
            <c:manualLayout>
              <c:xMode val="edge"/>
              <c:yMode val="edge"/>
              <c:x val="0.4445841577817915"/>
              <c:y val="0.86702541505479591"/>
            </c:manualLayout>
          </c:layout>
          <c:overlay val="0"/>
        </c:title>
        <c:numFmt formatCode="0.000" sourceLinked="1"/>
        <c:majorTickMark val="out"/>
        <c:minorTickMark val="none"/>
        <c:tickLblPos val="nextTo"/>
        <c:txPr>
          <a:bodyPr/>
          <a:lstStyle/>
          <a:p>
            <a:pPr>
              <a:defRPr sz="700">
                <a:latin typeface="Arial" panose="020B0604020202020204" pitchFamily="34" charset="0"/>
                <a:cs typeface="Arial" panose="020B0604020202020204" pitchFamily="34" charset="0"/>
              </a:defRPr>
            </a:pPr>
            <a:endParaRPr lang="en-US"/>
          </a:p>
        </c:txPr>
        <c:crossAx val="78948224"/>
        <c:crosses val="autoZero"/>
        <c:crossBetween val="midCat"/>
        <c:majorUnit val="10"/>
      </c:valAx>
      <c:valAx>
        <c:axId val="78948224"/>
        <c:scaling>
          <c:orientation val="minMax"/>
          <c:max val="50"/>
          <c:min val="0"/>
        </c:scaling>
        <c:delete val="0"/>
        <c:axPos val="l"/>
        <c:majorGridlines>
          <c:spPr>
            <a:ln>
              <a:solidFill>
                <a:schemeClr val="bg2">
                  <a:lumMod val="50000"/>
                  <a:alpha val="50000"/>
                </a:schemeClr>
              </a:solidFill>
            </a:ln>
          </c:spPr>
        </c:majorGridlines>
        <c:title>
          <c:tx>
            <c:rich>
              <a:bodyPr/>
              <a:lstStyle/>
              <a:p>
                <a:pPr>
                  <a:defRPr/>
                </a:pPr>
                <a:r>
                  <a:rPr lang="en-US" sz="800" b="0">
                    <a:solidFill>
                      <a:schemeClr val="tx1"/>
                    </a:solidFill>
                    <a:latin typeface="Arial" panose="020B0604020202020204" pitchFamily="34" charset="0"/>
                    <a:cs typeface="Arial" panose="020B0604020202020204" pitchFamily="34" charset="0"/>
                  </a:rPr>
                  <a:t>Shear Stress,</a:t>
                </a:r>
                <a:r>
                  <a:rPr lang="en-US" sz="800" b="0" i="0" u="none" strike="noStrike" baseline="0">
                    <a:latin typeface="Arial" panose="020B0604020202020204" pitchFamily="34" charset="0"/>
                    <a:cs typeface="Arial" panose="020B0604020202020204" pitchFamily="34" charset="0"/>
                  </a:rPr>
                  <a:t>τf</a:t>
                </a:r>
                <a:r>
                  <a:rPr lang="en-US" sz="800" b="0">
                    <a:solidFill>
                      <a:schemeClr val="tx1"/>
                    </a:solidFill>
                    <a:latin typeface="Arial" panose="020B0604020202020204" pitchFamily="34" charset="0"/>
                    <a:cs typeface="Arial" panose="020B0604020202020204" pitchFamily="34" charset="0"/>
                  </a:rPr>
                  <a:t> (kPa)</a:t>
                </a:r>
              </a:p>
            </c:rich>
          </c:tx>
          <c:layout>
            <c:manualLayout>
              <c:xMode val="edge"/>
              <c:yMode val="edge"/>
              <c:x val="2.1318636150964899E-2"/>
              <c:y val="0.1848920114399939"/>
            </c:manualLayout>
          </c:layout>
          <c:overlay val="0"/>
        </c:title>
        <c:numFmt formatCode="0" sourceLinked="0"/>
        <c:majorTickMark val="out"/>
        <c:minorTickMark val="none"/>
        <c:tickLblPos val="low"/>
        <c:txPr>
          <a:bodyPr/>
          <a:lstStyle/>
          <a:p>
            <a:pPr>
              <a:defRPr sz="700">
                <a:latin typeface="Arial" panose="020B0604020202020204" pitchFamily="34" charset="0"/>
                <a:cs typeface="Arial" panose="020B0604020202020204" pitchFamily="34" charset="0"/>
              </a:defRPr>
            </a:pPr>
            <a:endParaRPr lang="en-US"/>
          </a:p>
        </c:txPr>
        <c:crossAx val="78946688"/>
        <c:crosses val="autoZero"/>
        <c:crossBetween val="midCat"/>
      </c:valAx>
    </c:plotArea>
    <c:legend>
      <c:legendPos val="b"/>
      <c:layout>
        <c:manualLayout>
          <c:xMode val="edge"/>
          <c:yMode val="edge"/>
          <c:x val="0.34231949479715296"/>
          <c:y val="0.93090603524062077"/>
          <c:w val="0.40518445210008913"/>
          <c:h val="5.6724305895279409E-2"/>
        </c:manualLayout>
      </c:layout>
      <c:overlay val="0"/>
      <c:txPr>
        <a:bodyPr/>
        <a:lstStyle/>
        <a:p>
          <a:pPr>
            <a:defRPr sz="800">
              <a:latin typeface="Arial" panose="020B0604020202020204" pitchFamily="34" charset="0"/>
              <a:cs typeface="Arial" panose="020B0604020202020204" pitchFamily="34" charset="0"/>
            </a:defRPr>
          </a:pPr>
          <a:endParaRPr lang="en-US"/>
        </a:p>
      </c:txPr>
    </c:legend>
    <c:plotVisOnly val="1"/>
    <c:dispBlanksAs val="gap"/>
    <c:showDLblsOverMax val="0"/>
  </c:chart>
  <c:spPr>
    <a:noFill/>
    <a:ln w="12700">
      <a:solidFill>
        <a:schemeClr val="accent5">
          <a:lumMod val="40000"/>
          <a:lumOff val="60000"/>
        </a:schemeClr>
      </a:solidFill>
    </a:ln>
  </c:spPr>
  <c:txPr>
    <a:bodyPr/>
    <a:lstStyle/>
    <a:p>
      <a:pPr>
        <a:defRPr>
          <a:latin typeface="Aptos" panose="020B0004020202020204" pitchFamily="34" charset="0"/>
        </a:defRPr>
      </a:pPr>
      <a:endParaRPr lang="en-US"/>
    </a:p>
  </c:txPr>
  <c:printSettings>
    <c:headerFooter/>
    <c:pageMargins b="0.75000000000000588" l="0.70000000000000062" r="0.70000000000000062" t="0.75000000000000588"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'WS_DS-CD'!$P$125</c:f>
              <c:strCache>
                <c:ptCount val="1"/>
                <c:pt idx="0">
                  <c:v>σₙ =18 kPa</c:v>
                </c:pt>
              </c:strCache>
            </c:strRef>
          </c:tx>
          <c:spPr>
            <a:ln w="15875" cap="rnd">
              <a:solidFill>
                <a:schemeClr val="accent1"/>
              </a:solidFill>
              <a:round/>
            </a:ln>
            <a:effectLst/>
          </c:spPr>
          <c:marker>
            <c:symbol val="none"/>
          </c:marker>
          <c:xVal>
            <c:numRef>
              <c:f>'WS_DS-CD'!$B$83:$B$110</c:f>
              <c:numCache>
                <c:formatCode>0.00</c:formatCode>
                <c:ptCount val="28"/>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numCache>
            </c:numRef>
          </c:xVal>
          <c:yVal>
            <c:numRef>
              <c:f>'WS_DS-CD'!$F$83:$F$110</c:f>
              <c:numCache>
                <c:formatCode>General</c:formatCode>
                <c:ptCount val="28"/>
                <c:pt idx="0">
                  <c:v>0</c:v>
                </c:pt>
                <c:pt idx="1">
                  <c:v>1.2940771722448496</c:v>
                </c:pt>
                <c:pt idx="2">
                  <c:v>2.0872212455562091</c:v>
                </c:pt>
                <c:pt idx="3">
                  <c:v>3.130831868334313</c:v>
                </c:pt>
                <c:pt idx="4">
                  <c:v>3.7569982420011763</c:v>
                </c:pt>
                <c:pt idx="5">
                  <c:v>4.5918867402236598</c:v>
                </c:pt>
                <c:pt idx="6">
                  <c:v>5.2180531138905222</c:v>
                </c:pt>
                <c:pt idx="7">
                  <c:v>5.8442194875573854</c:v>
                </c:pt>
                <c:pt idx="8">
                  <c:v>6.2616637366686261</c:v>
                </c:pt>
                <c:pt idx="9">
                  <c:v>6.4703858612242477</c:v>
                </c:pt>
                <c:pt idx="10">
                  <c:v>6.574746923502059</c:v>
                </c:pt>
                <c:pt idx="11">
                  <c:v>6.6791079857798694</c:v>
                </c:pt>
                <c:pt idx="12">
                  <c:v>6.720852410690993</c:v>
                </c:pt>
                <c:pt idx="13">
                  <c:v>6.7625968356021158</c:v>
                </c:pt>
                <c:pt idx="14">
                  <c:v>6.8043412605132412</c:v>
                </c:pt>
                <c:pt idx="15">
                  <c:v>6.8460856854243657</c:v>
                </c:pt>
                <c:pt idx="16">
                  <c:v>6.8669578978799279</c:v>
                </c:pt>
                <c:pt idx="17">
                  <c:v>6.8878301103354893</c:v>
                </c:pt>
                <c:pt idx="18">
                  <c:v>6.8878301103354893</c:v>
                </c:pt>
                <c:pt idx="19">
                  <c:v>6.8878301103354893</c:v>
                </c:pt>
                <c:pt idx="20">
                  <c:v>6.8878301103354893</c:v>
                </c:pt>
                <c:pt idx="21">
                  <c:v>6.8878301103354893</c:v>
                </c:pt>
                <c:pt idx="22">
                  <c:v>6.8878301103354893</c:v>
                </c:pt>
                <c:pt idx="23">
                  <c:v>6.8878301103354893</c:v>
                </c:pt>
                <c:pt idx="24">
                  <c:v>6.8878301103354893</c:v>
                </c:pt>
                <c:pt idx="25">
                  <c:v>6.8878301103354893</c:v>
                </c:pt>
                <c:pt idx="26">
                  <c:v>6.8878301103354893</c:v>
                </c:pt>
                <c:pt idx="27">
                  <c:v>6.8878301103354893</c:v>
                </c:pt>
              </c:numCache>
            </c:numRef>
          </c:yVal>
          <c:smooth val="1"/>
          <c:extLst>
            <c:ext xmlns:c16="http://schemas.microsoft.com/office/drawing/2014/chart" uri="{C3380CC4-5D6E-409C-BE32-E72D297353CC}">
              <c16:uniqueId val="{00000000-84ED-4106-A354-D60E7E7BEE53}"/>
            </c:ext>
          </c:extLst>
        </c:ser>
        <c:ser>
          <c:idx val="1"/>
          <c:order val="1"/>
          <c:tx>
            <c:strRef>
              <c:f>'WS_DS-CD'!$P$126</c:f>
              <c:strCache>
                <c:ptCount val="1"/>
                <c:pt idx="0">
                  <c:v>σₙ =35 kPa</c:v>
                </c:pt>
              </c:strCache>
            </c:strRef>
          </c:tx>
          <c:spPr>
            <a:ln w="15875" cap="rnd">
              <a:solidFill>
                <a:schemeClr val="accent2"/>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'WS_DS-CD'!$K$83:$K$111</c:f>
              <c:numCache>
                <c:formatCode>General</c:formatCode>
                <c:ptCount val="29"/>
                <c:pt idx="0">
                  <c:v>0</c:v>
                </c:pt>
                <c:pt idx="1">
                  <c:v>2.5046654946674511</c:v>
                </c:pt>
                <c:pt idx="2">
                  <c:v>4.1744424911124183</c:v>
                </c:pt>
                <c:pt idx="3">
                  <c:v>5.2180531138905222</c:v>
                </c:pt>
                <c:pt idx="4">
                  <c:v>6.2616637366686261</c:v>
                </c:pt>
                <c:pt idx="5">
                  <c:v>7.3052743594467326</c:v>
                </c:pt>
                <c:pt idx="6">
                  <c:v>8.3488849822248365</c:v>
                </c:pt>
                <c:pt idx="7">
                  <c:v>9.3924956050029405</c:v>
                </c:pt>
                <c:pt idx="8">
                  <c:v>10.436106227781044</c:v>
                </c:pt>
                <c:pt idx="9">
                  <c:v>11.47971685055915</c:v>
                </c:pt>
                <c:pt idx="10">
                  <c:v>12.523327473337252</c:v>
                </c:pt>
                <c:pt idx="11">
                  <c:v>13.566938096115358</c:v>
                </c:pt>
                <c:pt idx="12">
                  <c:v>14.610548718893465</c:v>
                </c:pt>
                <c:pt idx="13">
                  <c:v>15.654159341671569</c:v>
                </c:pt>
                <c:pt idx="14">
                  <c:v>16.071603590782811</c:v>
                </c:pt>
                <c:pt idx="15">
                  <c:v>16.280325715338432</c:v>
                </c:pt>
                <c:pt idx="16">
                  <c:v>16.384686777616242</c:v>
                </c:pt>
                <c:pt idx="17">
                  <c:v>16.489047839894049</c:v>
                </c:pt>
                <c:pt idx="18">
                  <c:v>16.530792264805175</c:v>
                </c:pt>
                <c:pt idx="19">
                  <c:v>16.572536689716301</c:v>
                </c:pt>
                <c:pt idx="20">
                  <c:v>16.614281114627424</c:v>
                </c:pt>
                <c:pt idx="21">
                  <c:v>16.656025539538547</c:v>
                </c:pt>
                <c:pt idx="22">
                  <c:v>16.697769964449673</c:v>
                </c:pt>
                <c:pt idx="23">
                  <c:v>16.697769964449673</c:v>
                </c:pt>
                <c:pt idx="24">
                  <c:v>16.697769964449673</c:v>
                </c:pt>
                <c:pt idx="25">
                  <c:v>16.697769964449673</c:v>
                </c:pt>
                <c:pt idx="26">
                  <c:v>16.697769964449673</c:v>
                </c:pt>
                <c:pt idx="27">
                  <c:v>16.697769964449673</c:v>
                </c:pt>
                <c:pt idx="28">
                  <c:v>16.697769964449673</c:v>
                </c:pt>
              </c:numCache>
            </c:numRef>
          </c:yVal>
          <c:smooth val="1"/>
          <c:extLst>
            <c:ext xmlns:c16="http://schemas.microsoft.com/office/drawing/2014/chart" uri="{C3380CC4-5D6E-409C-BE32-E72D297353CC}">
              <c16:uniqueId val="{00000001-84ED-4106-A354-D60E7E7BEE53}"/>
            </c:ext>
          </c:extLst>
        </c:ser>
        <c:ser>
          <c:idx val="2"/>
          <c:order val="2"/>
          <c:tx>
            <c:strRef>
              <c:f>'WS_DS-CD'!$P$127</c:f>
              <c:strCache>
                <c:ptCount val="1"/>
                <c:pt idx="0">
                  <c:v>σₙ =71 kPa</c:v>
                </c:pt>
              </c:strCache>
            </c:strRef>
          </c:tx>
          <c:spPr>
            <a:ln w="15875" cap="rnd">
              <a:solidFill>
                <a:schemeClr val="accent3"/>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'WS_DS-CD'!$P$83:$P$111</c:f>
              <c:numCache>
                <c:formatCode>General</c:formatCode>
                <c:ptCount val="29"/>
                <c:pt idx="0">
                  <c:v>0</c:v>
                </c:pt>
                <c:pt idx="1">
                  <c:v>4.5918867402236598</c:v>
                </c:pt>
                <c:pt idx="2">
                  <c:v>7.3052743594467326</c:v>
                </c:pt>
                <c:pt idx="3">
                  <c:v>9.3924956050029405</c:v>
                </c:pt>
                <c:pt idx="4">
                  <c:v>11.47971685055915</c:v>
                </c:pt>
                <c:pt idx="5">
                  <c:v>13.566938096115358</c:v>
                </c:pt>
                <c:pt idx="6">
                  <c:v>15.654159341671569</c:v>
                </c:pt>
                <c:pt idx="7">
                  <c:v>17.741380587227773</c:v>
                </c:pt>
                <c:pt idx="8">
                  <c:v>19.411157583672743</c:v>
                </c:pt>
                <c:pt idx="9">
                  <c:v>20.872212455562089</c:v>
                </c:pt>
                <c:pt idx="10">
                  <c:v>22.9594337011183</c:v>
                </c:pt>
                <c:pt idx="11">
                  <c:v>24.003044323896404</c:v>
                </c:pt>
                <c:pt idx="12">
                  <c:v>25.046654946674504</c:v>
                </c:pt>
                <c:pt idx="13">
                  <c:v>26.090265569452612</c:v>
                </c:pt>
                <c:pt idx="14">
                  <c:v>26.507709818563857</c:v>
                </c:pt>
                <c:pt idx="15">
                  <c:v>26.925154067675098</c:v>
                </c:pt>
                <c:pt idx="16">
                  <c:v>27.342598316786336</c:v>
                </c:pt>
                <c:pt idx="17">
                  <c:v>27.551320441341957</c:v>
                </c:pt>
                <c:pt idx="18">
                  <c:v>27.655681503619771</c:v>
                </c:pt>
                <c:pt idx="19">
                  <c:v>27.760042565897578</c:v>
                </c:pt>
                <c:pt idx="20">
                  <c:v>27.968764690453199</c:v>
                </c:pt>
                <c:pt idx="21">
                  <c:v>28.010509115364325</c:v>
                </c:pt>
                <c:pt idx="22">
                  <c:v>28.052253540275451</c:v>
                </c:pt>
                <c:pt idx="23">
                  <c:v>28.093997965186571</c:v>
                </c:pt>
                <c:pt idx="24">
                  <c:v>28.135742390097697</c:v>
                </c:pt>
                <c:pt idx="25">
                  <c:v>28.156614602553258</c:v>
                </c:pt>
                <c:pt idx="26">
                  <c:v>28.177486815008823</c:v>
                </c:pt>
                <c:pt idx="27">
                  <c:v>28.177486815008823</c:v>
                </c:pt>
                <c:pt idx="28">
                  <c:v>28.177486815008823</c:v>
                </c:pt>
              </c:numCache>
            </c:numRef>
          </c:yVal>
          <c:smooth val="1"/>
          <c:extLst>
            <c:ext xmlns:c16="http://schemas.microsoft.com/office/drawing/2014/chart" uri="{C3380CC4-5D6E-409C-BE32-E72D297353CC}">
              <c16:uniqueId val="{00000002-84ED-4106-A354-D60E7E7BEE53}"/>
            </c:ext>
          </c:extLst>
        </c:ser>
        <c:dLbls>
          <c:showLegendKey val="0"/>
          <c:showVal val="0"/>
          <c:showCatName val="0"/>
          <c:showSerName val="0"/>
          <c:showPercent val="0"/>
          <c:showBubbleSize val="0"/>
        </c:dLbls>
        <c:axId val="827728527"/>
        <c:axId val="1351518175"/>
      </c:scatterChart>
      <c:valAx>
        <c:axId val="827728527"/>
        <c:scaling>
          <c:orientation val="minMax"/>
        </c:scaling>
        <c:delete val="0"/>
        <c:axPos val="b"/>
        <c:majorGridlines>
          <c:spPr>
            <a:ln w="6350" cap="flat" cmpd="sng" algn="ctr">
              <a:solidFill>
                <a:schemeClr val="tx1">
                  <a:lumMod val="15000"/>
                  <a:lumOff val="85000"/>
                  <a:alpha val="51731"/>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18175"/>
        <c:crosses val="autoZero"/>
        <c:crossBetween val="midCat"/>
      </c:valAx>
      <c:valAx>
        <c:axId val="135151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728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'WS_DS-UU'!$J$88</c:f>
              <c:strCache>
                <c:ptCount val="1"/>
                <c:pt idx="0">
                  <c:v>σₙ =35 kPa</c:v>
                </c:pt>
              </c:strCache>
            </c:strRef>
          </c:tx>
          <c:spPr>
            <a:ln w="19050" cap="rnd">
              <a:solidFill>
                <a:schemeClr val="accent1"/>
              </a:solidFill>
              <a:round/>
            </a:ln>
            <a:effectLst/>
          </c:spPr>
          <c:marker>
            <c:symbol val="none"/>
          </c:marker>
          <c:xVal>
            <c:numRef>
              <c:f>'WS_DS-UU'!$J$26:$J$48</c:f>
              <c:numCache>
                <c:formatCode>0.00</c:formatCode>
                <c:ptCount val="23"/>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numCache>
            </c:numRef>
          </c:xVal>
          <c:yVal>
            <c:numRef>
              <c:f>'WS_DS-UU'!$M$26:$M$48</c:f>
              <c:numCache>
                <c:formatCode>General</c:formatCode>
                <c:ptCount val="23"/>
                <c:pt idx="0">
                  <c:v>0</c:v>
                </c:pt>
                <c:pt idx="1">
                  <c:v>11.513889671679895</c:v>
                </c:pt>
                <c:pt idx="2">
                  <c:v>18.710070716479827</c:v>
                </c:pt>
                <c:pt idx="3">
                  <c:v>23.027779343359789</c:v>
                </c:pt>
                <c:pt idx="4">
                  <c:v>27.345487970239752</c:v>
                </c:pt>
                <c:pt idx="5">
                  <c:v>31.663196597119708</c:v>
                </c:pt>
                <c:pt idx="6">
                  <c:v>34.541669015039687</c:v>
                </c:pt>
                <c:pt idx="7">
                  <c:v>35.98090522399967</c:v>
                </c:pt>
                <c:pt idx="8">
                  <c:v>37.420141432959653</c:v>
                </c:pt>
                <c:pt idx="9">
                  <c:v>37.420141432959653</c:v>
                </c:pt>
                <c:pt idx="10">
                  <c:v>37.420141432959653</c:v>
                </c:pt>
                <c:pt idx="11">
                  <c:v>37.420141432959653</c:v>
                </c:pt>
                <c:pt idx="12">
                  <c:v>37.420141432959653</c:v>
                </c:pt>
                <c:pt idx="13">
                  <c:v>37.420141432959653</c:v>
                </c:pt>
                <c:pt idx="14">
                  <c:v>37.420141432959653</c:v>
                </c:pt>
                <c:pt idx="15">
                  <c:v>37.420141432959653</c:v>
                </c:pt>
                <c:pt idx="16">
                  <c:v>37.420141432959653</c:v>
                </c:pt>
                <c:pt idx="17">
                  <c:v>37.420141432959653</c:v>
                </c:pt>
                <c:pt idx="18">
                  <c:v>37.420141432959653</c:v>
                </c:pt>
                <c:pt idx="19">
                  <c:v>37.420141432959653</c:v>
                </c:pt>
                <c:pt idx="20">
                  <c:v>37.420141432959653</c:v>
                </c:pt>
                <c:pt idx="21">
                  <c:v>37.420141432959653</c:v>
                </c:pt>
                <c:pt idx="22">
                  <c:v>37.420141432959653</c:v>
                </c:pt>
              </c:numCache>
            </c:numRef>
          </c:yVal>
          <c:smooth val="1"/>
          <c:extLst>
            <c:ext xmlns:c16="http://schemas.microsoft.com/office/drawing/2014/chart" uri="{C3380CC4-5D6E-409C-BE32-E72D297353CC}">
              <c16:uniqueId val="{00000000-5506-244B-B84F-E39592F236EF}"/>
            </c:ext>
          </c:extLst>
        </c:ser>
        <c:ser>
          <c:idx val="1"/>
          <c:order val="1"/>
          <c:tx>
            <c:strRef>
              <c:f>'WS_DS-UU'!$J$89</c:f>
              <c:strCache>
                <c:ptCount val="1"/>
                <c:pt idx="0">
                  <c:v>σₙ =71 kPa</c:v>
                </c:pt>
              </c:strCache>
            </c:strRef>
          </c:tx>
          <c:spPr>
            <a:ln w="19050" cap="rnd">
              <a:solidFill>
                <a:schemeClr val="accent2"/>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'WS_DS-UU'!$Q$26:$Q$48</c:f>
              <c:numCache>
                <c:formatCode>General</c:formatCode>
                <c:ptCount val="23"/>
                <c:pt idx="0">
                  <c:v>0</c:v>
                </c:pt>
                <c:pt idx="1">
                  <c:v>20.149306925439816</c:v>
                </c:pt>
                <c:pt idx="2">
                  <c:v>25.906251761279766</c:v>
                </c:pt>
                <c:pt idx="3">
                  <c:v>31.663196597119708</c:v>
                </c:pt>
                <c:pt idx="4">
                  <c:v>34.541669015039687</c:v>
                </c:pt>
                <c:pt idx="5">
                  <c:v>37.420141432959653</c:v>
                </c:pt>
                <c:pt idx="6">
                  <c:v>38.859377641919643</c:v>
                </c:pt>
                <c:pt idx="7">
                  <c:v>40.298613850879633</c:v>
                </c:pt>
                <c:pt idx="8">
                  <c:v>41.737850059839616</c:v>
                </c:pt>
                <c:pt idx="9">
                  <c:v>43.177086268799606</c:v>
                </c:pt>
                <c:pt idx="10">
                  <c:v>44.616322477759589</c:v>
                </c:pt>
                <c:pt idx="11">
                  <c:v>46.055558686719579</c:v>
                </c:pt>
                <c:pt idx="12">
                  <c:v>48.934031104639551</c:v>
                </c:pt>
                <c:pt idx="13">
                  <c:v>48.934031104639551</c:v>
                </c:pt>
                <c:pt idx="14">
                  <c:v>48.934031104639551</c:v>
                </c:pt>
                <c:pt idx="15">
                  <c:v>48.934031104639551</c:v>
                </c:pt>
                <c:pt idx="16">
                  <c:v>48.934031104639551</c:v>
                </c:pt>
                <c:pt idx="17">
                  <c:v>48.934031104639551</c:v>
                </c:pt>
                <c:pt idx="18">
                  <c:v>48.934031104639551</c:v>
                </c:pt>
                <c:pt idx="19">
                  <c:v>48.934031104639551</c:v>
                </c:pt>
                <c:pt idx="20">
                  <c:v>48.934031104639551</c:v>
                </c:pt>
                <c:pt idx="21">
                  <c:v>48.934031104639551</c:v>
                </c:pt>
                <c:pt idx="22">
                  <c:v>48.934031104639551</c:v>
                </c:pt>
              </c:numCache>
            </c:numRef>
          </c:yVal>
          <c:smooth val="1"/>
          <c:extLst>
            <c:ext xmlns:c16="http://schemas.microsoft.com/office/drawing/2014/chart" uri="{C3380CC4-5D6E-409C-BE32-E72D297353CC}">
              <c16:uniqueId val="{00000001-5506-244B-B84F-E39592F236EF}"/>
            </c:ext>
          </c:extLst>
        </c:ser>
        <c:ser>
          <c:idx val="2"/>
          <c:order val="2"/>
          <c:tx>
            <c:strRef>
              <c:f>'WS_DS-UU'!$J$90</c:f>
              <c:strCache>
                <c:ptCount val="1"/>
                <c:pt idx="0">
                  <c:v>σₙ =142 kPa</c:v>
                </c:pt>
              </c:strCache>
            </c:strRef>
          </c:tx>
          <c:spPr>
            <a:ln w="19050" cap="rnd">
              <a:solidFill>
                <a:schemeClr val="accent3"/>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'WS_DS-UU'!$U$26:$U$48</c:f>
              <c:numCache>
                <c:formatCode>General</c:formatCode>
                <c:ptCount val="23"/>
                <c:pt idx="0">
                  <c:v>0</c:v>
                </c:pt>
                <c:pt idx="1">
                  <c:v>16.982987265727846</c:v>
                </c:pt>
                <c:pt idx="2">
                  <c:v>22.452084859775795</c:v>
                </c:pt>
                <c:pt idx="3">
                  <c:v>28.784724179199738</c:v>
                </c:pt>
                <c:pt idx="4">
                  <c:v>36.124828844895674</c:v>
                </c:pt>
                <c:pt idx="5">
                  <c:v>40.010766609087632</c:v>
                </c:pt>
                <c:pt idx="6">
                  <c:v>43.608857131487603</c:v>
                </c:pt>
                <c:pt idx="7">
                  <c:v>48.070489379263556</c:v>
                </c:pt>
                <c:pt idx="8">
                  <c:v>51.524656280767516</c:v>
                </c:pt>
                <c:pt idx="9">
                  <c:v>54.690975940479504</c:v>
                </c:pt>
                <c:pt idx="10">
                  <c:v>56.274135770335491</c:v>
                </c:pt>
                <c:pt idx="11">
                  <c:v>59.00868456735946</c:v>
                </c:pt>
                <c:pt idx="12">
                  <c:v>60.591844397215446</c:v>
                </c:pt>
                <c:pt idx="13">
                  <c:v>63.297608470060212</c:v>
                </c:pt>
                <c:pt idx="14">
                  <c:v>64.765629403199412</c:v>
                </c:pt>
                <c:pt idx="15">
                  <c:v>66.204865612159409</c:v>
                </c:pt>
                <c:pt idx="16">
                  <c:v>66.924483716639401</c:v>
                </c:pt>
                <c:pt idx="17">
                  <c:v>67.644101821119378</c:v>
                </c:pt>
                <c:pt idx="18">
                  <c:v>67.931949062911386</c:v>
                </c:pt>
                <c:pt idx="19">
                  <c:v>68.075872683807361</c:v>
                </c:pt>
                <c:pt idx="20">
                  <c:v>68.363719925599369</c:v>
                </c:pt>
                <c:pt idx="21">
                  <c:v>68.651567167391377</c:v>
                </c:pt>
                <c:pt idx="22">
                  <c:v>69.083338030079375</c:v>
                </c:pt>
              </c:numCache>
            </c:numRef>
          </c:yVal>
          <c:smooth val="1"/>
          <c:extLst>
            <c:ext xmlns:c16="http://schemas.microsoft.com/office/drawing/2014/chart" uri="{C3380CC4-5D6E-409C-BE32-E72D297353CC}">
              <c16:uniqueId val="{00000002-5506-244B-B84F-E39592F236EF}"/>
            </c:ext>
          </c:extLst>
        </c:ser>
        <c:dLbls>
          <c:showLegendKey val="0"/>
          <c:showVal val="0"/>
          <c:showCatName val="0"/>
          <c:showSerName val="0"/>
          <c:showPercent val="0"/>
          <c:showBubbleSize val="0"/>
        </c:dLbls>
        <c:axId val="914682143"/>
        <c:axId val="921030223"/>
      </c:scatterChart>
      <c:valAx>
        <c:axId val="914682143"/>
        <c:scaling>
          <c:orientation val="minMax"/>
        </c:scaling>
        <c:delete val="0"/>
        <c:axPos val="b"/>
        <c:majorGridlines>
          <c:spPr>
            <a:ln w="3175" cap="flat" cmpd="sng" algn="ctr">
              <a:solidFill>
                <a:schemeClr val="lt1">
                  <a:shade val="50000"/>
                  <a:alpha val="71788"/>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21030223"/>
        <c:crosses val="autoZero"/>
        <c:crossBetween val="midCat"/>
        <c:majorUnit val="1"/>
      </c:valAx>
      <c:valAx>
        <c:axId val="92103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14682143"/>
        <c:crosses val="autoZero"/>
        <c:crossBetween val="midCat"/>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36947394958728"/>
          <c:y val="4.4858881302997256E-2"/>
          <c:w val="0.82669742938201607"/>
          <c:h val="0.76646875318713603"/>
        </c:manualLayout>
      </c:layout>
      <c:scatterChart>
        <c:scatterStyle val="smoothMarker"/>
        <c:varyColors val="0"/>
        <c:ser>
          <c:idx val="0"/>
          <c:order val="0"/>
          <c:tx>
            <c:v>Test Data</c:v>
          </c:tx>
          <c:spPr>
            <a:ln w="25400" cap="rnd">
              <a:noFill/>
              <a:round/>
            </a:ln>
            <a:effectLst/>
          </c:spPr>
          <c:marker>
            <c:symbol val="circle"/>
            <c:size val="5"/>
            <c:spPr>
              <a:solidFill>
                <a:schemeClr val="accent1"/>
              </a:solidFill>
              <a:ln w="9525">
                <a:solidFill>
                  <a:schemeClr val="accent1"/>
                </a:solidFill>
              </a:ln>
              <a:effectLst/>
            </c:spPr>
          </c:marker>
          <c:xVal>
            <c:numRef>
              <c:f>'WS_DS-UU'!$D$54:$F$54</c:f>
              <c:numCache>
                <c:formatCode>0.00</c:formatCode>
                <c:ptCount val="3"/>
                <c:pt idx="0">
                  <c:v>35.388153650356202</c:v>
                </c:pt>
                <c:pt idx="1">
                  <c:v>70.776307300712404</c:v>
                </c:pt>
                <c:pt idx="2">
                  <c:v>141.55261460142481</c:v>
                </c:pt>
              </c:numCache>
            </c:numRef>
          </c:xVal>
          <c:yVal>
            <c:numRef>
              <c:f>'WS_DS-UU'!$D$52:$F$52</c:f>
              <c:numCache>
                <c:formatCode>0.000</c:formatCode>
                <c:ptCount val="3"/>
                <c:pt idx="0">
                  <c:v>37.420141432959653</c:v>
                </c:pt>
                <c:pt idx="1">
                  <c:v>51.09288541807954</c:v>
                </c:pt>
                <c:pt idx="2">
                  <c:v>79.157991492799269</c:v>
                </c:pt>
              </c:numCache>
            </c:numRef>
          </c:yVal>
          <c:smooth val="1"/>
          <c:extLst>
            <c:ext xmlns:c16="http://schemas.microsoft.com/office/drawing/2014/chart" uri="{C3380CC4-5D6E-409C-BE32-E72D297353CC}">
              <c16:uniqueId val="{00000000-D05E-284B-97F9-146EBE1CB47D}"/>
            </c:ext>
          </c:extLst>
        </c:ser>
        <c:dLbls>
          <c:showLegendKey val="0"/>
          <c:showVal val="0"/>
          <c:showCatName val="0"/>
          <c:showSerName val="0"/>
          <c:showPercent val="0"/>
          <c:showBubbleSize val="0"/>
        </c:dLbls>
        <c:axId val="1092406063"/>
        <c:axId val="882206863"/>
      </c:scatterChart>
      <c:scatterChart>
        <c:scatterStyle val="lineMarker"/>
        <c:varyColors val="0"/>
        <c:ser>
          <c:idx val="1"/>
          <c:order val="1"/>
          <c:tx>
            <c:v>Failure Envelope</c:v>
          </c:tx>
          <c:spPr>
            <a:ln w="19050" cap="rnd">
              <a:solidFill>
                <a:schemeClr val="accent2"/>
              </a:solidFill>
              <a:round/>
            </a:ln>
            <a:effectLst/>
          </c:spPr>
          <c:marker>
            <c:symbol val="none"/>
          </c:marker>
          <c:xVal>
            <c:numRef>
              <c:f>'WS_DS-UU'!$I$69:$I$70</c:f>
              <c:numCache>
                <c:formatCode>General</c:formatCode>
                <c:ptCount val="2"/>
                <c:pt idx="0">
                  <c:v>0</c:v>
                </c:pt>
                <c:pt idx="1">
                  <c:v>150</c:v>
                </c:pt>
              </c:numCache>
            </c:numRef>
          </c:xVal>
          <c:yVal>
            <c:numRef>
              <c:f>'WS_DS-UU'!$K$69:$K$70</c:f>
              <c:numCache>
                <c:formatCode>General</c:formatCode>
                <c:ptCount val="2"/>
                <c:pt idx="0">
                  <c:v>23.387588395599792</c:v>
                </c:pt>
                <c:pt idx="1">
                  <c:v>82.431713395599786</c:v>
                </c:pt>
              </c:numCache>
            </c:numRef>
          </c:yVal>
          <c:smooth val="0"/>
          <c:extLst>
            <c:ext xmlns:c16="http://schemas.microsoft.com/office/drawing/2014/chart" uri="{C3380CC4-5D6E-409C-BE32-E72D297353CC}">
              <c16:uniqueId val="{00000001-D05E-284B-97F9-146EBE1CB47D}"/>
            </c:ext>
          </c:extLst>
        </c:ser>
        <c:dLbls>
          <c:showLegendKey val="0"/>
          <c:showVal val="0"/>
          <c:showCatName val="0"/>
          <c:showSerName val="0"/>
          <c:showPercent val="0"/>
          <c:showBubbleSize val="0"/>
        </c:dLbls>
        <c:axId val="1092406063"/>
        <c:axId val="882206863"/>
      </c:scatterChart>
      <c:valAx>
        <c:axId val="1092406063"/>
        <c:scaling>
          <c:orientation val="minMax"/>
          <c:max val="15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a:t>
                </a:r>
                <a:r>
                  <a:rPr lang="el-GR"/>
                  <a:t>σ</a:t>
                </a:r>
                <a:r>
                  <a:rPr lang="en-US"/>
                  <a:t>ₙ </a:t>
                </a:r>
                <a:r>
                  <a:rPr lang="en-US" baseline="0"/>
                  <a:t>(kPa)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82206863"/>
        <c:crosses val="autoZero"/>
        <c:crossBetween val="midCat"/>
        <c:majorUnit val="50"/>
      </c:valAx>
      <c:valAx>
        <c:axId val="88220686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a:t>
                </a:r>
                <a:r>
                  <a:rPr lang="el-GR" sz="800" b="0" i="0" u="none" strike="noStrike" kern="1200" baseline="0">
                    <a:solidFill>
                      <a:sysClr val="windowText" lastClr="000000">
                        <a:lumMod val="65000"/>
                        <a:lumOff val="35000"/>
                      </a:sysClr>
                    </a:solidFill>
                  </a:rPr>
                  <a:t>τ</a:t>
                </a:r>
                <a:r>
                  <a:rPr lang="en-US" sz="800" b="0" i="0" u="none" strike="noStrike" kern="1200" baseline="0">
                    <a:solidFill>
                      <a:sysClr val="windowText" lastClr="000000">
                        <a:lumMod val="65000"/>
                        <a:lumOff val="35000"/>
                      </a:sysClr>
                    </a:solidFill>
                  </a:rPr>
                  <a:t>f </a:t>
                </a:r>
                <a:r>
                  <a:rPr lang="en-US"/>
                  <a:t>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2406063"/>
        <c:crosses val="autoZero"/>
        <c:crossBetween val="midCat"/>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'WS_DS-UU'!$J$88</c:f>
              <c:strCache>
                <c:ptCount val="1"/>
                <c:pt idx="0">
                  <c:v>σₙ =35 kPa</c:v>
                </c:pt>
              </c:strCache>
            </c:strRef>
          </c:tx>
          <c:spPr>
            <a:ln w="19050" cap="rnd">
              <a:solidFill>
                <a:schemeClr val="accent1"/>
              </a:solidFill>
              <a:round/>
            </a:ln>
            <a:effectLst/>
          </c:spPr>
          <c:marker>
            <c:symbol val="none"/>
          </c:marker>
          <c:xVal>
            <c:numRef>
              <c:f>'WS_DS-UU'!$J$26:$J$48</c:f>
              <c:numCache>
                <c:formatCode>0.00</c:formatCode>
                <c:ptCount val="23"/>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numCache>
            </c:numRef>
          </c:xVal>
          <c:yVal>
            <c:numRef>
              <c:f>'WS_DS-UU'!$M$26:$M$48</c:f>
              <c:numCache>
                <c:formatCode>General</c:formatCode>
                <c:ptCount val="23"/>
                <c:pt idx="0">
                  <c:v>0</c:v>
                </c:pt>
                <c:pt idx="1">
                  <c:v>11.513889671679895</c:v>
                </c:pt>
                <c:pt idx="2">
                  <c:v>18.710070716479827</c:v>
                </c:pt>
                <c:pt idx="3">
                  <c:v>23.027779343359789</c:v>
                </c:pt>
                <c:pt idx="4">
                  <c:v>27.345487970239752</c:v>
                </c:pt>
                <c:pt idx="5">
                  <c:v>31.663196597119708</c:v>
                </c:pt>
                <c:pt idx="6">
                  <c:v>34.541669015039687</c:v>
                </c:pt>
                <c:pt idx="7">
                  <c:v>35.98090522399967</c:v>
                </c:pt>
                <c:pt idx="8">
                  <c:v>37.420141432959653</c:v>
                </c:pt>
                <c:pt idx="9">
                  <c:v>37.420141432959653</c:v>
                </c:pt>
                <c:pt idx="10">
                  <c:v>37.420141432959653</c:v>
                </c:pt>
                <c:pt idx="11">
                  <c:v>37.420141432959653</c:v>
                </c:pt>
                <c:pt idx="12">
                  <c:v>37.420141432959653</c:v>
                </c:pt>
                <c:pt idx="13">
                  <c:v>37.420141432959653</c:v>
                </c:pt>
                <c:pt idx="14">
                  <c:v>37.420141432959653</c:v>
                </c:pt>
                <c:pt idx="15">
                  <c:v>37.420141432959653</c:v>
                </c:pt>
                <c:pt idx="16">
                  <c:v>37.420141432959653</c:v>
                </c:pt>
                <c:pt idx="17">
                  <c:v>37.420141432959653</c:v>
                </c:pt>
                <c:pt idx="18">
                  <c:v>37.420141432959653</c:v>
                </c:pt>
                <c:pt idx="19">
                  <c:v>37.420141432959653</c:v>
                </c:pt>
                <c:pt idx="20">
                  <c:v>37.420141432959653</c:v>
                </c:pt>
                <c:pt idx="21">
                  <c:v>37.420141432959653</c:v>
                </c:pt>
                <c:pt idx="22">
                  <c:v>37.420141432959653</c:v>
                </c:pt>
              </c:numCache>
            </c:numRef>
          </c:yVal>
          <c:smooth val="1"/>
          <c:extLst>
            <c:ext xmlns:c16="http://schemas.microsoft.com/office/drawing/2014/chart" uri="{C3380CC4-5D6E-409C-BE32-E72D297353CC}">
              <c16:uniqueId val="{00000000-3B01-4D15-86BD-003E2CD61F51}"/>
            </c:ext>
          </c:extLst>
        </c:ser>
        <c:ser>
          <c:idx val="1"/>
          <c:order val="1"/>
          <c:tx>
            <c:strRef>
              <c:f>'WS_DS-UU'!$J$89</c:f>
              <c:strCache>
                <c:ptCount val="1"/>
                <c:pt idx="0">
                  <c:v>σₙ =71 kPa</c:v>
                </c:pt>
              </c:strCache>
            </c:strRef>
          </c:tx>
          <c:spPr>
            <a:ln w="19050" cap="rnd">
              <a:solidFill>
                <a:schemeClr val="accent2"/>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'WS_DS-UU'!$Q$26:$Q$48</c:f>
              <c:numCache>
                <c:formatCode>General</c:formatCode>
                <c:ptCount val="23"/>
                <c:pt idx="0">
                  <c:v>0</c:v>
                </c:pt>
                <c:pt idx="1">
                  <c:v>20.149306925439816</c:v>
                </c:pt>
                <c:pt idx="2">
                  <c:v>25.906251761279766</c:v>
                </c:pt>
                <c:pt idx="3">
                  <c:v>31.663196597119708</c:v>
                </c:pt>
                <c:pt idx="4">
                  <c:v>34.541669015039687</c:v>
                </c:pt>
                <c:pt idx="5">
                  <c:v>37.420141432959653</c:v>
                </c:pt>
                <c:pt idx="6">
                  <c:v>38.859377641919643</c:v>
                </c:pt>
                <c:pt idx="7">
                  <c:v>40.298613850879633</c:v>
                </c:pt>
                <c:pt idx="8">
                  <c:v>41.737850059839616</c:v>
                </c:pt>
                <c:pt idx="9">
                  <c:v>43.177086268799606</c:v>
                </c:pt>
                <c:pt idx="10">
                  <c:v>44.616322477759589</c:v>
                </c:pt>
                <c:pt idx="11">
                  <c:v>46.055558686719579</c:v>
                </c:pt>
                <c:pt idx="12">
                  <c:v>48.934031104639551</c:v>
                </c:pt>
                <c:pt idx="13">
                  <c:v>48.934031104639551</c:v>
                </c:pt>
                <c:pt idx="14">
                  <c:v>48.934031104639551</c:v>
                </c:pt>
                <c:pt idx="15">
                  <c:v>48.934031104639551</c:v>
                </c:pt>
                <c:pt idx="16">
                  <c:v>48.934031104639551</c:v>
                </c:pt>
                <c:pt idx="17">
                  <c:v>48.934031104639551</c:v>
                </c:pt>
                <c:pt idx="18">
                  <c:v>48.934031104639551</c:v>
                </c:pt>
                <c:pt idx="19">
                  <c:v>48.934031104639551</c:v>
                </c:pt>
                <c:pt idx="20">
                  <c:v>48.934031104639551</c:v>
                </c:pt>
                <c:pt idx="21">
                  <c:v>48.934031104639551</c:v>
                </c:pt>
                <c:pt idx="22">
                  <c:v>48.934031104639551</c:v>
                </c:pt>
              </c:numCache>
            </c:numRef>
          </c:yVal>
          <c:smooth val="1"/>
          <c:extLst>
            <c:ext xmlns:c16="http://schemas.microsoft.com/office/drawing/2014/chart" uri="{C3380CC4-5D6E-409C-BE32-E72D297353CC}">
              <c16:uniqueId val="{00000001-3B01-4D15-86BD-003E2CD61F51}"/>
            </c:ext>
          </c:extLst>
        </c:ser>
        <c:ser>
          <c:idx val="2"/>
          <c:order val="2"/>
          <c:tx>
            <c:strRef>
              <c:f>'WS_DS-UU'!$J$90</c:f>
              <c:strCache>
                <c:ptCount val="1"/>
                <c:pt idx="0">
                  <c:v>σₙ =142 kPa</c:v>
                </c:pt>
              </c:strCache>
            </c:strRef>
          </c:tx>
          <c:spPr>
            <a:ln w="19050" cap="rnd">
              <a:solidFill>
                <a:schemeClr val="accent3"/>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'WS_DS-UU'!$U$26:$U$48</c:f>
              <c:numCache>
                <c:formatCode>General</c:formatCode>
                <c:ptCount val="23"/>
                <c:pt idx="0">
                  <c:v>0</c:v>
                </c:pt>
                <c:pt idx="1">
                  <c:v>16.982987265727846</c:v>
                </c:pt>
                <c:pt idx="2">
                  <c:v>22.452084859775795</c:v>
                </c:pt>
                <c:pt idx="3">
                  <c:v>28.784724179199738</c:v>
                </c:pt>
                <c:pt idx="4">
                  <c:v>36.124828844895674</c:v>
                </c:pt>
                <c:pt idx="5">
                  <c:v>40.010766609087632</c:v>
                </c:pt>
                <c:pt idx="6">
                  <c:v>43.608857131487603</c:v>
                </c:pt>
                <c:pt idx="7">
                  <c:v>48.070489379263556</c:v>
                </c:pt>
                <c:pt idx="8">
                  <c:v>51.524656280767516</c:v>
                </c:pt>
                <c:pt idx="9">
                  <c:v>54.690975940479504</c:v>
                </c:pt>
                <c:pt idx="10">
                  <c:v>56.274135770335491</c:v>
                </c:pt>
                <c:pt idx="11">
                  <c:v>59.00868456735946</c:v>
                </c:pt>
                <c:pt idx="12">
                  <c:v>60.591844397215446</c:v>
                </c:pt>
                <c:pt idx="13">
                  <c:v>63.297608470060212</c:v>
                </c:pt>
                <c:pt idx="14">
                  <c:v>64.765629403199412</c:v>
                </c:pt>
                <c:pt idx="15">
                  <c:v>66.204865612159409</c:v>
                </c:pt>
                <c:pt idx="16">
                  <c:v>66.924483716639401</c:v>
                </c:pt>
                <c:pt idx="17">
                  <c:v>67.644101821119378</c:v>
                </c:pt>
                <c:pt idx="18">
                  <c:v>67.931949062911386</c:v>
                </c:pt>
                <c:pt idx="19">
                  <c:v>68.075872683807361</c:v>
                </c:pt>
                <c:pt idx="20">
                  <c:v>68.363719925599369</c:v>
                </c:pt>
                <c:pt idx="21">
                  <c:v>68.651567167391377</c:v>
                </c:pt>
                <c:pt idx="22">
                  <c:v>69.083338030079375</c:v>
                </c:pt>
              </c:numCache>
            </c:numRef>
          </c:yVal>
          <c:smooth val="1"/>
          <c:extLst>
            <c:ext xmlns:c16="http://schemas.microsoft.com/office/drawing/2014/chart" uri="{C3380CC4-5D6E-409C-BE32-E72D297353CC}">
              <c16:uniqueId val="{00000002-3B01-4D15-86BD-003E2CD61F51}"/>
            </c:ext>
          </c:extLst>
        </c:ser>
        <c:dLbls>
          <c:showLegendKey val="0"/>
          <c:showVal val="0"/>
          <c:showCatName val="0"/>
          <c:showSerName val="0"/>
          <c:showPercent val="0"/>
          <c:showBubbleSize val="0"/>
        </c:dLbls>
        <c:axId val="914682143"/>
        <c:axId val="921030223"/>
      </c:scatterChart>
      <c:valAx>
        <c:axId val="914682143"/>
        <c:scaling>
          <c:orientation val="minMax"/>
        </c:scaling>
        <c:delete val="0"/>
        <c:axPos val="b"/>
        <c:majorGridlines>
          <c:spPr>
            <a:ln w="3175" cap="flat" cmpd="sng" algn="ctr">
              <a:solidFill>
                <a:schemeClr val="lt1">
                  <a:shade val="50000"/>
                  <a:alpha val="71788"/>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21030223"/>
        <c:crosses val="autoZero"/>
        <c:crossBetween val="midCat"/>
        <c:majorUnit val="1"/>
      </c:valAx>
      <c:valAx>
        <c:axId val="92103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14682143"/>
        <c:crosses val="autoZero"/>
        <c:crossBetween val="midCat"/>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36947394958728"/>
          <c:y val="4.4858881302997256E-2"/>
          <c:w val="0.82669742938201607"/>
          <c:h val="0.76646875318713603"/>
        </c:manualLayout>
      </c:layout>
      <c:scatterChart>
        <c:scatterStyle val="smoothMarker"/>
        <c:varyColors val="0"/>
        <c:ser>
          <c:idx val="0"/>
          <c:order val="0"/>
          <c:tx>
            <c:v>Test Data</c:v>
          </c:tx>
          <c:spPr>
            <a:ln w="25400" cap="rnd">
              <a:noFill/>
              <a:round/>
            </a:ln>
            <a:effectLst/>
          </c:spPr>
          <c:marker>
            <c:symbol val="circle"/>
            <c:size val="5"/>
            <c:spPr>
              <a:solidFill>
                <a:schemeClr val="accent1"/>
              </a:solidFill>
              <a:ln w="9525">
                <a:solidFill>
                  <a:schemeClr val="accent1"/>
                </a:solidFill>
              </a:ln>
              <a:effectLst/>
            </c:spPr>
          </c:marker>
          <c:xVal>
            <c:numRef>
              <c:f>'WS_DS-UU'!$D$54:$F$54</c:f>
              <c:numCache>
                <c:formatCode>0.00</c:formatCode>
                <c:ptCount val="3"/>
                <c:pt idx="0">
                  <c:v>35.388153650356202</c:v>
                </c:pt>
                <c:pt idx="1">
                  <c:v>70.776307300712404</c:v>
                </c:pt>
                <c:pt idx="2">
                  <c:v>141.55261460142481</c:v>
                </c:pt>
              </c:numCache>
            </c:numRef>
          </c:xVal>
          <c:yVal>
            <c:numRef>
              <c:f>'WS_DS-UU'!$D$52:$F$52</c:f>
              <c:numCache>
                <c:formatCode>0.000</c:formatCode>
                <c:ptCount val="3"/>
                <c:pt idx="0">
                  <c:v>37.420141432959653</c:v>
                </c:pt>
                <c:pt idx="1">
                  <c:v>51.09288541807954</c:v>
                </c:pt>
                <c:pt idx="2">
                  <c:v>79.157991492799269</c:v>
                </c:pt>
              </c:numCache>
            </c:numRef>
          </c:yVal>
          <c:smooth val="1"/>
          <c:extLst>
            <c:ext xmlns:c16="http://schemas.microsoft.com/office/drawing/2014/chart" uri="{C3380CC4-5D6E-409C-BE32-E72D297353CC}">
              <c16:uniqueId val="{00000000-17E7-4A6B-881B-FBDD4E3E6955}"/>
            </c:ext>
          </c:extLst>
        </c:ser>
        <c:dLbls>
          <c:showLegendKey val="0"/>
          <c:showVal val="0"/>
          <c:showCatName val="0"/>
          <c:showSerName val="0"/>
          <c:showPercent val="0"/>
          <c:showBubbleSize val="0"/>
        </c:dLbls>
        <c:axId val="1092406063"/>
        <c:axId val="882206863"/>
      </c:scatterChart>
      <c:scatterChart>
        <c:scatterStyle val="lineMarker"/>
        <c:varyColors val="0"/>
        <c:ser>
          <c:idx val="1"/>
          <c:order val="1"/>
          <c:tx>
            <c:v>Failure Envelope</c:v>
          </c:tx>
          <c:spPr>
            <a:ln w="19050" cap="rnd">
              <a:solidFill>
                <a:schemeClr val="accent2"/>
              </a:solidFill>
              <a:round/>
            </a:ln>
            <a:effectLst/>
          </c:spPr>
          <c:marker>
            <c:symbol val="none"/>
          </c:marker>
          <c:xVal>
            <c:numRef>
              <c:f>'WS_DS-UU'!$I$69:$I$70</c:f>
              <c:numCache>
                <c:formatCode>General</c:formatCode>
                <c:ptCount val="2"/>
                <c:pt idx="0">
                  <c:v>0</c:v>
                </c:pt>
                <c:pt idx="1">
                  <c:v>150</c:v>
                </c:pt>
              </c:numCache>
            </c:numRef>
          </c:xVal>
          <c:yVal>
            <c:numRef>
              <c:f>'WS_DS-UU'!$K$69:$K$70</c:f>
              <c:numCache>
                <c:formatCode>General</c:formatCode>
                <c:ptCount val="2"/>
                <c:pt idx="0">
                  <c:v>23.387588395599792</c:v>
                </c:pt>
                <c:pt idx="1">
                  <c:v>82.431713395599786</c:v>
                </c:pt>
              </c:numCache>
            </c:numRef>
          </c:yVal>
          <c:smooth val="0"/>
          <c:extLst>
            <c:ext xmlns:c16="http://schemas.microsoft.com/office/drawing/2014/chart" uri="{C3380CC4-5D6E-409C-BE32-E72D297353CC}">
              <c16:uniqueId val="{00000001-17E7-4A6B-881B-FBDD4E3E6955}"/>
            </c:ext>
          </c:extLst>
        </c:ser>
        <c:dLbls>
          <c:showLegendKey val="0"/>
          <c:showVal val="0"/>
          <c:showCatName val="0"/>
          <c:showSerName val="0"/>
          <c:showPercent val="0"/>
          <c:showBubbleSize val="0"/>
        </c:dLbls>
        <c:axId val="1092406063"/>
        <c:axId val="882206863"/>
      </c:scatterChart>
      <c:valAx>
        <c:axId val="1092406063"/>
        <c:scaling>
          <c:orientation val="minMax"/>
          <c:max val="15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a:t>
                </a:r>
                <a:r>
                  <a:rPr lang="el-GR"/>
                  <a:t>σ</a:t>
                </a:r>
                <a:r>
                  <a:rPr lang="en-US"/>
                  <a:t>ₙ </a:t>
                </a:r>
                <a:r>
                  <a:rPr lang="en-US" baseline="0"/>
                  <a:t>(kPa)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82206863"/>
        <c:crosses val="autoZero"/>
        <c:crossBetween val="midCat"/>
        <c:majorUnit val="50"/>
      </c:valAx>
      <c:valAx>
        <c:axId val="88220686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a:t>
                </a:r>
                <a:r>
                  <a:rPr lang="el-GR" sz="800" b="0" i="0" u="none" strike="noStrike" kern="1200" baseline="0">
                    <a:solidFill>
                      <a:sysClr val="windowText" lastClr="000000">
                        <a:lumMod val="65000"/>
                        <a:lumOff val="35000"/>
                      </a:sysClr>
                    </a:solidFill>
                  </a:rPr>
                  <a:t>τ</a:t>
                </a:r>
                <a:r>
                  <a:rPr lang="en-US" sz="800" b="0" i="0" u="none" strike="noStrike" kern="1200" baseline="0">
                    <a:solidFill>
                      <a:sysClr val="windowText" lastClr="000000">
                        <a:lumMod val="65000"/>
                        <a:lumOff val="35000"/>
                      </a:sysClr>
                    </a:solidFill>
                  </a:rPr>
                  <a:t>f </a:t>
                </a:r>
                <a:r>
                  <a:rPr lang="en-US"/>
                  <a:t>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2406063"/>
        <c:crosses val="autoZero"/>
        <c:crossBetween val="midCat"/>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'WS_CD Residual '!$U$48</c:f>
              <c:strCache>
                <c:ptCount val="1"/>
                <c:pt idx="0">
                  <c:v>σn​ = 17.7 kPa</c:v>
                </c:pt>
              </c:strCache>
            </c:strRef>
          </c:tx>
          <c:spPr>
            <a:ln w="12700" cap="rnd">
              <a:solidFill>
                <a:schemeClr val="accent1"/>
              </a:solidFill>
              <a:round/>
            </a:ln>
            <a:effectLst/>
          </c:spPr>
          <c:marker>
            <c:symbol val="none"/>
          </c:marker>
          <c:xVal>
            <c:numRef>
              <c:f>'WS_CD Residual '!$B$49:$B$63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'!$D$49:$D$63</c:f>
              <c:numCache>
                <c:formatCode>0.000</c:formatCode>
                <c:ptCount val="15"/>
                <c:pt idx="0">
                  <c:v>0</c:v>
                </c:pt>
                <c:pt idx="1">
                  <c:v>-0.13099999999999909</c:v>
                </c:pt>
                <c:pt idx="2">
                  <c:v>-0.27299999999999952</c:v>
                </c:pt>
                <c:pt idx="3">
                  <c:v>-0.30399999999999977</c:v>
                </c:pt>
                <c:pt idx="4">
                  <c:v>-0.30799999999999955</c:v>
                </c:pt>
                <c:pt idx="5">
                  <c:v>-0.31299999999999956</c:v>
                </c:pt>
                <c:pt idx="6">
                  <c:v>-0.31399999999999978</c:v>
                </c:pt>
                <c:pt idx="7">
                  <c:v>-0.31799999999999956</c:v>
                </c:pt>
                <c:pt idx="8">
                  <c:v>-0.32299999999999957</c:v>
                </c:pt>
                <c:pt idx="9">
                  <c:v>-0.32699999999999929</c:v>
                </c:pt>
                <c:pt idx="10">
                  <c:v>-0.33500000000000002</c:v>
                </c:pt>
                <c:pt idx="11">
                  <c:v>-0.33799999999999952</c:v>
                </c:pt>
                <c:pt idx="12">
                  <c:v>-0.34299999999999953</c:v>
                </c:pt>
                <c:pt idx="13">
                  <c:v>-0.34499999999999997</c:v>
                </c:pt>
                <c:pt idx="14">
                  <c:v>-0.34699999999999931</c:v>
                </c:pt>
              </c:numCache>
            </c:numRef>
          </c:yVal>
          <c:smooth val="1"/>
          <c:extLst>
            <c:ext xmlns:c16="http://schemas.microsoft.com/office/drawing/2014/chart" uri="{C3380CC4-5D6E-409C-BE32-E72D297353CC}">
              <c16:uniqueId val="{00000000-60DF-E546-988D-20A0E4D30BCD}"/>
            </c:ext>
          </c:extLst>
        </c:ser>
        <c:ser>
          <c:idx val="1"/>
          <c:order val="1"/>
          <c:tx>
            <c:strRef>
              <c:f>'WS_CD Residual '!$U$49</c:f>
              <c:strCache>
                <c:ptCount val="1"/>
                <c:pt idx="0">
                  <c:v>σn​ = 35.4 kPa</c:v>
                </c:pt>
              </c:strCache>
            </c:strRef>
          </c:tx>
          <c:spPr>
            <a:ln w="12700" cap="rnd">
              <a:solidFill>
                <a:schemeClr val="accent2"/>
              </a:solidFill>
              <a:round/>
            </a:ln>
            <a:effectLst/>
          </c:spPr>
          <c:marker>
            <c:symbol val="none"/>
          </c:marker>
          <c:xVal>
            <c:numRef>
              <c:f>'WS_CD Residual '!$F$49:$F$63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'!$H$49:$H$63</c:f>
              <c:numCache>
                <c:formatCode>0.000</c:formatCode>
                <c:ptCount val="15"/>
                <c:pt idx="0">
                  <c:v>0</c:v>
                </c:pt>
                <c:pt idx="1">
                  <c:v>-0.22899999999999976</c:v>
                </c:pt>
                <c:pt idx="2">
                  <c:v>-0.5479999999999996</c:v>
                </c:pt>
                <c:pt idx="3">
                  <c:v>-0.57299999999999951</c:v>
                </c:pt>
                <c:pt idx="4">
                  <c:v>-0.57799999999999951</c:v>
                </c:pt>
                <c:pt idx="5">
                  <c:v>-0.58099999999999907</c:v>
                </c:pt>
                <c:pt idx="6">
                  <c:v>-0.58299999999999952</c:v>
                </c:pt>
                <c:pt idx="7">
                  <c:v>-0.58599999999999908</c:v>
                </c:pt>
                <c:pt idx="8">
                  <c:v>-0.59099999999999908</c:v>
                </c:pt>
                <c:pt idx="9">
                  <c:v>-0.59599999999999909</c:v>
                </c:pt>
                <c:pt idx="10">
                  <c:v>-0.60699999999999932</c:v>
                </c:pt>
                <c:pt idx="11">
                  <c:v>-0.61299999999999955</c:v>
                </c:pt>
                <c:pt idx="12">
                  <c:v>-0.61799999999999955</c:v>
                </c:pt>
                <c:pt idx="13">
                  <c:v>-0.62</c:v>
                </c:pt>
                <c:pt idx="14">
                  <c:v>-0.62199999999999933</c:v>
                </c:pt>
              </c:numCache>
            </c:numRef>
          </c:yVal>
          <c:smooth val="1"/>
          <c:extLst>
            <c:ext xmlns:c16="http://schemas.microsoft.com/office/drawing/2014/chart" uri="{C3380CC4-5D6E-409C-BE32-E72D297353CC}">
              <c16:uniqueId val="{00000001-60DF-E546-988D-20A0E4D30BCD}"/>
            </c:ext>
          </c:extLst>
        </c:ser>
        <c:ser>
          <c:idx val="2"/>
          <c:order val="2"/>
          <c:tx>
            <c:strRef>
              <c:f>'WS_CD Residual '!$U$50</c:f>
              <c:strCache>
                <c:ptCount val="1"/>
                <c:pt idx="0">
                  <c:v>σn​ = 70.8 kPa</c:v>
                </c:pt>
              </c:strCache>
            </c:strRef>
          </c:tx>
          <c:spPr>
            <a:ln w="19050" cap="rnd">
              <a:solidFill>
                <a:schemeClr val="accent3"/>
              </a:solidFill>
              <a:round/>
            </a:ln>
            <a:effectLst/>
          </c:spPr>
          <c:marker>
            <c:symbol val="none"/>
          </c:marker>
          <c:xVal>
            <c:numRef>
              <c:f>'WS_CD Residual '!$J$49:$J$63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'!$L$49:$L$63</c:f>
              <c:numCache>
                <c:formatCode>0.000</c:formatCode>
                <c:ptCount val="15"/>
                <c:pt idx="0">
                  <c:v>0</c:v>
                </c:pt>
                <c:pt idx="1">
                  <c:v>-0.57999999999999996</c:v>
                </c:pt>
                <c:pt idx="2">
                  <c:v>-0.63</c:v>
                </c:pt>
                <c:pt idx="3">
                  <c:v>-0.68</c:v>
                </c:pt>
                <c:pt idx="4">
                  <c:v>-0.71499999999999997</c:v>
                </c:pt>
                <c:pt idx="5">
                  <c:v>-0.73899999999999977</c:v>
                </c:pt>
                <c:pt idx="6">
                  <c:v>-0.75100000000000022</c:v>
                </c:pt>
                <c:pt idx="7">
                  <c:v>-0.77500000000000002</c:v>
                </c:pt>
                <c:pt idx="8">
                  <c:v>-0.7979999999999996</c:v>
                </c:pt>
                <c:pt idx="9">
                  <c:v>-0.82</c:v>
                </c:pt>
                <c:pt idx="10">
                  <c:v>-0.8270000000000004</c:v>
                </c:pt>
                <c:pt idx="11">
                  <c:v>-0.83399999999999974</c:v>
                </c:pt>
                <c:pt idx="12">
                  <c:v>-0.84</c:v>
                </c:pt>
                <c:pt idx="13">
                  <c:v>-0.84700000000000042</c:v>
                </c:pt>
                <c:pt idx="14">
                  <c:v>-0.85</c:v>
                </c:pt>
              </c:numCache>
            </c:numRef>
          </c:yVal>
          <c:smooth val="1"/>
          <c:extLst>
            <c:ext xmlns:c16="http://schemas.microsoft.com/office/drawing/2014/chart" uri="{C3380CC4-5D6E-409C-BE32-E72D297353CC}">
              <c16:uniqueId val="{00000002-60DF-E546-988D-20A0E4D30BCD}"/>
            </c:ext>
          </c:extLst>
        </c:ser>
        <c:dLbls>
          <c:showLegendKey val="0"/>
          <c:showVal val="0"/>
          <c:showCatName val="0"/>
          <c:showSerName val="0"/>
          <c:showPercent val="0"/>
          <c:showBubbleSize val="0"/>
        </c:dLbls>
        <c:axId val="1391538032"/>
        <c:axId val="1408079216"/>
      </c:scatterChart>
      <c:valAx>
        <c:axId val="1391538032"/>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(min½)</a:t>
                </a:r>
              </a:p>
            </c:rich>
          </c:tx>
          <c:layout>
            <c:manualLayout>
              <c:xMode val="edge"/>
              <c:yMode val="edge"/>
              <c:x val="0.44150023297758284"/>
              <c:y val="0.792547637646377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8079216"/>
        <c:crossesAt val="-1"/>
        <c:crossBetween val="midCat"/>
      </c:valAx>
      <c:valAx>
        <c:axId val="1408079216"/>
        <c:scaling>
          <c:orientation val="minMax"/>
          <c:min val="-1"/>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Cumulative Vertical</a:t>
                </a:r>
              </a:p>
              <a:p>
                <a:pPr>
                  <a:defRPr/>
                </a:pPr>
                <a:r>
                  <a:rPr lang="en-US"/>
                  <a:t> Displacement  (mm)</a:t>
                </a:r>
              </a:p>
            </c:rich>
          </c:tx>
          <c:layout>
            <c:manualLayout>
              <c:xMode val="edge"/>
              <c:yMode val="edge"/>
              <c:x val="1.677535700056617E-2"/>
              <c:y val="0.108301250519114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91538032"/>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'!$M$67</c:f>
              <c:strCache>
                <c:ptCount val="1"/>
                <c:pt idx="0">
                  <c:v>Peak Shear Stress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'!$D$85:$D$114</c:f>
              <c:numCache>
                <c:formatCode>0.00</c:formatCode>
                <c:ptCount val="30"/>
                <c:pt idx="0">
                  <c:v>0</c:v>
                </c:pt>
                <c:pt idx="1">
                  <c:v>8.9232644955519174</c:v>
                </c:pt>
                <c:pt idx="2">
                  <c:v>13.672743985119876</c:v>
                </c:pt>
                <c:pt idx="3">
                  <c:v>16.982987265727846</c:v>
                </c:pt>
                <c:pt idx="4">
                  <c:v>19.573612441855818</c:v>
                </c:pt>
                <c:pt idx="5">
                  <c:v>22.739932101567792</c:v>
                </c:pt>
                <c:pt idx="6">
                  <c:v>24.754862794111776</c:v>
                </c:pt>
                <c:pt idx="7">
                  <c:v>25.906251761279766</c:v>
                </c:pt>
                <c:pt idx="8">
                  <c:v>27.345487970239752</c:v>
                </c:pt>
                <c:pt idx="9">
                  <c:v>28.496876937407741</c:v>
                </c:pt>
                <c:pt idx="10">
                  <c:v>29.216495041887732</c:v>
                </c:pt>
                <c:pt idx="11">
                  <c:v>29.64826590457573</c:v>
                </c:pt>
                <c:pt idx="12">
                  <c:v>30.080036767263721</c:v>
                </c:pt>
                <c:pt idx="13">
                  <c:v>30.511807629951718</c:v>
                </c:pt>
                <c:pt idx="14">
                  <c:v>30.655731250847719</c:v>
                </c:pt>
                <c:pt idx="15">
                  <c:v>30.799654871743712</c:v>
                </c:pt>
                <c:pt idx="16">
                  <c:v>30.943578492639713</c:v>
                </c:pt>
                <c:pt idx="17">
                  <c:v>30.943578492639713</c:v>
                </c:pt>
                <c:pt idx="18">
                  <c:v>30.943578492639713</c:v>
                </c:pt>
                <c:pt idx="19">
                  <c:v>30.943578492639713</c:v>
                </c:pt>
                <c:pt idx="20">
                  <c:v>30.943578492639713</c:v>
                </c:pt>
                <c:pt idx="21">
                  <c:v>30.943578492639713</c:v>
                </c:pt>
                <c:pt idx="22">
                  <c:v>30.943578492639713</c:v>
                </c:pt>
                <c:pt idx="23">
                  <c:v>30.943578492639713</c:v>
                </c:pt>
                <c:pt idx="24">
                  <c:v>30.943578492639713</c:v>
                </c:pt>
                <c:pt idx="25">
                  <c:v>30.943578492639713</c:v>
                </c:pt>
                <c:pt idx="26">
                  <c:v>30.943578492639713</c:v>
                </c:pt>
                <c:pt idx="27">
                  <c:v>30.943578492639713</c:v>
                </c:pt>
                <c:pt idx="28">
                  <c:v>30.943578492639713</c:v>
                </c:pt>
                <c:pt idx="29">
                  <c:v>28.065106074719743</c:v>
                </c:pt>
              </c:numCache>
            </c:numRef>
          </c:yVal>
          <c:smooth val="1"/>
          <c:extLst>
            <c:ext xmlns:c16="http://schemas.microsoft.com/office/drawing/2014/chart" uri="{C3380CC4-5D6E-409C-BE32-E72D297353CC}">
              <c16:uniqueId val="{00000000-586E-004D-A4D4-21C099BCDFF0}"/>
            </c:ext>
          </c:extLst>
        </c:ser>
        <c:ser>
          <c:idx val="1"/>
          <c:order val="1"/>
          <c:tx>
            <c:strRef>
              <c:f>'WS_CD Residual '!$M$68</c:f>
              <c:strCache>
                <c:ptCount val="1"/>
                <c:pt idx="0">
                  <c:v>Residual Shear Stress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'!$K$85:$K$114</c:f>
              <c:numCache>
                <c:formatCode>0.00</c:formatCode>
                <c:ptCount val="30"/>
                <c:pt idx="0">
                  <c:v>0</c:v>
                </c:pt>
                <c:pt idx="1">
                  <c:v>4.3177086268799609</c:v>
                </c:pt>
                <c:pt idx="2">
                  <c:v>6.4765629403199414</c:v>
                </c:pt>
                <c:pt idx="3">
                  <c:v>8.6354172537599219</c:v>
                </c:pt>
                <c:pt idx="4">
                  <c:v>10.074653462719908</c:v>
                </c:pt>
                <c:pt idx="5">
                  <c:v>11.513889671679895</c:v>
                </c:pt>
                <c:pt idx="6">
                  <c:v>12.953125880639883</c:v>
                </c:pt>
                <c:pt idx="7">
                  <c:v>13.672743985119876</c:v>
                </c:pt>
                <c:pt idx="8">
                  <c:v>14.392362089599869</c:v>
                </c:pt>
                <c:pt idx="9">
                  <c:v>15.111980194079861</c:v>
                </c:pt>
                <c:pt idx="10">
                  <c:v>15.831598298559854</c:v>
                </c:pt>
                <c:pt idx="11">
                  <c:v>16.551216403039852</c:v>
                </c:pt>
                <c:pt idx="12">
                  <c:v>16.839063644831846</c:v>
                </c:pt>
                <c:pt idx="13">
                  <c:v>17.126910886623847</c:v>
                </c:pt>
                <c:pt idx="14">
                  <c:v>17.270834507519844</c:v>
                </c:pt>
                <c:pt idx="15">
                  <c:v>17.414758128415841</c:v>
                </c:pt>
                <c:pt idx="16">
                  <c:v>17.414758128415841</c:v>
                </c:pt>
                <c:pt idx="17">
                  <c:v>17.414758128415841</c:v>
                </c:pt>
                <c:pt idx="18">
                  <c:v>17.414758128415841</c:v>
                </c:pt>
                <c:pt idx="19">
                  <c:v>17.414758128415841</c:v>
                </c:pt>
                <c:pt idx="20">
                  <c:v>17.414758128415841</c:v>
                </c:pt>
                <c:pt idx="21">
                  <c:v>17.414758128415841</c:v>
                </c:pt>
                <c:pt idx="22">
                  <c:v>17.414758128415841</c:v>
                </c:pt>
                <c:pt idx="23">
                  <c:v>17.414758128415841</c:v>
                </c:pt>
                <c:pt idx="24">
                  <c:v>17.414758128415841</c:v>
                </c:pt>
                <c:pt idx="25">
                  <c:v>17.414758128415841</c:v>
                </c:pt>
                <c:pt idx="26">
                  <c:v>17.414758128415841</c:v>
                </c:pt>
                <c:pt idx="27">
                  <c:v>17.414758128415841</c:v>
                </c:pt>
                <c:pt idx="28">
                  <c:v>17.414758128415841</c:v>
                </c:pt>
                <c:pt idx="29">
                  <c:v>17.414758128415841</c:v>
                </c:pt>
              </c:numCache>
            </c:numRef>
          </c:yVal>
          <c:smooth val="1"/>
          <c:extLst>
            <c:ext xmlns:c16="http://schemas.microsoft.com/office/drawing/2014/chart" uri="{C3380CC4-5D6E-409C-BE32-E72D297353CC}">
              <c16:uniqueId val="{00000001-586E-004D-A4D4-21C099BCDFF0}"/>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a:t>
                </a:r>
                <a:r>
                  <a:rPr lang="en-US" sz="800" baseline="0">
                    <a:latin typeface="Arial" panose="020B0604020202020204" pitchFamily="34" charset="0"/>
                    <a:cs typeface="Arial" panose="020B0604020202020204" pitchFamily="34" charset="0"/>
                  </a:rPr>
                  <a:t> Displacement </a:t>
                </a:r>
                <a:r>
                  <a:rPr lang="en-US" sz="800">
                    <a:latin typeface="Arial" panose="020B0604020202020204" pitchFamily="34" charset="0"/>
                    <a:cs typeface="Arial" panose="020B0604020202020204" pitchFamily="34" charset="0"/>
                  </a:rPr>
                  <a:t>(mm)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8745095828965937E-2"/>
              <c:y val="0.2106092465983106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'!$M$70</c:f>
              <c:strCache>
                <c:ptCount val="1"/>
                <c:pt idx="0">
                  <c:v>Peak Displacement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'!$F$85:$F$114</c:f>
              <c:numCache>
                <c:formatCode>0.000</c:formatCode>
                <c:ptCount val="30"/>
                <c:pt idx="0">
                  <c:v>0</c:v>
                </c:pt>
                <c:pt idx="1">
                  <c:v>-0.03</c:v>
                </c:pt>
                <c:pt idx="2">
                  <c:v>-0.05</c:v>
                </c:pt>
                <c:pt idx="3">
                  <c:v>-6.5000000000000002E-2</c:v>
                </c:pt>
                <c:pt idx="4">
                  <c:v>-7.0000000000000007E-2</c:v>
                </c:pt>
                <c:pt idx="5">
                  <c:v>-7.4999999999999997E-2</c:v>
                </c:pt>
                <c:pt idx="6">
                  <c:v>-0.08</c:v>
                </c:pt>
                <c:pt idx="7">
                  <c:v>-8.5000000000000006E-2</c:v>
                </c:pt>
                <c:pt idx="8">
                  <c:v>-0.09</c:v>
                </c:pt>
                <c:pt idx="9">
                  <c:v>-9.2000000000000456E-2</c:v>
                </c:pt>
                <c:pt idx="10">
                  <c:v>-9.3999999999999778E-2</c:v>
                </c:pt>
                <c:pt idx="11">
                  <c:v>-9.6000000000000224E-2</c:v>
                </c:pt>
                <c:pt idx="12">
                  <c:v>-9.7999999999999546E-2</c:v>
                </c:pt>
                <c:pt idx="13">
                  <c:v>-0.1</c:v>
                </c:pt>
                <c:pt idx="14">
                  <c:v>-0.10200000000000045</c:v>
                </c:pt>
                <c:pt idx="15">
                  <c:v>-0.10399999999999977</c:v>
                </c:pt>
                <c:pt idx="16">
                  <c:v>-0.105</c:v>
                </c:pt>
                <c:pt idx="17">
                  <c:v>-0.10799999999999954</c:v>
                </c:pt>
                <c:pt idx="18">
                  <c:v>-0.10799999999999954</c:v>
                </c:pt>
                <c:pt idx="19">
                  <c:v>-0.10799999999999954</c:v>
                </c:pt>
                <c:pt idx="20">
                  <c:v>-0.10799999999999954</c:v>
                </c:pt>
                <c:pt idx="21">
                  <c:v>-0.10799999999999954</c:v>
                </c:pt>
                <c:pt idx="22">
                  <c:v>-0.10799999999999954</c:v>
                </c:pt>
                <c:pt idx="23">
                  <c:v>-0.10799999999999954</c:v>
                </c:pt>
                <c:pt idx="24">
                  <c:v>-0.10799999999999954</c:v>
                </c:pt>
                <c:pt idx="25">
                  <c:v>-0.10799999999999954</c:v>
                </c:pt>
                <c:pt idx="26">
                  <c:v>-0.10799999999999954</c:v>
                </c:pt>
                <c:pt idx="27">
                  <c:v>-0.10799999999999954</c:v>
                </c:pt>
                <c:pt idx="28">
                  <c:v>-0.10799999999999954</c:v>
                </c:pt>
                <c:pt idx="29">
                  <c:v>-0.10799999999999954</c:v>
                </c:pt>
              </c:numCache>
            </c:numRef>
          </c:yVal>
          <c:smooth val="1"/>
          <c:extLst>
            <c:ext xmlns:c16="http://schemas.microsoft.com/office/drawing/2014/chart" uri="{C3380CC4-5D6E-409C-BE32-E72D297353CC}">
              <c16:uniqueId val="{00000000-E026-9C42-B269-7B5A5672D7E2}"/>
            </c:ext>
          </c:extLst>
        </c:ser>
        <c:ser>
          <c:idx val="1"/>
          <c:order val="1"/>
          <c:tx>
            <c:strRef>
              <c:f>'WS_CD Residual '!$M$71</c:f>
              <c:strCache>
                <c:ptCount val="1"/>
                <c:pt idx="0">
                  <c:v>Residual Displacement @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'!$M$85:$M$114</c:f>
              <c:numCache>
                <c:formatCode>0.000</c:formatCode>
                <c:ptCount val="30"/>
                <c:pt idx="0">
                  <c:v>0</c:v>
                </c:pt>
                <c:pt idx="1">
                  <c:v>-1.3999999999999773E-2</c:v>
                </c:pt>
                <c:pt idx="2">
                  <c:v>-0.02</c:v>
                </c:pt>
                <c:pt idx="3">
                  <c:v>-2.5000000000000001E-2</c:v>
                </c:pt>
                <c:pt idx="4">
                  <c:v>-0.03</c:v>
                </c:pt>
                <c:pt idx="5">
                  <c:v>-3.5000000000000003E-2</c:v>
                </c:pt>
                <c:pt idx="6">
                  <c:v>-0.04</c:v>
                </c:pt>
                <c:pt idx="7">
                  <c:v>-4.4999999999999998E-2</c:v>
                </c:pt>
                <c:pt idx="8">
                  <c:v>-0.05</c:v>
                </c:pt>
                <c:pt idx="9">
                  <c:v>-5.5E-2</c:v>
                </c:pt>
                <c:pt idx="10">
                  <c:v>-0.06</c:v>
                </c:pt>
                <c:pt idx="11">
                  <c:v>-6.5000000000000002E-2</c:v>
                </c:pt>
                <c:pt idx="12">
                  <c:v>-7.100000000000023E-2</c:v>
                </c:pt>
                <c:pt idx="13">
                  <c:v>-7.3999999999999774E-2</c:v>
                </c:pt>
                <c:pt idx="14">
                  <c:v>-7.6000000000000234E-2</c:v>
                </c:pt>
                <c:pt idx="15">
                  <c:v>-7.7999999999999542E-2</c:v>
                </c:pt>
                <c:pt idx="16">
                  <c:v>-0.08</c:v>
                </c:pt>
                <c:pt idx="17">
                  <c:v>-8.1000000000000225E-2</c:v>
                </c:pt>
                <c:pt idx="18">
                  <c:v>-8.2000000000000461E-2</c:v>
                </c:pt>
                <c:pt idx="19">
                  <c:v>-8.2999999999999546E-2</c:v>
                </c:pt>
                <c:pt idx="20">
                  <c:v>-8.3999999999999769E-2</c:v>
                </c:pt>
                <c:pt idx="21">
                  <c:v>-8.5000000000000006E-2</c:v>
                </c:pt>
                <c:pt idx="22">
                  <c:v>-8.7000000000000452E-2</c:v>
                </c:pt>
                <c:pt idx="23">
                  <c:v>-8.7000000000000452E-2</c:v>
                </c:pt>
                <c:pt idx="24">
                  <c:v>-8.7000000000000452E-2</c:v>
                </c:pt>
                <c:pt idx="25">
                  <c:v>-8.7000000000000452E-2</c:v>
                </c:pt>
                <c:pt idx="26">
                  <c:v>-8.7000000000000452E-2</c:v>
                </c:pt>
                <c:pt idx="27">
                  <c:v>-8.7000000000000452E-2</c:v>
                </c:pt>
                <c:pt idx="28">
                  <c:v>-8.7000000000000452E-2</c:v>
                </c:pt>
                <c:pt idx="29">
                  <c:v>-8.7000000000000452E-2</c:v>
                </c:pt>
              </c:numCache>
            </c:numRef>
          </c:yVal>
          <c:smooth val="1"/>
          <c:extLst>
            <c:ext xmlns:c16="http://schemas.microsoft.com/office/drawing/2014/chart" uri="{C3380CC4-5D6E-409C-BE32-E72D297353CC}">
              <c16:uniqueId val="{00000001-E026-9C42-B269-7B5A5672D7E2}"/>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15"/>
        <c:crossBetween val="midCat"/>
        <c:majorUnit val="2"/>
      </c:valAx>
      <c:valAx>
        <c:axId val="1416739584"/>
        <c:scaling>
          <c:orientation val="minMax"/>
          <c:min val="-0.15000000000000002"/>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Displacement (mm)</a:t>
                </a:r>
              </a:p>
            </c:rich>
          </c:tx>
          <c:layout>
            <c:manualLayout>
              <c:xMode val="edge"/>
              <c:yMode val="edge"/>
              <c:x val="2.3994267189741191E-2"/>
              <c:y val="0.22505692227786753"/>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'!$P$137</c:f>
              <c:strCache>
                <c:ptCount val="1"/>
                <c:pt idx="0">
                  <c:v>Peak Displacement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'!$F$146:$F$175</c:f>
              <c:numCache>
                <c:formatCode>0.000</c:formatCode>
                <c:ptCount val="30"/>
                <c:pt idx="0">
                  <c:v>0</c:v>
                </c:pt>
                <c:pt idx="1">
                  <c:v>-0.04</c:v>
                </c:pt>
                <c:pt idx="2">
                  <c:v>-0.06</c:v>
                </c:pt>
                <c:pt idx="3">
                  <c:v>-0.08</c:v>
                </c:pt>
                <c:pt idx="4">
                  <c:v>-0.1</c:v>
                </c:pt>
                <c:pt idx="5">
                  <c:v>-0.11</c:v>
                </c:pt>
                <c:pt idx="6">
                  <c:v>-0.12</c:v>
                </c:pt>
                <c:pt idx="7">
                  <c:v>-0.13</c:v>
                </c:pt>
                <c:pt idx="8">
                  <c:v>-0.14000000000000001</c:v>
                </c:pt>
                <c:pt idx="9">
                  <c:v>-0.15</c:v>
                </c:pt>
                <c:pt idx="10">
                  <c:v>-0.16</c:v>
                </c:pt>
                <c:pt idx="11">
                  <c:v>-0.17</c:v>
                </c:pt>
                <c:pt idx="12">
                  <c:v>-0.17499999999999999</c:v>
                </c:pt>
                <c:pt idx="13">
                  <c:v>-0.18</c:v>
                </c:pt>
                <c:pt idx="14">
                  <c:v>-0.18200000000000047</c:v>
                </c:pt>
                <c:pt idx="15">
                  <c:v>-0.18399999999999977</c:v>
                </c:pt>
                <c:pt idx="16">
                  <c:v>-0.18600000000000022</c:v>
                </c:pt>
                <c:pt idx="17">
                  <c:v>-0.18799999999999956</c:v>
                </c:pt>
                <c:pt idx="18">
                  <c:v>-0.18899999999999978</c:v>
                </c:pt>
                <c:pt idx="19">
                  <c:v>-0.19</c:v>
                </c:pt>
                <c:pt idx="20">
                  <c:v>-0.19</c:v>
                </c:pt>
                <c:pt idx="21">
                  <c:v>-0.19</c:v>
                </c:pt>
                <c:pt idx="22">
                  <c:v>-0.19</c:v>
                </c:pt>
                <c:pt idx="23">
                  <c:v>-0.19</c:v>
                </c:pt>
                <c:pt idx="24">
                  <c:v>-0.19</c:v>
                </c:pt>
                <c:pt idx="25">
                  <c:v>-0.19</c:v>
                </c:pt>
                <c:pt idx="26">
                  <c:v>-0.19</c:v>
                </c:pt>
                <c:pt idx="27">
                  <c:v>-0.19</c:v>
                </c:pt>
                <c:pt idx="28">
                  <c:v>-0.19</c:v>
                </c:pt>
                <c:pt idx="29">
                  <c:v>-0.19</c:v>
                </c:pt>
              </c:numCache>
            </c:numRef>
          </c:yVal>
          <c:smooth val="1"/>
          <c:extLst>
            <c:ext xmlns:c16="http://schemas.microsoft.com/office/drawing/2014/chart" uri="{C3380CC4-5D6E-409C-BE32-E72D297353CC}">
              <c16:uniqueId val="{00000000-3D67-FC4B-958A-A5FF36DF700E}"/>
            </c:ext>
          </c:extLst>
        </c:ser>
        <c:ser>
          <c:idx val="1"/>
          <c:order val="1"/>
          <c:tx>
            <c:strRef>
              <c:f>'WS_CD Residual '!$P$138</c:f>
              <c:strCache>
                <c:ptCount val="1"/>
                <c:pt idx="0">
                  <c:v>Residual Displacement @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'!$M$146:$M$175</c:f>
              <c:numCache>
                <c:formatCode>0.000</c:formatCode>
                <c:ptCount val="30"/>
                <c:pt idx="0">
                  <c:v>0</c:v>
                </c:pt>
                <c:pt idx="1">
                  <c:v>-0.01</c:v>
                </c:pt>
                <c:pt idx="2">
                  <c:v>-0.02</c:v>
                </c:pt>
                <c:pt idx="3">
                  <c:v>-0.03</c:v>
                </c:pt>
                <c:pt idx="4">
                  <c:v>-0.04</c:v>
                </c:pt>
                <c:pt idx="5">
                  <c:v>-0.05</c:v>
                </c:pt>
                <c:pt idx="6">
                  <c:v>-0.06</c:v>
                </c:pt>
                <c:pt idx="7">
                  <c:v>-7.0000000000000007E-2</c:v>
                </c:pt>
                <c:pt idx="8">
                  <c:v>-0.08</c:v>
                </c:pt>
                <c:pt idx="9">
                  <c:v>-0.09</c:v>
                </c:pt>
                <c:pt idx="10">
                  <c:v>-9.2000000000000456E-2</c:v>
                </c:pt>
                <c:pt idx="11">
                  <c:v>-9.3999999999999778E-2</c:v>
                </c:pt>
                <c:pt idx="12">
                  <c:v>-9.6000000000000224E-2</c:v>
                </c:pt>
                <c:pt idx="13">
                  <c:v>-9.7999999999999546E-2</c:v>
                </c:pt>
                <c:pt idx="14">
                  <c:v>-0.1</c:v>
                </c:pt>
                <c:pt idx="15">
                  <c:v>-0.10200000000000045</c:v>
                </c:pt>
                <c:pt idx="16">
                  <c:v>-0.10399999999999977</c:v>
                </c:pt>
                <c:pt idx="17">
                  <c:v>-0.10600000000000023</c:v>
                </c:pt>
                <c:pt idx="18">
                  <c:v>-0.10799999999999954</c:v>
                </c:pt>
                <c:pt idx="19">
                  <c:v>-0.11</c:v>
                </c:pt>
                <c:pt idx="20">
                  <c:v>-0.11200000000000046</c:v>
                </c:pt>
                <c:pt idx="21">
                  <c:v>-0.11399999999999977</c:v>
                </c:pt>
                <c:pt idx="22">
                  <c:v>-0.11399999999999977</c:v>
                </c:pt>
                <c:pt idx="23">
                  <c:v>-0.11600000000000023</c:v>
                </c:pt>
                <c:pt idx="24">
                  <c:v>-0.11700000000000045</c:v>
                </c:pt>
                <c:pt idx="25">
                  <c:v>-0.11799999999999955</c:v>
                </c:pt>
                <c:pt idx="26">
                  <c:v>-0.11899999999999977</c:v>
                </c:pt>
                <c:pt idx="27">
                  <c:v>-0.12</c:v>
                </c:pt>
                <c:pt idx="28">
                  <c:v>-0.12</c:v>
                </c:pt>
                <c:pt idx="29">
                  <c:v>-0.12</c:v>
                </c:pt>
              </c:numCache>
            </c:numRef>
          </c:yVal>
          <c:smooth val="1"/>
          <c:extLst>
            <c:ext xmlns:c16="http://schemas.microsoft.com/office/drawing/2014/chart" uri="{C3380CC4-5D6E-409C-BE32-E72D297353CC}">
              <c16:uniqueId val="{00000001-3D67-FC4B-958A-A5FF36DF700E}"/>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3"/>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Dispalcement (mm)</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At val="0"/>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'!$M$131</c:f>
              <c:strCache>
                <c:ptCount val="1"/>
                <c:pt idx="0">
                  <c:v>Peak Shear Stress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'!$D$146:$D$175</c:f>
              <c:numCache>
                <c:formatCode>0.00</c:formatCode>
                <c:ptCount val="30"/>
                <c:pt idx="0">
                  <c:v>0</c:v>
                </c:pt>
                <c:pt idx="1">
                  <c:v>9.4989589791359119</c:v>
                </c:pt>
                <c:pt idx="2">
                  <c:v>17.558681749311841</c:v>
                </c:pt>
                <c:pt idx="3">
                  <c:v>23.459550206047787</c:v>
                </c:pt>
                <c:pt idx="4">
                  <c:v>28.065106074719743</c:v>
                </c:pt>
                <c:pt idx="5">
                  <c:v>31.087502113535717</c:v>
                </c:pt>
                <c:pt idx="6">
                  <c:v>33.534203668767695</c:v>
                </c:pt>
                <c:pt idx="7">
                  <c:v>34.829516256831681</c:v>
                </c:pt>
                <c:pt idx="8">
                  <c:v>35.98090522399967</c:v>
                </c:pt>
                <c:pt idx="9">
                  <c:v>36.700523328479669</c:v>
                </c:pt>
                <c:pt idx="10">
                  <c:v>36.988370570271663</c:v>
                </c:pt>
                <c:pt idx="11">
                  <c:v>37.276217812063656</c:v>
                </c:pt>
                <c:pt idx="12">
                  <c:v>37.564065053855664</c:v>
                </c:pt>
                <c:pt idx="13">
                  <c:v>37.851912295647658</c:v>
                </c:pt>
                <c:pt idx="14">
                  <c:v>37.923874106095653</c:v>
                </c:pt>
                <c:pt idx="15">
                  <c:v>37.995835916543648</c:v>
                </c:pt>
                <c:pt idx="16">
                  <c:v>38.024620640722866</c:v>
                </c:pt>
                <c:pt idx="17">
                  <c:v>38.053405364902048</c:v>
                </c:pt>
                <c:pt idx="18">
                  <c:v>38.370037330873252</c:v>
                </c:pt>
                <c:pt idx="19">
                  <c:v>38.370037330873252</c:v>
                </c:pt>
                <c:pt idx="20">
                  <c:v>38.370037330873252</c:v>
                </c:pt>
                <c:pt idx="21">
                  <c:v>38.370037330873252</c:v>
                </c:pt>
                <c:pt idx="22">
                  <c:v>38.370037330873252</c:v>
                </c:pt>
                <c:pt idx="23">
                  <c:v>38.370037330873252</c:v>
                </c:pt>
                <c:pt idx="24">
                  <c:v>38.370037330873252</c:v>
                </c:pt>
                <c:pt idx="25">
                  <c:v>38.370037330873252</c:v>
                </c:pt>
                <c:pt idx="26">
                  <c:v>38.370037330873252</c:v>
                </c:pt>
                <c:pt idx="27">
                  <c:v>38.139759537439652</c:v>
                </c:pt>
                <c:pt idx="28">
                  <c:v>38.139759537439652</c:v>
                </c:pt>
                <c:pt idx="29">
                  <c:v>38.139759537439652</c:v>
                </c:pt>
              </c:numCache>
            </c:numRef>
          </c:yVal>
          <c:smooth val="1"/>
          <c:extLst>
            <c:ext xmlns:c16="http://schemas.microsoft.com/office/drawing/2014/chart" uri="{C3380CC4-5D6E-409C-BE32-E72D297353CC}">
              <c16:uniqueId val="{00000000-CFFC-3641-861B-5E94A8C703C3}"/>
            </c:ext>
          </c:extLst>
        </c:ser>
        <c:ser>
          <c:idx val="1"/>
          <c:order val="1"/>
          <c:tx>
            <c:strRef>
              <c:f>'WS_CD Residual '!$M$132</c:f>
              <c:strCache>
                <c:ptCount val="1"/>
                <c:pt idx="0">
                  <c:v>Residual Shear Stress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'!$K$146:$K$175</c:f>
              <c:numCache>
                <c:formatCode>0.00</c:formatCode>
                <c:ptCount val="30"/>
                <c:pt idx="0">
                  <c:v>0</c:v>
                </c:pt>
                <c:pt idx="1">
                  <c:v>2.8784724179199737</c:v>
                </c:pt>
                <c:pt idx="2">
                  <c:v>6.1887156985279441</c:v>
                </c:pt>
                <c:pt idx="3">
                  <c:v>7.9157991492799269</c:v>
                </c:pt>
                <c:pt idx="4">
                  <c:v>9.3550353582399133</c:v>
                </c:pt>
                <c:pt idx="5">
                  <c:v>11.082118808991899</c:v>
                </c:pt>
                <c:pt idx="6">
                  <c:v>12.953125880639883</c:v>
                </c:pt>
                <c:pt idx="7">
                  <c:v>14.392362089599869</c:v>
                </c:pt>
                <c:pt idx="8">
                  <c:v>15.831598298559854</c:v>
                </c:pt>
                <c:pt idx="9">
                  <c:v>17.270834507519844</c:v>
                </c:pt>
                <c:pt idx="10">
                  <c:v>18.710070716479827</c:v>
                </c:pt>
                <c:pt idx="11">
                  <c:v>20.149306925439816</c:v>
                </c:pt>
                <c:pt idx="12">
                  <c:v>21.588543134399803</c:v>
                </c:pt>
                <c:pt idx="13">
                  <c:v>23.027779343359789</c:v>
                </c:pt>
                <c:pt idx="14">
                  <c:v>24.467015552319776</c:v>
                </c:pt>
                <c:pt idx="15">
                  <c:v>25.186633656799767</c:v>
                </c:pt>
                <c:pt idx="16">
                  <c:v>25.474480898591768</c:v>
                </c:pt>
                <c:pt idx="17">
                  <c:v>25.762328140383772</c:v>
                </c:pt>
                <c:pt idx="18">
                  <c:v>26.050175382175762</c:v>
                </c:pt>
                <c:pt idx="19">
                  <c:v>26.194099003071759</c:v>
                </c:pt>
                <c:pt idx="20">
                  <c:v>26.338022623967756</c:v>
                </c:pt>
                <c:pt idx="21">
                  <c:v>26.409984434415758</c:v>
                </c:pt>
                <c:pt idx="22">
                  <c:v>26.48194624486376</c:v>
                </c:pt>
                <c:pt idx="23">
                  <c:v>26.510730969042957</c:v>
                </c:pt>
                <c:pt idx="24">
                  <c:v>26.53951569322216</c:v>
                </c:pt>
                <c:pt idx="25">
                  <c:v>26.568300417401364</c:v>
                </c:pt>
                <c:pt idx="26">
                  <c:v>26.59708514158056</c:v>
                </c:pt>
                <c:pt idx="27">
                  <c:v>26.611477503670159</c:v>
                </c:pt>
                <c:pt idx="28">
                  <c:v>26.625869865759757</c:v>
                </c:pt>
                <c:pt idx="29">
                  <c:v>26.625869865759757</c:v>
                </c:pt>
              </c:numCache>
            </c:numRef>
          </c:yVal>
          <c:smooth val="1"/>
          <c:extLst>
            <c:ext xmlns:c16="http://schemas.microsoft.com/office/drawing/2014/chart" uri="{C3380CC4-5D6E-409C-BE32-E72D297353CC}">
              <c16:uniqueId val="{00000001-CFFC-3641-861B-5E94A8C703C3}"/>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majorUnit val="15"/>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'!$P$200</c:f>
              <c:strCache>
                <c:ptCount val="1"/>
                <c:pt idx="0">
                  <c:v>Peak Displacement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'!$F$209:$F$237</c:f>
              <c:numCache>
                <c:formatCode>0.000</c:formatCode>
                <c:ptCount val="29"/>
                <c:pt idx="0">
                  <c:v>0</c:v>
                </c:pt>
                <c:pt idx="1">
                  <c:v>-8.1999999999999323E-2</c:v>
                </c:pt>
                <c:pt idx="2">
                  <c:v>-0.13299999999999954</c:v>
                </c:pt>
                <c:pt idx="3">
                  <c:v>-0.18299999999999955</c:v>
                </c:pt>
                <c:pt idx="4">
                  <c:v>-0.23299999999999954</c:v>
                </c:pt>
                <c:pt idx="5">
                  <c:v>-0.25299999999999956</c:v>
                </c:pt>
                <c:pt idx="6">
                  <c:v>-0.27299999999999952</c:v>
                </c:pt>
                <c:pt idx="7">
                  <c:v>-0.29299999999999954</c:v>
                </c:pt>
                <c:pt idx="8">
                  <c:v>-0.31299999999999956</c:v>
                </c:pt>
                <c:pt idx="9">
                  <c:v>-0.33299999999999952</c:v>
                </c:pt>
                <c:pt idx="10">
                  <c:v>-0.34299999999999953</c:v>
                </c:pt>
                <c:pt idx="11">
                  <c:v>-0.35299999999999954</c:v>
                </c:pt>
                <c:pt idx="12">
                  <c:v>-0.36299999999999955</c:v>
                </c:pt>
                <c:pt idx="13">
                  <c:v>-0.37299999999999955</c:v>
                </c:pt>
                <c:pt idx="14">
                  <c:v>-0.38299999999999956</c:v>
                </c:pt>
                <c:pt idx="15">
                  <c:v>-0.39299999999999957</c:v>
                </c:pt>
                <c:pt idx="16">
                  <c:v>-0.40299999999999953</c:v>
                </c:pt>
                <c:pt idx="17">
                  <c:v>-0.41299999999999953</c:v>
                </c:pt>
                <c:pt idx="18">
                  <c:v>-0.42299999999999954</c:v>
                </c:pt>
                <c:pt idx="19">
                  <c:v>-0.43299999999999955</c:v>
                </c:pt>
                <c:pt idx="20">
                  <c:v>-0.435</c:v>
                </c:pt>
                <c:pt idx="21">
                  <c:v>-0.43699999999999933</c:v>
                </c:pt>
                <c:pt idx="22">
                  <c:v>-0.43899999999999978</c:v>
                </c:pt>
                <c:pt idx="23">
                  <c:v>-0.44099999999999911</c:v>
                </c:pt>
                <c:pt idx="24">
                  <c:v>-0.44299999999999956</c:v>
                </c:pt>
                <c:pt idx="25">
                  <c:v>-0.44299999999999956</c:v>
                </c:pt>
                <c:pt idx="26">
                  <c:v>-0.44299999999999956</c:v>
                </c:pt>
                <c:pt idx="27">
                  <c:v>-0.44299999999999956</c:v>
                </c:pt>
                <c:pt idx="28">
                  <c:v>-0.44299999999999956</c:v>
                </c:pt>
              </c:numCache>
            </c:numRef>
          </c:yVal>
          <c:smooth val="1"/>
          <c:extLst>
            <c:ext xmlns:c16="http://schemas.microsoft.com/office/drawing/2014/chart" uri="{C3380CC4-5D6E-409C-BE32-E72D297353CC}">
              <c16:uniqueId val="{00000000-513E-1945-A375-3D533D2F122C}"/>
            </c:ext>
          </c:extLst>
        </c:ser>
        <c:ser>
          <c:idx val="1"/>
          <c:order val="1"/>
          <c:tx>
            <c:strRef>
              <c:f>'WS_CD Residual '!$P$201</c:f>
              <c:strCache>
                <c:ptCount val="1"/>
                <c:pt idx="0">
                  <c:v>Residual Displacement @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'!$M$209:$M$237</c:f>
              <c:numCache>
                <c:formatCode>0.000</c:formatCode>
                <c:ptCount val="29"/>
                <c:pt idx="0">
                  <c:v>0</c:v>
                </c:pt>
                <c:pt idx="1">
                  <c:v>-0.03</c:v>
                </c:pt>
                <c:pt idx="2">
                  <c:v>-0.05</c:v>
                </c:pt>
                <c:pt idx="3">
                  <c:v>-7.0000000000000007E-2</c:v>
                </c:pt>
                <c:pt idx="4">
                  <c:v>-0.09</c:v>
                </c:pt>
                <c:pt idx="5">
                  <c:v>-0.1</c:v>
                </c:pt>
                <c:pt idx="6">
                  <c:v>-0.11</c:v>
                </c:pt>
                <c:pt idx="7">
                  <c:v>-0.12</c:v>
                </c:pt>
                <c:pt idx="8">
                  <c:v>-0.13</c:v>
                </c:pt>
                <c:pt idx="9">
                  <c:v>-0.13500000000000001</c:v>
                </c:pt>
                <c:pt idx="10">
                  <c:v>-0.14000000000000001</c:v>
                </c:pt>
                <c:pt idx="11">
                  <c:v>-0.14499999999999999</c:v>
                </c:pt>
                <c:pt idx="12">
                  <c:v>-0.15</c:v>
                </c:pt>
                <c:pt idx="13">
                  <c:v>-0.15100000000000022</c:v>
                </c:pt>
                <c:pt idx="14">
                  <c:v>-0.15200000000000047</c:v>
                </c:pt>
                <c:pt idx="15">
                  <c:v>-0.15399999999999978</c:v>
                </c:pt>
                <c:pt idx="16">
                  <c:v>-0.15600000000000022</c:v>
                </c:pt>
                <c:pt idx="17">
                  <c:v>-0.15799999999999956</c:v>
                </c:pt>
                <c:pt idx="18">
                  <c:v>-0.16</c:v>
                </c:pt>
                <c:pt idx="19">
                  <c:v>-0.16100000000000023</c:v>
                </c:pt>
                <c:pt idx="20">
                  <c:v>-0.16200000000000045</c:v>
                </c:pt>
                <c:pt idx="21">
                  <c:v>-0.16200000000000045</c:v>
                </c:pt>
                <c:pt idx="22">
                  <c:v>-0.16299999999999953</c:v>
                </c:pt>
                <c:pt idx="23">
                  <c:v>-0.16399999999999978</c:v>
                </c:pt>
                <c:pt idx="24">
                  <c:v>-0.16500000000000001</c:v>
                </c:pt>
                <c:pt idx="25">
                  <c:v>-0.16600000000000023</c:v>
                </c:pt>
                <c:pt idx="26">
                  <c:v>-0.16700000000000045</c:v>
                </c:pt>
                <c:pt idx="27">
                  <c:v>-0.16799999999999954</c:v>
                </c:pt>
                <c:pt idx="28">
                  <c:v>-0.16899999999999976</c:v>
                </c:pt>
              </c:numCache>
            </c:numRef>
          </c:yVal>
          <c:smooth val="1"/>
          <c:extLst>
            <c:ext xmlns:c16="http://schemas.microsoft.com/office/drawing/2014/chart" uri="{C3380CC4-5D6E-409C-BE32-E72D297353CC}">
              <c16:uniqueId val="{00000001-513E-1945-A375-3D533D2F122C}"/>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5"/>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Vertical </a:t>
                </a:r>
              </a:p>
              <a:p>
                <a:pPr>
                  <a:defRPr/>
                </a:pPr>
                <a:r>
                  <a:rPr lang="en-US"/>
                  <a:t>Displacement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1">
                <a:latin typeface="Arial" panose="020B0604020202020204" pitchFamily="34" charset="0"/>
                <a:cs typeface="Arial" panose="020B0604020202020204" pitchFamily="34" charset="0"/>
              </a:rPr>
              <a:t>SPECIMEN 3</a:t>
            </a:r>
          </a:p>
        </c:rich>
      </c:tx>
      <c:layout>
        <c:manualLayout>
          <c:xMode val="edge"/>
          <c:yMode val="edge"/>
          <c:x val="0.41170731232510038"/>
          <c:y val="2.4407954943299552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tx>
            <c:strRef>
              <c:f>'WS_CD Residual '!$L$195</c:f>
              <c:strCache>
                <c:ptCount val="1"/>
                <c:pt idx="0">
                  <c:v>Peak Shear Stress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'!$D$209:$D$237</c:f>
              <c:numCache>
                <c:formatCode>0.00</c:formatCode>
                <c:ptCount val="29"/>
                <c:pt idx="0">
                  <c:v>0</c:v>
                </c:pt>
                <c:pt idx="1">
                  <c:v>12.377431397055888</c:v>
                </c:pt>
                <c:pt idx="2">
                  <c:v>22.308161238879794</c:v>
                </c:pt>
                <c:pt idx="3">
                  <c:v>30.511807629951726</c:v>
                </c:pt>
                <c:pt idx="4">
                  <c:v>37.420141432959653</c:v>
                </c:pt>
                <c:pt idx="5">
                  <c:v>42.025697301631617</c:v>
                </c:pt>
                <c:pt idx="6">
                  <c:v>46.487329549407576</c:v>
                </c:pt>
                <c:pt idx="7">
                  <c:v>49.653649209119543</c:v>
                </c:pt>
                <c:pt idx="8">
                  <c:v>51.09288541807954</c:v>
                </c:pt>
                <c:pt idx="9">
                  <c:v>52.532121627039523</c:v>
                </c:pt>
                <c:pt idx="10">
                  <c:v>53.251739731519514</c:v>
                </c:pt>
                <c:pt idx="11">
                  <c:v>53.971357835999513</c:v>
                </c:pt>
                <c:pt idx="12">
                  <c:v>54.690975940479504</c:v>
                </c:pt>
                <c:pt idx="13">
                  <c:v>55.410594044959495</c:v>
                </c:pt>
                <c:pt idx="14">
                  <c:v>55.698441286751496</c:v>
                </c:pt>
                <c:pt idx="15">
                  <c:v>55.986288528543504</c:v>
                </c:pt>
                <c:pt idx="16">
                  <c:v>56.274135770335491</c:v>
                </c:pt>
                <c:pt idx="17">
                  <c:v>56.418059391231488</c:v>
                </c:pt>
                <c:pt idx="18">
                  <c:v>56.561983012127492</c:v>
                </c:pt>
                <c:pt idx="19">
                  <c:v>56.705906633023481</c:v>
                </c:pt>
                <c:pt idx="20">
                  <c:v>56.849830253919478</c:v>
                </c:pt>
                <c:pt idx="21">
                  <c:v>56.849830253919478</c:v>
                </c:pt>
                <c:pt idx="22">
                  <c:v>56.849830253919478</c:v>
                </c:pt>
                <c:pt idx="23">
                  <c:v>56.849830253919478</c:v>
                </c:pt>
                <c:pt idx="24">
                  <c:v>56.849830253919478</c:v>
                </c:pt>
                <c:pt idx="25">
                  <c:v>56.849830253919478</c:v>
                </c:pt>
                <c:pt idx="26">
                  <c:v>56.849830253919478</c:v>
                </c:pt>
                <c:pt idx="27">
                  <c:v>56.849830253919478</c:v>
                </c:pt>
                <c:pt idx="28">
                  <c:v>56.849830253919478</c:v>
                </c:pt>
              </c:numCache>
            </c:numRef>
          </c:yVal>
          <c:smooth val="1"/>
          <c:extLst>
            <c:ext xmlns:c16="http://schemas.microsoft.com/office/drawing/2014/chart" uri="{C3380CC4-5D6E-409C-BE32-E72D297353CC}">
              <c16:uniqueId val="{00000000-55AB-D34E-ABB4-44D7E04756F7}"/>
            </c:ext>
          </c:extLst>
        </c:ser>
        <c:ser>
          <c:idx val="1"/>
          <c:order val="1"/>
          <c:tx>
            <c:strRef>
              <c:f>'WS_CD Residual '!$L$196</c:f>
              <c:strCache>
                <c:ptCount val="1"/>
                <c:pt idx="0">
                  <c:v>Residual Shear Stress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'!$K$209:$K$237</c:f>
              <c:numCache>
                <c:formatCode>0.00</c:formatCode>
                <c:ptCount val="29"/>
                <c:pt idx="0">
                  <c:v>0</c:v>
                </c:pt>
                <c:pt idx="1">
                  <c:v>6.4765629403199414</c:v>
                </c:pt>
                <c:pt idx="2">
                  <c:v>12.377431397055888</c:v>
                </c:pt>
                <c:pt idx="3">
                  <c:v>17.558681749311841</c:v>
                </c:pt>
                <c:pt idx="4">
                  <c:v>22.452084859775795</c:v>
                </c:pt>
                <c:pt idx="5">
                  <c:v>26.338022623967756</c:v>
                </c:pt>
                <c:pt idx="6">
                  <c:v>29.64826590457573</c:v>
                </c:pt>
                <c:pt idx="7">
                  <c:v>32.094967459807712</c:v>
                </c:pt>
                <c:pt idx="8">
                  <c:v>34.829516256831681</c:v>
                </c:pt>
                <c:pt idx="9">
                  <c:v>38.139759537439652</c:v>
                </c:pt>
                <c:pt idx="10">
                  <c:v>39.578995746399634</c:v>
                </c:pt>
                <c:pt idx="11">
                  <c:v>41.018231955359617</c:v>
                </c:pt>
                <c:pt idx="12">
                  <c:v>42.457468164319614</c:v>
                </c:pt>
                <c:pt idx="13">
                  <c:v>43.177086268799606</c:v>
                </c:pt>
                <c:pt idx="14">
                  <c:v>43.896704373279597</c:v>
                </c:pt>
                <c:pt idx="15">
                  <c:v>44.184551615071591</c:v>
                </c:pt>
                <c:pt idx="16">
                  <c:v>44.472398856863585</c:v>
                </c:pt>
                <c:pt idx="17">
                  <c:v>44.760246098655593</c:v>
                </c:pt>
                <c:pt idx="18">
                  <c:v>44.904169719551589</c:v>
                </c:pt>
                <c:pt idx="19">
                  <c:v>45.048093340447586</c:v>
                </c:pt>
                <c:pt idx="20">
                  <c:v>45.048093340447586</c:v>
                </c:pt>
                <c:pt idx="21">
                  <c:v>45.048093340447586</c:v>
                </c:pt>
                <c:pt idx="22">
                  <c:v>45.048093340447586</c:v>
                </c:pt>
                <c:pt idx="23">
                  <c:v>45.048093340447586</c:v>
                </c:pt>
                <c:pt idx="24">
                  <c:v>45.048093340447586</c:v>
                </c:pt>
                <c:pt idx="25">
                  <c:v>45.048093340447586</c:v>
                </c:pt>
                <c:pt idx="26">
                  <c:v>45.048093340447586</c:v>
                </c:pt>
                <c:pt idx="27">
                  <c:v>45.048093340447586</c:v>
                </c:pt>
                <c:pt idx="28">
                  <c:v>45.048093340447586</c:v>
                </c:pt>
              </c:numCache>
            </c:numRef>
          </c:yVal>
          <c:smooth val="1"/>
          <c:extLst>
            <c:ext xmlns:c16="http://schemas.microsoft.com/office/drawing/2014/chart" uri="{C3380CC4-5D6E-409C-BE32-E72D297353CC}">
              <c16:uniqueId val="{00000001-55AB-D34E-ABB4-44D7E04756F7}"/>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5396318112473557E-2"/>
              <c:y val="0.1752417515390419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(Peak)</c:v>
          </c:tx>
          <c:spPr>
            <a:ln w="19050" cap="rnd">
              <a:noFill/>
              <a:round/>
            </a:ln>
            <a:effectLst/>
          </c:spPr>
          <c:marker>
            <c:symbol val="circle"/>
            <c:size val="5"/>
            <c:spPr>
              <a:solidFill>
                <a:schemeClr val="accent1"/>
              </a:solidFill>
              <a:ln w="9525">
                <a:solidFill>
                  <a:schemeClr val="accent1"/>
                </a:solidFill>
              </a:ln>
              <a:effectLst/>
            </c:spPr>
          </c:marker>
          <c:xVal>
            <c:numRef>
              <c:f>'WS_CD Residual '!$D$255:$F$255</c:f>
              <c:numCache>
                <c:formatCode>0.000</c:formatCode>
                <c:ptCount val="3"/>
                <c:pt idx="0">
                  <c:v>17.693806181122916</c:v>
                </c:pt>
                <c:pt idx="1">
                  <c:v>35.387612362245832</c:v>
                </c:pt>
                <c:pt idx="2">
                  <c:v>70.775224724491665</c:v>
                </c:pt>
              </c:numCache>
            </c:numRef>
          </c:xVal>
          <c:yVal>
            <c:numRef>
              <c:f>'WS_CD Residual '!$D$256:$F$256</c:f>
              <c:numCache>
                <c:formatCode>0.000</c:formatCode>
                <c:ptCount val="3"/>
                <c:pt idx="0">
                  <c:v>30.943578492639713</c:v>
                </c:pt>
                <c:pt idx="1">
                  <c:v>38.370037330873252</c:v>
                </c:pt>
                <c:pt idx="2">
                  <c:v>56.849830253919478</c:v>
                </c:pt>
              </c:numCache>
            </c:numRef>
          </c:yVal>
          <c:smooth val="1"/>
          <c:extLst>
            <c:ext xmlns:c16="http://schemas.microsoft.com/office/drawing/2014/chart" uri="{C3380CC4-5D6E-409C-BE32-E72D297353CC}">
              <c16:uniqueId val="{00000000-4002-8E44-BBF3-04FB78EA240D}"/>
            </c:ext>
          </c:extLst>
        </c:ser>
        <c:ser>
          <c:idx val="1"/>
          <c:order val="1"/>
          <c:tx>
            <c:v>Test Data (Residual)</c:v>
          </c:tx>
          <c:spPr>
            <a:ln w="19050" cap="rnd">
              <a:noFill/>
              <a:round/>
            </a:ln>
            <a:effectLst/>
          </c:spPr>
          <c:marker>
            <c:symbol val="circle"/>
            <c:size val="5"/>
            <c:spPr>
              <a:solidFill>
                <a:schemeClr val="accent2"/>
              </a:solidFill>
              <a:ln w="9525">
                <a:solidFill>
                  <a:schemeClr val="accent2"/>
                </a:solidFill>
              </a:ln>
              <a:effectLst/>
            </c:spPr>
          </c:marker>
          <c:xVal>
            <c:numRef>
              <c:f>'WS_CD Residual '!$D$258:$F$258</c:f>
              <c:numCache>
                <c:formatCode>0.000</c:formatCode>
                <c:ptCount val="3"/>
                <c:pt idx="0">
                  <c:v>17.693806181122916</c:v>
                </c:pt>
                <c:pt idx="1">
                  <c:v>35.387612362245832</c:v>
                </c:pt>
                <c:pt idx="2">
                  <c:v>#N/A</c:v>
                </c:pt>
              </c:numCache>
            </c:numRef>
          </c:xVal>
          <c:yVal>
            <c:numRef>
              <c:f>'WS_CD Residual '!$D$259:$F$259</c:f>
              <c:numCache>
                <c:formatCode>0.00</c:formatCode>
                <c:ptCount val="3"/>
                <c:pt idx="0">
                  <c:v>17.414758128415841</c:v>
                </c:pt>
                <c:pt idx="1">
                  <c:v>26.625869865759757</c:v>
                </c:pt>
                <c:pt idx="2">
                  <c:v>45.048093340447586</c:v>
                </c:pt>
              </c:numCache>
            </c:numRef>
          </c:yVal>
          <c:smooth val="1"/>
          <c:extLst>
            <c:ext xmlns:c16="http://schemas.microsoft.com/office/drawing/2014/chart" uri="{C3380CC4-5D6E-409C-BE32-E72D297353CC}">
              <c16:uniqueId val="{00000001-4002-8E44-BBF3-04FB78EA240D}"/>
            </c:ext>
          </c:extLst>
        </c:ser>
        <c:ser>
          <c:idx val="2"/>
          <c:order val="2"/>
          <c:tx>
            <c:v>Peak Envelope</c:v>
          </c:tx>
          <c:spPr>
            <a:ln w="12700" cap="rnd">
              <a:solidFill>
                <a:schemeClr val="tx1"/>
              </a:solidFill>
              <a:round/>
            </a:ln>
            <a:effectLst/>
          </c:spPr>
          <c:marker>
            <c:symbol val="none"/>
          </c:marker>
          <c:xVal>
            <c:numRef>
              <c:f>'WS_CD Residual '!$I$271:$I$272</c:f>
              <c:numCache>
                <c:formatCode>General</c:formatCode>
                <c:ptCount val="2"/>
                <c:pt idx="0">
                  <c:v>0</c:v>
                </c:pt>
                <c:pt idx="1">
                  <c:v>100</c:v>
                </c:pt>
              </c:numCache>
            </c:numRef>
          </c:xVal>
          <c:yVal>
            <c:numRef>
              <c:f>'WS_CD Residual '!$J$271:$J$272</c:f>
              <c:numCache>
                <c:formatCode>0.00</c:formatCode>
                <c:ptCount val="2"/>
                <c:pt idx="0">
                  <c:v>21.703682031116593</c:v>
                </c:pt>
                <c:pt idx="1">
                  <c:v>70.996476001034523</c:v>
                </c:pt>
              </c:numCache>
            </c:numRef>
          </c:yVal>
          <c:smooth val="1"/>
          <c:extLst>
            <c:ext xmlns:c16="http://schemas.microsoft.com/office/drawing/2014/chart" uri="{C3380CC4-5D6E-409C-BE32-E72D297353CC}">
              <c16:uniqueId val="{00000002-4002-8E44-BBF3-04FB78EA240D}"/>
            </c:ext>
          </c:extLst>
        </c:ser>
        <c:ser>
          <c:idx val="3"/>
          <c:order val="3"/>
          <c:tx>
            <c:v>Residual Envelope</c:v>
          </c:tx>
          <c:spPr>
            <a:ln w="12700" cap="rnd">
              <a:solidFill>
                <a:srgbClr val="FF0000"/>
              </a:solidFill>
              <a:round/>
            </a:ln>
            <a:effectLst/>
          </c:spPr>
          <c:marker>
            <c:symbol val="none"/>
          </c:marker>
          <c:xVal>
            <c:numRef>
              <c:f>'WS_CD Residual '!$L$271:$L$272</c:f>
              <c:numCache>
                <c:formatCode>General</c:formatCode>
                <c:ptCount val="2"/>
                <c:pt idx="0">
                  <c:v>0</c:v>
                </c:pt>
                <c:pt idx="1">
                  <c:v>100</c:v>
                </c:pt>
              </c:numCache>
            </c:numRef>
          </c:xVal>
          <c:yVal>
            <c:numRef>
              <c:f>'WS_CD Residual '!$M$271:$M$272</c:f>
              <c:numCache>
                <c:formatCode>0.00</c:formatCode>
                <c:ptCount val="2"/>
                <c:pt idx="0">
                  <c:v>#N/A</c:v>
                </c:pt>
                <c:pt idx="1">
                  <c:v>#N/A</c:v>
                </c:pt>
              </c:numCache>
            </c:numRef>
          </c:yVal>
          <c:smooth val="1"/>
          <c:extLst>
            <c:ext xmlns:c16="http://schemas.microsoft.com/office/drawing/2014/chart" uri="{C3380CC4-5D6E-409C-BE32-E72D297353CC}">
              <c16:uniqueId val="{00000003-4002-8E44-BBF3-04FB78EA240D}"/>
            </c:ext>
          </c:extLst>
        </c:ser>
        <c:dLbls>
          <c:showLegendKey val="0"/>
          <c:showVal val="0"/>
          <c:showCatName val="0"/>
          <c:showSerName val="0"/>
          <c:showPercent val="0"/>
          <c:showBubbleSize val="0"/>
        </c:dLbls>
        <c:axId val="1196216160"/>
        <c:axId val="1195478784"/>
      </c:scatterChart>
      <c:valAx>
        <c:axId val="1196216160"/>
        <c:scaling>
          <c:orientation val="minMax"/>
          <c:max val="100"/>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(kPa)</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5478784"/>
        <c:crosses val="autoZero"/>
        <c:crossBetween val="midCat"/>
      </c:valAx>
      <c:valAx>
        <c:axId val="11954787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6216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'!$M$67</c:f>
              <c:strCache>
                <c:ptCount val="1"/>
                <c:pt idx="0">
                  <c:v>Peak Shear Stress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'!$D$85:$D$114</c:f>
              <c:numCache>
                <c:formatCode>0.00</c:formatCode>
                <c:ptCount val="30"/>
                <c:pt idx="0">
                  <c:v>0</c:v>
                </c:pt>
                <c:pt idx="1">
                  <c:v>8.9232644955519174</c:v>
                </c:pt>
                <c:pt idx="2">
                  <c:v>13.672743985119876</c:v>
                </c:pt>
                <c:pt idx="3">
                  <c:v>16.982987265727846</c:v>
                </c:pt>
                <c:pt idx="4">
                  <c:v>19.573612441855818</c:v>
                </c:pt>
                <c:pt idx="5">
                  <c:v>22.739932101567792</c:v>
                </c:pt>
                <c:pt idx="6">
                  <c:v>24.754862794111776</c:v>
                </c:pt>
                <c:pt idx="7">
                  <c:v>25.906251761279766</c:v>
                </c:pt>
                <c:pt idx="8">
                  <c:v>27.345487970239752</c:v>
                </c:pt>
                <c:pt idx="9">
                  <c:v>28.496876937407741</c:v>
                </c:pt>
                <c:pt idx="10">
                  <c:v>29.216495041887732</c:v>
                </c:pt>
                <c:pt idx="11">
                  <c:v>29.64826590457573</c:v>
                </c:pt>
                <c:pt idx="12">
                  <c:v>30.080036767263721</c:v>
                </c:pt>
                <c:pt idx="13">
                  <c:v>30.511807629951718</c:v>
                </c:pt>
                <c:pt idx="14">
                  <c:v>30.655731250847719</c:v>
                </c:pt>
                <c:pt idx="15">
                  <c:v>30.799654871743712</c:v>
                </c:pt>
                <c:pt idx="16">
                  <c:v>30.943578492639713</c:v>
                </c:pt>
                <c:pt idx="17">
                  <c:v>30.943578492639713</c:v>
                </c:pt>
                <c:pt idx="18">
                  <c:v>30.943578492639713</c:v>
                </c:pt>
                <c:pt idx="19">
                  <c:v>30.943578492639713</c:v>
                </c:pt>
                <c:pt idx="20">
                  <c:v>30.943578492639713</c:v>
                </c:pt>
                <c:pt idx="21">
                  <c:v>30.943578492639713</c:v>
                </c:pt>
                <c:pt idx="22">
                  <c:v>30.943578492639713</c:v>
                </c:pt>
                <c:pt idx="23">
                  <c:v>30.943578492639713</c:v>
                </c:pt>
                <c:pt idx="24">
                  <c:v>30.943578492639713</c:v>
                </c:pt>
                <c:pt idx="25">
                  <c:v>30.943578492639713</c:v>
                </c:pt>
                <c:pt idx="26">
                  <c:v>30.943578492639713</c:v>
                </c:pt>
                <c:pt idx="27">
                  <c:v>30.943578492639713</c:v>
                </c:pt>
                <c:pt idx="28">
                  <c:v>30.943578492639713</c:v>
                </c:pt>
                <c:pt idx="29">
                  <c:v>28.065106074719743</c:v>
                </c:pt>
              </c:numCache>
            </c:numRef>
          </c:yVal>
          <c:smooth val="1"/>
          <c:extLst>
            <c:ext xmlns:c16="http://schemas.microsoft.com/office/drawing/2014/chart" uri="{C3380CC4-5D6E-409C-BE32-E72D297353CC}">
              <c16:uniqueId val="{00000000-1FC5-496C-83EC-9B6A15B6E732}"/>
            </c:ext>
          </c:extLst>
        </c:ser>
        <c:ser>
          <c:idx val="1"/>
          <c:order val="1"/>
          <c:tx>
            <c:strRef>
              <c:f>'WS_CD Residual '!$M$68</c:f>
              <c:strCache>
                <c:ptCount val="1"/>
                <c:pt idx="0">
                  <c:v>Residual Shear Stress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'!$K$85:$K$114</c:f>
              <c:numCache>
                <c:formatCode>0.00</c:formatCode>
                <c:ptCount val="30"/>
                <c:pt idx="0">
                  <c:v>0</c:v>
                </c:pt>
                <c:pt idx="1">
                  <c:v>4.3177086268799609</c:v>
                </c:pt>
                <c:pt idx="2">
                  <c:v>6.4765629403199414</c:v>
                </c:pt>
                <c:pt idx="3">
                  <c:v>8.6354172537599219</c:v>
                </c:pt>
                <c:pt idx="4">
                  <c:v>10.074653462719908</c:v>
                </c:pt>
                <c:pt idx="5">
                  <c:v>11.513889671679895</c:v>
                </c:pt>
                <c:pt idx="6">
                  <c:v>12.953125880639883</c:v>
                </c:pt>
                <c:pt idx="7">
                  <c:v>13.672743985119876</c:v>
                </c:pt>
                <c:pt idx="8">
                  <c:v>14.392362089599869</c:v>
                </c:pt>
                <c:pt idx="9">
                  <c:v>15.111980194079861</c:v>
                </c:pt>
                <c:pt idx="10">
                  <c:v>15.831598298559854</c:v>
                </c:pt>
                <c:pt idx="11">
                  <c:v>16.551216403039852</c:v>
                </c:pt>
                <c:pt idx="12">
                  <c:v>16.839063644831846</c:v>
                </c:pt>
                <c:pt idx="13">
                  <c:v>17.126910886623847</c:v>
                </c:pt>
                <c:pt idx="14">
                  <c:v>17.270834507519844</c:v>
                </c:pt>
                <c:pt idx="15">
                  <c:v>17.414758128415841</c:v>
                </c:pt>
                <c:pt idx="16">
                  <c:v>17.414758128415841</c:v>
                </c:pt>
                <c:pt idx="17">
                  <c:v>17.414758128415841</c:v>
                </c:pt>
                <c:pt idx="18">
                  <c:v>17.414758128415841</c:v>
                </c:pt>
                <c:pt idx="19">
                  <c:v>17.414758128415841</c:v>
                </c:pt>
                <c:pt idx="20">
                  <c:v>17.414758128415841</c:v>
                </c:pt>
                <c:pt idx="21">
                  <c:v>17.414758128415841</c:v>
                </c:pt>
                <c:pt idx="22">
                  <c:v>17.414758128415841</c:v>
                </c:pt>
                <c:pt idx="23">
                  <c:v>17.414758128415841</c:v>
                </c:pt>
                <c:pt idx="24">
                  <c:v>17.414758128415841</c:v>
                </c:pt>
                <c:pt idx="25">
                  <c:v>17.414758128415841</c:v>
                </c:pt>
                <c:pt idx="26">
                  <c:v>17.414758128415841</c:v>
                </c:pt>
                <c:pt idx="27">
                  <c:v>17.414758128415841</c:v>
                </c:pt>
                <c:pt idx="28">
                  <c:v>17.414758128415841</c:v>
                </c:pt>
                <c:pt idx="29">
                  <c:v>17.414758128415841</c:v>
                </c:pt>
              </c:numCache>
            </c:numRef>
          </c:yVal>
          <c:smooth val="1"/>
          <c:extLst>
            <c:ext xmlns:c16="http://schemas.microsoft.com/office/drawing/2014/chart" uri="{C3380CC4-5D6E-409C-BE32-E72D297353CC}">
              <c16:uniqueId val="{00000001-1FC5-496C-83EC-9B6A15B6E732}"/>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a:t>
                </a:r>
                <a:r>
                  <a:rPr lang="en-US" sz="800" baseline="0">
                    <a:latin typeface="Arial" panose="020B0604020202020204" pitchFamily="34" charset="0"/>
                    <a:cs typeface="Arial" panose="020B0604020202020204" pitchFamily="34" charset="0"/>
                  </a:rPr>
                  <a:t> Displacement </a:t>
                </a:r>
                <a:r>
                  <a:rPr lang="en-US" sz="800">
                    <a:latin typeface="Arial" panose="020B0604020202020204" pitchFamily="34" charset="0"/>
                    <a:cs typeface="Arial" panose="020B0604020202020204" pitchFamily="34" charset="0"/>
                  </a:rPr>
                  <a:t>(mm)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8745095828965937E-2"/>
              <c:y val="0.2106092465983106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'!$M$131</c:f>
              <c:strCache>
                <c:ptCount val="1"/>
                <c:pt idx="0">
                  <c:v>Peak Shear Stress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'!$D$146:$D$175</c:f>
              <c:numCache>
                <c:formatCode>0.00</c:formatCode>
                <c:ptCount val="30"/>
                <c:pt idx="0">
                  <c:v>0</c:v>
                </c:pt>
                <c:pt idx="1">
                  <c:v>9.4989589791359119</c:v>
                </c:pt>
                <c:pt idx="2">
                  <c:v>17.558681749311841</c:v>
                </c:pt>
                <c:pt idx="3">
                  <c:v>23.459550206047787</c:v>
                </c:pt>
                <c:pt idx="4">
                  <c:v>28.065106074719743</c:v>
                </c:pt>
                <c:pt idx="5">
                  <c:v>31.087502113535717</c:v>
                </c:pt>
                <c:pt idx="6">
                  <c:v>33.534203668767695</c:v>
                </c:pt>
                <c:pt idx="7">
                  <c:v>34.829516256831681</c:v>
                </c:pt>
                <c:pt idx="8">
                  <c:v>35.98090522399967</c:v>
                </c:pt>
                <c:pt idx="9">
                  <c:v>36.700523328479669</c:v>
                </c:pt>
                <c:pt idx="10">
                  <c:v>36.988370570271663</c:v>
                </c:pt>
                <c:pt idx="11">
                  <c:v>37.276217812063656</c:v>
                </c:pt>
                <c:pt idx="12">
                  <c:v>37.564065053855664</c:v>
                </c:pt>
                <c:pt idx="13">
                  <c:v>37.851912295647658</c:v>
                </c:pt>
                <c:pt idx="14">
                  <c:v>37.923874106095653</c:v>
                </c:pt>
                <c:pt idx="15">
                  <c:v>37.995835916543648</c:v>
                </c:pt>
                <c:pt idx="16">
                  <c:v>38.024620640722866</c:v>
                </c:pt>
                <c:pt idx="17">
                  <c:v>38.053405364902048</c:v>
                </c:pt>
                <c:pt idx="18">
                  <c:v>38.370037330873252</c:v>
                </c:pt>
                <c:pt idx="19">
                  <c:v>38.370037330873252</c:v>
                </c:pt>
                <c:pt idx="20">
                  <c:v>38.370037330873252</c:v>
                </c:pt>
                <c:pt idx="21">
                  <c:v>38.370037330873252</c:v>
                </c:pt>
                <c:pt idx="22">
                  <c:v>38.370037330873252</c:v>
                </c:pt>
                <c:pt idx="23">
                  <c:v>38.370037330873252</c:v>
                </c:pt>
                <c:pt idx="24">
                  <c:v>38.370037330873252</c:v>
                </c:pt>
                <c:pt idx="25">
                  <c:v>38.370037330873252</c:v>
                </c:pt>
                <c:pt idx="26">
                  <c:v>38.370037330873252</c:v>
                </c:pt>
                <c:pt idx="27">
                  <c:v>38.139759537439652</c:v>
                </c:pt>
                <c:pt idx="28">
                  <c:v>38.139759537439652</c:v>
                </c:pt>
                <c:pt idx="29">
                  <c:v>38.139759537439652</c:v>
                </c:pt>
              </c:numCache>
            </c:numRef>
          </c:yVal>
          <c:smooth val="1"/>
          <c:extLst>
            <c:ext xmlns:c16="http://schemas.microsoft.com/office/drawing/2014/chart" uri="{C3380CC4-5D6E-409C-BE32-E72D297353CC}">
              <c16:uniqueId val="{00000000-4C7C-4033-A10E-5901E722CB3E}"/>
            </c:ext>
          </c:extLst>
        </c:ser>
        <c:ser>
          <c:idx val="1"/>
          <c:order val="1"/>
          <c:tx>
            <c:strRef>
              <c:f>'WS_CD Residual '!$M$132</c:f>
              <c:strCache>
                <c:ptCount val="1"/>
                <c:pt idx="0">
                  <c:v>Residual Shear Stress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'!$K$146:$K$175</c:f>
              <c:numCache>
                <c:formatCode>0.00</c:formatCode>
                <c:ptCount val="30"/>
                <c:pt idx="0">
                  <c:v>0</c:v>
                </c:pt>
                <c:pt idx="1">
                  <c:v>2.8784724179199737</c:v>
                </c:pt>
                <c:pt idx="2">
                  <c:v>6.1887156985279441</c:v>
                </c:pt>
                <c:pt idx="3">
                  <c:v>7.9157991492799269</c:v>
                </c:pt>
                <c:pt idx="4">
                  <c:v>9.3550353582399133</c:v>
                </c:pt>
                <c:pt idx="5">
                  <c:v>11.082118808991899</c:v>
                </c:pt>
                <c:pt idx="6">
                  <c:v>12.953125880639883</c:v>
                </c:pt>
                <c:pt idx="7">
                  <c:v>14.392362089599869</c:v>
                </c:pt>
                <c:pt idx="8">
                  <c:v>15.831598298559854</c:v>
                </c:pt>
                <c:pt idx="9">
                  <c:v>17.270834507519844</c:v>
                </c:pt>
                <c:pt idx="10">
                  <c:v>18.710070716479827</c:v>
                </c:pt>
                <c:pt idx="11">
                  <c:v>20.149306925439816</c:v>
                </c:pt>
                <c:pt idx="12">
                  <c:v>21.588543134399803</c:v>
                </c:pt>
                <c:pt idx="13">
                  <c:v>23.027779343359789</c:v>
                </c:pt>
                <c:pt idx="14">
                  <c:v>24.467015552319776</c:v>
                </c:pt>
                <c:pt idx="15">
                  <c:v>25.186633656799767</c:v>
                </c:pt>
                <c:pt idx="16">
                  <c:v>25.474480898591768</c:v>
                </c:pt>
                <c:pt idx="17">
                  <c:v>25.762328140383772</c:v>
                </c:pt>
                <c:pt idx="18">
                  <c:v>26.050175382175762</c:v>
                </c:pt>
                <c:pt idx="19">
                  <c:v>26.194099003071759</c:v>
                </c:pt>
                <c:pt idx="20">
                  <c:v>26.338022623967756</c:v>
                </c:pt>
                <c:pt idx="21">
                  <c:v>26.409984434415758</c:v>
                </c:pt>
                <c:pt idx="22">
                  <c:v>26.48194624486376</c:v>
                </c:pt>
                <c:pt idx="23">
                  <c:v>26.510730969042957</c:v>
                </c:pt>
                <c:pt idx="24">
                  <c:v>26.53951569322216</c:v>
                </c:pt>
                <c:pt idx="25">
                  <c:v>26.568300417401364</c:v>
                </c:pt>
                <c:pt idx="26">
                  <c:v>26.59708514158056</c:v>
                </c:pt>
                <c:pt idx="27">
                  <c:v>26.611477503670159</c:v>
                </c:pt>
                <c:pt idx="28">
                  <c:v>26.625869865759757</c:v>
                </c:pt>
                <c:pt idx="29">
                  <c:v>26.625869865759757</c:v>
                </c:pt>
              </c:numCache>
            </c:numRef>
          </c:yVal>
          <c:smooth val="1"/>
          <c:extLst>
            <c:ext xmlns:c16="http://schemas.microsoft.com/office/drawing/2014/chart" uri="{C3380CC4-5D6E-409C-BE32-E72D297353CC}">
              <c16:uniqueId val="{00000001-4C7C-4033-A10E-5901E722CB3E}"/>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majorUnit val="15"/>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1">
                <a:latin typeface="Arial" panose="020B0604020202020204" pitchFamily="34" charset="0"/>
                <a:cs typeface="Arial" panose="020B0604020202020204" pitchFamily="34" charset="0"/>
              </a:rPr>
              <a:t>SPECIMEN 3</a:t>
            </a:r>
          </a:p>
        </c:rich>
      </c:tx>
      <c:layout>
        <c:manualLayout>
          <c:xMode val="edge"/>
          <c:yMode val="edge"/>
          <c:x val="0.41170731232510038"/>
          <c:y val="2.4407954943299552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tx>
            <c:strRef>
              <c:f>'WS_CD Residual '!$L$195</c:f>
              <c:strCache>
                <c:ptCount val="1"/>
                <c:pt idx="0">
                  <c:v>Peak Shear Stress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'!$D$209:$D$237</c:f>
              <c:numCache>
                <c:formatCode>0.00</c:formatCode>
                <c:ptCount val="29"/>
                <c:pt idx="0">
                  <c:v>0</c:v>
                </c:pt>
                <c:pt idx="1">
                  <c:v>12.377431397055888</c:v>
                </c:pt>
                <c:pt idx="2">
                  <c:v>22.308161238879794</c:v>
                </c:pt>
                <c:pt idx="3">
                  <c:v>30.511807629951726</c:v>
                </c:pt>
                <c:pt idx="4">
                  <c:v>37.420141432959653</c:v>
                </c:pt>
                <c:pt idx="5">
                  <c:v>42.025697301631617</c:v>
                </c:pt>
                <c:pt idx="6">
                  <c:v>46.487329549407576</c:v>
                </c:pt>
                <c:pt idx="7">
                  <c:v>49.653649209119543</c:v>
                </c:pt>
                <c:pt idx="8">
                  <c:v>51.09288541807954</c:v>
                </c:pt>
                <c:pt idx="9">
                  <c:v>52.532121627039523</c:v>
                </c:pt>
                <c:pt idx="10">
                  <c:v>53.251739731519514</c:v>
                </c:pt>
                <c:pt idx="11">
                  <c:v>53.971357835999513</c:v>
                </c:pt>
                <c:pt idx="12">
                  <c:v>54.690975940479504</c:v>
                </c:pt>
                <c:pt idx="13">
                  <c:v>55.410594044959495</c:v>
                </c:pt>
                <c:pt idx="14">
                  <c:v>55.698441286751496</c:v>
                </c:pt>
                <c:pt idx="15">
                  <c:v>55.986288528543504</c:v>
                </c:pt>
                <c:pt idx="16">
                  <c:v>56.274135770335491</c:v>
                </c:pt>
                <c:pt idx="17">
                  <c:v>56.418059391231488</c:v>
                </c:pt>
                <c:pt idx="18">
                  <c:v>56.561983012127492</c:v>
                </c:pt>
                <c:pt idx="19">
                  <c:v>56.705906633023481</c:v>
                </c:pt>
                <c:pt idx="20">
                  <c:v>56.849830253919478</c:v>
                </c:pt>
                <c:pt idx="21">
                  <c:v>56.849830253919478</c:v>
                </c:pt>
                <c:pt idx="22">
                  <c:v>56.849830253919478</c:v>
                </c:pt>
                <c:pt idx="23">
                  <c:v>56.849830253919478</c:v>
                </c:pt>
                <c:pt idx="24">
                  <c:v>56.849830253919478</c:v>
                </c:pt>
                <c:pt idx="25">
                  <c:v>56.849830253919478</c:v>
                </c:pt>
                <c:pt idx="26">
                  <c:v>56.849830253919478</c:v>
                </c:pt>
                <c:pt idx="27">
                  <c:v>56.849830253919478</c:v>
                </c:pt>
                <c:pt idx="28">
                  <c:v>56.849830253919478</c:v>
                </c:pt>
              </c:numCache>
            </c:numRef>
          </c:yVal>
          <c:smooth val="1"/>
          <c:extLst>
            <c:ext xmlns:c16="http://schemas.microsoft.com/office/drawing/2014/chart" uri="{C3380CC4-5D6E-409C-BE32-E72D297353CC}">
              <c16:uniqueId val="{00000000-9E23-4649-ACE6-E9A5D5594806}"/>
            </c:ext>
          </c:extLst>
        </c:ser>
        <c:ser>
          <c:idx val="1"/>
          <c:order val="1"/>
          <c:tx>
            <c:strRef>
              <c:f>'WS_CD Residual '!$L$196</c:f>
              <c:strCache>
                <c:ptCount val="1"/>
                <c:pt idx="0">
                  <c:v>Residual Shear Stress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'!$K$209:$K$237</c:f>
              <c:numCache>
                <c:formatCode>0.00</c:formatCode>
                <c:ptCount val="29"/>
                <c:pt idx="0">
                  <c:v>0</c:v>
                </c:pt>
                <c:pt idx="1">
                  <c:v>6.4765629403199414</c:v>
                </c:pt>
                <c:pt idx="2">
                  <c:v>12.377431397055888</c:v>
                </c:pt>
                <c:pt idx="3">
                  <c:v>17.558681749311841</c:v>
                </c:pt>
                <c:pt idx="4">
                  <c:v>22.452084859775795</c:v>
                </c:pt>
                <c:pt idx="5">
                  <c:v>26.338022623967756</c:v>
                </c:pt>
                <c:pt idx="6">
                  <c:v>29.64826590457573</c:v>
                </c:pt>
                <c:pt idx="7">
                  <c:v>32.094967459807712</c:v>
                </c:pt>
                <c:pt idx="8">
                  <c:v>34.829516256831681</c:v>
                </c:pt>
                <c:pt idx="9">
                  <c:v>38.139759537439652</c:v>
                </c:pt>
                <c:pt idx="10">
                  <c:v>39.578995746399634</c:v>
                </c:pt>
                <c:pt idx="11">
                  <c:v>41.018231955359617</c:v>
                </c:pt>
                <c:pt idx="12">
                  <c:v>42.457468164319614</c:v>
                </c:pt>
                <c:pt idx="13">
                  <c:v>43.177086268799606</c:v>
                </c:pt>
                <c:pt idx="14">
                  <c:v>43.896704373279597</c:v>
                </c:pt>
                <c:pt idx="15">
                  <c:v>44.184551615071591</c:v>
                </c:pt>
                <c:pt idx="16">
                  <c:v>44.472398856863585</c:v>
                </c:pt>
                <c:pt idx="17">
                  <c:v>44.760246098655593</c:v>
                </c:pt>
                <c:pt idx="18">
                  <c:v>44.904169719551589</c:v>
                </c:pt>
                <c:pt idx="19">
                  <c:v>45.048093340447586</c:v>
                </c:pt>
                <c:pt idx="20">
                  <c:v>45.048093340447586</c:v>
                </c:pt>
                <c:pt idx="21">
                  <c:v>45.048093340447586</c:v>
                </c:pt>
                <c:pt idx="22">
                  <c:v>45.048093340447586</c:v>
                </c:pt>
                <c:pt idx="23">
                  <c:v>45.048093340447586</c:v>
                </c:pt>
                <c:pt idx="24">
                  <c:v>45.048093340447586</c:v>
                </c:pt>
                <c:pt idx="25">
                  <c:v>45.048093340447586</c:v>
                </c:pt>
                <c:pt idx="26">
                  <c:v>45.048093340447586</c:v>
                </c:pt>
                <c:pt idx="27">
                  <c:v>45.048093340447586</c:v>
                </c:pt>
                <c:pt idx="28">
                  <c:v>45.048093340447586</c:v>
                </c:pt>
              </c:numCache>
            </c:numRef>
          </c:yVal>
          <c:smooth val="1"/>
          <c:extLst>
            <c:ext xmlns:c16="http://schemas.microsoft.com/office/drawing/2014/chart" uri="{C3380CC4-5D6E-409C-BE32-E72D297353CC}">
              <c16:uniqueId val="{00000001-9E23-4649-ACE6-E9A5D5594806}"/>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5396318112473557E-2"/>
              <c:y val="0.1752417515390419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scatterChart>
        <c:scatterStyle val="smoothMarker"/>
        <c:varyColors val="0"/>
        <c:ser>
          <c:idx val="0"/>
          <c:order val="0"/>
          <c:tx>
            <c:v>Test Data (Peak)</c:v>
          </c:tx>
          <c:spPr>
            <a:ln w="19050" cap="rnd">
              <a:noFill/>
              <a:round/>
            </a:ln>
            <a:effectLst/>
          </c:spPr>
          <c:marker>
            <c:symbol val="circle"/>
            <c:size val="5"/>
            <c:spPr>
              <a:solidFill>
                <a:schemeClr val="accent1"/>
              </a:solidFill>
              <a:ln w="9525">
                <a:solidFill>
                  <a:schemeClr val="accent1"/>
                </a:solidFill>
              </a:ln>
              <a:effectLst/>
            </c:spPr>
          </c:marker>
          <c:xVal>
            <c:numRef>
              <c:f>'WS_CD Residual '!$D$255:$F$255</c:f>
              <c:numCache>
                <c:formatCode>0.000</c:formatCode>
                <c:ptCount val="3"/>
                <c:pt idx="0">
                  <c:v>17.693806181122916</c:v>
                </c:pt>
                <c:pt idx="1">
                  <c:v>35.387612362245832</c:v>
                </c:pt>
                <c:pt idx="2">
                  <c:v>70.775224724491665</c:v>
                </c:pt>
              </c:numCache>
            </c:numRef>
          </c:xVal>
          <c:yVal>
            <c:numRef>
              <c:f>'WS_CD Residual '!$D$256:$F$256</c:f>
              <c:numCache>
                <c:formatCode>0.000</c:formatCode>
                <c:ptCount val="3"/>
                <c:pt idx="0">
                  <c:v>30.943578492639713</c:v>
                </c:pt>
                <c:pt idx="1">
                  <c:v>38.370037330873252</c:v>
                </c:pt>
                <c:pt idx="2">
                  <c:v>56.849830253919478</c:v>
                </c:pt>
              </c:numCache>
            </c:numRef>
          </c:yVal>
          <c:smooth val="1"/>
          <c:extLst>
            <c:ext xmlns:c16="http://schemas.microsoft.com/office/drawing/2014/chart" uri="{C3380CC4-5D6E-409C-BE32-E72D297353CC}">
              <c16:uniqueId val="{00000000-A879-4E97-AF48-1F779EB88FD4}"/>
            </c:ext>
          </c:extLst>
        </c:ser>
        <c:ser>
          <c:idx val="1"/>
          <c:order val="1"/>
          <c:tx>
            <c:v>Test Data (Residual)</c:v>
          </c:tx>
          <c:spPr>
            <a:ln w="19050" cap="rnd">
              <a:noFill/>
              <a:round/>
            </a:ln>
            <a:effectLst/>
          </c:spPr>
          <c:marker>
            <c:symbol val="circle"/>
            <c:size val="5"/>
            <c:spPr>
              <a:solidFill>
                <a:schemeClr val="accent2"/>
              </a:solidFill>
              <a:ln w="9525">
                <a:solidFill>
                  <a:schemeClr val="accent2"/>
                </a:solidFill>
              </a:ln>
              <a:effectLst/>
            </c:spPr>
          </c:marker>
          <c:xVal>
            <c:numRef>
              <c:f>'WS_CD Residual '!$D$258:$F$258</c:f>
              <c:numCache>
                <c:formatCode>0.000</c:formatCode>
                <c:ptCount val="3"/>
                <c:pt idx="0">
                  <c:v>17.693806181122916</c:v>
                </c:pt>
                <c:pt idx="1">
                  <c:v>35.387612362245832</c:v>
                </c:pt>
                <c:pt idx="2">
                  <c:v>#N/A</c:v>
                </c:pt>
              </c:numCache>
            </c:numRef>
          </c:xVal>
          <c:yVal>
            <c:numRef>
              <c:f>'WS_CD Residual '!$D$259:$F$259</c:f>
              <c:numCache>
                <c:formatCode>0.00</c:formatCode>
                <c:ptCount val="3"/>
                <c:pt idx="0">
                  <c:v>17.414758128415841</c:v>
                </c:pt>
                <c:pt idx="1">
                  <c:v>26.625869865759757</c:v>
                </c:pt>
                <c:pt idx="2">
                  <c:v>45.048093340447586</c:v>
                </c:pt>
              </c:numCache>
            </c:numRef>
          </c:yVal>
          <c:smooth val="1"/>
          <c:extLst>
            <c:ext xmlns:c16="http://schemas.microsoft.com/office/drawing/2014/chart" uri="{C3380CC4-5D6E-409C-BE32-E72D297353CC}">
              <c16:uniqueId val="{00000001-A879-4E97-AF48-1F779EB88FD4}"/>
            </c:ext>
          </c:extLst>
        </c:ser>
        <c:ser>
          <c:idx val="2"/>
          <c:order val="2"/>
          <c:tx>
            <c:v>Peak Envelope</c:v>
          </c:tx>
          <c:spPr>
            <a:ln w="12700" cap="rnd">
              <a:solidFill>
                <a:schemeClr val="tx1"/>
              </a:solidFill>
              <a:round/>
            </a:ln>
            <a:effectLst/>
          </c:spPr>
          <c:marker>
            <c:symbol val="none"/>
          </c:marker>
          <c:xVal>
            <c:numRef>
              <c:f>'WS_CD Residual '!$I$271:$I$272</c:f>
              <c:numCache>
                <c:formatCode>General</c:formatCode>
                <c:ptCount val="2"/>
                <c:pt idx="0">
                  <c:v>0</c:v>
                </c:pt>
                <c:pt idx="1">
                  <c:v>100</c:v>
                </c:pt>
              </c:numCache>
            </c:numRef>
          </c:xVal>
          <c:yVal>
            <c:numRef>
              <c:f>'WS_CD Residual '!$J$271:$J$272</c:f>
              <c:numCache>
                <c:formatCode>0.00</c:formatCode>
                <c:ptCount val="2"/>
                <c:pt idx="0">
                  <c:v>21.703682031116593</c:v>
                </c:pt>
                <c:pt idx="1">
                  <c:v>70.996476001034523</c:v>
                </c:pt>
              </c:numCache>
            </c:numRef>
          </c:yVal>
          <c:smooth val="1"/>
          <c:extLst>
            <c:ext xmlns:c16="http://schemas.microsoft.com/office/drawing/2014/chart" uri="{C3380CC4-5D6E-409C-BE32-E72D297353CC}">
              <c16:uniqueId val="{00000002-A879-4E97-AF48-1F779EB88FD4}"/>
            </c:ext>
          </c:extLst>
        </c:ser>
        <c:ser>
          <c:idx val="3"/>
          <c:order val="3"/>
          <c:tx>
            <c:v>Residual Envelope</c:v>
          </c:tx>
          <c:spPr>
            <a:ln w="12700" cap="rnd">
              <a:solidFill>
                <a:srgbClr val="FF0000"/>
              </a:solidFill>
              <a:round/>
            </a:ln>
            <a:effectLst/>
          </c:spPr>
          <c:marker>
            <c:symbol val="none"/>
          </c:marker>
          <c:xVal>
            <c:numRef>
              <c:f>'WS_CD Residual '!$L$271:$L$272</c:f>
              <c:numCache>
                <c:formatCode>General</c:formatCode>
                <c:ptCount val="2"/>
                <c:pt idx="0">
                  <c:v>0</c:v>
                </c:pt>
                <c:pt idx="1">
                  <c:v>100</c:v>
                </c:pt>
              </c:numCache>
            </c:numRef>
          </c:xVal>
          <c:yVal>
            <c:numRef>
              <c:f>'WS_CD Residual '!$M$271:$M$272</c:f>
              <c:numCache>
                <c:formatCode>0.00</c:formatCode>
                <c:ptCount val="2"/>
                <c:pt idx="0">
                  <c:v>#N/A</c:v>
                </c:pt>
                <c:pt idx="1">
                  <c:v>#N/A</c:v>
                </c:pt>
              </c:numCache>
            </c:numRef>
          </c:yVal>
          <c:smooth val="1"/>
          <c:extLst>
            <c:ext xmlns:c16="http://schemas.microsoft.com/office/drawing/2014/chart" uri="{C3380CC4-5D6E-409C-BE32-E72D297353CC}">
              <c16:uniqueId val="{00000003-A879-4E97-AF48-1F779EB88FD4}"/>
            </c:ext>
          </c:extLst>
        </c:ser>
        <c:dLbls>
          <c:showLegendKey val="0"/>
          <c:showVal val="0"/>
          <c:showCatName val="0"/>
          <c:showSerName val="0"/>
          <c:showPercent val="0"/>
          <c:showBubbleSize val="0"/>
        </c:dLbls>
        <c:axId val="1196216160"/>
        <c:axId val="1195478784"/>
      </c:scatterChart>
      <c:valAx>
        <c:axId val="1196216160"/>
        <c:scaling>
          <c:orientation val="minMax"/>
          <c:max val="100"/>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(kPa)</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5478784"/>
        <c:crosses val="autoZero"/>
        <c:crossBetween val="midCat"/>
      </c:valAx>
      <c:valAx>
        <c:axId val="11954787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6216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'WS_CD Residual '!$U$48</c:f>
              <c:strCache>
                <c:ptCount val="1"/>
                <c:pt idx="0">
                  <c:v>σn​ = 17.7 kPa</c:v>
                </c:pt>
              </c:strCache>
            </c:strRef>
          </c:tx>
          <c:spPr>
            <a:ln w="12700" cap="rnd">
              <a:solidFill>
                <a:schemeClr val="accent1"/>
              </a:solidFill>
              <a:round/>
            </a:ln>
            <a:effectLst/>
          </c:spPr>
          <c:marker>
            <c:symbol val="none"/>
          </c:marker>
          <c:xVal>
            <c:numRef>
              <c:f>'WS_CD Residual '!$B$49:$B$63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'!$D$49:$D$63</c:f>
              <c:numCache>
                <c:formatCode>0.000</c:formatCode>
                <c:ptCount val="15"/>
                <c:pt idx="0">
                  <c:v>0</c:v>
                </c:pt>
                <c:pt idx="1">
                  <c:v>-0.13099999999999909</c:v>
                </c:pt>
                <c:pt idx="2">
                  <c:v>-0.27299999999999952</c:v>
                </c:pt>
                <c:pt idx="3">
                  <c:v>-0.30399999999999977</c:v>
                </c:pt>
                <c:pt idx="4">
                  <c:v>-0.30799999999999955</c:v>
                </c:pt>
                <c:pt idx="5">
                  <c:v>-0.31299999999999956</c:v>
                </c:pt>
                <c:pt idx="6">
                  <c:v>-0.31399999999999978</c:v>
                </c:pt>
                <c:pt idx="7">
                  <c:v>-0.31799999999999956</c:v>
                </c:pt>
                <c:pt idx="8">
                  <c:v>-0.32299999999999957</c:v>
                </c:pt>
                <c:pt idx="9">
                  <c:v>-0.32699999999999929</c:v>
                </c:pt>
                <c:pt idx="10">
                  <c:v>-0.33500000000000002</c:v>
                </c:pt>
                <c:pt idx="11">
                  <c:v>-0.33799999999999952</c:v>
                </c:pt>
                <c:pt idx="12">
                  <c:v>-0.34299999999999953</c:v>
                </c:pt>
                <c:pt idx="13">
                  <c:v>-0.34499999999999997</c:v>
                </c:pt>
                <c:pt idx="14">
                  <c:v>-0.34699999999999931</c:v>
                </c:pt>
              </c:numCache>
            </c:numRef>
          </c:yVal>
          <c:smooth val="1"/>
          <c:extLst>
            <c:ext xmlns:c16="http://schemas.microsoft.com/office/drawing/2014/chart" uri="{C3380CC4-5D6E-409C-BE32-E72D297353CC}">
              <c16:uniqueId val="{00000000-6A43-4361-888C-32ECE05A47FC}"/>
            </c:ext>
          </c:extLst>
        </c:ser>
        <c:ser>
          <c:idx val="1"/>
          <c:order val="1"/>
          <c:tx>
            <c:strRef>
              <c:f>'WS_CD Residual '!$U$49</c:f>
              <c:strCache>
                <c:ptCount val="1"/>
                <c:pt idx="0">
                  <c:v>σn​ = 35.4 kPa</c:v>
                </c:pt>
              </c:strCache>
            </c:strRef>
          </c:tx>
          <c:spPr>
            <a:ln w="12700" cap="rnd">
              <a:solidFill>
                <a:schemeClr val="accent2"/>
              </a:solidFill>
              <a:round/>
            </a:ln>
            <a:effectLst/>
          </c:spPr>
          <c:marker>
            <c:symbol val="none"/>
          </c:marker>
          <c:xVal>
            <c:numRef>
              <c:f>'WS_CD Residual '!$F$49:$F$63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'!$H$49:$H$63</c:f>
              <c:numCache>
                <c:formatCode>0.000</c:formatCode>
                <c:ptCount val="15"/>
                <c:pt idx="0">
                  <c:v>0</c:v>
                </c:pt>
                <c:pt idx="1">
                  <c:v>-0.22899999999999976</c:v>
                </c:pt>
                <c:pt idx="2">
                  <c:v>-0.5479999999999996</c:v>
                </c:pt>
                <c:pt idx="3">
                  <c:v>-0.57299999999999951</c:v>
                </c:pt>
                <c:pt idx="4">
                  <c:v>-0.57799999999999951</c:v>
                </c:pt>
                <c:pt idx="5">
                  <c:v>-0.58099999999999907</c:v>
                </c:pt>
                <c:pt idx="6">
                  <c:v>-0.58299999999999952</c:v>
                </c:pt>
                <c:pt idx="7">
                  <c:v>-0.58599999999999908</c:v>
                </c:pt>
                <c:pt idx="8">
                  <c:v>-0.59099999999999908</c:v>
                </c:pt>
                <c:pt idx="9">
                  <c:v>-0.59599999999999909</c:v>
                </c:pt>
                <c:pt idx="10">
                  <c:v>-0.60699999999999932</c:v>
                </c:pt>
                <c:pt idx="11">
                  <c:v>-0.61299999999999955</c:v>
                </c:pt>
                <c:pt idx="12">
                  <c:v>-0.61799999999999955</c:v>
                </c:pt>
                <c:pt idx="13">
                  <c:v>-0.62</c:v>
                </c:pt>
                <c:pt idx="14">
                  <c:v>-0.62199999999999933</c:v>
                </c:pt>
              </c:numCache>
            </c:numRef>
          </c:yVal>
          <c:smooth val="1"/>
          <c:extLst>
            <c:ext xmlns:c16="http://schemas.microsoft.com/office/drawing/2014/chart" uri="{C3380CC4-5D6E-409C-BE32-E72D297353CC}">
              <c16:uniqueId val="{00000001-6A43-4361-888C-32ECE05A47FC}"/>
            </c:ext>
          </c:extLst>
        </c:ser>
        <c:ser>
          <c:idx val="2"/>
          <c:order val="2"/>
          <c:tx>
            <c:strRef>
              <c:f>'WS_CD Residual '!$U$50</c:f>
              <c:strCache>
                <c:ptCount val="1"/>
                <c:pt idx="0">
                  <c:v>σn​ = 70.8 kPa</c:v>
                </c:pt>
              </c:strCache>
            </c:strRef>
          </c:tx>
          <c:spPr>
            <a:ln w="19050" cap="rnd">
              <a:solidFill>
                <a:schemeClr val="accent3"/>
              </a:solidFill>
              <a:round/>
            </a:ln>
            <a:effectLst/>
          </c:spPr>
          <c:marker>
            <c:symbol val="none"/>
          </c:marker>
          <c:xVal>
            <c:numRef>
              <c:f>'WS_CD Residual '!$J$49:$J$63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'!$L$49:$L$63</c:f>
              <c:numCache>
                <c:formatCode>0.000</c:formatCode>
                <c:ptCount val="15"/>
                <c:pt idx="0">
                  <c:v>0</c:v>
                </c:pt>
                <c:pt idx="1">
                  <c:v>-0.57999999999999996</c:v>
                </c:pt>
                <c:pt idx="2">
                  <c:v>-0.63</c:v>
                </c:pt>
                <c:pt idx="3">
                  <c:v>-0.68</c:v>
                </c:pt>
                <c:pt idx="4">
                  <c:v>-0.71499999999999997</c:v>
                </c:pt>
                <c:pt idx="5">
                  <c:v>-0.73899999999999977</c:v>
                </c:pt>
                <c:pt idx="6">
                  <c:v>-0.75100000000000022</c:v>
                </c:pt>
                <c:pt idx="7">
                  <c:v>-0.77500000000000002</c:v>
                </c:pt>
                <c:pt idx="8">
                  <c:v>-0.7979999999999996</c:v>
                </c:pt>
                <c:pt idx="9">
                  <c:v>-0.82</c:v>
                </c:pt>
                <c:pt idx="10">
                  <c:v>-0.8270000000000004</c:v>
                </c:pt>
                <c:pt idx="11">
                  <c:v>-0.83399999999999974</c:v>
                </c:pt>
                <c:pt idx="12">
                  <c:v>-0.84</c:v>
                </c:pt>
                <c:pt idx="13">
                  <c:v>-0.84700000000000042</c:v>
                </c:pt>
                <c:pt idx="14">
                  <c:v>-0.85</c:v>
                </c:pt>
              </c:numCache>
            </c:numRef>
          </c:yVal>
          <c:smooth val="1"/>
          <c:extLst>
            <c:ext xmlns:c16="http://schemas.microsoft.com/office/drawing/2014/chart" uri="{C3380CC4-5D6E-409C-BE32-E72D297353CC}">
              <c16:uniqueId val="{00000002-6A43-4361-888C-32ECE05A47FC}"/>
            </c:ext>
          </c:extLst>
        </c:ser>
        <c:dLbls>
          <c:showLegendKey val="0"/>
          <c:showVal val="0"/>
          <c:showCatName val="0"/>
          <c:showSerName val="0"/>
          <c:showPercent val="0"/>
          <c:showBubbleSize val="0"/>
        </c:dLbls>
        <c:axId val="1391538032"/>
        <c:axId val="1408079216"/>
      </c:scatterChart>
      <c:valAx>
        <c:axId val="1391538032"/>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√Time (min½)</a:t>
                </a:r>
              </a:p>
            </c:rich>
          </c:tx>
          <c:layout>
            <c:manualLayout>
              <c:xMode val="edge"/>
              <c:yMode val="edge"/>
              <c:x val="0.52139060333835774"/>
              <c:y val="0.7980786567058879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8079216"/>
        <c:crossesAt val="-1"/>
        <c:crossBetween val="midCat"/>
      </c:valAx>
      <c:valAx>
        <c:axId val="1408079216"/>
        <c:scaling>
          <c:orientation val="minMax"/>
          <c:min val="-1"/>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Cumulative Vertical</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 Displacement  (mm)</a:t>
                </a:r>
              </a:p>
            </c:rich>
          </c:tx>
          <c:layout>
            <c:manualLayout>
              <c:xMode val="edge"/>
              <c:yMode val="edge"/>
              <c:x val="1.677535700056617E-2"/>
              <c:y val="0.1083012505191141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91538032"/>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'!$M$70</c:f>
              <c:strCache>
                <c:ptCount val="1"/>
                <c:pt idx="0">
                  <c:v>Peak Displacement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'!$F$85:$F$114</c:f>
              <c:numCache>
                <c:formatCode>0.000</c:formatCode>
                <c:ptCount val="30"/>
                <c:pt idx="0">
                  <c:v>0</c:v>
                </c:pt>
                <c:pt idx="1">
                  <c:v>-0.03</c:v>
                </c:pt>
                <c:pt idx="2">
                  <c:v>-0.05</c:v>
                </c:pt>
                <c:pt idx="3">
                  <c:v>-6.5000000000000002E-2</c:v>
                </c:pt>
                <c:pt idx="4">
                  <c:v>-7.0000000000000007E-2</c:v>
                </c:pt>
                <c:pt idx="5">
                  <c:v>-7.4999999999999997E-2</c:v>
                </c:pt>
                <c:pt idx="6">
                  <c:v>-0.08</c:v>
                </c:pt>
                <c:pt idx="7">
                  <c:v>-8.5000000000000006E-2</c:v>
                </c:pt>
                <c:pt idx="8">
                  <c:v>-0.09</c:v>
                </c:pt>
                <c:pt idx="9">
                  <c:v>-9.2000000000000456E-2</c:v>
                </c:pt>
                <c:pt idx="10">
                  <c:v>-9.3999999999999778E-2</c:v>
                </c:pt>
                <c:pt idx="11">
                  <c:v>-9.6000000000000224E-2</c:v>
                </c:pt>
                <c:pt idx="12">
                  <c:v>-9.7999999999999546E-2</c:v>
                </c:pt>
                <c:pt idx="13">
                  <c:v>-0.1</c:v>
                </c:pt>
                <c:pt idx="14">
                  <c:v>-0.10200000000000045</c:v>
                </c:pt>
                <c:pt idx="15">
                  <c:v>-0.10399999999999977</c:v>
                </c:pt>
                <c:pt idx="16">
                  <c:v>-0.105</c:v>
                </c:pt>
                <c:pt idx="17">
                  <c:v>-0.10799999999999954</c:v>
                </c:pt>
                <c:pt idx="18">
                  <c:v>-0.10799999999999954</c:v>
                </c:pt>
                <c:pt idx="19">
                  <c:v>-0.10799999999999954</c:v>
                </c:pt>
                <c:pt idx="20">
                  <c:v>-0.10799999999999954</c:v>
                </c:pt>
                <c:pt idx="21">
                  <c:v>-0.10799999999999954</c:v>
                </c:pt>
                <c:pt idx="22">
                  <c:v>-0.10799999999999954</c:v>
                </c:pt>
                <c:pt idx="23">
                  <c:v>-0.10799999999999954</c:v>
                </c:pt>
                <c:pt idx="24">
                  <c:v>-0.10799999999999954</c:v>
                </c:pt>
                <c:pt idx="25">
                  <c:v>-0.10799999999999954</c:v>
                </c:pt>
                <c:pt idx="26">
                  <c:v>-0.10799999999999954</c:v>
                </c:pt>
                <c:pt idx="27">
                  <c:v>-0.10799999999999954</c:v>
                </c:pt>
                <c:pt idx="28">
                  <c:v>-0.10799999999999954</c:v>
                </c:pt>
                <c:pt idx="29">
                  <c:v>-0.10799999999999954</c:v>
                </c:pt>
              </c:numCache>
            </c:numRef>
          </c:yVal>
          <c:smooth val="1"/>
          <c:extLst>
            <c:ext xmlns:c16="http://schemas.microsoft.com/office/drawing/2014/chart" uri="{C3380CC4-5D6E-409C-BE32-E72D297353CC}">
              <c16:uniqueId val="{00000000-3D2B-43E5-9412-7861AEAA95F6}"/>
            </c:ext>
          </c:extLst>
        </c:ser>
        <c:ser>
          <c:idx val="1"/>
          <c:order val="1"/>
          <c:tx>
            <c:strRef>
              <c:f>'WS_CD Residual '!$M$71</c:f>
              <c:strCache>
                <c:ptCount val="1"/>
                <c:pt idx="0">
                  <c:v>Residual Displacement @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'!$M$85:$M$114</c:f>
              <c:numCache>
                <c:formatCode>0.000</c:formatCode>
                <c:ptCount val="30"/>
                <c:pt idx="0">
                  <c:v>0</c:v>
                </c:pt>
                <c:pt idx="1">
                  <c:v>-1.3999999999999773E-2</c:v>
                </c:pt>
                <c:pt idx="2">
                  <c:v>-0.02</c:v>
                </c:pt>
                <c:pt idx="3">
                  <c:v>-2.5000000000000001E-2</c:v>
                </c:pt>
                <c:pt idx="4">
                  <c:v>-0.03</c:v>
                </c:pt>
                <c:pt idx="5">
                  <c:v>-3.5000000000000003E-2</c:v>
                </c:pt>
                <c:pt idx="6">
                  <c:v>-0.04</c:v>
                </c:pt>
                <c:pt idx="7">
                  <c:v>-4.4999999999999998E-2</c:v>
                </c:pt>
                <c:pt idx="8">
                  <c:v>-0.05</c:v>
                </c:pt>
                <c:pt idx="9">
                  <c:v>-5.5E-2</c:v>
                </c:pt>
                <c:pt idx="10">
                  <c:v>-0.06</c:v>
                </c:pt>
                <c:pt idx="11">
                  <c:v>-6.5000000000000002E-2</c:v>
                </c:pt>
                <c:pt idx="12">
                  <c:v>-7.100000000000023E-2</c:v>
                </c:pt>
                <c:pt idx="13">
                  <c:v>-7.3999999999999774E-2</c:v>
                </c:pt>
                <c:pt idx="14">
                  <c:v>-7.6000000000000234E-2</c:v>
                </c:pt>
                <c:pt idx="15">
                  <c:v>-7.7999999999999542E-2</c:v>
                </c:pt>
                <c:pt idx="16">
                  <c:v>-0.08</c:v>
                </c:pt>
                <c:pt idx="17">
                  <c:v>-8.1000000000000225E-2</c:v>
                </c:pt>
                <c:pt idx="18">
                  <c:v>-8.2000000000000461E-2</c:v>
                </c:pt>
                <c:pt idx="19">
                  <c:v>-8.2999999999999546E-2</c:v>
                </c:pt>
                <c:pt idx="20">
                  <c:v>-8.3999999999999769E-2</c:v>
                </c:pt>
                <c:pt idx="21">
                  <c:v>-8.5000000000000006E-2</c:v>
                </c:pt>
                <c:pt idx="22">
                  <c:v>-8.7000000000000452E-2</c:v>
                </c:pt>
                <c:pt idx="23">
                  <c:v>-8.7000000000000452E-2</c:v>
                </c:pt>
                <c:pt idx="24">
                  <c:v>-8.7000000000000452E-2</c:v>
                </c:pt>
                <c:pt idx="25">
                  <c:v>-8.7000000000000452E-2</c:v>
                </c:pt>
                <c:pt idx="26">
                  <c:v>-8.7000000000000452E-2</c:v>
                </c:pt>
                <c:pt idx="27">
                  <c:v>-8.7000000000000452E-2</c:v>
                </c:pt>
                <c:pt idx="28">
                  <c:v>-8.7000000000000452E-2</c:v>
                </c:pt>
                <c:pt idx="29">
                  <c:v>-8.7000000000000452E-2</c:v>
                </c:pt>
              </c:numCache>
            </c:numRef>
          </c:yVal>
          <c:smooth val="1"/>
          <c:extLst>
            <c:ext xmlns:c16="http://schemas.microsoft.com/office/drawing/2014/chart" uri="{C3380CC4-5D6E-409C-BE32-E72D297353CC}">
              <c16:uniqueId val="{00000001-3D2B-43E5-9412-7861AEAA95F6}"/>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15"/>
        <c:crossBetween val="midCat"/>
        <c:majorUnit val="2"/>
      </c:valAx>
      <c:valAx>
        <c:axId val="1416739584"/>
        <c:scaling>
          <c:orientation val="minMax"/>
          <c:min val="-0.15000000000000002"/>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Displacement (mm)</a:t>
                </a:r>
              </a:p>
            </c:rich>
          </c:tx>
          <c:layout>
            <c:manualLayout>
              <c:xMode val="edge"/>
              <c:yMode val="edge"/>
              <c:x val="2.3994201465297089E-2"/>
              <c:y val="0.1712428713908064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'!$P$137</c:f>
              <c:strCache>
                <c:ptCount val="1"/>
                <c:pt idx="0">
                  <c:v>Peak Displacement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'!$F$146:$F$175</c:f>
              <c:numCache>
                <c:formatCode>0.000</c:formatCode>
                <c:ptCount val="30"/>
                <c:pt idx="0">
                  <c:v>0</c:v>
                </c:pt>
                <c:pt idx="1">
                  <c:v>-0.04</c:v>
                </c:pt>
                <c:pt idx="2">
                  <c:v>-0.06</c:v>
                </c:pt>
                <c:pt idx="3">
                  <c:v>-0.08</c:v>
                </c:pt>
                <c:pt idx="4">
                  <c:v>-0.1</c:v>
                </c:pt>
                <c:pt idx="5">
                  <c:v>-0.11</c:v>
                </c:pt>
                <c:pt idx="6">
                  <c:v>-0.12</c:v>
                </c:pt>
                <c:pt idx="7">
                  <c:v>-0.13</c:v>
                </c:pt>
                <c:pt idx="8">
                  <c:v>-0.14000000000000001</c:v>
                </c:pt>
                <c:pt idx="9">
                  <c:v>-0.15</c:v>
                </c:pt>
                <c:pt idx="10">
                  <c:v>-0.16</c:v>
                </c:pt>
                <c:pt idx="11">
                  <c:v>-0.17</c:v>
                </c:pt>
                <c:pt idx="12">
                  <c:v>-0.17499999999999999</c:v>
                </c:pt>
                <c:pt idx="13">
                  <c:v>-0.18</c:v>
                </c:pt>
                <c:pt idx="14">
                  <c:v>-0.18200000000000047</c:v>
                </c:pt>
                <c:pt idx="15">
                  <c:v>-0.18399999999999977</c:v>
                </c:pt>
                <c:pt idx="16">
                  <c:v>-0.18600000000000022</c:v>
                </c:pt>
                <c:pt idx="17">
                  <c:v>-0.18799999999999956</c:v>
                </c:pt>
                <c:pt idx="18">
                  <c:v>-0.18899999999999978</c:v>
                </c:pt>
                <c:pt idx="19">
                  <c:v>-0.19</c:v>
                </c:pt>
                <c:pt idx="20">
                  <c:v>-0.19</c:v>
                </c:pt>
                <c:pt idx="21">
                  <c:v>-0.19</c:v>
                </c:pt>
                <c:pt idx="22">
                  <c:v>-0.19</c:v>
                </c:pt>
                <c:pt idx="23">
                  <c:v>-0.19</c:v>
                </c:pt>
                <c:pt idx="24">
                  <c:v>-0.19</c:v>
                </c:pt>
                <c:pt idx="25">
                  <c:v>-0.19</c:v>
                </c:pt>
                <c:pt idx="26">
                  <c:v>-0.19</c:v>
                </c:pt>
                <c:pt idx="27">
                  <c:v>-0.19</c:v>
                </c:pt>
                <c:pt idx="28">
                  <c:v>-0.19</c:v>
                </c:pt>
                <c:pt idx="29">
                  <c:v>-0.19</c:v>
                </c:pt>
              </c:numCache>
            </c:numRef>
          </c:yVal>
          <c:smooth val="1"/>
          <c:extLst>
            <c:ext xmlns:c16="http://schemas.microsoft.com/office/drawing/2014/chart" uri="{C3380CC4-5D6E-409C-BE32-E72D297353CC}">
              <c16:uniqueId val="{00000000-31A4-4CD4-BDA7-599FF17B3C19}"/>
            </c:ext>
          </c:extLst>
        </c:ser>
        <c:ser>
          <c:idx val="1"/>
          <c:order val="1"/>
          <c:tx>
            <c:strRef>
              <c:f>'WS_CD Residual '!$P$138</c:f>
              <c:strCache>
                <c:ptCount val="1"/>
                <c:pt idx="0">
                  <c:v>Residual Displacement @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'!$M$146:$M$175</c:f>
              <c:numCache>
                <c:formatCode>0.000</c:formatCode>
                <c:ptCount val="30"/>
                <c:pt idx="0">
                  <c:v>0</c:v>
                </c:pt>
                <c:pt idx="1">
                  <c:v>-0.01</c:v>
                </c:pt>
                <c:pt idx="2">
                  <c:v>-0.02</c:v>
                </c:pt>
                <c:pt idx="3">
                  <c:v>-0.03</c:v>
                </c:pt>
                <c:pt idx="4">
                  <c:v>-0.04</c:v>
                </c:pt>
                <c:pt idx="5">
                  <c:v>-0.05</c:v>
                </c:pt>
                <c:pt idx="6">
                  <c:v>-0.06</c:v>
                </c:pt>
                <c:pt idx="7">
                  <c:v>-7.0000000000000007E-2</c:v>
                </c:pt>
                <c:pt idx="8">
                  <c:v>-0.08</c:v>
                </c:pt>
                <c:pt idx="9">
                  <c:v>-0.09</c:v>
                </c:pt>
                <c:pt idx="10">
                  <c:v>-9.2000000000000456E-2</c:v>
                </c:pt>
                <c:pt idx="11">
                  <c:v>-9.3999999999999778E-2</c:v>
                </c:pt>
                <c:pt idx="12">
                  <c:v>-9.6000000000000224E-2</c:v>
                </c:pt>
                <c:pt idx="13">
                  <c:v>-9.7999999999999546E-2</c:v>
                </c:pt>
                <c:pt idx="14">
                  <c:v>-0.1</c:v>
                </c:pt>
                <c:pt idx="15">
                  <c:v>-0.10200000000000045</c:v>
                </c:pt>
                <c:pt idx="16">
                  <c:v>-0.10399999999999977</c:v>
                </c:pt>
                <c:pt idx="17">
                  <c:v>-0.10600000000000023</c:v>
                </c:pt>
                <c:pt idx="18">
                  <c:v>-0.10799999999999954</c:v>
                </c:pt>
                <c:pt idx="19">
                  <c:v>-0.11</c:v>
                </c:pt>
                <c:pt idx="20">
                  <c:v>-0.11200000000000046</c:v>
                </c:pt>
                <c:pt idx="21">
                  <c:v>-0.11399999999999977</c:v>
                </c:pt>
                <c:pt idx="22">
                  <c:v>-0.11399999999999977</c:v>
                </c:pt>
                <c:pt idx="23">
                  <c:v>-0.11600000000000023</c:v>
                </c:pt>
                <c:pt idx="24">
                  <c:v>-0.11700000000000045</c:v>
                </c:pt>
                <c:pt idx="25">
                  <c:v>-0.11799999999999955</c:v>
                </c:pt>
                <c:pt idx="26">
                  <c:v>-0.11899999999999977</c:v>
                </c:pt>
                <c:pt idx="27">
                  <c:v>-0.12</c:v>
                </c:pt>
                <c:pt idx="28">
                  <c:v>-0.12</c:v>
                </c:pt>
                <c:pt idx="29">
                  <c:v>-0.12</c:v>
                </c:pt>
              </c:numCache>
            </c:numRef>
          </c:yVal>
          <c:smooth val="1"/>
          <c:extLst>
            <c:ext xmlns:c16="http://schemas.microsoft.com/office/drawing/2014/chart" uri="{C3380CC4-5D6E-409C-BE32-E72D297353CC}">
              <c16:uniqueId val="{00000001-31A4-4CD4-BDA7-599FF17B3C19}"/>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3"/>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Dispalcement (mm)</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At val="0"/>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'!$P$200</c:f>
              <c:strCache>
                <c:ptCount val="1"/>
                <c:pt idx="0">
                  <c:v>Peak Displacement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'!$F$209:$F$237</c:f>
              <c:numCache>
                <c:formatCode>0.000</c:formatCode>
                <c:ptCount val="29"/>
                <c:pt idx="0">
                  <c:v>0</c:v>
                </c:pt>
                <c:pt idx="1">
                  <c:v>-8.1999999999999323E-2</c:v>
                </c:pt>
                <c:pt idx="2">
                  <c:v>-0.13299999999999954</c:v>
                </c:pt>
                <c:pt idx="3">
                  <c:v>-0.18299999999999955</c:v>
                </c:pt>
                <c:pt idx="4">
                  <c:v>-0.23299999999999954</c:v>
                </c:pt>
                <c:pt idx="5">
                  <c:v>-0.25299999999999956</c:v>
                </c:pt>
                <c:pt idx="6">
                  <c:v>-0.27299999999999952</c:v>
                </c:pt>
                <c:pt idx="7">
                  <c:v>-0.29299999999999954</c:v>
                </c:pt>
                <c:pt idx="8">
                  <c:v>-0.31299999999999956</c:v>
                </c:pt>
                <c:pt idx="9">
                  <c:v>-0.33299999999999952</c:v>
                </c:pt>
                <c:pt idx="10">
                  <c:v>-0.34299999999999953</c:v>
                </c:pt>
                <c:pt idx="11">
                  <c:v>-0.35299999999999954</c:v>
                </c:pt>
                <c:pt idx="12">
                  <c:v>-0.36299999999999955</c:v>
                </c:pt>
                <c:pt idx="13">
                  <c:v>-0.37299999999999955</c:v>
                </c:pt>
                <c:pt idx="14">
                  <c:v>-0.38299999999999956</c:v>
                </c:pt>
                <c:pt idx="15">
                  <c:v>-0.39299999999999957</c:v>
                </c:pt>
                <c:pt idx="16">
                  <c:v>-0.40299999999999953</c:v>
                </c:pt>
                <c:pt idx="17">
                  <c:v>-0.41299999999999953</c:v>
                </c:pt>
                <c:pt idx="18">
                  <c:v>-0.42299999999999954</c:v>
                </c:pt>
                <c:pt idx="19">
                  <c:v>-0.43299999999999955</c:v>
                </c:pt>
                <c:pt idx="20">
                  <c:v>-0.435</c:v>
                </c:pt>
                <c:pt idx="21">
                  <c:v>-0.43699999999999933</c:v>
                </c:pt>
                <c:pt idx="22">
                  <c:v>-0.43899999999999978</c:v>
                </c:pt>
                <c:pt idx="23">
                  <c:v>-0.44099999999999911</c:v>
                </c:pt>
                <c:pt idx="24">
                  <c:v>-0.44299999999999956</c:v>
                </c:pt>
                <c:pt idx="25">
                  <c:v>-0.44299999999999956</c:v>
                </c:pt>
                <c:pt idx="26">
                  <c:v>-0.44299999999999956</c:v>
                </c:pt>
                <c:pt idx="27">
                  <c:v>-0.44299999999999956</c:v>
                </c:pt>
                <c:pt idx="28">
                  <c:v>-0.44299999999999956</c:v>
                </c:pt>
              </c:numCache>
            </c:numRef>
          </c:yVal>
          <c:smooth val="1"/>
          <c:extLst>
            <c:ext xmlns:c16="http://schemas.microsoft.com/office/drawing/2014/chart" uri="{C3380CC4-5D6E-409C-BE32-E72D297353CC}">
              <c16:uniqueId val="{00000000-9F74-486A-BAA8-A5B62A1A4B8C}"/>
            </c:ext>
          </c:extLst>
        </c:ser>
        <c:ser>
          <c:idx val="1"/>
          <c:order val="1"/>
          <c:tx>
            <c:strRef>
              <c:f>'WS_CD Residual '!$P$201</c:f>
              <c:strCache>
                <c:ptCount val="1"/>
                <c:pt idx="0">
                  <c:v>Residual Displacement @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'!$M$209:$M$237</c:f>
              <c:numCache>
                <c:formatCode>0.000</c:formatCode>
                <c:ptCount val="29"/>
                <c:pt idx="0">
                  <c:v>0</c:v>
                </c:pt>
                <c:pt idx="1">
                  <c:v>-0.03</c:v>
                </c:pt>
                <c:pt idx="2">
                  <c:v>-0.05</c:v>
                </c:pt>
                <c:pt idx="3">
                  <c:v>-7.0000000000000007E-2</c:v>
                </c:pt>
                <c:pt idx="4">
                  <c:v>-0.09</c:v>
                </c:pt>
                <c:pt idx="5">
                  <c:v>-0.1</c:v>
                </c:pt>
                <c:pt idx="6">
                  <c:v>-0.11</c:v>
                </c:pt>
                <c:pt idx="7">
                  <c:v>-0.12</c:v>
                </c:pt>
                <c:pt idx="8">
                  <c:v>-0.13</c:v>
                </c:pt>
                <c:pt idx="9">
                  <c:v>-0.13500000000000001</c:v>
                </c:pt>
                <c:pt idx="10">
                  <c:v>-0.14000000000000001</c:v>
                </c:pt>
                <c:pt idx="11">
                  <c:v>-0.14499999999999999</c:v>
                </c:pt>
                <c:pt idx="12">
                  <c:v>-0.15</c:v>
                </c:pt>
                <c:pt idx="13">
                  <c:v>-0.15100000000000022</c:v>
                </c:pt>
                <c:pt idx="14">
                  <c:v>-0.15200000000000047</c:v>
                </c:pt>
                <c:pt idx="15">
                  <c:v>-0.15399999999999978</c:v>
                </c:pt>
                <c:pt idx="16">
                  <c:v>-0.15600000000000022</c:v>
                </c:pt>
                <c:pt idx="17">
                  <c:v>-0.15799999999999956</c:v>
                </c:pt>
                <c:pt idx="18">
                  <c:v>-0.16</c:v>
                </c:pt>
                <c:pt idx="19">
                  <c:v>-0.16100000000000023</c:v>
                </c:pt>
                <c:pt idx="20">
                  <c:v>-0.16200000000000045</c:v>
                </c:pt>
                <c:pt idx="21">
                  <c:v>-0.16200000000000045</c:v>
                </c:pt>
                <c:pt idx="22">
                  <c:v>-0.16299999999999953</c:v>
                </c:pt>
                <c:pt idx="23">
                  <c:v>-0.16399999999999978</c:v>
                </c:pt>
                <c:pt idx="24">
                  <c:v>-0.16500000000000001</c:v>
                </c:pt>
                <c:pt idx="25">
                  <c:v>-0.16600000000000023</c:v>
                </c:pt>
                <c:pt idx="26">
                  <c:v>-0.16700000000000045</c:v>
                </c:pt>
                <c:pt idx="27">
                  <c:v>-0.16799999999999954</c:v>
                </c:pt>
                <c:pt idx="28">
                  <c:v>-0.16899999999999976</c:v>
                </c:pt>
              </c:numCache>
            </c:numRef>
          </c:yVal>
          <c:smooth val="1"/>
          <c:extLst>
            <c:ext xmlns:c16="http://schemas.microsoft.com/office/drawing/2014/chart" uri="{C3380CC4-5D6E-409C-BE32-E72D297353CC}">
              <c16:uniqueId val="{00000001-9F74-486A-BAA8-A5B62A1A4B8C}"/>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5"/>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Vertical </a:t>
                </a:r>
              </a:p>
              <a:p>
                <a:pPr>
                  <a:defRPr/>
                </a:pPr>
                <a:r>
                  <a:rPr lang="en-US"/>
                  <a:t>Displacement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'WS-TRX-UU'!$C$148</c:f>
              <c:strCache>
                <c:ptCount val="1"/>
                <c:pt idx="0">
                  <c:v>σ₃=50 kPa</c:v>
                </c:pt>
              </c:strCache>
            </c:strRef>
          </c:tx>
          <c:spPr>
            <a:ln w="12700" cap="rnd">
              <a:solidFill>
                <a:schemeClr val="accent1"/>
              </a:solidFill>
              <a:round/>
            </a:ln>
            <a:effectLst/>
          </c:spPr>
          <c:marker>
            <c:symbol val="none"/>
          </c:marker>
          <c:xVal>
            <c:numRef>
              <c:f>'WS-TRX-UU'!$C$90:$C$126</c:f>
              <c:numCache>
                <c:formatCode>0.00</c:formatCode>
                <c:ptCount val="37"/>
                <c:pt idx="0">
                  <c:v>104.74360607535797</c:v>
                </c:pt>
                <c:pt idx="1">
                  <c:v>104.63944810102633</c:v>
                </c:pt>
                <c:pt idx="2">
                  <c:v>104.32776688310835</c:v>
                </c:pt>
                <c:pt idx="3">
                  <c:v>103.8109345038707</c:v>
                </c:pt>
                <c:pt idx="4">
                  <c:v>103.09288436979125</c:v>
                </c:pt>
                <c:pt idx="5">
                  <c:v>102.17908127596088</c:v>
                </c:pt>
                <c:pt idx="6">
                  <c:v>101.07647981569306</c:v>
                </c:pt>
                <c:pt idx="7">
                  <c:v>99.793471451869365</c:v>
                </c:pt>
                <c:pt idx="8">
                  <c:v>98.339820652840132</c:v>
                </c:pt>
                <c:pt idx="9">
                  <c:v>96.726590578924345</c:v>
                </c:pt>
                <c:pt idx="10">
                  <c:v>94.96605888507942</c:v>
                </c:pt>
                <c:pt idx="11">
                  <c:v>93.071624280533641</c:v>
                </c:pt>
                <c:pt idx="12">
                  <c:v>91.057704556518487</c:v>
                </c:pt>
                <c:pt idx="13">
                  <c:v>88.939626858171678</c:v>
                </c:pt>
                <c:pt idx="14">
                  <c:v>86.733511035707934</c:v>
                </c:pt>
                <c:pt idx="15">
                  <c:v>84.45614696262534</c:v>
                </c:pt>
                <c:pt idx="16">
                  <c:v>82.124866754630091</c:v>
                </c:pt>
                <c:pt idx="17">
                  <c:v>79.757412861770504</c:v>
                </c:pt>
                <c:pt idx="18">
                  <c:v>77.371803037678987</c:v>
                </c:pt>
                <c:pt idx="19">
                  <c:v>74.98619321358747</c:v>
                </c:pt>
                <c:pt idx="20">
                  <c:v>72.618739320727883</c:v>
                </c:pt>
                <c:pt idx="21">
                  <c:v>70.287459112732634</c:v>
                </c:pt>
                <c:pt idx="22">
                  <c:v>68.010095039650039</c:v>
                </c:pt>
                <c:pt idx="23">
                  <c:v>65.803979217186296</c:v>
                </c:pt>
                <c:pt idx="24">
                  <c:v>63.685901518839501</c:v>
                </c:pt>
                <c:pt idx="25">
                  <c:v>61.671981794824333</c:v>
                </c:pt>
                <c:pt idx="26">
                  <c:v>59.777547190278554</c:v>
                </c:pt>
                <c:pt idx="27">
                  <c:v>58.017015496433636</c:v>
                </c:pt>
                <c:pt idx="28">
                  <c:v>56.403785422517842</c:v>
                </c:pt>
                <c:pt idx="29">
                  <c:v>54.950134623488609</c:v>
                </c:pt>
                <c:pt idx="30">
                  <c:v>53.667126259664911</c:v>
                </c:pt>
                <c:pt idx="31">
                  <c:v>52.564524799397091</c:v>
                </c:pt>
                <c:pt idx="32">
                  <c:v>51.650721705566738</c:v>
                </c:pt>
                <c:pt idx="33">
                  <c:v>50.932671571487283</c:v>
                </c:pt>
                <c:pt idx="34">
                  <c:v>50.415839192249614</c:v>
                </c:pt>
                <c:pt idx="35">
                  <c:v>50.104157974331642</c:v>
                </c:pt>
                <c:pt idx="36">
                  <c:v>50</c:v>
                </c:pt>
              </c:numCache>
            </c:numRef>
          </c:xVal>
          <c:yVal>
            <c:numRef>
              <c:f>'WS-TRX-UU'!$D$90:$D$126</c:f>
              <c:numCache>
                <c:formatCode>General</c:formatCode>
                <c:ptCount val="37"/>
                <c:pt idx="0">
                  <c:v>0</c:v>
                </c:pt>
                <c:pt idx="1">
                  <c:v>2.3856098240915182</c:v>
                </c:pt>
                <c:pt idx="2">
                  <c:v>4.7530637169511039</c:v>
                </c:pt>
                <c:pt idx="3">
                  <c:v>7.084343924946352</c:v>
                </c:pt>
                <c:pt idx="4">
                  <c:v>9.3617079980289422</c:v>
                </c:pt>
                <c:pt idx="5">
                  <c:v>11.56782382049269</c:v>
                </c:pt>
                <c:pt idx="6">
                  <c:v>13.685901518839492</c:v>
                </c:pt>
                <c:pt idx="7">
                  <c:v>15.69982124285465</c:v>
                </c:pt>
                <c:pt idx="8">
                  <c:v>17.594255847400429</c:v>
                </c:pt>
                <c:pt idx="9">
                  <c:v>19.354787541245351</c:v>
                </c:pt>
                <c:pt idx="10">
                  <c:v>20.968017615161152</c:v>
                </c:pt>
                <c:pt idx="11">
                  <c:v>22.421668414190378</c:v>
                </c:pt>
                <c:pt idx="12">
                  <c:v>23.704676778014068</c:v>
                </c:pt>
                <c:pt idx="13">
                  <c:v>24.807278238281896</c:v>
                </c:pt>
                <c:pt idx="14">
                  <c:v>25.721081332112252</c:v>
                </c:pt>
                <c:pt idx="15">
                  <c:v>26.439131466191707</c:v>
                </c:pt>
                <c:pt idx="16">
                  <c:v>26.955963845429373</c:v>
                </c:pt>
                <c:pt idx="17">
                  <c:v>27.267645063347342</c:v>
                </c:pt>
                <c:pt idx="18">
                  <c:v>27.371803037678987</c:v>
                </c:pt>
                <c:pt idx="19">
                  <c:v>27.267645063347342</c:v>
                </c:pt>
                <c:pt idx="20">
                  <c:v>26.955963845429373</c:v>
                </c:pt>
                <c:pt idx="21">
                  <c:v>26.439131466191707</c:v>
                </c:pt>
                <c:pt idx="22">
                  <c:v>25.721081332112256</c:v>
                </c:pt>
                <c:pt idx="23">
                  <c:v>24.807278238281899</c:v>
                </c:pt>
                <c:pt idx="24">
                  <c:v>23.704676778014072</c:v>
                </c:pt>
                <c:pt idx="25">
                  <c:v>22.421668414190375</c:v>
                </c:pt>
                <c:pt idx="26">
                  <c:v>20.968017615161152</c:v>
                </c:pt>
                <c:pt idx="27">
                  <c:v>19.354787541245354</c:v>
                </c:pt>
                <c:pt idx="28">
                  <c:v>17.594255847400436</c:v>
                </c:pt>
                <c:pt idx="29">
                  <c:v>15.699821242854647</c:v>
                </c:pt>
                <c:pt idx="30">
                  <c:v>13.685901518839492</c:v>
                </c:pt>
                <c:pt idx="31">
                  <c:v>11.567823820492691</c:v>
                </c:pt>
                <c:pt idx="32">
                  <c:v>9.3617079980289457</c:v>
                </c:pt>
                <c:pt idx="33">
                  <c:v>7.0843439249463591</c:v>
                </c:pt>
                <c:pt idx="34">
                  <c:v>4.753063716951103</c:v>
                </c:pt>
                <c:pt idx="35">
                  <c:v>2.3856098240915187</c:v>
                </c:pt>
                <c:pt idx="36">
                  <c:v>3.3534522199675483E-15</c:v>
                </c:pt>
              </c:numCache>
            </c:numRef>
          </c:yVal>
          <c:smooth val="1"/>
          <c:extLst>
            <c:ext xmlns:c16="http://schemas.microsoft.com/office/drawing/2014/chart" uri="{C3380CC4-5D6E-409C-BE32-E72D297353CC}">
              <c16:uniqueId val="{00000000-48B1-6A4A-9314-8CC80F759374}"/>
            </c:ext>
          </c:extLst>
        </c:ser>
        <c:ser>
          <c:idx val="1"/>
          <c:order val="1"/>
          <c:tx>
            <c:strRef>
              <c:f>'WS-TRX-UU'!$C$149</c:f>
              <c:strCache>
                <c:ptCount val="1"/>
                <c:pt idx="0">
                  <c:v>σ₃=100 kPa</c:v>
                </c:pt>
              </c:strCache>
            </c:strRef>
          </c:tx>
          <c:spPr>
            <a:ln w="12700" cap="rnd">
              <a:solidFill>
                <a:schemeClr val="accent2"/>
              </a:solidFill>
              <a:round/>
            </a:ln>
            <a:effectLst/>
          </c:spPr>
          <c:marker>
            <c:symbol val="none"/>
          </c:marker>
          <c:xVal>
            <c:numRef>
              <c:f>'WS-TRX-UU'!$I$90:$I$126</c:f>
              <c:numCache>
                <c:formatCode>0.00</c:formatCode>
                <c:ptCount val="37"/>
                <c:pt idx="0">
                  <c:v>173.35017321901341</c:v>
                </c:pt>
                <c:pt idx="1">
                  <c:v>173.21061344195286</c:v>
                </c:pt>
                <c:pt idx="2">
                  <c:v>172.79299624494314</c:v>
                </c:pt>
                <c:pt idx="3">
                  <c:v>172.10049994701762</c:v>
                </c:pt>
                <c:pt idx="4">
                  <c:v>171.13839486314424</c:v>
                </c:pt>
                <c:pt idx="5">
                  <c:v>169.9140031939462</c:v>
                </c:pt>
                <c:pt idx="6">
                  <c:v>168.43664329933401</c:v>
                </c:pt>
                <c:pt idx="7">
                  <c:v>166.71755878015995</c:v>
                </c:pt>
                <c:pt idx="8">
                  <c:v>164.76983290762655</c:v>
                </c:pt>
                <c:pt idx="9">
                  <c:v>162.60828905169285</c:v>
                </c:pt>
                <c:pt idx="10">
                  <c:v>160.24937786627834</c:v>
                </c:pt>
                <c:pt idx="11">
                  <c:v>157.71105208985352</c:v>
                </c:pt>
                <c:pt idx="12">
                  <c:v>155.01262991426006</c:v>
                </c:pt>
                <c:pt idx="13">
                  <c:v>152.17464796160604</c:v>
                </c:pt>
                <c:pt idx="14">
                  <c:v>149.21870498817151</c:v>
                </c:pt>
                <c:pt idx="15">
                  <c:v>146.16729750483148</c:v>
                </c:pt>
                <c:pt idx="16">
                  <c:v>143.0436485650244</c:v>
                </c:pt>
                <c:pt idx="17">
                  <c:v>139.87153102329296</c:v>
                </c:pt>
                <c:pt idx="18">
                  <c:v>136.67508660950671</c:v>
                </c:pt>
                <c:pt idx="19">
                  <c:v>133.47864219572045</c:v>
                </c:pt>
                <c:pt idx="20">
                  <c:v>130.30652465398902</c:v>
                </c:pt>
                <c:pt idx="21">
                  <c:v>127.18287571418193</c:v>
                </c:pt>
                <c:pt idx="22">
                  <c:v>124.1314682308419</c:v>
                </c:pt>
                <c:pt idx="23">
                  <c:v>121.17552525740739</c:v>
                </c:pt>
                <c:pt idx="24">
                  <c:v>118.33754330475335</c:v>
                </c:pt>
                <c:pt idx="25">
                  <c:v>115.63912112915988</c:v>
                </c:pt>
                <c:pt idx="26">
                  <c:v>113.10079535273508</c:v>
                </c:pt>
                <c:pt idx="27">
                  <c:v>110.74188416732056</c:v>
                </c:pt>
                <c:pt idx="28">
                  <c:v>108.58034031138686</c:v>
                </c:pt>
                <c:pt idx="29">
                  <c:v>106.63261443885345</c:v>
                </c:pt>
                <c:pt idx="30">
                  <c:v>104.91352991967941</c:v>
                </c:pt>
                <c:pt idx="31">
                  <c:v>103.43617002506721</c:v>
                </c:pt>
                <c:pt idx="32">
                  <c:v>102.21177835586917</c:v>
                </c:pt>
                <c:pt idx="33">
                  <c:v>101.2496732719958</c:v>
                </c:pt>
                <c:pt idx="34">
                  <c:v>100.55717697407029</c:v>
                </c:pt>
                <c:pt idx="35">
                  <c:v>100.13955977706055</c:v>
                </c:pt>
                <c:pt idx="36">
                  <c:v>100</c:v>
                </c:pt>
              </c:numCache>
            </c:numRef>
          </c:xVal>
          <c:yVal>
            <c:numRef>
              <c:f>'WS-TRX-UU'!$J$90:$J$126</c:f>
              <c:numCache>
                <c:formatCode>General</c:formatCode>
                <c:ptCount val="37"/>
                <c:pt idx="0">
                  <c:v>0</c:v>
                </c:pt>
                <c:pt idx="1">
                  <c:v>3.1964444137862493</c:v>
                </c:pt>
                <c:pt idx="2">
                  <c:v>6.368561955517678</c:v>
                </c:pt>
                <c:pt idx="3">
                  <c:v>9.4922108953247708</c:v>
                </c:pt>
                <c:pt idx="4">
                  <c:v>12.543618378664798</c:v>
                </c:pt>
                <c:pt idx="5">
                  <c:v>15.499561352099327</c:v>
                </c:pt>
                <c:pt idx="6">
                  <c:v>18.33754330475335</c:v>
                </c:pt>
                <c:pt idx="7">
                  <c:v>21.035965480346825</c:v>
                </c:pt>
                <c:pt idx="8">
                  <c:v>23.57429125677162</c:v>
                </c:pt>
                <c:pt idx="9">
                  <c:v>25.933202442186136</c:v>
                </c:pt>
                <c:pt idx="10">
                  <c:v>28.094746298119851</c:v>
                </c:pt>
                <c:pt idx="11">
                  <c:v>30.042472170653248</c:v>
                </c:pt>
                <c:pt idx="12">
                  <c:v>31.761556689827302</c:v>
                </c:pt>
                <c:pt idx="13">
                  <c:v>33.238916584439494</c:v>
                </c:pt>
                <c:pt idx="14">
                  <c:v>34.463308253637528</c:v>
                </c:pt>
                <c:pt idx="15">
                  <c:v>35.425413337510911</c:v>
                </c:pt>
                <c:pt idx="16">
                  <c:v>36.117909635436419</c:v>
                </c:pt>
                <c:pt idx="17">
                  <c:v>36.535526832446152</c:v>
                </c:pt>
                <c:pt idx="18">
                  <c:v>36.675086609506707</c:v>
                </c:pt>
                <c:pt idx="19">
                  <c:v>36.535526832446152</c:v>
                </c:pt>
                <c:pt idx="20">
                  <c:v>36.117909635436419</c:v>
                </c:pt>
                <c:pt idx="21">
                  <c:v>35.425413337510911</c:v>
                </c:pt>
                <c:pt idx="22">
                  <c:v>34.463308253637535</c:v>
                </c:pt>
                <c:pt idx="23">
                  <c:v>33.238916584439501</c:v>
                </c:pt>
                <c:pt idx="24">
                  <c:v>31.761556689827305</c:v>
                </c:pt>
                <c:pt idx="25">
                  <c:v>30.042472170653244</c:v>
                </c:pt>
                <c:pt idx="26">
                  <c:v>28.094746298119851</c:v>
                </c:pt>
                <c:pt idx="27">
                  <c:v>25.93320244218614</c:v>
                </c:pt>
                <c:pt idx="28">
                  <c:v>23.574291256771627</c:v>
                </c:pt>
                <c:pt idx="29">
                  <c:v>21.035965480346821</c:v>
                </c:pt>
                <c:pt idx="30">
                  <c:v>18.33754330475335</c:v>
                </c:pt>
                <c:pt idx="31">
                  <c:v>15.499561352099329</c:v>
                </c:pt>
                <c:pt idx="32">
                  <c:v>12.543618378664803</c:v>
                </c:pt>
                <c:pt idx="33">
                  <c:v>9.4922108953247815</c:v>
                </c:pt>
                <c:pt idx="34">
                  <c:v>6.3685619555176762</c:v>
                </c:pt>
                <c:pt idx="35">
                  <c:v>3.1964444137862502</c:v>
                </c:pt>
                <c:pt idx="36">
                  <c:v>4.4932425693276964E-15</c:v>
                </c:pt>
              </c:numCache>
            </c:numRef>
          </c:yVal>
          <c:smooth val="1"/>
          <c:extLst>
            <c:ext xmlns:c16="http://schemas.microsoft.com/office/drawing/2014/chart" uri="{C3380CC4-5D6E-409C-BE32-E72D297353CC}">
              <c16:uniqueId val="{00000001-48B1-6A4A-9314-8CC80F759374}"/>
            </c:ext>
          </c:extLst>
        </c:ser>
        <c:ser>
          <c:idx val="2"/>
          <c:order val="2"/>
          <c:tx>
            <c:strRef>
              <c:f>'WS-TRX-UU'!$C$150</c:f>
              <c:strCache>
                <c:ptCount val="1"/>
                <c:pt idx="0">
                  <c:v>σ₃=200 kPa</c:v>
                </c:pt>
              </c:strCache>
            </c:strRef>
          </c:tx>
          <c:spPr>
            <a:ln w="12700" cap="rnd">
              <a:solidFill>
                <a:schemeClr val="bg2">
                  <a:lumMod val="50000"/>
                </a:schemeClr>
              </a:solidFill>
              <a:round/>
            </a:ln>
            <a:effectLst/>
          </c:spPr>
          <c:marker>
            <c:symbol val="none"/>
          </c:marker>
          <c:xVal>
            <c:numRef>
              <c:f>'WS-TRX-UU'!$N$90:$N$126</c:f>
              <c:numCache>
                <c:formatCode>0.00</c:formatCode>
                <c:ptCount val="37"/>
                <c:pt idx="0">
                  <c:v>319.39168164825332</c:v>
                </c:pt>
                <c:pt idx="1">
                  <c:v>319.16452095125044</c:v>
                </c:pt>
                <c:pt idx="2">
                  <c:v>318.4847676903093</c:v>
                </c:pt>
                <c:pt idx="3">
                  <c:v>317.35759519819192</c:v>
                </c:pt>
                <c:pt idx="4">
                  <c:v>315.79158193816869</c:v>
                </c:pt>
                <c:pt idx="5">
                  <c:v>313.798646216733</c:v>
                </c:pt>
                <c:pt idx="6">
                  <c:v>311.39395547809255</c:v>
                </c:pt>
                <c:pt idx="7">
                  <c:v>308.59581087076032</c:v>
                </c:pt>
                <c:pt idx="8">
                  <c:v>305.42550796476394</c:v>
                </c:pt>
                <c:pt idx="9">
                  <c:v>301.90717467949941</c:v>
                </c:pt>
                <c:pt idx="10">
                  <c:v>298.06758765569521</c:v>
                </c:pt>
                <c:pt idx="11">
                  <c:v>293.93596846900857</c:v>
                </c:pt>
                <c:pt idx="12">
                  <c:v>289.54376123618999</c:v>
                </c:pt>
                <c:pt idx="13">
                  <c:v>284.92439330636859</c:v>
                </c:pt>
                <c:pt idx="14">
                  <c:v>280.11302085874081</c:v>
                </c:pt>
                <c:pt idx="15">
                  <c:v>275.14626134281923</c:v>
                </c:pt>
                <c:pt idx="16">
                  <c:v>270.06191479753141</c:v>
                </c:pt>
                <c:pt idx="17">
                  <c:v>264.89867617009941</c:v>
                </c:pt>
                <c:pt idx="18">
                  <c:v>259.69584082412666</c:v>
                </c:pt>
                <c:pt idx="19">
                  <c:v>254.49300547815392</c:v>
                </c:pt>
                <c:pt idx="20">
                  <c:v>249.32976685072191</c:v>
                </c:pt>
                <c:pt idx="21">
                  <c:v>244.24542030543412</c:v>
                </c:pt>
                <c:pt idx="22">
                  <c:v>239.27866078951254</c:v>
                </c:pt>
                <c:pt idx="23">
                  <c:v>234.46728834188477</c:v>
                </c:pt>
                <c:pt idx="24">
                  <c:v>229.84792041206333</c:v>
                </c:pt>
                <c:pt idx="25">
                  <c:v>225.45571317924478</c:v>
                </c:pt>
                <c:pt idx="26">
                  <c:v>221.32409399255812</c:v>
                </c:pt>
                <c:pt idx="27">
                  <c:v>217.48450696875395</c:v>
                </c:pt>
                <c:pt idx="28">
                  <c:v>213.96617368348939</c:v>
                </c:pt>
                <c:pt idx="29">
                  <c:v>210.79587077749301</c:v>
                </c:pt>
                <c:pt idx="30">
                  <c:v>207.99772617016077</c:v>
                </c:pt>
                <c:pt idx="31">
                  <c:v>205.59303543152029</c:v>
                </c:pt>
                <c:pt idx="32">
                  <c:v>203.60009971008463</c:v>
                </c:pt>
                <c:pt idx="33">
                  <c:v>202.03408645006141</c:v>
                </c:pt>
                <c:pt idx="34">
                  <c:v>200.90691395794403</c:v>
                </c:pt>
                <c:pt idx="35">
                  <c:v>200.22716069700289</c:v>
                </c:pt>
                <c:pt idx="36">
                  <c:v>199.99999999999997</c:v>
                </c:pt>
              </c:numCache>
            </c:numRef>
          </c:xVal>
          <c:yVal>
            <c:numRef>
              <c:f>'WS-TRX-UU'!$O$90:$O$126</c:f>
              <c:numCache>
                <c:formatCode>General</c:formatCode>
                <c:ptCount val="37"/>
                <c:pt idx="0">
                  <c:v>0</c:v>
                </c:pt>
                <c:pt idx="1">
                  <c:v>5.2028353459727361</c:v>
                </c:pt>
                <c:pt idx="2">
                  <c:v>10.366073973404744</c:v>
                </c:pt>
                <c:pt idx="3">
                  <c:v>15.450420518692544</c:v>
                </c:pt>
                <c:pt idx="4">
                  <c:v>20.417180034614116</c:v>
                </c:pt>
                <c:pt idx="5">
                  <c:v>25.228552482241906</c:v>
                </c:pt>
                <c:pt idx="6">
                  <c:v>29.847920412063342</c:v>
                </c:pt>
                <c:pt idx="7">
                  <c:v>34.240127644881881</c:v>
                </c:pt>
                <c:pt idx="8">
                  <c:v>38.371746831568522</c:v>
                </c:pt>
                <c:pt idx="9">
                  <c:v>42.211333855372722</c:v>
                </c:pt>
                <c:pt idx="10">
                  <c:v>45.729667140637282</c:v>
                </c:pt>
                <c:pt idx="11">
                  <c:v>48.899970046633634</c:v>
                </c:pt>
                <c:pt idx="12">
                  <c:v>51.698114653965888</c:v>
                </c:pt>
                <c:pt idx="13">
                  <c:v>54.102805392606363</c:v>
                </c:pt>
                <c:pt idx="14">
                  <c:v>56.095741114042028</c:v>
                </c:pt>
                <c:pt idx="15">
                  <c:v>57.661754374065268</c:v>
                </c:pt>
                <c:pt idx="16">
                  <c:v>58.788926866182642</c:v>
                </c:pt>
                <c:pt idx="17">
                  <c:v>59.46868012712379</c:v>
                </c:pt>
                <c:pt idx="18">
                  <c:v>59.695840824126691</c:v>
                </c:pt>
                <c:pt idx="19">
                  <c:v>59.46868012712379</c:v>
                </c:pt>
                <c:pt idx="20">
                  <c:v>58.788926866182642</c:v>
                </c:pt>
                <c:pt idx="21">
                  <c:v>57.661754374065268</c:v>
                </c:pt>
                <c:pt idx="22">
                  <c:v>56.095741114042035</c:v>
                </c:pt>
                <c:pt idx="23">
                  <c:v>54.102805392606371</c:v>
                </c:pt>
                <c:pt idx="24">
                  <c:v>51.698114653965895</c:v>
                </c:pt>
                <c:pt idx="25">
                  <c:v>48.899970046633626</c:v>
                </c:pt>
                <c:pt idx="26">
                  <c:v>45.729667140637282</c:v>
                </c:pt>
                <c:pt idx="27">
                  <c:v>42.211333855372729</c:v>
                </c:pt>
                <c:pt idx="28">
                  <c:v>38.371746831568537</c:v>
                </c:pt>
                <c:pt idx="29">
                  <c:v>34.240127644881873</c:v>
                </c:pt>
                <c:pt idx="30">
                  <c:v>29.847920412063342</c:v>
                </c:pt>
                <c:pt idx="31">
                  <c:v>25.228552482241909</c:v>
                </c:pt>
                <c:pt idx="32">
                  <c:v>20.417180034614127</c:v>
                </c:pt>
                <c:pt idx="33">
                  <c:v>15.450420518692562</c:v>
                </c:pt>
                <c:pt idx="34">
                  <c:v>10.366073973404742</c:v>
                </c:pt>
                <c:pt idx="35">
                  <c:v>5.2028353459727379</c:v>
                </c:pt>
                <c:pt idx="36">
                  <c:v>7.3136267150149744E-15</c:v>
                </c:pt>
              </c:numCache>
            </c:numRef>
          </c:yVal>
          <c:smooth val="1"/>
          <c:extLst>
            <c:ext xmlns:c16="http://schemas.microsoft.com/office/drawing/2014/chart" uri="{C3380CC4-5D6E-409C-BE32-E72D297353CC}">
              <c16:uniqueId val="{00000002-48B1-6A4A-9314-8CC80F759374}"/>
            </c:ext>
          </c:extLst>
        </c:ser>
        <c:ser>
          <c:idx val="3"/>
          <c:order val="3"/>
          <c:tx>
            <c:strRef>
              <c:f>'WS-TRX-UU'!$C$151</c:f>
              <c:strCache>
                <c:ptCount val="1"/>
                <c:pt idx="0">
                  <c:v>Failure Envelope</c:v>
                </c:pt>
              </c:strCache>
            </c:strRef>
          </c:tx>
          <c:spPr>
            <a:ln w="15875" cap="rnd">
              <a:solidFill>
                <a:schemeClr val="bg2">
                  <a:lumMod val="25000"/>
                </a:schemeClr>
              </a:solidFill>
              <a:round/>
            </a:ln>
            <a:effectLst/>
          </c:spPr>
          <c:marker>
            <c:symbol val="none"/>
          </c:marker>
          <c:xVal>
            <c:numRef>
              <c:f>'WS-TRX-UU'!$K$146:$K$154</c:f>
              <c:numCache>
                <c:formatCode>General</c:formatCode>
                <c:ptCount val="9"/>
                <c:pt idx="0">
                  <c:v>0</c:v>
                </c:pt>
                <c:pt idx="1">
                  <c:v>50</c:v>
                </c:pt>
                <c:pt idx="2">
                  <c:v>100</c:v>
                </c:pt>
                <c:pt idx="3">
                  <c:v>150</c:v>
                </c:pt>
                <c:pt idx="4">
                  <c:v>200</c:v>
                </c:pt>
                <c:pt idx="5">
                  <c:v>250</c:v>
                </c:pt>
                <c:pt idx="6">
                  <c:v>300</c:v>
                </c:pt>
                <c:pt idx="7">
                  <c:v>350</c:v>
                </c:pt>
                <c:pt idx="8">
                  <c:v>400</c:v>
                </c:pt>
              </c:numCache>
            </c:numRef>
          </c:xVal>
          <c:yVal>
            <c:numRef>
              <c:f>'WS-TRX-UU'!$L$146:$L$154</c:f>
              <c:numCache>
                <c:formatCode>0.00</c:formatCode>
                <c:ptCount val="9"/>
                <c:pt idx="0">
                  <c:v>13.239980711833137</c:v>
                </c:pt>
                <c:pt idx="1">
                  <c:v>22.321639834821468</c:v>
                </c:pt>
                <c:pt idx="2">
                  <c:v>31.403298957809799</c:v>
                </c:pt>
                <c:pt idx="3">
                  <c:v>40.48495808079813</c:v>
                </c:pt>
                <c:pt idx="4">
                  <c:v>49.566617203786464</c:v>
                </c:pt>
                <c:pt idx="5">
                  <c:v>58.648276326774791</c:v>
                </c:pt>
                <c:pt idx="6">
                  <c:v>67.729935449763119</c:v>
                </c:pt>
                <c:pt idx="7">
                  <c:v>76.81159457275146</c:v>
                </c:pt>
                <c:pt idx="8">
                  <c:v>85.893253695739787</c:v>
                </c:pt>
              </c:numCache>
            </c:numRef>
          </c:yVal>
          <c:smooth val="1"/>
          <c:extLst>
            <c:ext xmlns:c16="http://schemas.microsoft.com/office/drawing/2014/chart" uri="{C3380CC4-5D6E-409C-BE32-E72D297353CC}">
              <c16:uniqueId val="{00000000-2BCD-D349-A8F7-C19E4732E54E}"/>
            </c:ext>
          </c:extLst>
        </c:ser>
        <c:dLbls>
          <c:showLegendKey val="0"/>
          <c:showVal val="0"/>
          <c:showCatName val="0"/>
          <c:showSerName val="0"/>
          <c:showPercent val="0"/>
          <c:showBubbleSize val="0"/>
        </c:dLbls>
        <c:axId val="439217376"/>
        <c:axId val="514144944"/>
      </c:scatterChart>
      <c:valAx>
        <c:axId val="439217376"/>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a:t>
                </a:r>
                <a:r>
                  <a:rPr lang="en-US">
                    <a:latin typeface="Symbol" pitchFamily="2" charset="2"/>
                  </a:rPr>
                  <a:t>s</a:t>
                </a:r>
                <a:r>
                  <a:rPr lang="en-US"/>
                  <a:t> (kPa)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44944"/>
        <c:crosses val="autoZero"/>
        <c:crossBetween val="midCat"/>
      </c:valAx>
      <c:valAx>
        <c:axId val="514144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a:t>
                </a:r>
                <a:r>
                  <a:rPr lang="en-US">
                    <a:latin typeface="Symbol" pitchFamily="2" charset="2"/>
                  </a:rPr>
                  <a:t>t</a:t>
                </a:r>
                <a:r>
                  <a:rPr lang="en-US" baseline="0">
                    <a:latin typeface="Symbol" pitchFamily="2" charset="2"/>
                  </a:rPr>
                  <a:t> (</a:t>
                </a:r>
                <a:r>
                  <a:rPr lang="en-US" baseline="0"/>
                  <a:t>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217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'WS-TRX-UU'!$Y$45</c:f>
              <c:strCache>
                <c:ptCount val="1"/>
                <c:pt idx="0">
                  <c:v>σ₃=50 kPa</c:v>
                </c:pt>
              </c:strCache>
            </c:strRef>
          </c:tx>
          <c:spPr>
            <a:ln w="19050" cap="rnd">
              <a:solidFill>
                <a:schemeClr val="accent1"/>
              </a:solidFill>
              <a:round/>
            </a:ln>
            <a:effectLst/>
          </c:spPr>
          <c:marker>
            <c:symbol val="none"/>
          </c:marker>
          <c:xVal>
            <c:numRef>
              <c:f>'WS-TRX-UU'!$D$46:$D$72</c:f>
              <c:numCache>
                <c:formatCode>0.000</c:formatCode>
                <c:ptCount val="27"/>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numCache>
            </c:numRef>
          </c:xVal>
          <c:yVal>
            <c:numRef>
              <c:f>'WS-TRX-UU'!$F$46:$F$72</c:f>
              <c:numCache>
                <c:formatCode>0.000</c:formatCode>
                <c:ptCount val="27"/>
                <c:pt idx="0">
                  <c:v>0</c:v>
                </c:pt>
                <c:pt idx="1">
                  <c:v>6.2259802717336239</c:v>
                </c:pt>
                <c:pt idx="2">
                  <c:v>11.353904058152674</c:v>
                </c:pt>
                <c:pt idx="3">
                  <c:v>16.426925020305998</c:v>
                </c:pt>
                <c:pt idx="4">
                  <c:v>21.445043158193592</c:v>
                </c:pt>
                <c:pt idx="5">
                  <c:v>25.392556222899476</c:v>
                </c:pt>
                <c:pt idx="6">
                  <c:v>29.296147028192774</c:v>
                </c:pt>
                <c:pt idx="7">
                  <c:v>31.146372205947834</c:v>
                </c:pt>
                <c:pt idx="8">
                  <c:v>34.973099057269117</c:v>
                </c:pt>
                <c:pt idx="9">
                  <c:v>36.768421410758442</c:v>
                </c:pt>
                <c:pt idx="10">
                  <c:v>38.54178263454147</c:v>
                </c:pt>
                <c:pt idx="11">
                  <c:v>40.29318272861822</c:v>
                </c:pt>
                <c:pt idx="12">
                  <c:v>42.022621692988672</c:v>
                </c:pt>
                <c:pt idx="13">
                  <c:v>43.730099527652825</c:v>
                </c:pt>
                <c:pt idx="14">
                  <c:v>45.415616232610695</c:v>
                </c:pt>
                <c:pt idx="15">
                  <c:v>47.079171807862274</c:v>
                </c:pt>
                <c:pt idx="16">
                  <c:v>48.720766253407561</c:v>
                </c:pt>
                <c:pt idx="17">
                  <c:v>50.34039956924655</c:v>
                </c:pt>
                <c:pt idx="18">
                  <c:v>51.938071755379262</c:v>
                </c:pt>
                <c:pt idx="19">
                  <c:v>52.574944516861713</c:v>
                </c:pt>
                <c:pt idx="20">
                  <c:v>54.134184726008399</c:v>
                </c:pt>
                <c:pt idx="21">
                  <c:v>54.743606075357981</c:v>
                </c:pt>
                <c:pt idx="22">
                  <c:v>54.419679412190177</c:v>
                </c:pt>
                <c:pt idx="23">
                  <c:v>54.095752749022381</c:v>
                </c:pt>
                <c:pt idx="24">
                  <c:v>53.771826085854578</c:v>
                </c:pt>
                <c:pt idx="25">
                  <c:v>53.447899422686788</c:v>
                </c:pt>
                <c:pt idx="26">
                  <c:v>53.123972759518985</c:v>
                </c:pt>
              </c:numCache>
            </c:numRef>
          </c:yVal>
          <c:smooth val="1"/>
          <c:extLst>
            <c:ext xmlns:c16="http://schemas.microsoft.com/office/drawing/2014/chart" uri="{C3380CC4-5D6E-409C-BE32-E72D297353CC}">
              <c16:uniqueId val="{00000001-CCEF-EA4D-BD78-136AA5F93C7E}"/>
            </c:ext>
          </c:extLst>
        </c:ser>
        <c:ser>
          <c:idx val="1"/>
          <c:order val="1"/>
          <c:tx>
            <c:strRef>
              <c:f>'WS-TRX-UU'!$Y$46</c:f>
              <c:strCache>
                <c:ptCount val="1"/>
                <c:pt idx="0">
                  <c:v>σ₃=100 kPa</c:v>
                </c:pt>
              </c:strCache>
            </c:strRef>
          </c:tx>
          <c:spPr>
            <a:ln w="19050" cap="rnd">
              <a:solidFill>
                <a:schemeClr val="accent2"/>
              </a:solidFill>
              <a:round/>
            </a:ln>
            <a:effectLst/>
          </c:spPr>
          <c:marker>
            <c:symbol val="none"/>
          </c:marker>
          <c:xVal>
            <c:numRef>
              <c:f>'WS-TRX-UU'!$J$46:$J$74</c:f>
              <c:numCache>
                <c:formatCode>0.000</c:formatCode>
                <c:ptCount val="29"/>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numCache>
            </c:numRef>
          </c:xVal>
          <c:yVal>
            <c:numRef>
              <c:f>'WS-TRX-UU'!$L$46:$L$74</c:f>
              <c:numCache>
                <c:formatCode>0.000</c:formatCode>
                <c:ptCount val="29"/>
                <c:pt idx="0">
                  <c:v>0</c:v>
                </c:pt>
                <c:pt idx="1">
                  <c:v>15.564950679334059</c:v>
                </c:pt>
                <c:pt idx="2">
                  <c:v>25.804327404892444</c:v>
                </c:pt>
                <c:pt idx="3">
                  <c:v>33.880532854381116</c:v>
                </c:pt>
                <c:pt idx="4">
                  <c:v>38.805316191016971</c:v>
                </c:pt>
                <c:pt idx="5">
                  <c:v>43.675196703387094</c:v>
                </c:pt>
                <c:pt idx="6">
                  <c:v>47.479962425002086</c:v>
                </c:pt>
                <c:pt idx="7">
                  <c:v>51.240805887204502</c:v>
                </c:pt>
                <c:pt idx="8">
                  <c:v>53.958495688358063</c:v>
                </c:pt>
                <c:pt idx="9">
                  <c:v>57.636984914161879</c:v>
                </c:pt>
                <c:pt idx="10">
                  <c:v>59.295050206986879</c:v>
                </c:pt>
                <c:pt idx="11">
                  <c:v>60.931154370105602</c:v>
                </c:pt>
                <c:pt idx="12">
                  <c:v>62.54529740351802</c:v>
                </c:pt>
                <c:pt idx="13">
                  <c:v>64.13747930722414</c:v>
                </c:pt>
                <c:pt idx="14">
                  <c:v>65.70770008122399</c:v>
                </c:pt>
                <c:pt idx="15">
                  <c:v>67.255959725517528</c:v>
                </c:pt>
                <c:pt idx="16">
                  <c:v>68.782258240104795</c:v>
                </c:pt>
                <c:pt idx="17">
                  <c:v>70.286595624985765</c:v>
                </c:pt>
                <c:pt idx="18">
                  <c:v>71.768971880160422</c:v>
                </c:pt>
                <c:pt idx="19">
                  <c:v>72.290548710684845</c:v>
                </c:pt>
                <c:pt idx="20">
                  <c:v>72.801144976356127</c:v>
                </c:pt>
                <c:pt idx="21">
                  <c:v>73.300760677174239</c:v>
                </c:pt>
                <c:pt idx="22">
                  <c:v>73.328212089307115</c:v>
                </c:pt>
                <c:pt idx="23">
                  <c:v>73.350173219013399</c:v>
                </c:pt>
                <c:pt idx="24">
                  <c:v>72.910950624887562</c:v>
                </c:pt>
                <c:pt idx="25">
                  <c:v>72.471728030761739</c:v>
                </c:pt>
                <c:pt idx="26">
                  <c:v>72.032505436635915</c:v>
                </c:pt>
                <c:pt idx="27">
                  <c:v>71.593282842510078</c:v>
                </c:pt>
                <c:pt idx="28">
                  <c:v>71.154060248384269</c:v>
                </c:pt>
              </c:numCache>
            </c:numRef>
          </c:yVal>
          <c:smooth val="1"/>
          <c:extLst>
            <c:ext xmlns:c16="http://schemas.microsoft.com/office/drawing/2014/chart" uri="{C3380CC4-5D6E-409C-BE32-E72D297353CC}">
              <c16:uniqueId val="{00000002-CCEF-EA4D-BD78-136AA5F93C7E}"/>
            </c:ext>
          </c:extLst>
        </c:ser>
        <c:ser>
          <c:idx val="2"/>
          <c:order val="2"/>
          <c:tx>
            <c:strRef>
              <c:f>'WS-TRX-UU'!$Y$47</c:f>
              <c:strCache>
                <c:ptCount val="1"/>
                <c:pt idx="0">
                  <c:v>σ₃=200 kPa</c:v>
                </c:pt>
              </c:strCache>
            </c:strRef>
          </c:tx>
          <c:spPr>
            <a:ln w="19050" cap="rnd">
              <a:solidFill>
                <a:schemeClr val="accent3"/>
              </a:solidFill>
              <a:round/>
            </a:ln>
            <a:effectLst/>
          </c:spPr>
          <c:marker>
            <c:symbol val="none"/>
          </c:marker>
          <c:xVal>
            <c:numRef>
              <c:f>'WS-TRX-UU'!$P$46:$P$76</c:f>
              <c:numCache>
                <c:formatCode>0.000</c:formatCode>
                <c:ptCount val="31"/>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pt idx="29">
                  <c:v>15.263157894736842</c:v>
                </c:pt>
                <c:pt idx="30">
                  <c:v>15.789473684210526</c:v>
                </c:pt>
              </c:numCache>
            </c:numRef>
          </c:xVal>
          <c:yVal>
            <c:numRef>
              <c:f>'WS-TRX-UU'!$R$46:$R$76</c:f>
              <c:numCache>
                <c:formatCode>0.000</c:formatCode>
                <c:ptCount val="31"/>
                <c:pt idx="0">
                  <c:v>0</c:v>
                </c:pt>
                <c:pt idx="1">
                  <c:v>34.242891494534931</c:v>
                </c:pt>
                <c:pt idx="2">
                  <c:v>46.447789328806394</c:v>
                </c:pt>
                <c:pt idx="3">
                  <c:v>56.467554757301862</c:v>
                </c:pt>
                <c:pt idx="4">
                  <c:v>64.335129474580768</c:v>
                </c:pt>
                <c:pt idx="5">
                  <c:v>70.083455175202545</c:v>
                </c:pt>
                <c:pt idx="6">
                  <c:v>75.76589748670547</c:v>
                </c:pt>
                <c:pt idx="7">
                  <c:v>80.377734725026656</c:v>
                </c:pt>
                <c:pt idx="8">
                  <c:v>84.934669139082146</c:v>
                </c:pt>
                <c:pt idx="9">
                  <c:v>88.442959609662196</c:v>
                </c:pt>
                <c:pt idx="10">
                  <c:v>92.895578657612788</c:v>
                </c:pt>
                <c:pt idx="11">
                  <c:v>98.2760554356542</c:v>
                </c:pt>
                <c:pt idx="12">
                  <c:v>99.681567736856849</c:v>
                </c:pt>
                <c:pt idx="13">
                  <c:v>102.0368988978566</c:v>
                </c:pt>
                <c:pt idx="14">
                  <c:v>106.29186777845057</c:v>
                </c:pt>
                <c:pt idx="15">
                  <c:v>108.57033498547831</c:v>
                </c:pt>
                <c:pt idx="16">
                  <c:v>109.86055135572295</c:v>
                </c:pt>
                <c:pt idx="17">
                  <c:v>112.07862545605836</c:v>
                </c:pt>
                <c:pt idx="18">
                  <c:v>113.31942928446384</c:v>
                </c:pt>
                <c:pt idx="19">
                  <c:v>114.53827198316301</c:v>
                </c:pt>
                <c:pt idx="20">
                  <c:v>115.73515355215591</c:v>
                </c:pt>
                <c:pt idx="21">
                  <c:v>116.91007399144246</c:v>
                </c:pt>
                <c:pt idx="22">
                  <c:v>118.06303330102277</c:v>
                </c:pt>
                <c:pt idx="23">
                  <c:v>119.1940314808968</c:v>
                </c:pt>
                <c:pt idx="24">
                  <c:v>119.3916816482534</c:v>
                </c:pt>
                <c:pt idx="25">
                  <c:v>119.12540295056462</c:v>
                </c:pt>
                <c:pt idx="26">
                  <c:v>118.85363397044927</c:v>
                </c:pt>
                <c:pt idx="27">
                  <c:v>118.12891669014164</c:v>
                </c:pt>
                <c:pt idx="28">
                  <c:v>117.40419940983404</c:v>
                </c:pt>
                <c:pt idx="29">
                  <c:v>116.67948212952639</c:v>
                </c:pt>
                <c:pt idx="30">
                  <c:v>115.9547648492188</c:v>
                </c:pt>
              </c:numCache>
            </c:numRef>
          </c:yVal>
          <c:smooth val="1"/>
          <c:extLst>
            <c:ext xmlns:c16="http://schemas.microsoft.com/office/drawing/2014/chart" uri="{C3380CC4-5D6E-409C-BE32-E72D297353CC}">
              <c16:uniqueId val="{00000003-CCEF-EA4D-BD78-136AA5F93C7E}"/>
            </c:ext>
          </c:extLst>
        </c:ser>
        <c:dLbls>
          <c:showLegendKey val="0"/>
          <c:showVal val="0"/>
          <c:showCatName val="0"/>
          <c:showSerName val="0"/>
          <c:showPercent val="0"/>
          <c:showBubbleSize val="0"/>
        </c:dLbls>
        <c:axId val="468434320"/>
        <c:axId val="468518144"/>
      </c:scatterChart>
      <c:valAx>
        <c:axId val="468434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Strain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518144"/>
        <c:crosses val="autoZero"/>
        <c:crossBetween val="midCat"/>
      </c:valAx>
      <c:valAx>
        <c:axId val="46851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Deviator Stress at Fiailure , (</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1</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 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3</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f  (kPa)</a:t>
                </a:r>
              </a:p>
            </c:rich>
          </c:tx>
          <c:layout>
            <c:manualLayout>
              <c:xMode val="edge"/>
              <c:yMode val="edge"/>
              <c:x val="3.3391580860084792E-2"/>
              <c:y val="0.122251402706398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434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9439353829007447"/>
          <c:y val="4.9669857223159877E-2"/>
          <c:w val="0.59582375093755446"/>
          <c:h val="0.70319078167271154"/>
        </c:manualLayout>
      </c:layout>
      <c:scatterChart>
        <c:scatterStyle val="smoothMarker"/>
        <c:varyColors val="0"/>
        <c:ser>
          <c:idx val="0"/>
          <c:order val="0"/>
          <c:tx>
            <c:strRef>
              <c:f>'WS-TRX-UU'!$Y$45</c:f>
              <c:strCache>
                <c:ptCount val="1"/>
                <c:pt idx="0">
                  <c:v>σ₃=50 kPa</c:v>
                </c:pt>
              </c:strCache>
            </c:strRef>
          </c:tx>
          <c:spPr>
            <a:ln w="19050" cap="rnd">
              <a:solidFill>
                <a:schemeClr val="accent1"/>
              </a:solidFill>
              <a:round/>
            </a:ln>
            <a:effectLst/>
          </c:spPr>
          <c:marker>
            <c:symbol val="none"/>
          </c:marker>
          <c:xVal>
            <c:numRef>
              <c:f>'WS-TRX-UU'!$D$46:$D$72</c:f>
              <c:numCache>
                <c:formatCode>0.000</c:formatCode>
                <c:ptCount val="27"/>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numCache>
            </c:numRef>
          </c:xVal>
          <c:yVal>
            <c:numRef>
              <c:f>'WS-TRX-UU'!$F$46:$F$72</c:f>
              <c:numCache>
                <c:formatCode>0.000</c:formatCode>
                <c:ptCount val="27"/>
                <c:pt idx="0">
                  <c:v>0</c:v>
                </c:pt>
                <c:pt idx="1">
                  <c:v>6.2259802717336239</c:v>
                </c:pt>
                <c:pt idx="2">
                  <c:v>11.353904058152674</c:v>
                </c:pt>
                <c:pt idx="3">
                  <c:v>16.426925020305998</c:v>
                </c:pt>
                <c:pt idx="4">
                  <c:v>21.445043158193592</c:v>
                </c:pt>
                <c:pt idx="5">
                  <c:v>25.392556222899476</c:v>
                </c:pt>
                <c:pt idx="6">
                  <c:v>29.296147028192774</c:v>
                </c:pt>
                <c:pt idx="7">
                  <c:v>31.146372205947834</c:v>
                </c:pt>
                <c:pt idx="8">
                  <c:v>34.973099057269117</c:v>
                </c:pt>
                <c:pt idx="9">
                  <c:v>36.768421410758442</c:v>
                </c:pt>
                <c:pt idx="10">
                  <c:v>38.54178263454147</c:v>
                </c:pt>
                <c:pt idx="11">
                  <c:v>40.29318272861822</c:v>
                </c:pt>
                <c:pt idx="12">
                  <c:v>42.022621692988672</c:v>
                </c:pt>
                <c:pt idx="13">
                  <c:v>43.730099527652825</c:v>
                </c:pt>
                <c:pt idx="14">
                  <c:v>45.415616232610695</c:v>
                </c:pt>
                <c:pt idx="15">
                  <c:v>47.079171807862274</c:v>
                </c:pt>
                <c:pt idx="16">
                  <c:v>48.720766253407561</c:v>
                </c:pt>
                <c:pt idx="17">
                  <c:v>50.34039956924655</c:v>
                </c:pt>
                <c:pt idx="18">
                  <c:v>51.938071755379262</c:v>
                </c:pt>
                <c:pt idx="19">
                  <c:v>52.574944516861713</c:v>
                </c:pt>
                <c:pt idx="20">
                  <c:v>54.134184726008399</c:v>
                </c:pt>
                <c:pt idx="21">
                  <c:v>54.743606075357981</c:v>
                </c:pt>
                <c:pt idx="22">
                  <c:v>54.419679412190177</c:v>
                </c:pt>
                <c:pt idx="23">
                  <c:v>54.095752749022381</c:v>
                </c:pt>
                <c:pt idx="24">
                  <c:v>53.771826085854578</c:v>
                </c:pt>
                <c:pt idx="25">
                  <c:v>53.447899422686788</c:v>
                </c:pt>
                <c:pt idx="26">
                  <c:v>53.123972759518985</c:v>
                </c:pt>
              </c:numCache>
            </c:numRef>
          </c:yVal>
          <c:smooth val="1"/>
          <c:extLst>
            <c:ext xmlns:c16="http://schemas.microsoft.com/office/drawing/2014/chart" uri="{C3380CC4-5D6E-409C-BE32-E72D297353CC}">
              <c16:uniqueId val="{00000000-6759-4546-9889-D3DA223499E3}"/>
            </c:ext>
          </c:extLst>
        </c:ser>
        <c:ser>
          <c:idx val="1"/>
          <c:order val="1"/>
          <c:tx>
            <c:strRef>
              <c:f>'WS-TRX-UU'!$Y$46</c:f>
              <c:strCache>
                <c:ptCount val="1"/>
                <c:pt idx="0">
                  <c:v>σ₃=100 kPa</c:v>
                </c:pt>
              </c:strCache>
            </c:strRef>
          </c:tx>
          <c:spPr>
            <a:ln w="19050" cap="rnd">
              <a:solidFill>
                <a:schemeClr val="accent2"/>
              </a:solidFill>
              <a:round/>
            </a:ln>
            <a:effectLst/>
          </c:spPr>
          <c:marker>
            <c:symbol val="none"/>
          </c:marker>
          <c:xVal>
            <c:numRef>
              <c:f>'WS-TRX-UU'!$J$46:$J$74</c:f>
              <c:numCache>
                <c:formatCode>0.000</c:formatCode>
                <c:ptCount val="29"/>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numCache>
            </c:numRef>
          </c:xVal>
          <c:yVal>
            <c:numRef>
              <c:f>'WS-TRX-UU'!$L$46:$L$74</c:f>
              <c:numCache>
                <c:formatCode>0.000</c:formatCode>
                <c:ptCount val="29"/>
                <c:pt idx="0">
                  <c:v>0</c:v>
                </c:pt>
                <c:pt idx="1">
                  <c:v>15.564950679334059</c:v>
                </c:pt>
                <c:pt idx="2">
                  <c:v>25.804327404892444</c:v>
                </c:pt>
                <c:pt idx="3">
                  <c:v>33.880532854381116</c:v>
                </c:pt>
                <c:pt idx="4">
                  <c:v>38.805316191016971</c:v>
                </c:pt>
                <c:pt idx="5">
                  <c:v>43.675196703387094</c:v>
                </c:pt>
                <c:pt idx="6">
                  <c:v>47.479962425002086</c:v>
                </c:pt>
                <c:pt idx="7">
                  <c:v>51.240805887204502</c:v>
                </c:pt>
                <c:pt idx="8">
                  <c:v>53.958495688358063</c:v>
                </c:pt>
                <c:pt idx="9">
                  <c:v>57.636984914161879</c:v>
                </c:pt>
                <c:pt idx="10">
                  <c:v>59.295050206986879</c:v>
                </c:pt>
                <c:pt idx="11">
                  <c:v>60.931154370105602</c:v>
                </c:pt>
                <c:pt idx="12">
                  <c:v>62.54529740351802</c:v>
                </c:pt>
                <c:pt idx="13">
                  <c:v>64.13747930722414</c:v>
                </c:pt>
                <c:pt idx="14">
                  <c:v>65.70770008122399</c:v>
                </c:pt>
                <c:pt idx="15">
                  <c:v>67.255959725517528</c:v>
                </c:pt>
                <c:pt idx="16">
                  <c:v>68.782258240104795</c:v>
                </c:pt>
                <c:pt idx="17">
                  <c:v>70.286595624985765</c:v>
                </c:pt>
                <c:pt idx="18">
                  <c:v>71.768971880160422</c:v>
                </c:pt>
                <c:pt idx="19">
                  <c:v>72.290548710684845</c:v>
                </c:pt>
                <c:pt idx="20">
                  <c:v>72.801144976356127</c:v>
                </c:pt>
                <c:pt idx="21">
                  <c:v>73.300760677174239</c:v>
                </c:pt>
                <c:pt idx="22">
                  <c:v>73.328212089307115</c:v>
                </c:pt>
                <c:pt idx="23">
                  <c:v>73.350173219013399</c:v>
                </c:pt>
                <c:pt idx="24">
                  <c:v>72.910950624887562</c:v>
                </c:pt>
                <c:pt idx="25">
                  <c:v>72.471728030761739</c:v>
                </c:pt>
                <c:pt idx="26">
                  <c:v>72.032505436635915</c:v>
                </c:pt>
                <c:pt idx="27">
                  <c:v>71.593282842510078</c:v>
                </c:pt>
                <c:pt idx="28">
                  <c:v>71.154060248384269</c:v>
                </c:pt>
              </c:numCache>
            </c:numRef>
          </c:yVal>
          <c:smooth val="1"/>
          <c:extLst>
            <c:ext xmlns:c16="http://schemas.microsoft.com/office/drawing/2014/chart" uri="{C3380CC4-5D6E-409C-BE32-E72D297353CC}">
              <c16:uniqueId val="{00000001-6759-4546-9889-D3DA223499E3}"/>
            </c:ext>
          </c:extLst>
        </c:ser>
        <c:ser>
          <c:idx val="2"/>
          <c:order val="2"/>
          <c:tx>
            <c:strRef>
              <c:f>'WS-TRX-UU'!$Y$47</c:f>
              <c:strCache>
                <c:ptCount val="1"/>
                <c:pt idx="0">
                  <c:v>σ₃=200 kPa</c:v>
                </c:pt>
              </c:strCache>
            </c:strRef>
          </c:tx>
          <c:spPr>
            <a:ln w="19050" cap="rnd">
              <a:solidFill>
                <a:schemeClr val="accent3"/>
              </a:solidFill>
              <a:round/>
            </a:ln>
            <a:effectLst/>
          </c:spPr>
          <c:marker>
            <c:symbol val="none"/>
          </c:marker>
          <c:xVal>
            <c:numRef>
              <c:f>'WS-TRX-UU'!$P$46:$P$76</c:f>
              <c:numCache>
                <c:formatCode>0.000</c:formatCode>
                <c:ptCount val="31"/>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pt idx="29">
                  <c:v>15.263157894736842</c:v>
                </c:pt>
                <c:pt idx="30">
                  <c:v>15.789473684210526</c:v>
                </c:pt>
              </c:numCache>
            </c:numRef>
          </c:xVal>
          <c:yVal>
            <c:numRef>
              <c:f>'WS-TRX-UU'!$R$46:$R$76</c:f>
              <c:numCache>
                <c:formatCode>0.000</c:formatCode>
                <c:ptCount val="31"/>
                <c:pt idx="0">
                  <c:v>0</c:v>
                </c:pt>
                <c:pt idx="1">
                  <c:v>34.242891494534931</c:v>
                </c:pt>
                <c:pt idx="2">
                  <c:v>46.447789328806394</c:v>
                </c:pt>
                <c:pt idx="3">
                  <c:v>56.467554757301862</c:v>
                </c:pt>
                <c:pt idx="4">
                  <c:v>64.335129474580768</c:v>
                </c:pt>
                <c:pt idx="5">
                  <c:v>70.083455175202545</c:v>
                </c:pt>
                <c:pt idx="6">
                  <c:v>75.76589748670547</c:v>
                </c:pt>
                <c:pt idx="7">
                  <c:v>80.377734725026656</c:v>
                </c:pt>
                <c:pt idx="8">
                  <c:v>84.934669139082146</c:v>
                </c:pt>
                <c:pt idx="9">
                  <c:v>88.442959609662196</c:v>
                </c:pt>
                <c:pt idx="10">
                  <c:v>92.895578657612788</c:v>
                </c:pt>
                <c:pt idx="11">
                  <c:v>98.2760554356542</c:v>
                </c:pt>
                <c:pt idx="12">
                  <c:v>99.681567736856849</c:v>
                </c:pt>
                <c:pt idx="13">
                  <c:v>102.0368988978566</c:v>
                </c:pt>
                <c:pt idx="14">
                  <c:v>106.29186777845057</c:v>
                </c:pt>
                <c:pt idx="15">
                  <c:v>108.57033498547831</c:v>
                </c:pt>
                <c:pt idx="16">
                  <c:v>109.86055135572295</c:v>
                </c:pt>
                <c:pt idx="17">
                  <c:v>112.07862545605836</c:v>
                </c:pt>
                <c:pt idx="18">
                  <c:v>113.31942928446384</c:v>
                </c:pt>
                <c:pt idx="19">
                  <c:v>114.53827198316301</c:v>
                </c:pt>
                <c:pt idx="20">
                  <c:v>115.73515355215591</c:v>
                </c:pt>
                <c:pt idx="21">
                  <c:v>116.91007399144246</c:v>
                </c:pt>
                <c:pt idx="22">
                  <c:v>118.06303330102277</c:v>
                </c:pt>
                <c:pt idx="23">
                  <c:v>119.1940314808968</c:v>
                </c:pt>
                <c:pt idx="24">
                  <c:v>119.3916816482534</c:v>
                </c:pt>
                <c:pt idx="25">
                  <c:v>119.12540295056462</c:v>
                </c:pt>
                <c:pt idx="26">
                  <c:v>118.85363397044927</c:v>
                </c:pt>
                <c:pt idx="27">
                  <c:v>118.12891669014164</c:v>
                </c:pt>
                <c:pt idx="28">
                  <c:v>117.40419940983404</c:v>
                </c:pt>
                <c:pt idx="29">
                  <c:v>116.67948212952639</c:v>
                </c:pt>
                <c:pt idx="30">
                  <c:v>115.9547648492188</c:v>
                </c:pt>
              </c:numCache>
            </c:numRef>
          </c:yVal>
          <c:smooth val="1"/>
          <c:extLst>
            <c:ext xmlns:c16="http://schemas.microsoft.com/office/drawing/2014/chart" uri="{C3380CC4-5D6E-409C-BE32-E72D297353CC}">
              <c16:uniqueId val="{00000002-6759-4546-9889-D3DA223499E3}"/>
            </c:ext>
          </c:extLst>
        </c:ser>
        <c:dLbls>
          <c:showLegendKey val="0"/>
          <c:showVal val="0"/>
          <c:showCatName val="0"/>
          <c:showSerName val="0"/>
          <c:showPercent val="0"/>
          <c:showBubbleSize val="0"/>
        </c:dLbls>
        <c:axId val="468434320"/>
        <c:axId val="468518144"/>
      </c:scatterChart>
      <c:valAx>
        <c:axId val="468434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Strain (%)</a:t>
                </a:r>
              </a:p>
            </c:rich>
          </c:tx>
          <c:layout>
            <c:manualLayout>
              <c:xMode val="edge"/>
              <c:yMode val="edge"/>
              <c:x val="0.38414061268587157"/>
              <c:y val="0.814015006198954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518144"/>
        <c:crosses val="autoZero"/>
        <c:crossBetween val="midCat"/>
      </c:valAx>
      <c:valAx>
        <c:axId val="468518144"/>
        <c:scaling>
          <c:orientation val="minMax"/>
          <c:max val="1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Deviator Stress at Fiailure , (</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1</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 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3</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f  (kPa)</a:t>
                </a:r>
              </a:p>
            </c:rich>
          </c:tx>
          <c:layout>
            <c:manualLayout>
              <c:xMode val="edge"/>
              <c:yMode val="edge"/>
              <c:x val="5.4407736577095821E-2"/>
              <c:y val="2.742721872621171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434320"/>
        <c:crosses val="autoZero"/>
        <c:crossBetween val="midCat"/>
        <c:majorUnit val="50"/>
      </c:valAx>
      <c:spPr>
        <a:noFill/>
        <a:ln>
          <a:noFill/>
        </a:ln>
        <a:effectLst/>
      </c:spPr>
    </c:plotArea>
    <c:legend>
      <c:legendPos val="b"/>
      <c:layout>
        <c:manualLayout>
          <c:xMode val="edge"/>
          <c:yMode val="edge"/>
          <c:x val="4.3135570887388799E-2"/>
          <c:y val="0.88267247297934881"/>
          <c:w val="0.90322038827681528"/>
          <c:h val="0.117327527020651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'WS-TRX-UU'!$C$148</c:f>
              <c:strCache>
                <c:ptCount val="1"/>
                <c:pt idx="0">
                  <c:v>σ₃=50 kPa</c:v>
                </c:pt>
              </c:strCache>
            </c:strRef>
          </c:tx>
          <c:spPr>
            <a:ln w="12700" cap="rnd">
              <a:solidFill>
                <a:schemeClr val="accent1"/>
              </a:solidFill>
              <a:round/>
            </a:ln>
            <a:effectLst/>
          </c:spPr>
          <c:marker>
            <c:symbol val="none"/>
          </c:marker>
          <c:xVal>
            <c:numRef>
              <c:f>'WS-TRX-UU'!$C$90:$C$126</c:f>
              <c:numCache>
                <c:formatCode>0.00</c:formatCode>
                <c:ptCount val="37"/>
                <c:pt idx="0">
                  <c:v>104.74360607535797</c:v>
                </c:pt>
                <c:pt idx="1">
                  <c:v>104.63944810102633</c:v>
                </c:pt>
                <c:pt idx="2">
                  <c:v>104.32776688310835</c:v>
                </c:pt>
                <c:pt idx="3">
                  <c:v>103.8109345038707</c:v>
                </c:pt>
                <c:pt idx="4">
                  <c:v>103.09288436979125</c:v>
                </c:pt>
                <c:pt idx="5">
                  <c:v>102.17908127596088</c:v>
                </c:pt>
                <c:pt idx="6">
                  <c:v>101.07647981569306</c:v>
                </c:pt>
                <c:pt idx="7">
                  <c:v>99.793471451869365</c:v>
                </c:pt>
                <c:pt idx="8">
                  <c:v>98.339820652840132</c:v>
                </c:pt>
                <c:pt idx="9">
                  <c:v>96.726590578924345</c:v>
                </c:pt>
                <c:pt idx="10">
                  <c:v>94.96605888507942</c:v>
                </c:pt>
                <c:pt idx="11">
                  <c:v>93.071624280533641</c:v>
                </c:pt>
                <c:pt idx="12">
                  <c:v>91.057704556518487</c:v>
                </c:pt>
                <c:pt idx="13">
                  <c:v>88.939626858171678</c:v>
                </c:pt>
                <c:pt idx="14">
                  <c:v>86.733511035707934</c:v>
                </c:pt>
                <c:pt idx="15">
                  <c:v>84.45614696262534</c:v>
                </c:pt>
                <c:pt idx="16">
                  <c:v>82.124866754630091</c:v>
                </c:pt>
                <c:pt idx="17">
                  <c:v>79.757412861770504</c:v>
                </c:pt>
                <c:pt idx="18">
                  <c:v>77.371803037678987</c:v>
                </c:pt>
                <c:pt idx="19">
                  <c:v>74.98619321358747</c:v>
                </c:pt>
                <c:pt idx="20">
                  <c:v>72.618739320727883</c:v>
                </c:pt>
                <c:pt idx="21">
                  <c:v>70.287459112732634</c:v>
                </c:pt>
                <c:pt idx="22">
                  <c:v>68.010095039650039</c:v>
                </c:pt>
                <c:pt idx="23">
                  <c:v>65.803979217186296</c:v>
                </c:pt>
                <c:pt idx="24">
                  <c:v>63.685901518839501</c:v>
                </c:pt>
                <c:pt idx="25">
                  <c:v>61.671981794824333</c:v>
                </c:pt>
                <c:pt idx="26">
                  <c:v>59.777547190278554</c:v>
                </c:pt>
                <c:pt idx="27">
                  <c:v>58.017015496433636</c:v>
                </c:pt>
                <c:pt idx="28">
                  <c:v>56.403785422517842</c:v>
                </c:pt>
                <c:pt idx="29">
                  <c:v>54.950134623488609</c:v>
                </c:pt>
                <c:pt idx="30">
                  <c:v>53.667126259664911</c:v>
                </c:pt>
                <c:pt idx="31">
                  <c:v>52.564524799397091</c:v>
                </c:pt>
                <c:pt idx="32">
                  <c:v>51.650721705566738</c:v>
                </c:pt>
                <c:pt idx="33">
                  <c:v>50.932671571487283</c:v>
                </c:pt>
                <c:pt idx="34">
                  <c:v>50.415839192249614</c:v>
                </c:pt>
                <c:pt idx="35">
                  <c:v>50.104157974331642</c:v>
                </c:pt>
                <c:pt idx="36">
                  <c:v>50</c:v>
                </c:pt>
              </c:numCache>
            </c:numRef>
          </c:xVal>
          <c:yVal>
            <c:numRef>
              <c:f>'WS-TRX-UU'!$D$90:$D$126</c:f>
              <c:numCache>
                <c:formatCode>General</c:formatCode>
                <c:ptCount val="37"/>
                <c:pt idx="0">
                  <c:v>0</c:v>
                </c:pt>
                <c:pt idx="1">
                  <c:v>2.3856098240915182</c:v>
                </c:pt>
                <c:pt idx="2">
                  <c:v>4.7530637169511039</c:v>
                </c:pt>
                <c:pt idx="3">
                  <c:v>7.084343924946352</c:v>
                </c:pt>
                <c:pt idx="4">
                  <c:v>9.3617079980289422</c:v>
                </c:pt>
                <c:pt idx="5">
                  <c:v>11.56782382049269</c:v>
                </c:pt>
                <c:pt idx="6">
                  <c:v>13.685901518839492</c:v>
                </c:pt>
                <c:pt idx="7">
                  <c:v>15.69982124285465</c:v>
                </c:pt>
                <c:pt idx="8">
                  <c:v>17.594255847400429</c:v>
                </c:pt>
                <c:pt idx="9">
                  <c:v>19.354787541245351</c:v>
                </c:pt>
                <c:pt idx="10">
                  <c:v>20.968017615161152</c:v>
                </c:pt>
                <c:pt idx="11">
                  <c:v>22.421668414190378</c:v>
                </c:pt>
                <c:pt idx="12">
                  <c:v>23.704676778014068</c:v>
                </c:pt>
                <c:pt idx="13">
                  <c:v>24.807278238281896</c:v>
                </c:pt>
                <c:pt idx="14">
                  <c:v>25.721081332112252</c:v>
                </c:pt>
                <c:pt idx="15">
                  <c:v>26.439131466191707</c:v>
                </c:pt>
                <c:pt idx="16">
                  <c:v>26.955963845429373</c:v>
                </c:pt>
                <c:pt idx="17">
                  <c:v>27.267645063347342</c:v>
                </c:pt>
                <c:pt idx="18">
                  <c:v>27.371803037678987</c:v>
                </c:pt>
                <c:pt idx="19">
                  <c:v>27.267645063347342</c:v>
                </c:pt>
                <c:pt idx="20">
                  <c:v>26.955963845429373</c:v>
                </c:pt>
                <c:pt idx="21">
                  <c:v>26.439131466191707</c:v>
                </c:pt>
                <c:pt idx="22">
                  <c:v>25.721081332112256</c:v>
                </c:pt>
                <c:pt idx="23">
                  <c:v>24.807278238281899</c:v>
                </c:pt>
                <c:pt idx="24">
                  <c:v>23.704676778014072</c:v>
                </c:pt>
                <c:pt idx="25">
                  <c:v>22.421668414190375</c:v>
                </c:pt>
                <c:pt idx="26">
                  <c:v>20.968017615161152</c:v>
                </c:pt>
                <c:pt idx="27">
                  <c:v>19.354787541245354</c:v>
                </c:pt>
                <c:pt idx="28">
                  <c:v>17.594255847400436</c:v>
                </c:pt>
                <c:pt idx="29">
                  <c:v>15.699821242854647</c:v>
                </c:pt>
                <c:pt idx="30">
                  <c:v>13.685901518839492</c:v>
                </c:pt>
                <c:pt idx="31">
                  <c:v>11.567823820492691</c:v>
                </c:pt>
                <c:pt idx="32">
                  <c:v>9.3617079980289457</c:v>
                </c:pt>
                <c:pt idx="33">
                  <c:v>7.0843439249463591</c:v>
                </c:pt>
                <c:pt idx="34">
                  <c:v>4.753063716951103</c:v>
                </c:pt>
                <c:pt idx="35">
                  <c:v>2.3856098240915187</c:v>
                </c:pt>
                <c:pt idx="36">
                  <c:v>3.3534522199675483E-15</c:v>
                </c:pt>
              </c:numCache>
            </c:numRef>
          </c:yVal>
          <c:smooth val="1"/>
          <c:extLst>
            <c:ext xmlns:c16="http://schemas.microsoft.com/office/drawing/2014/chart" uri="{C3380CC4-5D6E-409C-BE32-E72D297353CC}">
              <c16:uniqueId val="{00000000-7BAC-4245-AB0D-7D77A3645EFB}"/>
            </c:ext>
          </c:extLst>
        </c:ser>
        <c:ser>
          <c:idx val="1"/>
          <c:order val="1"/>
          <c:tx>
            <c:strRef>
              <c:f>'WS-TRX-UU'!$C$149</c:f>
              <c:strCache>
                <c:ptCount val="1"/>
                <c:pt idx="0">
                  <c:v>σ₃=100 kPa</c:v>
                </c:pt>
              </c:strCache>
            </c:strRef>
          </c:tx>
          <c:spPr>
            <a:ln w="12700" cap="rnd">
              <a:solidFill>
                <a:schemeClr val="accent2"/>
              </a:solidFill>
              <a:round/>
            </a:ln>
            <a:effectLst/>
          </c:spPr>
          <c:marker>
            <c:symbol val="none"/>
          </c:marker>
          <c:xVal>
            <c:numRef>
              <c:f>'WS-TRX-UU'!$I$90:$I$126</c:f>
              <c:numCache>
                <c:formatCode>0.00</c:formatCode>
                <c:ptCount val="37"/>
                <c:pt idx="0">
                  <c:v>173.35017321901341</c:v>
                </c:pt>
                <c:pt idx="1">
                  <c:v>173.21061344195286</c:v>
                </c:pt>
                <c:pt idx="2">
                  <c:v>172.79299624494314</c:v>
                </c:pt>
                <c:pt idx="3">
                  <c:v>172.10049994701762</c:v>
                </c:pt>
                <c:pt idx="4">
                  <c:v>171.13839486314424</c:v>
                </c:pt>
                <c:pt idx="5">
                  <c:v>169.9140031939462</c:v>
                </c:pt>
                <c:pt idx="6">
                  <c:v>168.43664329933401</c:v>
                </c:pt>
                <c:pt idx="7">
                  <c:v>166.71755878015995</c:v>
                </c:pt>
                <c:pt idx="8">
                  <c:v>164.76983290762655</c:v>
                </c:pt>
                <c:pt idx="9">
                  <c:v>162.60828905169285</c:v>
                </c:pt>
                <c:pt idx="10">
                  <c:v>160.24937786627834</c:v>
                </c:pt>
                <c:pt idx="11">
                  <c:v>157.71105208985352</c:v>
                </c:pt>
                <c:pt idx="12">
                  <c:v>155.01262991426006</c:v>
                </c:pt>
                <c:pt idx="13">
                  <c:v>152.17464796160604</c:v>
                </c:pt>
                <c:pt idx="14">
                  <c:v>149.21870498817151</c:v>
                </c:pt>
                <c:pt idx="15">
                  <c:v>146.16729750483148</c:v>
                </c:pt>
                <c:pt idx="16">
                  <c:v>143.0436485650244</c:v>
                </c:pt>
                <c:pt idx="17">
                  <c:v>139.87153102329296</c:v>
                </c:pt>
                <c:pt idx="18">
                  <c:v>136.67508660950671</c:v>
                </c:pt>
                <c:pt idx="19">
                  <c:v>133.47864219572045</c:v>
                </c:pt>
                <c:pt idx="20">
                  <c:v>130.30652465398902</c:v>
                </c:pt>
                <c:pt idx="21">
                  <c:v>127.18287571418193</c:v>
                </c:pt>
                <c:pt idx="22">
                  <c:v>124.1314682308419</c:v>
                </c:pt>
                <c:pt idx="23">
                  <c:v>121.17552525740739</c:v>
                </c:pt>
                <c:pt idx="24">
                  <c:v>118.33754330475335</c:v>
                </c:pt>
                <c:pt idx="25">
                  <c:v>115.63912112915988</c:v>
                </c:pt>
                <c:pt idx="26">
                  <c:v>113.10079535273508</c:v>
                </c:pt>
                <c:pt idx="27">
                  <c:v>110.74188416732056</c:v>
                </c:pt>
                <c:pt idx="28">
                  <c:v>108.58034031138686</c:v>
                </c:pt>
                <c:pt idx="29">
                  <c:v>106.63261443885345</c:v>
                </c:pt>
                <c:pt idx="30">
                  <c:v>104.91352991967941</c:v>
                </c:pt>
                <c:pt idx="31">
                  <c:v>103.43617002506721</c:v>
                </c:pt>
                <c:pt idx="32">
                  <c:v>102.21177835586917</c:v>
                </c:pt>
                <c:pt idx="33">
                  <c:v>101.2496732719958</c:v>
                </c:pt>
                <c:pt idx="34">
                  <c:v>100.55717697407029</c:v>
                </c:pt>
                <c:pt idx="35">
                  <c:v>100.13955977706055</c:v>
                </c:pt>
                <c:pt idx="36">
                  <c:v>100</c:v>
                </c:pt>
              </c:numCache>
            </c:numRef>
          </c:xVal>
          <c:yVal>
            <c:numRef>
              <c:f>'WS-TRX-UU'!$J$90:$J$126</c:f>
              <c:numCache>
                <c:formatCode>General</c:formatCode>
                <c:ptCount val="37"/>
                <c:pt idx="0">
                  <c:v>0</c:v>
                </c:pt>
                <c:pt idx="1">
                  <c:v>3.1964444137862493</c:v>
                </c:pt>
                <c:pt idx="2">
                  <c:v>6.368561955517678</c:v>
                </c:pt>
                <c:pt idx="3">
                  <c:v>9.4922108953247708</c:v>
                </c:pt>
                <c:pt idx="4">
                  <c:v>12.543618378664798</c:v>
                </c:pt>
                <c:pt idx="5">
                  <c:v>15.499561352099327</c:v>
                </c:pt>
                <c:pt idx="6">
                  <c:v>18.33754330475335</c:v>
                </c:pt>
                <c:pt idx="7">
                  <c:v>21.035965480346825</c:v>
                </c:pt>
                <c:pt idx="8">
                  <c:v>23.57429125677162</c:v>
                </c:pt>
                <c:pt idx="9">
                  <c:v>25.933202442186136</c:v>
                </c:pt>
                <c:pt idx="10">
                  <c:v>28.094746298119851</c:v>
                </c:pt>
                <c:pt idx="11">
                  <c:v>30.042472170653248</c:v>
                </c:pt>
                <c:pt idx="12">
                  <c:v>31.761556689827302</c:v>
                </c:pt>
                <c:pt idx="13">
                  <c:v>33.238916584439494</c:v>
                </c:pt>
                <c:pt idx="14">
                  <c:v>34.463308253637528</c:v>
                </c:pt>
                <c:pt idx="15">
                  <c:v>35.425413337510911</c:v>
                </c:pt>
                <c:pt idx="16">
                  <c:v>36.117909635436419</c:v>
                </c:pt>
                <c:pt idx="17">
                  <c:v>36.535526832446152</c:v>
                </c:pt>
                <c:pt idx="18">
                  <c:v>36.675086609506707</c:v>
                </c:pt>
                <c:pt idx="19">
                  <c:v>36.535526832446152</c:v>
                </c:pt>
                <c:pt idx="20">
                  <c:v>36.117909635436419</c:v>
                </c:pt>
                <c:pt idx="21">
                  <c:v>35.425413337510911</c:v>
                </c:pt>
                <c:pt idx="22">
                  <c:v>34.463308253637535</c:v>
                </c:pt>
                <c:pt idx="23">
                  <c:v>33.238916584439501</c:v>
                </c:pt>
                <c:pt idx="24">
                  <c:v>31.761556689827305</c:v>
                </c:pt>
                <c:pt idx="25">
                  <c:v>30.042472170653244</c:v>
                </c:pt>
                <c:pt idx="26">
                  <c:v>28.094746298119851</c:v>
                </c:pt>
                <c:pt idx="27">
                  <c:v>25.93320244218614</c:v>
                </c:pt>
                <c:pt idx="28">
                  <c:v>23.574291256771627</c:v>
                </c:pt>
                <c:pt idx="29">
                  <c:v>21.035965480346821</c:v>
                </c:pt>
                <c:pt idx="30">
                  <c:v>18.33754330475335</c:v>
                </c:pt>
                <c:pt idx="31">
                  <c:v>15.499561352099329</c:v>
                </c:pt>
                <c:pt idx="32">
                  <c:v>12.543618378664803</c:v>
                </c:pt>
                <c:pt idx="33">
                  <c:v>9.4922108953247815</c:v>
                </c:pt>
                <c:pt idx="34">
                  <c:v>6.3685619555176762</c:v>
                </c:pt>
                <c:pt idx="35">
                  <c:v>3.1964444137862502</c:v>
                </c:pt>
                <c:pt idx="36">
                  <c:v>4.4932425693276964E-15</c:v>
                </c:pt>
              </c:numCache>
            </c:numRef>
          </c:yVal>
          <c:smooth val="1"/>
          <c:extLst>
            <c:ext xmlns:c16="http://schemas.microsoft.com/office/drawing/2014/chart" uri="{C3380CC4-5D6E-409C-BE32-E72D297353CC}">
              <c16:uniqueId val="{00000001-7BAC-4245-AB0D-7D77A3645EFB}"/>
            </c:ext>
          </c:extLst>
        </c:ser>
        <c:ser>
          <c:idx val="2"/>
          <c:order val="2"/>
          <c:tx>
            <c:strRef>
              <c:f>'WS-TRX-UU'!$C$150</c:f>
              <c:strCache>
                <c:ptCount val="1"/>
                <c:pt idx="0">
                  <c:v>σ₃=200 kPa</c:v>
                </c:pt>
              </c:strCache>
            </c:strRef>
          </c:tx>
          <c:spPr>
            <a:ln w="12700" cap="rnd">
              <a:solidFill>
                <a:schemeClr val="bg2">
                  <a:lumMod val="50000"/>
                </a:schemeClr>
              </a:solidFill>
              <a:round/>
            </a:ln>
            <a:effectLst/>
          </c:spPr>
          <c:marker>
            <c:symbol val="none"/>
          </c:marker>
          <c:xVal>
            <c:numRef>
              <c:f>'WS-TRX-UU'!$N$90:$N$126</c:f>
              <c:numCache>
                <c:formatCode>0.00</c:formatCode>
                <c:ptCount val="37"/>
                <c:pt idx="0">
                  <c:v>319.39168164825332</c:v>
                </c:pt>
                <c:pt idx="1">
                  <c:v>319.16452095125044</c:v>
                </c:pt>
                <c:pt idx="2">
                  <c:v>318.4847676903093</c:v>
                </c:pt>
                <c:pt idx="3">
                  <c:v>317.35759519819192</c:v>
                </c:pt>
                <c:pt idx="4">
                  <c:v>315.79158193816869</c:v>
                </c:pt>
                <c:pt idx="5">
                  <c:v>313.798646216733</c:v>
                </c:pt>
                <c:pt idx="6">
                  <c:v>311.39395547809255</c:v>
                </c:pt>
                <c:pt idx="7">
                  <c:v>308.59581087076032</c:v>
                </c:pt>
                <c:pt idx="8">
                  <c:v>305.42550796476394</c:v>
                </c:pt>
                <c:pt idx="9">
                  <c:v>301.90717467949941</c:v>
                </c:pt>
                <c:pt idx="10">
                  <c:v>298.06758765569521</c:v>
                </c:pt>
                <c:pt idx="11">
                  <c:v>293.93596846900857</c:v>
                </c:pt>
                <c:pt idx="12">
                  <c:v>289.54376123618999</c:v>
                </c:pt>
                <c:pt idx="13">
                  <c:v>284.92439330636859</c:v>
                </c:pt>
                <c:pt idx="14">
                  <c:v>280.11302085874081</c:v>
                </c:pt>
                <c:pt idx="15">
                  <c:v>275.14626134281923</c:v>
                </c:pt>
                <c:pt idx="16">
                  <c:v>270.06191479753141</c:v>
                </c:pt>
                <c:pt idx="17">
                  <c:v>264.89867617009941</c:v>
                </c:pt>
                <c:pt idx="18">
                  <c:v>259.69584082412666</c:v>
                </c:pt>
                <c:pt idx="19">
                  <c:v>254.49300547815392</c:v>
                </c:pt>
                <c:pt idx="20">
                  <c:v>249.32976685072191</c:v>
                </c:pt>
                <c:pt idx="21">
                  <c:v>244.24542030543412</c:v>
                </c:pt>
                <c:pt idx="22">
                  <c:v>239.27866078951254</c:v>
                </c:pt>
                <c:pt idx="23">
                  <c:v>234.46728834188477</c:v>
                </c:pt>
                <c:pt idx="24">
                  <c:v>229.84792041206333</c:v>
                </c:pt>
                <c:pt idx="25">
                  <c:v>225.45571317924478</c:v>
                </c:pt>
                <c:pt idx="26">
                  <c:v>221.32409399255812</c:v>
                </c:pt>
                <c:pt idx="27">
                  <c:v>217.48450696875395</c:v>
                </c:pt>
                <c:pt idx="28">
                  <c:v>213.96617368348939</c:v>
                </c:pt>
                <c:pt idx="29">
                  <c:v>210.79587077749301</c:v>
                </c:pt>
                <c:pt idx="30">
                  <c:v>207.99772617016077</c:v>
                </c:pt>
                <c:pt idx="31">
                  <c:v>205.59303543152029</c:v>
                </c:pt>
                <c:pt idx="32">
                  <c:v>203.60009971008463</c:v>
                </c:pt>
                <c:pt idx="33">
                  <c:v>202.03408645006141</c:v>
                </c:pt>
                <c:pt idx="34">
                  <c:v>200.90691395794403</c:v>
                </c:pt>
                <c:pt idx="35">
                  <c:v>200.22716069700289</c:v>
                </c:pt>
                <c:pt idx="36">
                  <c:v>199.99999999999997</c:v>
                </c:pt>
              </c:numCache>
            </c:numRef>
          </c:xVal>
          <c:yVal>
            <c:numRef>
              <c:f>'WS-TRX-UU'!$O$90:$O$126</c:f>
              <c:numCache>
                <c:formatCode>General</c:formatCode>
                <c:ptCount val="37"/>
                <c:pt idx="0">
                  <c:v>0</c:v>
                </c:pt>
                <c:pt idx="1">
                  <c:v>5.2028353459727361</c:v>
                </c:pt>
                <c:pt idx="2">
                  <c:v>10.366073973404744</c:v>
                </c:pt>
                <c:pt idx="3">
                  <c:v>15.450420518692544</c:v>
                </c:pt>
                <c:pt idx="4">
                  <c:v>20.417180034614116</c:v>
                </c:pt>
                <c:pt idx="5">
                  <c:v>25.228552482241906</c:v>
                </c:pt>
                <c:pt idx="6">
                  <c:v>29.847920412063342</c:v>
                </c:pt>
                <c:pt idx="7">
                  <c:v>34.240127644881881</c:v>
                </c:pt>
                <c:pt idx="8">
                  <c:v>38.371746831568522</c:v>
                </c:pt>
                <c:pt idx="9">
                  <c:v>42.211333855372722</c:v>
                </c:pt>
                <c:pt idx="10">
                  <c:v>45.729667140637282</c:v>
                </c:pt>
                <c:pt idx="11">
                  <c:v>48.899970046633634</c:v>
                </c:pt>
                <c:pt idx="12">
                  <c:v>51.698114653965888</c:v>
                </c:pt>
                <c:pt idx="13">
                  <c:v>54.102805392606363</c:v>
                </c:pt>
                <c:pt idx="14">
                  <c:v>56.095741114042028</c:v>
                </c:pt>
                <c:pt idx="15">
                  <c:v>57.661754374065268</c:v>
                </c:pt>
                <c:pt idx="16">
                  <c:v>58.788926866182642</c:v>
                </c:pt>
                <c:pt idx="17">
                  <c:v>59.46868012712379</c:v>
                </c:pt>
                <c:pt idx="18">
                  <c:v>59.695840824126691</c:v>
                </c:pt>
                <c:pt idx="19">
                  <c:v>59.46868012712379</c:v>
                </c:pt>
                <c:pt idx="20">
                  <c:v>58.788926866182642</c:v>
                </c:pt>
                <c:pt idx="21">
                  <c:v>57.661754374065268</c:v>
                </c:pt>
                <c:pt idx="22">
                  <c:v>56.095741114042035</c:v>
                </c:pt>
                <c:pt idx="23">
                  <c:v>54.102805392606371</c:v>
                </c:pt>
                <c:pt idx="24">
                  <c:v>51.698114653965895</c:v>
                </c:pt>
                <c:pt idx="25">
                  <c:v>48.899970046633626</c:v>
                </c:pt>
                <c:pt idx="26">
                  <c:v>45.729667140637282</c:v>
                </c:pt>
                <c:pt idx="27">
                  <c:v>42.211333855372729</c:v>
                </c:pt>
                <c:pt idx="28">
                  <c:v>38.371746831568537</c:v>
                </c:pt>
                <c:pt idx="29">
                  <c:v>34.240127644881873</c:v>
                </c:pt>
                <c:pt idx="30">
                  <c:v>29.847920412063342</c:v>
                </c:pt>
                <c:pt idx="31">
                  <c:v>25.228552482241909</c:v>
                </c:pt>
                <c:pt idx="32">
                  <c:v>20.417180034614127</c:v>
                </c:pt>
                <c:pt idx="33">
                  <c:v>15.450420518692562</c:v>
                </c:pt>
                <c:pt idx="34">
                  <c:v>10.366073973404742</c:v>
                </c:pt>
                <c:pt idx="35">
                  <c:v>5.2028353459727379</c:v>
                </c:pt>
                <c:pt idx="36">
                  <c:v>7.3136267150149744E-15</c:v>
                </c:pt>
              </c:numCache>
            </c:numRef>
          </c:yVal>
          <c:smooth val="1"/>
          <c:extLst>
            <c:ext xmlns:c16="http://schemas.microsoft.com/office/drawing/2014/chart" uri="{C3380CC4-5D6E-409C-BE32-E72D297353CC}">
              <c16:uniqueId val="{00000002-7BAC-4245-AB0D-7D77A3645EFB}"/>
            </c:ext>
          </c:extLst>
        </c:ser>
        <c:ser>
          <c:idx val="3"/>
          <c:order val="3"/>
          <c:tx>
            <c:strRef>
              <c:f>'WS-TRX-UU'!$C$151</c:f>
              <c:strCache>
                <c:ptCount val="1"/>
                <c:pt idx="0">
                  <c:v>Failure Envelope</c:v>
                </c:pt>
              </c:strCache>
            </c:strRef>
          </c:tx>
          <c:spPr>
            <a:ln w="15875" cap="rnd">
              <a:solidFill>
                <a:schemeClr val="bg2">
                  <a:lumMod val="25000"/>
                </a:schemeClr>
              </a:solidFill>
              <a:round/>
            </a:ln>
            <a:effectLst/>
          </c:spPr>
          <c:marker>
            <c:symbol val="none"/>
          </c:marker>
          <c:xVal>
            <c:numRef>
              <c:f>'WS-TRX-UU'!$K$146:$K$154</c:f>
              <c:numCache>
                <c:formatCode>General</c:formatCode>
                <c:ptCount val="9"/>
                <c:pt idx="0">
                  <c:v>0</c:v>
                </c:pt>
                <c:pt idx="1">
                  <c:v>50</c:v>
                </c:pt>
                <c:pt idx="2">
                  <c:v>100</c:v>
                </c:pt>
                <c:pt idx="3">
                  <c:v>150</c:v>
                </c:pt>
                <c:pt idx="4">
                  <c:v>200</c:v>
                </c:pt>
                <c:pt idx="5">
                  <c:v>250</c:v>
                </c:pt>
                <c:pt idx="6">
                  <c:v>300</c:v>
                </c:pt>
                <c:pt idx="7">
                  <c:v>350</c:v>
                </c:pt>
                <c:pt idx="8">
                  <c:v>400</c:v>
                </c:pt>
              </c:numCache>
            </c:numRef>
          </c:xVal>
          <c:yVal>
            <c:numRef>
              <c:f>'WS-TRX-UU'!$L$146:$L$154</c:f>
              <c:numCache>
                <c:formatCode>0.00</c:formatCode>
                <c:ptCount val="9"/>
                <c:pt idx="0">
                  <c:v>13.239980711833137</c:v>
                </c:pt>
                <c:pt idx="1">
                  <c:v>22.321639834821468</c:v>
                </c:pt>
                <c:pt idx="2">
                  <c:v>31.403298957809799</c:v>
                </c:pt>
                <c:pt idx="3">
                  <c:v>40.48495808079813</c:v>
                </c:pt>
                <c:pt idx="4">
                  <c:v>49.566617203786464</c:v>
                </c:pt>
                <c:pt idx="5">
                  <c:v>58.648276326774791</c:v>
                </c:pt>
                <c:pt idx="6">
                  <c:v>67.729935449763119</c:v>
                </c:pt>
                <c:pt idx="7">
                  <c:v>76.81159457275146</c:v>
                </c:pt>
                <c:pt idx="8">
                  <c:v>85.893253695739787</c:v>
                </c:pt>
              </c:numCache>
            </c:numRef>
          </c:yVal>
          <c:smooth val="1"/>
          <c:extLst>
            <c:ext xmlns:c16="http://schemas.microsoft.com/office/drawing/2014/chart" uri="{C3380CC4-5D6E-409C-BE32-E72D297353CC}">
              <c16:uniqueId val="{00000003-7BAC-4245-AB0D-7D77A3645EFB}"/>
            </c:ext>
          </c:extLst>
        </c:ser>
        <c:dLbls>
          <c:showLegendKey val="0"/>
          <c:showVal val="0"/>
          <c:showCatName val="0"/>
          <c:showSerName val="0"/>
          <c:showPercent val="0"/>
          <c:showBubbleSize val="0"/>
        </c:dLbls>
        <c:axId val="439217376"/>
        <c:axId val="514144944"/>
      </c:scatterChart>
      <c:valAx>
        <c:axId val="439217376"/>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s (kPa)</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4144944"/>
        <c:crosses val="autoZero"/>
        <c:crossBetween val="midCat"/>
        <c:majorUnit val="100"/>
      </c:valAx>
      <c:valAx>
        <c:axId val="514144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stress,t</a:t>
                </a:r>
                <a:r>
                  <a:rPr lang="en-US" sz="800" baseline="0">
                    <a:latin typeface="Arial" panose="020B0604020202020204" pitchFamily="34" charset="0"/>
                    <a:cs typeface="Arial" panose="020B0604020202020204" pitchFamily="34" charset="0"/>
                  </a:rPr>
                  <a:t> (kPa)</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9217376"/>
        <c:crosses val="autoZero"/>
        <c:crossBetween val="midCat"/>
        <c:majorUnit val="25"/>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Saturation Built-up</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Multi'!$J$60:$J$66</c:f>
              <c:numCache>
                <c:formatCode>General</c:formatCode>
                <c:ptCount val="7"/>
                <c:pt idx="0">
                  <c:v>0</c:v>
                </c:pt>
                <c:pt idx="1">
                  <c:v>50</c:v>
                </c:pt>
                <c:pt idx="2">
                  <c:v>100</c:v>
                </c:pt>
                <c:pt idx="3">
                  <c:v>150</c:v>
                </c:pt>
                <c:pt idx="4">
                  <c:v>200</c:v>
                </c:pt>
                <c:pt idx="5">
                  <c:v>240</c:v>
                </c:pt>
                <c:pt idx="6">
                  <c:v>390</c:v>
                </c:pt>
              </c:numCache>
            </c:numRef>
          </c:xVal>
          <c:yVal>
            <c:numRef>
              <c:f>'WS-TRX-CU Multi'!$K$60:$K$66</c:f>
              <c:numCache>
                <c:formatCode>0.00</c:formatCode>
                <c:ptCount val="7"/>
                <c:pt idx="1">
                  <c:v>0.24</c:v>
                </c:pt>
                <c:pt idx="2">
                  <c:v>0.38</c:v>
                </c:pt>
                <c:pt idx="3">
                  <c:v>0.62</c:v>
                </c:pt>
                <c:pt idx="4">
                  <c:v>0.86</c:v>
                </c:pt>
                <c:pt idx="5">
                  <c:v>0.95</c:v>
                </c:pt>
                <c:pt idx="6">
                  <c:v>0.98</c:v>
                </c:pt>
              </c:numCache>
            </c:numRef>
          </c:yVal>
          <c:smooth val="1"/>
          <c:extLst>
            <c:ext xmlns:c16="http://schemas.microsoft.com/office/drawing/2014/chart" uri="{C3380CC4-5D6E-409C-BE32-E72D297353CC}">
              <c16:uniqueId val="{00000000-A6C3-8349-9FFF-6E74BA6066EA}"/>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Multi'!$R$240</c:f>
              <c:strCache>
                <c:ptCount val="1"/>
                <c:pt idx="0">
                  <c:v>σ₃′ =35 kPa</c:v>
                </c:pt>
              </c:strCache>
            </c:strRef>
          </c:tx>
          <c:spPr>
            <a:ln w="12700" cap="rnd">
              <a:solidFill>
                <a:schemeClr val="accent2"/>
              </a:solidFill>
              <a:round/>
            </a:ln>
            <a:effectLst/>
          </c:spPr>
          <c:marker>
            <c:symbol val="none"/>
          </c:marker>
          <c:xVal>
            <c:numRef>
              <c:f>'WS-TRX-CU Multi'!$F$187:$F$223</c:f>
              <c:numCache>
                <c:formatCode>0.00</c:formatCode>
                <c:ptCount val="37"/>
                <c:pt idx="0">
                  <c:v>109.25321247151544</c:v>
                </c:pt>
                <c:pt idx="1">
                  <c:v>109.1119345259595</c:v>
                </c:pt>
                <c:pt idx="2">
                  <c:v>108.68917589976331</c:v>
                </c:pt>
                <c:pt idx="3">
                  <c:v>107.98815404134086</c:v>
                </c:pt>
                <c:pt idx="4">
                  <c:v>107.01420415032334</c:v>
                </c:pt>
                <c:pt idx="5">
                  <c:v>105.7747385734684</c:v>
                </c:pt>
                <c:pt idx="6">
                  <c:v>104.27919039222566</c:v>
                </c:pt>
                <c:pt idx="7">
                  <c:v>102.5389416312911</c:v>
                </c:pt>
                <c:pt idx="8">
                  <c:v>100.56723663452632</c:v>
                </c:pt>
                <c:pt idx="9">
                  <c:v>98.379081267504773</c:v>
                </c:pt>
                <c:pt idx="10">
                  <c:v>95.991128713813794</c:v>
                </c:pt>
                <c:pt idx="11">
                  <c:v>93.421552734272154</c:v>
                </c:pt>
                <c:pt idx="12">
                  <c:v>90.68990935363658</c:v>
                </c:pt>
                <c:pt idx="13">
                  <c:v>87.816988027445063</c:v>
                </c:pt>
                <c:pt idx="14">
                  <c:v>84.824653421707239</c:v>
                </c:pt>
                <c:pt idx="15">
                  <c:v>81.735679009593824</c:v>
                </c:pt>
                <c:pt idx="16">
                  <c:v>78.573573751554747</c:v>
                </c:pt>
                <c:pt idx="17">
                  <c:v>75.362403177935022</c:v>
                </c:pt>
                <c:pt idx="18">
                  <c:v>72.12660623575772</c:v>
                </c:pt>
                <c:pt idx="19">
                  <c:v>68.890809293580418</c:v>
                </c:pt>
                <c:pt idx="20">
                  <c:v>65.679638719960707</c:v>
                </c:pt>
                <c:pt idx="21">
                  <c:v>62.517533461921609</c:v>
                </c:pt>
                <c:pt idx="22">
                  <c:v>59.4285590498082</c:v>
                </c:pt>
                <c:pt idx="23">
                  <c:v>56.436224444070383</c:v>
                </c:pt>
                <c:pt idx="24">
                  <c:v>53.563303117878867</c:v>
                </c:pt>
                <c:pt idx="25">
                  <c:v>50.831659737243278</c:v>
                </c:pt>
                <c:pt idx="26">
                  <c:v>48.262083757701646</c:v>
                </c:pt>
                <c:pt idx="27">
                  <c:v>45.874131204010681</c:v>
                </c:pt>
                <c:pt idx="28">
                  <c:v>43.68597583698913</c:v>
                </c:pt>
                <c:pt idx="29">
                  <c:v>41.714270840224344</c:v>
                </c:pt>
                <c:pt idx="30">
                  <c:v>39.974022079289782</c:v>
                </c:pt>
                <c:pt idx="31">
                  <c:v>38.478473898047049</c:v>
                </c:pt>
                <c:pt idx="32">
                  <c:v>37.239008321192102</c:v>
                </c:pt>
                <c:pt idx="33">
                  <c:v>36.26505843017457</c:v>
                </c:pt>
                <c:pt idx="34">
                  <c:v>35.564036571752126</c:v>
                </c:pt>
                <c:pt idx="35">
                  <c:v>35.141277945555942</c:v>
                </c:pt>
                <c:pt idx="36">
                  <c:v>35</c:v>
                </c:pt>
              </c:numCache>
            </c:numRef>
          </c:xVal>
          <c:yVal>
            <c:numRef>
              <c:f>'WS-TRX-CU Multi'!$G$187:$G$223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1-8738-E54D-9E8F-5FAA07D6713D}"/>
            </c:ext>
          </c:extLst>
        </c:ser>
        <c:ser>
          <c:idx val="3"/>
          <c:order val="1"/>
          <c:tx>
            <c:strRef>
              <c:f>'WS-TRX-CU Multi'!$R$241</c:f>
              <c:strCache>
                <c:ptCount val="1"/>
                <c:pt idx="0">
                  <c:v>σ₃′ =70 kPa</c:v>
                </c:pt>
              </c:strCache>
            </c:strRef>
          </c:tx>
          <c:spPr>
            <a:ln w="12700" cap="rnd">
              <a:solidFill>
                <a:schemeClr val="accent4"/>
              </a:solidFill>
              <a:round/>
            </a:ln>
            <a:effectLst/>
          </c:spPr>
          <c:marker>
            <c:symbol val="none"/>
          </c:marker>
          <c:xVal>
            <c:numRef>
              <c:f>'WS-TRX-CU Multi'!$L$187:$L$223</c:f>
              <c:numCache>
                <c:formatCode>0.00</c:formatCode>
                <c:ptCount val="37"/>
                <c:pt idx="0">
                  <c:v>180.83558405707822</c:v>
                </c:pt>
                <c:pt idx="1">
                  <c:v>180.62470262732077</c:v>
                </c:pt>
                <c:pt idx="2">
                  <c:v>179.99366327306257</c:v>
                </c:pt>
                <c:pt idx="3">
                  <c:v>178.9472685848215</c:v>
                </c:pt>
                <c:pt idx="4">
                  <c:v>177.49348225800546</c:v>
                </c:pt>
                <c:pt idx="5">
                  <c:v>175.64336848438168</c:v>
                </c:pt>
                <c:pt idx="6">
                  <c:v>173.41100774689676</c:v>
                </c:pt>
                <c:pt idx="7">
                  <c:v>170.81338965869912</c:v>
                </c:pt>
                <c:pt idx="8">
                  <c:v>167.8702836619247</c:v>
                </c:pt>
                <c:pt idx="9">
                  <c:v>164.60408857030492</c:v>
                </c:pt>
                <c:pt idx="10">
                  <c:v>161.03966210066952</c:v>
                </c:pt>
                <c:pt idx="11">
                  <c:v>157.20413169071199</c:v>
                </c:pt>
                <c:pt idx="12">
                  <c:v>153.12668804280867</c:v>
                </c:pt>
                <c:pt idx="13">
                  <c:v>148.83836296514789</c:v>
                </c:pt>
                <c:pt idx="14">
                  <c:v>144.37179320093216</c:v>
                </c:pt>
                <c:pt idx="15">
                  <c:v>139.76097204305569</c:v>
                </c:pt>
                <c:pt idx="16">
                  <c:v>135.04099062461987</c:v>
                </c:pt>
                <c:pt idx="17">
                  <c:v>130.2477708542217</c:v>
                </c:pt>
                <c:pt idx="18">
                  <c:v>125.41779202853911</c:v>
                </c:pt>
                <c:pt idx="19">
                  <c:v>120.58781320285654</c:v>
                </c:pt>
                <c:pt idx="20">
                  <c:v>115.79459343245836</c:v>
                </c:pt>
                <c:pt idx="21">
                  <c:v>111.07461201402253</c:v>
                </c:pt>
                <c:pt idx="22">
                  <c:v>106.46379085614606</c:v>
                </c:pt>
                <c:pt idx="23">
                  <c:v>101.99722109193033</c:v>
                </c:pt>
                <c:pt idx="24">
                  <c:v>97.70889601426957</c:v>
                </c:pt>
                <c:pt idx="25">
                  <c:v>93.631452366366233</c:v>
                </c:pt>
                <c:pt idx="26">
                  <c:v>89.795921956408705</c:v>
                </c:pt>
                <c:pt idx="27">
                  <c:v>86.231495486773312</c:v>
                </c:pt>
                <c:pt idx="28">
                  <c:v>82.965300395153534</c:v>
                </c:pt>
                <c:pt idx="29">
                  <c:v>80.022194398379099</c:v>
                </c:pt>
                <c:pt idx="30">
                  <c:v>77.424576310181479</c:v>
                </c:pt>
                <c:pt idx="31">
                  <c:v>75.19221557269654</c:v>
                </c:pt>
                <c:pt idx="32">
                  <c:v>73.342101799072765</c:v>
                </c:pt>
                <c:pt idx="33">
                  <c:v>71.888315472256735</c:v>
                </c:pt>
                <c:pt idx="34">
                  <c:v>70.841920784015656</c:v>
                </c:pt>
                <c:pt idx="35">
                  <c:v>70.21088142975745</c:v>
                </c:pt>
                <c:pt idx="36">
                  <c:v>70</c:v>
                </c:pt>
              </c:numCache>
            </c:numRef>
          </c:xVal>
          <c:yVal>
            <c:numRef>
              <c:f>'WS-TRX-CU Multi'!$M$187:$M$223</c:f>
              <c:numCache>
                <c:formatCode>General</c:formatCode>
                <c:ptCount val="37"/>
                <c:pt idx="0">
                  <c:v>0</c:v>
                </c:pt>
                <c:pt idx="1">
                  <c:v>4.8299788256825762</c:v>
                </c:pt>
                <c:pt idx="2">
                  <c:v>9.6231985960807549</c:v>
                </c:pt>
                <c:pt idx="3">
                  <c:v>14.343180014516578</c:v>
                </c:pt>
                <c:pt idx="4">
                  <c:v>18.954001172393049</c:v>
                </c:pt>
                <c:pt idx="5">
                  <c:v>23.42057093660879</c:v>
                </c:pt>
                <c:pt idx="6">
                  <c:v>27.708896014269552</c:v>
                </c:pt>
                <c:pt idx="7">
                  <c:v>31.786339662172871</c:v>
                </c:pt>
                <c:pt idx="8">
                  <c:v>35.621870072130406</c:v>
                </c:pt>
                <c:pt idx="9">
                  <c:v>39.186296541765799</c:v>
                </c:pt>
                <c:pt idx="10">
                  <c:v>42.452491633385584</c:v>
                </c:pt>
                <c:pt idx="11">
                  <c:v>45.395597630160005</c:v>
                </c:pt>
                <c:pt idx="12">
                  <c:v>47.993215718357625</c:v>
                </c:pt>
                <c:pt idx="13">
                  <c:v>50.225576455842578</c:v>
                </c:pt>
                <c:pt idx="14">
                  <c:v>52.075690229466339</c:v>
                </c:pt>
                <c:pt idx="15">
                  <c:v>53.529476556282383</c:v>
                </c:pt>
                <c:pt idx="16">
                  <c:v>54.575871244523455</c:v>
                </c:pt>
                <c:pt idx="17">
                  <c:v>55.206910598781661</c:v>
                </c:pt>
                <c:pt idx="18">
                  <c:v>55.417792028539111</c:v>
                </c:pt>
                <c:pt idx="19">
                  <c:v>55.206910598781661</c:v>
                </c:pt>
                <c:pt idx="20">
                  <c:v>54.575871244523455</c:v>
                </c:pt>
                <c:pt idx="21">
                  <c:v>53.529476556282383</c:v>
                </c:pt>
                <c:pt idx="22">
                  <c:v>52.075690229466339</c:v>
                </c:pt>
                <c:pt idx="23">
                  <c:v>50.225576455842585</c:v>
                </c:pt>
                <c:pt idx="24">
                  <c:v>47.993215718357632</c:v>
                </c:pt>
                <c:pt idx="25">
                  <c:v>45.395597630159997</c:v>
                </c:pt>
                <c:pt idx="26">
                  <c:v>42.452491633385584</c:v>
                </c:pt>
                <c:pt idx="27">
                  <c:v>39.186296541765806</c:v>
                </c:pt>
                <c:pt idx="28">
                  <c:v>35.62187007213042</c:v>
                </c:pt>
                <c:pt idx="29">
                  <c:v>31.786339662172864</c:v>
                </c:pt>
                <c:pt idx="30">
                  <c:v>27.708896014269552</c:v>
                </c:pt>
                <c:pt idx="31">
                  <c:v>23.420570936608794</c:v>
                </c:pt>
                <c:pt idx="32">
                  <c:v>18.954001172393056</c:v>
                </c:pt>
                <c:pt idx="33">
                  <c:v>14.343180014516594</c:v>
                </c:pt>
                <c:pt idx="34">
                  <c:v>9.6231985960807513</c:v>
                </c:pt>
                <c:pt idx="35">
                  <c:v>4.829978825682578</c:v>
                </c:pt>
                <c:pt idx="36">
                  <c:v>6.789502227821193E-15</c:v>
                </c:pt>
              </c:numCache>
            </c:numRef>
          </c:yVal>
          <c:smooth val="1"/>
          <c:extLst>
            <c:ext xmlns:c16="http://schemas.microsoft.com/office/drawing/2014/chart" uri="{C3380CC4-5D6E-409C-BE32-E72D297353CC}">
              <c16:uniqueId val="{00000003-8738-E54D-9E8F-5FAA07D6713D}"/>
            </c:ext>
          </c:extLst>
        </c:ser>
        <c:ser>
          <c:idx val="5"/>
          <c:order val="2"/>
          <c:tx>
            <c:strRef>
              <c:f>'WS-TRX-CU Multi'!$R$242</c:f>
              <c:strCache>
                <c:ptCount val="1"/>
                <c:pt idx="0">
                  <c:v>σ₃′ =137 kPa</c:v>
                </c:pt>
              </c:strCache>
            </c:strRef>
          </c:tx>
          <c:spPr>
            <a:ln w="12700" cap="rnd">
              <a:solidFill>
                <a:schemeClr val="accent6"/>
              </a:solidFill>
              <a:round/>
            </a:ln>
            <a:effectLst/>
          </c:spPr>
          <c:marker>
            <c:symbol val="none"/>
          </c:marker>
          <c:xVal>
            <c:numRef>
              <c:f>'WS-TRX-CU Multi'!$U$187:$U$223</c:f>
              <c:numCache>
                <c:formatCode>0.00</c:formatCode>
                <c:ptCount val="37"/>
                <c:pt idx="0">
                  <c:v>317.85188438968908</c:v>
                </c:pt>
                <c:pt idx="1">
                  <c:v>317.50778637929932</c:v>
                </c:pt>
                <c:pt idx="2">
                  <c:v>316.47811114176119</c:v>
                </c:pt>
                <c:pt idx="3">
                  <c:v>314.77069512736728</c:v>
                </c:pt>
                <c:pt idx="4">
                  <c:v>312.39853280295307</c:v>
                </c:pt>
                <c:pt idx="5">
                  <c:v>309.37967775615812</c:v>
                </c:pt>
                <c:pt idx="6">
                  <c:v>305.73710529672309</c:v>
                </c:pt>
                <c:pt idx="7">
                  <c:v>301.49853760050962</c:v>
                </c:pt>
                <c:pt idx="8">
                  <c:v>296.69623272700312</c:v>
                </c:pt>
                <c:pt idx="9">
                  <c:v>291.3667391160019</c:v>
                </c:pt>
                <c:pt idx="10">
                  <c:v>285.55061743192186</c:v>
                </c:pt>
                <c:pt idx="11">
                  <c:v>279.29213187264918</c:v>
                </c:pt>
                <c:pt idx="12">
                  <c:v>272.63891329226681</c:v>
                </c:pt>
                <c:pt idx="13">
                  <c:v>265.64159670149468</c:v>
                </c:pt>
                <c:pt idx="14">
                  <c:v>258.35343590468392</c:v>
                </c:pt>
                <c:pt idx="15">
                  <c:v>250.82989820620995</c:v>
                </c:pt>
                <c:pt idx="16">
                  <c:v>243.12824227079449</c:v>
                </c:pt>
                <c:pt idx="17">
                  <c:v>235.307082350493</c:v>
                </c:pt>
                <c:pt idx="18">
                  <c:v>227.42594219484454</c:v>
                </c:pt>
                <c:pt idx="19">
                  <c:v>219.54480203919604</c:v>
                </c:pt>
                <c:pt idx="20">
                  <c:v>211.72364211889462</c:v>
                </c:pt>
                <c:pt idx="21">
                  <c:v>204.02198618347913</c:v>
                </c:pt>
                <c:pt idx="22">
                  <c:v>196.49844848500518</c:v>
                </c:pt>
                <c:pt idx="23">
                  <c:v>189.2102876881944</c:v>
                </c:pt>
                <c:pt idx="24">
                  <c:v>182.2129710974223</c:v>
                </c:pt>
                <c:pt idx="25">
                  <c:v>175.5597525170399</c:v>
                </c:pt>
                <c:pt idx="26">
                  <c:v>169.30126695776724</c:v>
                </c:pt>
                <c:pt idx="27">
                  <c:v>163.48514527368721</c:v>
                </c:pt>
                <c:pt idx="28">
                  <c:v>158.15565166268595</c:v>
                </c:pt>
                <c:pt idx="29">
                  <c:v>153.35334678917943</c:v>
                </c:pt>
                <c:pt idx="30">
                  <c:v>149.11477909296599</c:v>
                </c:pt>
                <c:pt idx="31">
                  <c:v>145.47220663353096</c:v>
                </c:pt>
                <c:pt idx="32">
                  <c:v>142.45335158673601</c:v>
                </c:pt>
                <c:pt idx="33">
                  <c:v>140.0811892623218</c:v>
                </c:pt>
                <c:pt idx="34">
                  <c:v>138.37377324792789</c:v>
                </c:pt>
                <c:pt idx="35">
                  <c:v>137.34409801038976</c:v>
                </c:pt>
                <c:pt idx="36">
                  <c:v>137</c:v>
                </c:pt>
              </c:numCache>
            </c:numRef>
          </c:xVal>
          <c:yVal>
            <c:numRef>
              <c:f>'WS-TRX-CU Multi'!$V$187:$V$223</c:f>
              <c:numCache>
                <c:formatCode>General</c:formatCode>
                <c:ptCount val="37"/>
                <c:pt idx="0">
                  <c:v>0</c:v>
                </c:pt>
                <c:pt idx="1">
                  <c:v>7.8811401556484784</c:v>
                </c:pt>
                <c:pt idx="2">
                  <c:v>15.702300075949937</c:v>
                </c:pt>
                <c:pt idx="3">
                  <c:v>23.403956011365402</c:v>
                </c:pt>
                <c:pt idx="4">
                  <c:v>30.927493709839364</c:v>
                </c:pt>
                <c:pt idx="5">
                  <c:v>38.215654506650168</c:v>
                </c:pt>
                <c:pt idx="6">
                  <c:v>45.212971097422262</c:v>
                </c:pt>
                <c:pt idx="7">
                  <c:v>51.86618967780462</c:v>
                </c:pt>
                <c:pt idx="8">
                  <c:v>58.124675237077291</c:v>
                </c:pt>
                <c:pt idx="9">
                  <c:v>63.940796921157329</c:v>
                </c:pt>
                <c:pt idx="10">
                  <c:v>69.270290532158583</c:v>
                </c:pt>
                <c:pt idx="11">
                  <c:v>74.072595405665112</c:v>
                </c:pt>
                <c:pt idx="12">
                  <c:v>78.311163101878549</c:v>
                </c:pt>
                <c:pt idx="13">
                  <c:v>81.953735561313579</c:v>
                </c:pt>
                <c:pt idx="14">
                  <c:v>84.972590608108518</c:v>
                </c:pt>
                <c:pt idx="15">
                  <c:v>87.344752932522738</c:v>
                </c:pt>
                <c:pt idx="16">
                  <c:v>89.052168946916666</c:v>
                </c:pt>
                <c:pt idx="17">
                  <c:v>90.081844184454795</c:v>
                </c:pt>
                <c:pt idx="18">
                  <c:v>90.425942194844538</c:v>
                </c:pt>
                <c:pt idx="19">
                  <c:v>90.081844184454795</c:v>
                </c:pt>
                <c:pt idx="20">
                  <c:v>89.052168946916666</c:v>
                </c:pt>
                <c:pt idx="21">
                  <c:v>87.344752932522738</c:v>
                </c:pt>
                <c:pt idx="22">
                  <c:v>84.972590608108518</c:v>
                </c:pt>
                <c:pt idx="23">
                  <c:v>81.953735561313593</c:v>
                </c:pt>
                <c:pt idx="24">
                  <c:v>78.311163101878549</c:v>
                </c:pt>
                <c:pt idx="25">
                  <c:v>74.072595405665098</c:v>
                </c:pt>
                <c:pt idx="26">
                  <c:v>69.270290532158583</c:v>
                </c:pt>
                <c:pt idx="27">
                  <c:v>63.940796921157336</c:v>
                </c:pt>
                <c:pt idx="28">
                  <c:v>58.124675237077312</c:v>
                </c:pt>
                <c:pt idx="29">
                  <c:v>51.866189677804606</c:v>
                </c:pt>
                <c:pt idx="30">
                  <c:v>45.212971097422262</c:v>
                </c:pt>
                <c:pt idx="31">
                  <c:v>38.215654506650175</c:v>
                </c:pt>
                <c:pt idx="32">
                  <c:v>30.927493709839379</c:v>
                </c:pt>
                <c:pt idx="33">
                  <c:v>23.403956011365427</c:v>
                </c:pt>
                <c:pt idx="34">
                  <c:v>15.702300075949932</c:v>
                </c:pt>
                <c:pt idx="35">
                  <c:v>7.881140155648481</c:v>
                </c:pt>
                <c:pt idx="36">
                  <c:v>1.1078520336366997E-14</c:v>
                </c:pt>
              </c:numCache>
            </c:numRef>
          </c:yVal>
          <c:smooth val="1"/>
          <c:extLst>
            <c:ext xmlns:c16="http://schemas.microsoft.com/office/drawing/2014/chart" uri="{C3380CC4-5D6E-409C-BE32-E72D297353CC}">
              <c16:uniqueId val="{00000005-8738-E54D-9E8F-5FAA07D6713D}"/>
            </c:ext>
          </c:extLst>
        </c:ser>
        <c:dLbls>
          <c:showLegendKey val="0"/>
          <c:showVal val="0"/>
          <c:showCatName val="0"/>
          <c:showSerName val="0"/>
          <c:showPercent val="0"/>
          <c:showBubbleSize val="0"/>
        </c:dLbls>
        <c:axId val="1145180799"/>
        <c:axId val="1078682415"/>
      </c:scatterChart>
      <c:scatterChart>
        <c:scatterStyle val="lineMarker"/>
        <c:varyColors val="0"/>
        <c:ser>
          <c:idx val="6"/>
          <c:order val="3"/>
          <c:tx>
            <c:strRef>
              <c:f>'WS-TRX-CU Multi'!$R$246</c:f>
              <c:strCache>
                <c:ptCount val="1"/>
                <c:pt idx="0">
                  <c:v>Effective Stress Envelope</c:v>
                </c:pt>
              </c:strCache>
            </c:strRef>
          </c:tx>
          <c:spPr>
            <a:ln w="15875" cap="rnd">
              <a:solidFill>
                <a:schemeClr val="accent1">
                  <a:lumMod val="60000"/>
                </a:schemeClr>
              </a:solidFill>
              <a:round/>
            </a:ln>
            <a:effectLst/>
          </c:spPr>
          <c:marker>
            <c:symbol val="none"/>
          </c:marker>
          <c:xVal>
            <c:numRef>
              <c:f>'WS-TRX-CU Multi'!$M$271:$M$277</c:f>
              <c:numCache>
                <c:formatCode>General</c:formatCode>
                <c:ptCount val="7"/>
                <c:pt idx="0">
                  <c:v>0</c:v>
                </c:pt>
                <c:pt idx="1">
                  <c:v>50</c:v>
                </c:pt>
                <c:pt idx="2">
                  <c:v>100</c:v>
                </c:pt>
                <c:pt idx="3">
                  <c:v>200</c:v>
                </c:pt>
                <c:pt idx="4">
                  <c:v>300</c:v>
                </c:pt>
                <c:pt idx="5">
                  <c:v>400</c:v>
                </c:pt>
                <c:pt idx="6">
                  <c:v>500</c:v>
                </c:pt>
              </c:numCache>
            </c:numRef>
          </c:xVal>
          <c:yVal>
            <c:numRef>
              <c:f>'WS-TRX-CU Multi'!$O$271:$O$277</c:f>
              <c:numCache>
                <c:formatCode>General</c:formatCode>
                <c:ptCount val="7"/>
                <c:pt idx="0">
                  <c:v>13.173350404143219</c:v>
                </c:pt>
                <c:pt idx="1">
                  <c:v>31.443127433699374</c:v>
                </c:pt>
                <c:pt idx="2">
                  <c:v>49.712904463255526</c:v>
                </c:pt>
                <c:pt idx="3">
                  <c:v>86.252458522367832</c:v>
                </c:pt>
                <c:pt idx="4">
                  <c:v>122.79201258148014</c:v>
                </c:pt>
                <c:pt idx="5">
                  <c:v>159.33156664059243</c:v>
                </c:pt>
                <c:pt idx="6">
                  <c:v>195.87112069970473</c:v>
                </c:pt>
              </c:numCache>
            </c:numRef>
          </c:yVal>
          <c:smooth val="0"/>
          <c:extLst>
            <c:ext xmlns:c16="http://schemas.microsoft.com/office/drawing/2014/chart" uri="{C3380CC4-5D6E-409C-BE32-E72D297353CC}">
              <c16:uniqueId val="{00000002-5E95-6B4C-BD29-1D6B7EC27CB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Multi'!$Y$285:$Y$309</c:f>
              <c:numCache>
                <c:formatCode>0.00</c:formatCode>
                <c:ptCount val="25"/>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Multi'!$AC$285:$AC$309</c:f>
              <c:numCache>
                <c:formatCode>General</c:formatCode>
                <c:ptCount val="25"/>
                <c:pt idx="0">
                  <c:v>0</c:v>
                </c:pt>
                <c:pt idx="1">
                  <c:v>8.5787047999803043</c:v>
                </c:pt>
                <c:pt idx="2">
                  <c:v>16.63624892891184</c:v>
                </c:pt>
                <c:pt idx="3">
                  <c:v>23.70240424139012</c:v>
                </c:pt>
                <c:pt idx="4">
                  <c:v>27.420936757828322</c:v>
                </c:pt>
                <c:pt idx="5">
                  <c:v>32.062099181099988</c:v>
                </c:pt>
                <c:pt idx="6">
                  <c:v>34.796882759931577</c:v>
                </c:pt>
                <c:pt idx="7">
                  <c:v>40.799070406913494</c:v>
                </c:pt>
                <c:pt idx="8">
                  <c:v>47.235833431348901</c:v>
                </c:pt>
                <c:pt idx="9">
                  <c:v>50.838494451946346</c:v>
                </c:pt>
                <c:pt idx="10">
                  <c:v>53.025377783765911</c:v>
                </c:pt>
                <c:pt idx="11">
                  <c:v>55.199527984174416</c:v>
                </c:pt>
                <c:pt idx="12">
                  <c:v>56.435768520056179</c:v>
                </c:pt>
                <c:pt idx="13">
                  <c:v>58.586999083924738</c:v>
                </c:pt>
                <c:pt idx="14">
                  <c:v>61.185538156657863</c:v>
                </c:pt>
                <c:pt idx="15">
                  <c:v>63.768797471697695</c:v>
                </c:pt>
                <c:pt idx="16">
                  <c:v>66.336777029044242</c:v>
                </c:pt>
                <c:pt idx="17">
                  <c:v>70.258141931254428</c:v>
                </c:pt>
                <c:pt idx="18">
                  <c:v>72.336793646079869</c:v>
                </c:pt>
                <c:pt idx="19">
                  <c:v>73.495362080354084</c:v>
                </c:pt>
                <c:pt idx="20">
                  <c:v>73.741487112923693</c:v>
                </c:pt>
                <c:pt idx="21">
                  <c:v>73.533937070923216</c:v>
                </c:pt>
                <c:pt idx="22">
                  <c:v>73.776242164069515</c:v>
                </c:pt>
                <c:pt idx="23">
                  <c:v>74.01600063093359</c:v>
                </c:pt>
                <c:pt idx="24">
                  <c:v>74.25321247151544</c:v>
                </c:pt>
              </c:numCache>
            </c:numRef>
          </c:yVal>
          <c:smooth val="1"/>
          <c:extLst>
            <c:ext xmlns:c16="http://schemas.microsoft.com/office/drawing/2014/chart" uri="{C3380CC4-5D6E-409C-BE32-E72D297353CC}">
              <c16:uniqueId val="{00000000-BF70-A243-8C0F-91C396AE7796}"/>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Multi'!$AI$285:$AI$313</c:f>
              <c:numCache>
                <c:formatCode>General</c:formatCode>
                <c:ptCount val="29"/>
                <c:pt idx="0">
                  <c:v>0</c:v>
                </c:pt>
                <c:pt idx="1">
                  <c:v>13.908165733219732</c:v>
                </c:pt>
                <c:pt idx="2">
                  <c:v>29.077819352007406</c:v>
                </c:pt>
                <c:pt idx="3">
                  <c:v>42.374904506546791</c:v>
                </c:pt>
                <c:pt idx="4">
                  <c:v>64.044314757424232</c:v>
                </c:pt>
                <c:pt idx="5">
                  <c:v>70.95243923939023</c:v>
                </c:pt>
                <c:pt idx="6">
                  <c:v>76.050368404432291</c:v>
                </c:pt>
                <c:pt idx="7">
                  <c:v>80.676257131704489</c:v>
                </c:pt>
                <c:pt idx="8">
                  <c:v>85.713112589991482</c:v>
                </c:pt>
                <c:pt idx="9">
                  <c:v>88.965761542739642</c:v>
                </c:pt>
                <c:pt idx="10">
                  <c:v>90.449797276780075</c:v>
                </c:pt>
                <c:pt idx="11">
                  <c:v>91.052125282605161</c:v>
                </c:pt>
                <c:pt idx="12">
                  <c:v>92.083612187414602</c:v>
                </c:pt>
                <c:pt idx="13">
                  <c:v>93.107302448808525</c:v>
                </c:pt>
                <c:pt idx="14">
                  <c:v>93.691438286663995</c:v>
                </c:pt>
                <c:pt idx="15">
                  <c:v>94.700834701796069</c:v>
                </c:pt>
                <c:pt idx="16">
                  <c:v>96.13159337249698</c:v>
                </c:pt>
                <c:pt idx="17">
                  <c:v>97.551956518643792</c:v>
                </c:pt>
                <c:pt idx="18">
                  <c:v>98.108804104544888</c:v>
                </c:pt>
                <c:pt idx="19">
                  <c:v>100.78675681455189</c:v>
                </c:pt>
                <c:pt idx="20">
                  <c:v>103.02255621988198</c:v>
                </c:pt>
                <c:pt idx="21">
                  <c:v>103.97477724996673</c:v>
                </c:pt>
                <c:pt idx="22">
                  <c:v>105.76192614777361</c:v>
                </c:pt>
                <c:pt idx="23">
                  <c:v>106.69595500988878</c:v>
                </c:pt>
                <c:pt idx="24">
                  <c:v>107.62218722858842</c:v>
                </c:pt>
                <c:pt idx="25">
                  <c:v>108.95808673773354</c:v>
                </c:pt>
                <c:pt idx="26">
                  <c:v>109.03509724244923</c:v>
                </c:pt>
                <c:pt idx="27">
                  <c:v>109.93923897147148</c:v>
                </c:pt>
                <c:pt idx="28">
                  <c:v>110.83558405707821</c:v>
                </c:pt>
              </c:numCache>
            </c:numRef>
          </c:yVal>
          <c:smooth val="1"/>
          <c:extLst>
            <c:ext xmlns:c16="http://schemas.microsoft.com/office/drawing/2014/chart" uri="{C3380CC4-5D6E-409C-BE32-E72D297353CC}">
              <c16:uniqueId val="{00000001-BF70-A243-8C0F-91C396AE7796}"/>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Multi'!$AK$285:$AK$314</c:f>
              <c:numCache>
                <c:formatCode>0.00</c:formatCode>
                <c:ptCount val="30"/>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numCache>
            </c:numRef>
          </c:xVal>
          <c:yVal>
            <c:numRef>
              <c:f>'WS-TRX-CU Multi'!$AO$285:$AO$314</c:f>
              <c:numCache>
                <c:formatCode>General</c:formatCode>
                <c:ptCount val="30"/>
                <c:pt idx="0">
                  <c:v>0</c:v>
                </c:pt>
                <c:pt idx="1">
                  <c:v>41.45793952936139</c:v>
                </c:pt>
                <c:pt idx="2">
                  <c:v>61.779962395802876</c:v>
                </c:pt>
                <c:pt idx="3">
                  <c:v>75.729706915934642</c:v>
                </c:pt>
                <c:pt idx="4">
                  <c:v>85.026292644472377</c:v>
                </c:pt>
                <c:pt idx="5">
                  <c:v>95.501756089888289</c:v>
                </c:pt>
                <c:pt idx="6">
                  <c:v>103.43524961231654</c:v>
                </c:pt>
                <c:pt idx="7">
                  <c:v>110.49383214995096</c:v>
                </c:pt>
                <c:pt idx="8">
                  <c:v>119.14205014479795</c:v>
                </c:pt>
                <c:pt idx="9">
                  <c:v>128.13962105023549</c:v>
                </c:pt>
                <c:pt idx="10">
                  <c:v>137.07578712592928</c:v>
                </c:pt>
                <c:pt idx="11">
                  <c:v>145.1397119920355</c:v>
                </c:pt>
                <c:pt idx="12">
                  <c:v>151.93532167185413</c:v>
                </c:pt>
                <c:pt idx="13">
                  <c:v>159.48837222739155</c:v>
                </c:pt>
                <c:pt idx="14">
                  <c:v>164.98095964324133</c:v>
                </c:pt>
                <c:pt idx="15">
                  <c:v>168.03302859394105</c:v>
                </c:pt>
                <c:pt idx="16">
                  <c:v>171.85855707159703</c:v>
                </c:pt>
                <c:pt idx="17">
                  <c:v>175.25730915768111</c:v>
                </c:pt>
                <c:pt idx="18">
                  <c:v>177.04506758490265</c:v>
                </c:pt>
                <c:pt idx="19">
                  <c:v>178.42206827178981</c:v>
                </c:pt>
                <c:pt idx="20">
                  <c:v>178.99891167965822</c:v>
                </c:pt>
                <c:pt idx="21">
                  <c:v>180.35188438968908</c:v>
                </c:pt>
                <c:pt idx="22">
                  <c:v>180.91003937111367</c:v>
                </c:pt>
                <c:pt idx="23">
                  <c:v>182.23898410428831</c:v>
                </c:pt>
                <c:pt idx="24">
                  <c:v>183.55457996143167</c:v>
                </c:pt>
                <c:pt idx="25">
                  <c:v>184.85682694254376</c:v>
                </c:pt>
                <c:pt idx="26">
                  <c:v>186.9165147993746</c:v>
                </c:pt>
                <c:pt idx="27">
                  <c:v>184.73285435877108</c:v>
                </c:pt>
                <c:pt idx="28">
                  <c:v>182.17714791832384</c:v>
                </c:pt>
                <c:pt idx="29">
                  <c:v>179.63479035390785</c:v>
                </c:pt>
              </c:numCache>
            </c:numRef>
          </c:yVal>
          <c:smooth val="1"/>
          <c:extLst>
            <c:ext xmlns:c16="http://schemas.microsoft.com/office/drawing/2014/chart" uri="{C3380CC4-5D6E-409C-BE32-E72D297353CC}">
              <c16:uniqueId val="{00000002-BF70-A243-8C0F-91C396AE7796}"/>
            </c:ext>
          </c:extLst>
        </c:ser>
        <c:dLbls>
          <c:showLegendKey val="0"/>
          <c:showVal val="0"/>
          <c:showCatName val="0"/>
          <c:showSerName val="0"/>
          <c:showPercent val="0"/>
          <c:showBubbleSize val="0"/>
        </c:dLbls>
        <c:axId val="1976424751"/>
        <c:axId val="2012520991"/>
      </c:scatterChart>
      <c:valAx>
        <c:axId val="1976424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Axial Strain, </a:t>
                </a:r>
                <a:r>
                  <a:rPr lang="el-GR" sz="800" b="0" i="0" u="none" strike="noStrike" baseline="0">
                    <a:latin typeface="Arial" panose="020B0604020202020204" pitchFamily="34" charset="0"/>
                    <a:cs typeface="Arial" panose="020B0604020202020204" pitchFamily="34" charset="0"/>
                  </a:rPr>
                  <a:t>ε</a:t>
                </a:r>
                <a:r>
                  <a:rPr lang="en-ID" sz="800" b="0" i="0" u="none" strike="noStrike" baseline="0">
                    <a:latin typeface="Arial" panose="020B0604020202020204" pitchFamily="34" charset="0"/>
                    <a:cs typeface="Arial" panose="020B0604020202020204" pitchFamily="34" charset="0"/>
                  </a:rPr>
                  <a:t>a​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520991"/>
        <c:crosses val="autoZero"/>
        <c:crossBetween val="midCat"/>
      </c:valAx>
      <c:valAx>
        <c:axId val="201252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Deviator Stress, (</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1​</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3</a:t>
                </a:r>
                <a:r>
                  <a:rPr lang="el-GR" sz="800" b="0" i="0" u="none" strike="noStrike" baseline="0">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kPa)</a:t>
                </a:r>
                <a:endParaRPr lang="en-US" sz="800">
                  <a:latin typeface="Arial" panose="020B0604020202020204" pitchFamily="34" charset="0"/>
                  <a:cs typeface="Arial" panose="020B0604020202020204" pitchFamily="34" charset="0"/>
                </a:endParaRPr>
              </a:p>
            </c:rich>
          </c:tx>
          <c:layout>
            <c:manualLayout>
              <c:xMode val="edge"/>
              <c:yMode val="edge"/>
              <c:x val="3.058387172550614E-2"/>
              <c:y val="0.202889807705500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76424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Multi'!$Y$285:$Y$316</c:f>
              <c:numCache>
                <c:formatCode>0.00</c:formatCode>
                <c:ptCount val="32"/>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Multi'!$AA$285:$AA$319</c:f>
              <c:numCache>
                <c:formatCode>General</c:formatCode>
                <c:ptCount val="35"/>
                <c:pt idx="0">
                  <c:v>190</c:v>
                </c:pt>
                <c:pt idx="1">
                  <c:v>190.3</c:v>
                </c:pt>
                <c:pt idx="2">
                  <c:v>190.7</c:v>
                </c:pt>
                <c:pt idx="3">
                  <c:v>191.2</c:v>
                </c:pt>
                <c:pt idx="4">
                  <c:v>191.8</c:v>
                </c:pt>
                <c:pt idx="5">
                  <c:v>192.3</c:v>
                </c:pt>
                <c:pt idx="6">
                  <c:v>193.2</c:v>
                </c:pt>
                <c:pt idx="7">
                  <c:v>194</c:v>
                </c:pt>
                <c:pt idx="8">
                  <c:v>194.8</c:v>
                </c:pt>
                <c:pt idx="9">
                  <c:v>196.5</c:v>
                </c:pt>
                <c:pt idx="10">
                  <c:v>197.8</c:v>
                </c:pt>
                <c:pt idx="11">
                  <c:v>199</c:v>
                </c:pt>
                <c:pt idx="12">
                  <c:v>200</c:v>
                </c:pt>
                <c:pt idx="13">
                  <c:v>201</c:v>
                </c:pt>
                <c:pt idx="14">
                  <c:v>201.7</c:v>
                </c:pt>
                <c:pt idx="15">
                  <c:v>202</c:v>
                </c:pt>
                <c:pt idx="16">
                  <c:v>202.7</c:v>
                </c:pt>
                <c:pt idx="17">
                  <c:v>204.3</c:v>
                </c:pt>
                <c:pt idx="18">
                  <c:v>204.7</c:v>
                </c:pt>
                <c:pt idx="19">
                  <c:v>205</c:v>
                </c:pt>
                <c:pt idx="20">
                  <c:v>205</c:v>
                </c:pt>
                <c:pt idx="21">
                  <c:v>205</c:v>
                </c:pt>
                <c:pt idx="22">
                  <c:v>205</c:v>
                </c:pt>
                <c:pt idx="23">
                  <c:v>205</c:v>
                </c:pt>
                <c:pt idx="24">
                  <c:v>205</c:v>
                </c:pt>
              </c:numCache>
            </c:numRef>
          </c:yVal>
          <c:smooth val="1"/>
          <c:extLst>
            <c:ext xmlns:c16="http://schemas.microsoft.com/office/drawing/2014/chart" uri="{C3380CC4-5D6E-409C-BE32-E72D297353CC}">
              <c16:uniqueId val="{00000000-CD3C-504F-9071-9BEC2A7824DE}"/>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Multi'!$AG$285:$AG$313</c:f>
              <c:numCache>
                <c:formatCode>General</c:formatCode>
                <c:ptCount val="29"/>
                <c:pt idx="0">
                  <c:v>190</c:v>
                </c:pt>
                <c:pt idx="1">
                  <c:v>190.9</c:v>
                </c:pt>
                <c:pt idx="2">
                  <c:v>192.3</c:v>
                </c:pt>
                <c:pt idx="3">
                  <c:v>195.4</c:v>
                </c:pt>
                <c:pt idx="4">
                  <c:v>198.5</c:v>
                </c:pt>
                <c:pt idx="5">
                  <c:v>199.9</c:v>
                </c:pt>
                <c:pt idx="6">
                  <c:v>202.3</c:v>
                </c:pt>
                <c:pt idx="7">
                  <c:v>205.5</c:v>
                </c:pt>
                <c:pt idx="8">
                  <c:v>207.3</c:v>
                </c:pt>
                <c:pt idx="9">
                  <c:v>208.2</c:v>
                </c:pt>
                <c:pt idx="10">
                  <c:v>209.3</c:v>
                </c:pt>
                <c:pt idx="11">
                  <c:v>210.3</c:v>
                </c:pt>
                <c:pt idx="12">
                  <c:v>211.7</c:v>
                </c:pt>
                <c:pt idx="13">
                  <c:v>212.7</c:v>
                </c:pt>
                <c:pt idx="14">
                  <c:v>214.1</c:v>
                </c:pt>
                <c:pt idx="15">
                  <c:v>215</c:v>
                </c:pt>
                <c:pt idx="16">
                  <c:v>215.3</c:v>
                </c:pt>
                <c:pt idx="17">
                  <c:v>216.1</c:v>
                </c:pt>
                <c:pt idx="18">
                  <c:v>216.5</c:v>
                </c:pt>
                <c:pt idx="19">
                  <c:v>217.3</c:v>
                </c:pt>
                <c:pt idx="20">
                  <c:v>218.1</c:v>
                </c:pt>
                <c:pt idx="21">
                  <c:v>218.8</c:v>
                </c:pt>
                <c:pt idx="22">
                  <c:v>219.2</c:v>
                </c:pt>
                <c:pt idx="23">
                  <c:v>219.5</c:v>
                </c:pt>
                <c:pt idx="24">
                  <c:v>220</c:v>
                </c:pt>
                <c:pt idx="25">
                  <c:v>220</c:v>
                </c:pt>
                <c:pt idx="26">
                  <c:v>220</c:v>
                </c:pt>
                <c:pt idx="27">
                  <c:v>220</c:v>
                </c:pt>
                <c:pt idx="28">
                  <c:v>220</c:v>
                </c:pt>
              </c:numCache>
            </c:numRef>
          </c:yVal>
          <c:smooth val="1"/>
          <c:extLst>
            <c:ext xmlns:c16="http://schemas.microsoft.com/office/drawing/2014/chart" uri="{C3380CC4-5D6E-409C-BE32-E72D297353CC}">
              <c16:uniqueId val="{00000001-CD3C-504F-9071-9BEC2A7824DE}"/>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Multi'!$AK$285:$AK$314</c:f>
              <c:numCache>
                <c:formatCode>0.00</c:formatCode>
                <c:ptCount val="30"/>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numCache>
            </c:numRef>
          </c:xVal>
          <c:yVal>
            <c:numRef>
              <c:f>'WS-TRX-CU Multi'!$AM$285:$AM$314</c:f>
              <c:numCache>
                <c:formatCode>General</c:formatCode>
                <c:ptCount val="30"/>
                <c:pt idx="0">
                  <c:v>190</c:v>
                </c:pt>
                <c:pt idx="1">
                  <c:v>193.2</c:v>
                </c:pt>
                <c:pt idx="2">
                  <c:v>195.4</c:v>
                </c:pt>
                <c:pt idx="3">
                  <c:v>200.6</c:v>
                </c:pt>
                <c:pt idx="4">
                  <c:v>206.8</c:v>
                </c:pt>
                <c:pt idx="5">
                  <c:v>213.9</c:v>
                </c:pt>
                <c:pt idx="6">
                  <c:v>218</c:v>
                </c:pt>
                <c:pt idx="7">
                  <c:v>221.6</c:v>
                </c:pt>
                <c:pt idx="8">
                  <c:v>224.3</c:v>
                </c:pt>
                <c:pt idx="9">
                  <c:v>230.4</c:v>
                </c:pt>
                <c:pt idx="10">
                  <c:v>233.4</c:v>
                </c:pt>
                <c:pt idx="11">
                  <c:v>235.7</c:v>
                </c:pt>
                <c:pt idx="12">
                  <c:v>237.6</c:v>
                </c:pt>
                <c:pt idx="13">
                  <c:v>239.2</c:v>
                </c:pt>
                <c:pt idx="14">
                  <c:v>242.8</c:v>
                </c:pt>
                <c:pt idx="15">
                  <c:v>244.9</c:v>
                </c:pt>
                <c:pt idx="16">
                  <c:v>245.8</c:v>
                </c:pt>
                <c:pt idx="17">
                  <c:v>248.3</c:v>
                </c:pt>
                <c:pt idx="18">
                  <c:v>250.8</c:v>
                </c:pt>
                <c:pt idx="19">
                  <c:v>251.8</c:v>
                </c:pt>
                <c:pt idx="20">
                  <c:v>252.3</c:v>
                </c:pt>
                <c:pt idx="21">
                  <c:v>252.5</c:v>
                </c:pt>
                <c:pt idx="22">
                  <c:v>252.7</c:v>
                </c:pt>
                <c:pt idx="23">
                  <c:v>252.9</c:v>
                </c:pt>
                <c:pt idx="24">
                  <c:v>253</c:v>
                </c:pt>
                <c:pt idx="25">
                  <c:v>253</c:v>
                </c:pt>
                <c:pt idx="26">
                  <c:v>253</c:v>
                </c:pt>
                <c:pt idx="27">
                  <c:v>253</c:v>
                </c:pt>
                <c:pt idx="28">
                  <c:v>253</c:v>
                </c:pt>
                <c:pt idx="29">
                  <c:v>253</c:v>
                </c:pt>
              </c:numCache>
            </c:numRef>
          </c:yVal>
          <c:smooth val="1"/>
          <c:extLst>
            <c:ext xmlns:c16="http://schemas.microsoft.com/office/drawing/2014/chart" uri="{C3380CC4-5D6E-409C-BE32-E72D297353CC}">
              <c16:uniqueId val="{00000002-CD3C-504F-9071-9BEC2A7824DE}"/>
            </c:ext>
          </c:extLst>
        </c:ser>
        <c:dLbls>
          <c:showLegendKey val="0"/>
          <c:showVal val="0"/>
          <c:showCatName val="0"/>
          <c:showSerName val="0"/>
          <c:showPercent val="0"/>
          <c:showBubbleSize val="0"/>
        </c:dLbls>
        <c:axId val="70689072"/>
        <c:axId val="112692560"/>
      </c:scatterChart>
      <c:valAx>
        <c:axId val="70689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latin typeface="Arial" panose="020B0604020202020204" pitchFamily="34" charset="0"/>
                    <a:cs typeface="Arial" panose="020B0604020202020204" pitchFamily="34" charset="0"/>
                  </a:rPr>
                  <a:t>Axial Strain, </a:t>
                </a:r>
                <a:r>
                  <a:rPr lang="el-GR" sz="800">
                    <a:latin typeface="Arial" panose="020B0604020202020204" pitchFamily="34" charset="0"/>
                    <a:cs typeface="Arial" panose="020B0604020202020204" pitchFamily="34" charset="0"/>
                  </a:rPr>
                  <a:t>ε</a:t>
                </a:r>
                <a:r>
                  <a:rPr lang="en-US" sz="800">
                    <a:latin typeface="Arial" panose="020B0604020202020204" pitchFamily="34" charset="0"/>
                    <a:cs typeface="Arial" panose="020B0604020202020204" pitchFamily="34" charset="0"/>
                  </a:rPr>
                  <a:t>a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2692560"/>
        <c:crosses val="autoZero"/>
        <c:crossBetween val="midCat"/>
      </c:valAx>
      <c:valAx>
        <c:axId val="112692560"/>
        <c:scaling>
          <c:orientation val="minMax"/>
          <c:max val="3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Pore Water Pressure, u (kPa)</a:t>
                </a:r>
              </a:p>
            </c:rich>
          </c:tx>
          <c:layout>
            <c:manualLayout>
              <c:xMode val="edge"/>
              <c:yMode val="edge"/>
              <c:x val="1.683798809779331E-2"/>
              <c:y val="0.2357525306844579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68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Multi'!$R$236</c:f>
              <c:strCache>
                <c:ptCount val="1"/>
                <c:pt idx="0">
                  <c:v>σ₃=50 kPa</c:v>
                </c:pt>
              </c:strCache>
            </c:strRef>
          </c:tx>
          <c:spPr>
            <a:ln w="12700" cap="rnd">
              <a:solidFill>
                <a:schemeClr val="accent1"/>
              </a:solidFill>
              <a:round/>
            </a:ln>
            <a:effectLst/>
          </c:spPr>
          <c:marker>
            <c:symbol val="none"/>
          </c:marker>
          <c:xVal>
            <c:numRef>
              <c:f>'WS-TRX-CU Multi'!$C$187:$C$223</c:f>
              <c:numCache>
                <c:formatCode>0.00</c:formatCode>
                <c:ptCount val="37"/>
                <c:pt idx="0">
                  <c:v>124.25321247151544</c:v>
                </c:pt>
                <c:pt idx="1">
                  <c:v>124.1119345259595</c:v>
                </c:pt>
                <c:pt idx="2">
                  <c:v>123.68917589976331</c:v>
                </c:pt>
                <c:pt idx="3">
                  <c:v>122.98815404134086</c:v>
                </c:pt>
                <c:pt idx="4">
                  <c:v>122.01420415032334</c:v>
                </c:pt>
                <c:pt idx="5">
                  <c:v>120.7747385734684</c:v>
                </c:pt>
                <c:pt idx="6">
                  <c:v>119.27919039222566</c:v>
                </c:pt>
                <c:pt idx="7">
                  <c:v>117.5389416312911</c:v>
                </c:pt>
                <c:pt idx="8">
                  <c:v>115.56723663452632</c:v>
                </c:pt>
                <c:pt idx="9">
                  <c:v>113.37908126750477</c:v>
                </c:pt>
                <c:pt idx="10">
                  <c:v>110.99112871381379</c:v>
                </c:pt>
                <c:pt idx="11">
                  <c:v>108.42155273427215</c:v>
                </c:pt>
                <c:pt idx="12">
                  <c:v>105.68990935363658</c:v>
                </c:pt>
                <c:pt idx="13">
                  <c:v>102.81698802744506</c:v>
                </c:pt>
                <c:pt idx="14">
                  <c:v>99.824653421707239</c:v>
                </c:pt>
                <c:pt idx="15">
                  <c:v>96.735679009593824</c:v>
                </c:pt>
                <c:pt idx="16">
                  <c:v>93.573573751554747</c:v>
                </c:pt>
                <c:pt idx="17">
                  <c:v>90.362403177935022</c:v>
                </c:pt>
                <c:pt idx="18">
                  <c:v>87.12660623575772</c:v>
                </c:pt>
                <c:pt idx="19">
                  <c:v>83.890809293580418</c:v>
                </c:pt>
                <c:pt idx="20">
                  <c:v>80.679638719960707</c:v>
                </c:pt>
                <c:pt idx="21">
                  <c:v>77.517533461921616</c:v>
                </c:pt>
                <c:pt idx="22">
                  <c:v>74.4285590498082</c:v>
                </c:pt>
                <c:pt idx="23">
                  <c:v>71.436224444070376</c:v>
                </c:pt>
                <c:pt idx="24">
                  <c:v>68.56330311787886</c:v>
                </c:pt>
                <c:pt idx="25">
                  <c:v>65.831659737243285</c:v>
                </c:pt>
                <c:pt idx="26">
                  <c:v>63.262083757701646</c:v>
                </c:pt>
                <c:pt idx="27">
                  <c:v>60.874131204010681</c:v>
                </c:pt>
                <c:pt idx="28">
                  <c:v>58.68597583698913</c:v>
                </c:pt>
                <c:pt idx="29">
                  <c:v>56.714270840224344</c:v>
                </c:pt>
                <c:pt idx="30">
                  <c:v>54.974022079289782</c:v>
                </c:pt>
                <c:pt idx="31">
                  <c:v>53.478473898047049</c:v>
                </c:pt>
                <c:pt idx="32">
                  <c:v>52.239008321192102</c:v>
                </c:pt>
                <c:pt idx="33">
                  <c:v>51.26505843017457</c:v>
                </c:pt>
                <c:pt idx="34">
                  <c:v>50.564036571752126</c:v>
                </c:pt>
                <c:pt idx="35">
                  <c:v>50.141277945555942</c:v>
                </c:pt>
                <c:pt idx="36">
                  <c:v>50</c:v>
                </c:pt>
              </c:numCache>
            </c:numRef>
          </c:xVal>
          <c:yVal>
            <c:numRef>
              <c:f>'WS-TRX-CU Multi'!$D$187:$D$223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0-F0A2-EA46-84E3-E355A7D9404D}"/>
            </c:ext>
          </c:extLst>
        </c:ser>
        <c:ser>
          <c:idx val="2"/>
          <c:order val="1"/>
          <c:tx>
            <c:strRef>
              <c:f>'WS-TRX-CU Multi'!$R$237</c:f>
              <c:strCache>
                <c:ptCount val="1"/>
                <c:pt idx="0">
                  <c:v>σ₃=100 kPa</c:v>
                </c:pt>
              </c:strCache>
            </c:strRef>
          </c:tx>
          <c:spPr>
            <a:ln w="12700" cap="rnd">
              <a:solidFill>
                <a:schemeClr val="accent3"/>
              </a:solidFill>
              <a:round/>
            </a:ln>
            <a:effectLst/>
          </c:spPr>
          <c:marker>
            <c:symbol val="none"/>
          </c:marker>
          <c:xVal>
            <c:numRef>
              <c:f>'WS-TRX-CU Multi'!$J$187:$J$223</c:f>
              <c:numCache>
                <c:formatCode>0.00</c:formatCode>
                <c:ptCount val="37"/>
                <c:pt idx="0">
                  <c:v>207.62218722858842</c:v>
                </c:pt>
                <c:pt idx="1">
                  <c:v>207.41741977137269</c:v>
                </c:pt>
                <c:pt idx="2">
                  <c:v>206.80467580371686</c:v>
                </c:pt>
                <c:pt idx="3">
                  <c:v>205.78861867719974</c:v>
                </c:pt>
                <c:pt idx="4">
                  <c:v>204.37698120006621</c:v>
                </c:pt>
                <c:pt idx="5">
                  <c:v>202.5805067858872</c:v>
                </c:pt>
                <c:pt idx="6">
                  <c:v>200.41286768969559</c:v>
                </c:pt>
                <c:pt idx="7">
                  <c:v>197.89056095386962</c:v>
                </c:pt>
                <c:pt idx="8">
                  <c:v>195.03278285567941</c:v>
                </c:pt>
                <c:pt idx="9">
                  <c:v>191.86128281202576</c:v>
                </c:pt>
                <c:pt idx="10">
                  <c:v>188.40019785324498</c:v>
                </c:pt>
                <c:pt idx="11">
                  <c:v>184.67586892573362</c:v>
                </c:pt>
                <c:pt idx="12">
                  <c:v>180.71664042144133</c:v>
                </c:pt>
                <c:pt idx="13">
                  <c:v>176.55264445993328</c:v>
                </c:pt>
                <c:pt idx="14">
                  <c:v>172.21557156476609</c:v>
                </c:pt>
                <c:pt idx="15">
                  <c:v>167.73842947946818</c:v>
                </c:pt>
                <c:pt idx="16">
                  <c:v>163.155291958681</c:v>
                </c:pt>
                <c:pt idx="17">
                  <c:v>158.50103944631178</c:v>
                </c:pt>
                <c:pt idx="18">
                  <c:v>153.81109361429421</c:v>
                </c:pt>
                <c:pt idx="19">
                  <c:v>149.12114778227664</c:v>
                </c:pt>
                <c:pt idx="20">
                  <c:v>144.46689526990744</c:v>
                </c:pt>
                <c:pt idx="21">
                  <c:v>139.88375774912024</c:v>
                </c:pt>
                <c:pt idx="22">
                  <c:v>135.40661566382232</c:v>
                </c:pt>
                <c:pt idx="23">
                  <c:v>131.06954276865514</c:v>
                </c:pt>
                <c:pt idx="24">
                  <c:v>126.90554680714712</c:v>
                </c:pt>
                <c:pt idx="25">
                  <c:v>122.94631830285479</c:v>
                </c:pt>
                <c:pt idx="26">
                  <c:v>119.22198937534344</c:v>
                </c:pt>
                <c:pt idx="27">
                  <c:v>115.76090441656265</c:v>
                </c:pt>
                <c:pt idx="28">
                  <c:v>112.58940437290902</c:v>
                </c:pt>
                <c:pt idx="29">
                  <c:v>109.73162627471879</c:v>
                </c:pt>
                <c:pt idx="30">
                  <c:v>107.20931953889283</c:v>
                </c:pt>
                <c:pt idx="31">
                  <c:v>105.04168044270122</c:v>
                </c:pt>
                <c:pt idx="32">
                  <c:v>103.24520602852223</c:v>
                </c:pt>
                <c:pt idx="33">
                  <c:v>101.83356855138868</c:v>
                </c:pt>
                <c:pt idx="34">
                  <c:v>100.81751142487155</c:v>
                </c:pt>
                <c:pt idx="35">
                  <c:v>100.20476745721572</c:v>
                </c:pt>
                <c:pt idx="36">
                  <c:v>100</c:v>
                </c:pt>
              </c:numCache>
            </c:numRef>
          </c:xVal>
          <c:yVal>
            <c:numRef>
              <c:f>'WS-TRX-CU Multi'!$K$187:$K$223</c:f>
              <c:numCache>
                <c:formatCode>General</c:formatCode>
                <c:ptCount val="37"/>
                <c:pt idx="0">
                  <c:v>0</c:v>
                </c:pt>
                <c:pt idx="1">
                  <c:v>4.6899458320175773</c:v>
                </c:pt>
                <c:pt idx="2">
                  <c:v>9.3441983443867809</c:v>
                </c:pt>
                <c:pt idx="3">
                  <c:v>13.927335865173978</c:v>
                </c:pt>
                <c:pt idx="4">
                  <c:v>18.404477950471883</c:v>
                </c:pt>
                <c:pt idx="5">
                  <c:v>22.741550845639068</c:v>
                </c:pt>
                <c:pt idx="6">
                  <c:v>26.9055468071471</c:v>
                </c:pt>
                <c:pt idx="7">
                  <c:v>30.864775311439402</c:v>
                </c:pt>
                <c:pt idx="8">
                  <c:v>34.589104238950767</c:v>
                </c:pt>
                <c:pt idx="9">
                  <c:v>38.050189197731555</c:v>
                </c:pt>
                <c:pt idx="10">
                  <c:v>41.221689241385199</c:v>
                </c:pt>
                <c:pt idx="11">
                  <c:v>44.079467339575416</c:v>
                </c:pt>
                <c:pt idx="12">
                  <c:v>46.601774075401366</c:v>
                </c:pt>
                <c:pt idx="13">
                  <c:v>48.769413171592987</c:v>
                </c:pt>
                <c:pt idx="14">
                  <c:v>50.565887585771982</c:v>
                </c:pt>
                <c:pt idx="15">
                  <c:v>51.977525062905542</c:v>
                </c:pt>
                <c:pt idx="16">
                  <c:v>52.993582189422654</c:v>
                </c:pt>
                <c:pt idx="17">
                  <c:v>53.606326157078477</c:v>
                </c:pt>
                <c:pt idx="18">
                  <c:v>53.811093614294208</c:v>
                </c:pt>
                <c:pt idx="19">
                  <c:v>53.606326157078477</c:v>
                </c:pt>
                <c:pt idx="20">
                  <c:v>52.993582189422654</c:v>
                </c:pt>
                <c:pt idx="21">
                  <c:v>51.977525062905542</c:v>
                </c:pt>
                <c:pt idx="22">
                  <c:v>50.565887585771989</c:v>
                </c:pt>
                <c:pt idx="23">
                  <c:v>48.769413171592994</c:v>
                </c:pt>
                <c:pt idx="24">
                  <c:v>46.601774075401373</c:v>
                </c:pt>
                <c:pt idx="25">
                  <c:v>44.079467339575409</c:v>
                </c:pt>
                <c:pt idx="26">
                  <c:v>41.221689241385199</c:v>
                </c:pt>
                <c:pt idx="27">
                  <c:v>38.050189197731562</c:v>
                </c:pt>
                <c:pt idx="28">
                  <c:v>34.589104238950782</c:v>
                </c:pt>
                <c:pt idx="29">
                  <c:v>30.864775311439395</c:v>
                </c:pt>
                <c:pt idx="30">
                  <c:v>26.9055468071471</c:v>
                </c:pt>
                <c:pt idx="31">
                  <c:v>22.741550845639072</c:v>
                </c:pt>
                <c:pt idx="32">
                  <c:v>18.40447795047189</c:v>
                </c:pt>
                <c:pt idx="33">
                  <c:v>13.927335865173994</c:v>
                </c:pt>
                <c:pt idx="34">
                  <c:v>9.3441983443867773</c:v>
                </c:pt>
                <c:pt idx="35">
                  <c:v>4.6899458320175782</c:v>
                </c:pt>
                <c:pt idx="36">
                  <c:v>6.5926578198495655E-15</c:v>
                </c:pt>
              </c:numCache>
            </c:numRef>
          </c:yVal>
          <c:smooth val="1"/>
          <c:extLst>
            <c:ext xmlns:c16="http://schemas.microsoft.com/office/drawing/2014/chart" uri="{C3380CC4-5D6E-409C-BE32-E72D297353CC}">
              <c16:uniqueId val="{00000002-F0A2-EA46-84E3-E355A7D9404D}"/>
            </c:ext>
          </c:extLst>
        </c:ser>
        <c:ser>
          <c:idx val="4"/>
          <c:order val="2"/>
          <c:tx>
            <c:strRef>
              <c:f>'WS-TRX-CU Multi'!$R$238</c:f>
              <c:strCache>
                <c:ptCount val="1"/>
                <c:pt idx="0">
                  <c:v>σ₃​=200 kPa</c:v>
                </c:pt>
              </c:strCache>
            </c:strRef>
          </c:tx>
          <c:spPr>
            <a:ln w="12700" cap="rnd">
              <a:solidFill>
                <a:schemeClr val="accent5"/>
              </a:solidFill>
              <a:round/>
            </a:ln>
            <a:effectLst/>
          </c:spPr>
          <c:marker>
            <c:symbol val="none"/>
          </c:marker>
          <c:xVal>
            <c:numRef>
              <c:f>'WS-TRX-CU Multi'!$Q$187:$Q$223</c:f>
              <c:numCache>
                <c:formatCode>0.00</c:formatCode>
                <c:ptCount val="37"/>
                <c:pt idx="0">
                  <c:v>375.25730915768111</c:v>
                </c:pt>
                <c:pt idx="1">
                  <c:v>374.92385567119447</c:v>
                </c:pt>
                <c:pt idx="2">
                  <c:v>373.92603299411144</c:v>
                </c:pt>
                <c:pt idx="3">
                  <c:v>372.2714351595065</c:v>
                </c:pt>
                <c:pt idx="4">
                  <c:v>369.97265465597434</c:v>
                </c:pt>
                <c:pt idx="5">
                  <c:v>367.04718659118851</c:v>
                </c:pt>
                <c:pt idx="6">
                  <c:v>363.51729554356803</c:v>
                </c:pt>
                <c:pt idx="7">
                  <c:v>359.4098461153917</c:v>
                </c:pt>
                <c:pt idx="8">
                  <c:v>354.75609847695375</c:v>
                </c:pt>
                <c:pt idx="9">
                  <c:v>349.5914704577923</c:v>
                </c:pt>
                <c:pt idx="10">
                  <c:v>343.95526799562089</c:v>
                </c:pt>
                <c:pt idx="11">
                  <c:v>337.89038599440869</c:v>
                </c:pt>
                <c:pt idx="12">
                  <c:v>331.44298186826086</c:v>
                </c:pt>
                <c:pt idx="13">
                  <c:v>324.66212425562634</c:v>
                </c:pt>
                <c:pt idx="14">
                  <c:v>317.5994195773311</c:v>
                </c:pt>
                <c:pt idx="15">
                  <c:v>310.30861928055469</c:v>
                </c:pt>
                <c:pt idx="16">
                  <c:v>302.84521075786114</c:v>
                </c:pt>
                <c:pt idx="17">
                  <c:v>295.26599505463736</c:v>
                </c:pt>
                <c:pt idx="18">
                  <c:v>287.62865457884055</c:v>
                </c:pt>
                <c:pt idx="19">
                  <c:v>279.99131410304375</c:v>
                </c:pt>
                <c:pt idx="20">
                  <c:v>272.41209839981997</c:v>
                </c:pt>
                <c:pt idx="21">
                  <c:v>264.94868987712641</c:v>
                </c:pt>
                <c:pt idx="22">
                  <c:v>257.65788958035</c:v>
                </c:pt>
                <c:pt idx="23">
                  <c:v>250.59518490205477</c:v>
                </c:pt>
                <c:pt idx="24">
                  <c:v>243.81432728942031</c:v>
                </c:pt>
                <c:pt idx="25">
                  <c:v>237.36692316327242</c:v>
                </c:pt>
                <c:pt idx="26">
                  <c:v>231.30204116206022</c:v>
                </c:pt>
                <c:pt idx="27">
                  <c:v>225.66583869988881</c:v>
                </c:pt>
                <c:pt idx="28">
                  <c:v>220.50121068072735</c:v>
                </c:pt>
                <c:pt idx="29">
                  <c:v>215.84746304228938</c:v>
                </c:pt>
                <c:pt idx="30">
                  <c:v>211.74001361411305</c:v>
                </c:pt>
                <c:pt idx="31">
                  <c:v>208.21012256649257</c:v>
                </c:pt>
                <c:pt idx="32">
                  <c:v>205.28465450170677</c:v>
                </c:pt>
                <c:pt idx="33">
                  <c:v>202.98587399817467</c:v>
                </c:pt>
                <c:pt idx="34">
                  <c:v>201.33127616356967</c:v>
                </c:pt>
                <c:pt idx="35">
                  <c:v>200.33345348648663</c:v>
                </c:pt>
                <c:pt idx="36">
                  <c:v>200</c:v>
                </c:pt>
              </c:numCache>
            </c:numRef>
          </c:xVal>
          <c:yVal>
            <c:numRef>
              <c:f>'WS-TRX-CU Multi'!$R$187:$R$223</c:f>
              <c:numCache>
                <c:formatCode>General</c:formatCode>
                <c:ptCount val="37"/>
                <c:pt idx="0">
                  <c:v>0</c:v>
                </c:pt>
                <c:pt idx="1">
                  <c:v>7.6373404757968251</c:v>
                </c:pt>
                <c:pt idx="2">
                  <c:v>15.216556179020573</c:v>
                </c:pt>
                <c:pt idx="3">
                  <c:v>22.679964701714145</c:v>
                </c:pt>
                <c:pt idx="4">
                  <c:v>29.970764998490562</c:v>
                </c:pt>
                <c:pt idx="5">
                  <c:v>37.033469676785778</c:v>
                </c:pt>
                <c:pt idx="6">
                  <c:v>43.81432728942027</c:v>
                </c:pt>
                <c:pt idx="7">
                  <c:v>50.261731415568136</c:v>
                </c:pt>
                <c:pt idx="8">
                  <c:v>56.326613416780333</c:v>
                </c:pt>
                <c:pt idx="9">
                  <c:v>61.962815878951758</c:v>
                </c:pt>
                <c:pt idx="10">
                  <c:v>67.127443898113199</c:v>
                </c:pt>
                <c:pt idx="11">
                  <c:v>71.781191536551162</c:v>
                </c:pt>
                <c:pt idx="12">
                  <c:v>75.888640964727486</c:v>
                </c:pt>
                <c:pt idx="13">
                  <c:v>79.418532012347981</c:v>
                </c:pt>
                <c:pt idx="14">
                  <c:v>82.344000077133771</c:v>
                </c:pt>
                <c:pt idx="15">
                  <c:v>84.642780580665914</c:v>
                </c:pt>
                <c:pt idx="16">
                  <c:v>86.297378415270899</c:v>
                </c:pt>
                <c:pt idx="17">
                  <c:v>87.295201092353921</c:v>
                </c:pt>
                <c:pt idx="18">
                  <c:v>87.628654578840553</c:v>
                </c:pt>
                <c:pt idx="19">
                  <c:v>87.295201092353921</c:v>
                </c:pt>
                <c:pt idx="20">
                  <c:v>86.297378415270899</c:v>
                </c:pt>
                <c:pt idx="21">
                  <c:v>84.642780580665914</c:v>
                </c:pt>
                <c:pt idx="22">
                  <c:v>82.344000077133771</c:v>
                </c:pt>
                <c:pt idx="23">
                  <c:v>79.418532012347995</c:v>
                </c:pt>
                <c:pt idx="24">
                  <c:v>75.8886409647275</c:v>
                </c:pt>
                <c:pt idx="25">
                  <c:v>71.781191536551148</c:v>
                </c:pt>
                <c:pt idx="26">
                  <c:v>67.127443898113199</c:v>
                </c:pt>
                <c:pt idx="27">
                  <c:v>61.962815878951766</c:v>
                </c:pt>
                <c:pt idx="28">
                  <c:v>56.326613416780354</c:v>
                </c:pt>
                <c:pt idx="29">
                  <c:v>50.261731415568129</c:v>
                </c:pt>
                <c:pt idx="30">
                  <c:v>43.81432728942027</c:v>
                </c:pt>
                <c:pt idx="31">
                  <c:v>37.033469676785785</c:v>
                </c:pt>
                <c:pt idx="32">
                  <c:v>29.970764998490576</c:v>
                </c:pt>
                <c:pt idx="33">
                  <c:v>22.679964701714169</c:v>
                </c:pt>
                <c:pt idx="34">
                  <c:v>15.216556179020568</c:v>
                </c:pt>
                <c:pt idx="35">
                  <c:v>7.6373404757968277</c:v>
                </c:pt>
                <c:pt idx="36">
                  <c:v>1.0735811076298767E-14</c:v>
                </c:pt>
              </c:numCache>
            </c:numRef>
          </c:yVal>
          <c:smooth val="1"/>
          <c:extLst>
            <c:ext xmlns:c16="http://schemas.microsoft.com/office/drawing/2014/chart" uri="{C3380CC4-5D6E-409C-BE32-E72D297353CC}">
              <c16:uniqueId val="{00000004-F0A2-EA46-84E3-E355A7D9404D}"/>
            </c:ext>
          </c:extLst>
        </c:ser>
        <c:dLbls>
          <c:showLegendKey val="0"/>
          <c:showVal val="0"/>
          <c:showCatName val="0"/>
          <c:showSerName val="0"/>
          <c:showPercent val="0"/>
          <c:showBubbleSize val="0"/>
        </c:dLbls>
        <c:axId val="1145180799"/>
        <c:axId val="1078682415"/>
      </c:scatterChart>
      <c:scatterChart>
        <c:scatterStyle val="lineMarker"/>
        <c:varyColors val="0"/>
        <c:ser>
          <c:idx val="7"/>
          <c:order val="3"/>
          <c:tx>
            <c:strRef>
              <c:f>'WS-TRX-CU Multi'!$R$245</c:f>
              <c:strCache>
                <c:ptCount val="1"/>
                <c:pt idx="0">
                  <c:v>Total Stress Envelope</c:v>
                </c:pt>
              </c:strCache>
            </c:strRef>
          </c:tx>
          <c:spPr>
            <a:ln w="15875" cap="rnd">
              <a:solidFill>
                <a:schemeClr val="accent2">
                  <a:lumMod val="60000"/>
                </a:schemeClr>
              </a:solidFill>
              <a:round/>
            </a:ln>
            <a:effectLst/>
          </c:spPr>
          <c:marker>
            <c:symbol val="none"/>
          </c:marker>
          <c:xVal>
            <c:numRef>
              <c:f>'WS-TRX-CU Multi'!$M$248:$M$254</c:f>
              <c:numCache>
                <c:formatCode>General</c:formatCode>
                <c:ptCount val="7"/>
                <c:pt idx="0">
                  <c:v>0</c:v>
                </c:pt>
                <c:pt idx="1">
                  <c:v>50</c:v>
                </c:pt>
                <c:pt idx="2">
                  <c:v>100</c:v>
                </c:pt>
                <c:pt idx="3">
                  <c:v>200</c:v>
                </c:pt>
                <c:pt idx="4">
                  <c:v>300</c:v>
                </c:pt>
                <c:pt idx="5">
                  <c:v>400</c:v>
                </c:pt>
                <c:pt idx="6">
                  <c:v>500</c:v>
                </c:pt>
              </c:numCache>
            </c:numRef>
          </c:xVal>
          <c:yVal>
            <c:numRef>
              <c:f>'WS-TRX-CU Multi'!$O$248:$O$254</c:f>
              <c:numCache>
                <c:formatCode>General</c:formatCode>
                <c:ptCount val="7"/>
                <c:pt idx="0">
                  <c:v>15.627310499286921</c:v>
                </c:pt>
                <c:pt idx="1">
                  <c:v>28.647370589137431</c:v>
                </c:pt>
                <c:pt idx="2">
                  <c:v>41.667430678987941</c:v>
                </c:pt>
                <c:pt idx="3">
                  <c:v>67.707550858688961</c:v>
                </c:pt>
                <c:pt idx="4">
                  <c:v>93.747671038389967</c:v>
                </c:pt>
                <c:pt idx="5">
                  <c:v>119.78779121809099</c:v>
                </c:pt>
                <c:pt idx="6">
                  <c:v>145.82791139779201</c:v>
                </c:pt>
              </c:numCache>
            </c:numRef>
          </c:yVal>
          <c:smooth val="0"/>
          <c:extLst>
            <c:ext xmlns:c16="http://schemas.microsoft.com/office/drawing/2014/chart" uri="{C3380CC4-5D6E-409C-BE32-E72D297353CC}">
              <c16:uniqueId val="{00000006-F0A2-EA46-84E3-E355A7D9404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layout>
            <c:manualLayout>
              <c:xMode val="edge"/>
              <c:yMode val="edge"/>
              <c:x val="0.41734361691703109"/>
              <c:y val="0.879963308406294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Multi'!$R$240</c:f>
              <c:strCache>
                <c:ptCount val="1"/>
                <c:pt idx="0">
                  <c:v>σ₃′ =35 kPa</c:v>
                </c:pt>
              </c:strCache>
            </c:strRef>
          </c:tx>
          <c:spPr>
            <a:ln w="12700" cap="rnd">
              <a:solidFill>
                <a:schemeClr val="accent2"/>
              </a:solidFill>
              <a:round/>
            </a:ln>
            <a:effectLst/>
          </c:spPr>
          <c:marker>
            <c:symbol val="none"/>
          </c:marker>
          <c:xVal>
            <c:numRef>
              <c:f>'WS-TRX-CU Multi'!$F$187:$F$223</c:f>
              <c:numCache>
                <c:formatCode>0.00</c:formatCode>
                <c:ptCount val="37"/>
                <c:pt idx="0">
                  <c:v>109.25321247151544</c:v>
                </c:pt>
                <c:pt idx="1">
                  <c:v>109.1119345259595</c:v>
                </c:pt>
                <c:pt idx="2">
                  <c:v>108.68917589976331</c:v>
                </c:pt>
                <c:pt idx="3">
                  <c:v>107.98815404134086</c:v>
                </c:pt>
                <c:pt idx="4">
                  <c:v>107.01420415032334</c:v>
                </c:pt>
                <c:pt idx="5">
                  <c:v>105.7747385734684</c:v>
                </c:pt>
                <c:pt idx="6">
                  <c:v>104.27919039222566</c:v>
                </c:pt>
                <c:pt idx="7">
                  <c:v>102.5389416312911</c:v>
                </c:pt>
                <c:pt idx="8">
                  <c:v>100.56723663452632</c:v>
                </c:pt>
                <c:pt idx="9">
                  <c:v>98.379081267504773</c:v>
                </c:pt>
                <c:pt idx="10">
                  <c:v>95.991128713813794</c:v>
                </c:pt>
                <c:pt idx="11">
                  <c:v>93.421552734272154</c:v>
                </c:pt>
                <c:pt idx="12">
                  <c:v>90.68990935363658</c:v>
                </c:pt>
                <c:pt idx="13">
                  <c:v>87.816988027445063</c:v>
                </c:pt>
                <c:pt idx="14">
                  <c:v>84.824653421707239</c:v>
                </c:pt>
                <c:pt idx="15">
                  <c:v>81.735679009593824</c:v>
                </c:pt>
                <c:pt idx="16">
                  <c:v>78.573573751554747</c:v>
                </c:pt>
                <c:pt idx="17">
                  <c:v>75.362403177935022</c:v>
                </c:pt>
                <c:pt idx="18">
                  <c:v>72.12660623575772</c:v>
                </c:pt>
                <c:pt idx="19">
                  <c:v>68.890809293580418</c:v>
                </c:pt>
                <c:pt idx="20">
                  <c:v>65.679638719960707</c:v>
                </c:pt>
                <c:pt idx="21">
                  <c:v>62.517533461921609</c:v>
                </c:pt>
                <c:pt idx="22">
                  <c:v>59.4285590498082</c:v>
                </c:pt>
                <c:pt idx="23">
                  <c:v>56.436224444070383</c:v>
                </c:pt>
                <c:pt idx="24">
                  <c:v>53.563303117878867</c:v>
                </c:pt>
                <c:pt idx="25">
                  <c:v>50.831659737243278</c:v>
                </c:pt>
                <c:pt idx="26">
                  <c:v>48.262083757701646</c:v>
                </c:pt>
                <c:pt idx="27">
                  <c:v>45.874131204010681</c:v>
                </c:pt>
                <c:pt idx="28">
                  <c:v>43.68597583698913</c:v>
                </c:pt>
                <c:pt idx="29">
                  <c:v>41.714270840224344</c:v>
                </c:pt>
                <c:pt idx="30">
                  <c:v>39.974022079289782</c:v>
                </c:pt>
                <c:pt idx="31">
                  <c:v>38.478473898047049</c:v>
                </c:pt>
                <c:pt idx="32">
                  <c:v>37.239008321192102</c:v>
                </c:pt>
                <c:pt idx="33">
                  <c:v>36.26505843017457</c:v>
                </c:pt>
                <c:pt idx="34">
                  <c:v>35.564036571752126</c:v>
                </c:pt>
                <c:pt idx="35">
                  <c:v>35.141277945555942</c:v>
                </c:pt>
                <c:pt idx="36">
                  <c:v>35</c:v>
                </c:pt>
              </c:numCache>
            </c:numRef>
          </c:xVal>
          <c:yVal>
            <c:numRef>
              <c:f>'WS-TRX-CU Multi'!$G$187:$G$223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0-AF6C-42EC-8196-733826C725C5}"/>
            </c:ext>
          </c:extLst>
        </c:ser>
        <c:ser>
          <c:idx val="3"/>
          <c:order val="1"/>
          <c:tx>
            <c:strRef>
              <c:f>'WS-TRX-CU Multi'!$R$241</c:f>
              <c:strCache>
                <c:ptCount val="1"/>
                <c:pt idx="0">
                  <c:v>σ₃′ =70 kPa</c:v>
                </c:pt>
              </c:strCache>
            </c:strRef>
          </c:tx>
          <c:spPr>
            <a:ln w="12700" cap="rnd">
              <a:solidFill>
                <a:schemeClr val="accent4"/>
              </a:solidFill>
              <a:round/>
            </a:ln>
            <a:effectLst/>
          </c:spPr>
          <c:marker>
            <c:symbol val="none"/>
          </c:marker>
          <c:xVal>
            <c:numRef>
              <c:f>'WS-TRX-CU Multi'!$L$187:$L$223</c:f>
              <c:numCache>
                <c:formatCode>0.00</c:formatCode>
                <c:ptCount val="37"/>
                <c:pt idx="0">
                  <c:v>180.83558405707822</c:v>
                </c:pt>
                <c:pt idx="1">
                  <c:v>180.62470262732077</c:v>
                </c:pt>
                <c:pt idx="2">
                  <c:v>179.99366327306257</c:v>
                </c:pt>
                <c:pt idx="3">
                  <c:v>178.9472685848215</c:v>
                </c:pt>
                <c:pt idx="4">
                  <c:v>177.49348225800546</c:v>
                </c:pt>
                <c:pt idx="5">
                  <c:v>175.64336848438168</c:v>
                </c:pt>
                <c:pt idx="6">
                  <c:v>173.41100774689676</c:v>
                </c:pt>
                <c:pt idx="7">
                  <c:v>170.81338965869912</c:v>
                </c:pt>
                <c:pt idx="8">
                  <c:v>167.8702836619247</c:v>
                </c:pt>
                <c:pt idx="9">
                  <c:v>164.60408857030492</c:v>
                </c:pt>
                <c:pt idx="10">
                  <c:v>161.03966210066952</c:v>
                </c:pt>
                <c:pt idx="11">
                  <c:v>157.20413169071199</c:v>
                </c:pt>
                <c:pt idx="12">
                  <c:v>153.12668804280867</c:v>
                </c:pt>
                <c:pt idx="13">
                  <c:v>148.83836296514789</c:v>
                </c:pt>
                <c:pt idx="14">
                  <c:v>144.37179320093216</c:v>
                </c:pt>
                <c:pt idx="15">
                  <c:v>139.76097204305569</c:v>
                </c:pt>
                <c:pt idx="16">
                  <c:v>135.04099062461987</c:v>
                </c:pt>
                <c:pt idx="17">
                  <c:v>130.2477708542217</c:v>
                </c:pt>
                <c:pt idx="18">
                  <c:v>125.41779202853911</c:v>
                </c:pt>
                <c:pt idx="19">
                  <c:v>120.58781320285654</c:v>
                </c:pt>
                <c:pt idx="20">
                  <c:v>115.79459343245836</c:v>
                </c:pt>
                <c:pt idx="21">
                  <c:v>111.07461201402253</c:v>
                </c:pt>
                <c:pt idx="22">
                  <c:v>106.46379085614606</c:v>
                </c:pt>
                <c:pt idx="23">
                  <c:v>101.99722109193033</c:v>
                </c:pt>
                <c:pt idx="24">
                  <c:v>97.70889601426957</c:v>
                </c:pt>
                <c:pt idx="25">
                  <c:v>93.631452366366233</c:v>
                </c:pt>
                <c:pt idx="26">
                  <c:v>89.795921956408705</c:v>
                </c:pt>
                <c:pt idx="27">
                  <c:v>86.231495486773312</c:v>
                </c:pt>
                <c:pt idx="28">
                  <c:v>82.965300395153534</c:v>
                </c:pt>
                <c:pt idx="29">
                  <c:v>80.022194398379099</c:v>
                </c:pt>
                <c:pt idx="30">
                  <c:v>77.424576310181479</c:v>
                </c:pt>
                <c:pt idx="31">
                  <c:v>75.19221557269654</c:v>
                </c:pt>
                <c:pt idx="32">
                  <c:v>73.342101799072765</c:v>
                </c:pt>
                <c:pt idx="33">
                  <c:v>71.888315472256735</c:v>
                </c:pt>
                <c:pt idx="34">
                  <c:v>70.841920784015656</c:v>
                </c:pt>
                <c:pt idx="35">
                  <c:v>70.21088142975745</c:v>
                </c:pt>
                <c:pt idx="36">
                  <c:v>70</c:v>
                </c:pt>
              </c:numCache>
            </c:numRef>
          </c:xVal>
          <c:yVal>
            <c:numRef>
              <c:f>'WS-TRX-CU Multi'!$M$187:$M$223</c:f>
              <c:numCache>
                <c:formatCode>General</c:formatCode>
                <c:ptCount val="37"/>
                <c:pt idx="0">
                  <c:v>0</c:v>
                </c:pt>
                <c:pt idx="1">
                  <c:v>4.8299788256825762</c:v>
                </c:pt>
                <c:pt idx="2">
                  <c:v>9.6231985960807549</c:v>
                </c:pt>
                <c:pt idx="3">
                  <c:v>14.343180014516578</c:v>
                </c:pt>
                <c:pt idx="4">
                  <c:v>18.954001172393049</c:v>
                </c:pt>
                <c:pt idx="5">
                  <c:v>23.42057093660879</c:v>
                </c:pt>
                <c:pt idx="6">
                  <c:v>27.708896014269552</c:v>
                </c:pt>
                <c:pt idx="7">
                  <c:v>31.786339662172871</c:v>
                </c:pt>
                <c:pt idx="8">
                  <c:v>35.621870072130406</c:v>
                </c:pt>
                <c:pt idx="9">
                  <c:v>39.186296541765799</c:v>
                </c:pt>
                <c:pt idx="10">
                  <c:v>42.452491633385584</c:v>
                </c:pt>
                <c:pt idx="11">
                  <c:v>45.395597630160005</c:v>
                </c:pt>
                <c:pt idx="12">
                  <c:v>47.993215718357625</c:v>
                </c:pt>
                <c:pt idx="13">
                  <c:v>50.225576455842578</c:v>
                </c:pt>
                <c:pt idx="14">
                  <c:v>52.075690229466339</c:v>
                </c:pt>
                <c:pt idx="15">
                  <c:v>53.529476556282383</c:v>
                </c:pt>
                <c:pt idx="16">
                  <c:v>54.575871244523455</c:v>
                </c:pt>
                <c:pt idx="17">
                  <c:v>55.206910598781661</c:v>
                </c:pt>
                <c:pt idx="18">
                  <c:v>55.417792028539111</c:v>
                </c:pt>
                <c:pt idx="19">
                  <c:v>55.206910598781661</c:v>
                </c:pt>
                <c:pt idx="20">
                  <c:v>54.575871244523455</c:v>
                </c:pt>
                <c:pt idx="21">
                  <c:v>53.529476556282383</c:v>
                </c:pt>
                <c:pt idx="22">
                  <c:v>52.075690229466339</c:v>
                </c:pt>
                <c:pt idx="23">
                  <c:v>50.225576455842585</c:v>
                </c:pt>
                <c:pt idx="24">
                  <c:v>47.993215718357632</c:v>
                </c:pt>
                <c:pt idx="25">
                  <c:v>45.395597630159997</c:v>
                </c:pt>
                <c:pt idx="26">
                  <c:v>42.452491633385584</c:v>
                </c:pt>
                <c:pt idx="27">
                  <c:v>39.186296541765806</c:v>
                </c:pt>
                <c:pt idx="28">
                  <c:v>35.62187007213042</c:v>
                </c:pt>
                <c:pt idx="29">
                  <c:v>31.786339662172864</c:v>
                </c:pt>
                <c:pt idx="30">
                  <c:v>27.708896014269552</c:v>
                </c:pt>
                <c:pt idx="31">
                  <c:v>23.420570936608794</c:v>
                </c:pt>
                <c:pt idx="32">
                  <c:v>18.954001172393056</c:v>
                </c:pt>
                <c:pt idx="33">
                  <c:v>14.343180014516594</c:v>
                </c:pt>
                <c:pt idx="34">
                  <c:v>9.6231985960807513</c:v>
                </c:pt>
                <c:pt idx="35">
                  <c:v>4.829978825682578</c:v>
                </c:pt>
                <c:pt idx="36">
                  <c:v>6.789502227821193E-15</c:v>
                </c:pt>
              </c:numCache>
            </c:numRef>
          </c:yVal>
          <c:smooth val="1"/>
          <c:extLst>
            <c:ext xmlns:c16="http://schemas.microsoft.com/office/drawing/2014/chart" uri="{C3380CC4-5D6E-409C-BE32-E72D297353CC}">
              <c16:uniqueId val="{00000001-AF6C-42EC-8196-733826C725C5}"/>
            </c:ext>
          </c:extLst>
        </c:ser>
        <c:ser>
          <c:idx val="5"/>
          <c:order val="2"/>
          <c:tx>
            <c:strRef>
              <c:f>'WS-TRX-CU Multi'!$R$242</c:f>
              <c:strCache>
                <c:ptCount val="1"/>
                <c:pt idx="0">
                  <c:v>σ₃′ =137 kPa</c:v>
                </c:pt>
              </c:strCache>
            </c:strRef>
          </c:tx>
          <c:spPr>
            <a:ln w="12700" cap="rnd">
              <a:solidFill>
                <a:schemeClr val="accent6"/>
              </a:solidFill>
              <a:round/>
            </a:ln>
            <a:effectLst/>
          </c:spPr>
          <c:marker>
            <c:symbol val="none"/>
          </c:marker>
          <c:xVal>
            <c:numRef>
              <c:f>'WS-TRX-CU Multi'!$U$187:$U$223</c:f>
              <c:numCache>
                <c:formatCode>0.00</c:formatCode>
                <c:ptCount val="37"/>
                <c:pt idx="0">
                  <c:v>317.85188438968908</c:v>
                </c:pt>
                <c:pt idx="1">
                  <c:v>317.50778637929932</c:v>
                </c:pt>
                <c:pt idx="2">
                  <c:v>316.47811114176119</c:v>
                </c:pt>
                <c:pt idx="3">
                  <c:v>314.77069512736728</c:v>
                </c:pt>
                <c:pt idx="4">
                  <c:v>312.39853280295307</c:v>
                </c:pt>
                <c:pt idx="5">
                  <c:v>309.37967775615812</c:v>
                </c:pt>
                <c:pt idx="6">
                  <c:v>305.73710529672309</c:v>
                </c:pt>
                <c:pt idx="7">
                  <c:v>301.49853760050962</c:v>
                </c:pt>
                <c:pt idx="8">
                  <c:v>296.69623272700312</c:v>
                </c:pt>
                <c:pt idx="9">
                  <c:v>291.3667391160019</c:v>
                </c:pt>
                <c:pt idx="10">
                  <c:v>285.55061743192186</c:v>
                </c:pt>
                <c:pt idx="11">
                  <c:v>279.29213187264918</c:v>
                </c:pt>
                <c:pt idx="12">
                  <c:v>272.63891329226681</c:v>
                </c:pt>
                <c:pt idx="13">
                  <c:v>265.64159670149468</c:v>
                </c:pt>
                <c:pt idx="14">
                  <c:v>258.35343590468392</c:v>
                </c:pt>
                <c:pt idx="15">
                  <c:v>250.82989820620995</c:v>
                </c:pt>
                <c:pt idx="16">
                  <c:v>243.12824227079449</c:v>
                </c:pt>
                <c:pt idx="17">
                  <c:v>235.307082350493</c:v>
                </c:pt>
                <c:pt idx="18">
                  <c:v>227.42594219484454</c:v>
                </c:pt>
                <c:pt idx="19">
                  <c:v>219.54480203919604</c:v>
                </c:pt>
                <c:pt idx="20">
                  <c:v>211.72364211889462</c:v>
                </c:pt>
                <c:pt idx="21">
                  <c:v>204.02198618347913</c:v>
                </c:pt>
                <c:pt idx="22">
                  <c:v>196.49844848500518</c:v>
                </c:pt>
                <c:pt idx="23">
                  <c:v>189.2102876881944</c:v>
                </c:pt>
                <c:pt idx="24">
                  <c:v>182.2129710974223</c:v>
                </c:pt>
                <c:pt idx="25">
                  <c:v>175.5597525170399</c:v>
                </c:pt>
                <c:pt idx="26">
                  <c:v>169.30126695776724</c:v>
                </c:pt>
                <c:pt idx="27">
                  <c:v>163.48514527368721</c:v>
                </c:pt>
                <c:pt idx="28">
                  <c:v>158.15565166268595</c:v>
                </c:pt>
                <c:pt idx="29">
                  <c:v>153.35334678917943</c:v>
                </c:pt>
                <c:pt idx="30">
                  <c:v>149.11477909296599</c:v>
                </c:pt>
                <c:pt idx="31">
                  <c:v>145.47220663353096</c:v>
                </c:pt>
                <c:pt idx="32">
                  <c:v>142.45335158673601</c:v>
                </c:pt>
                <c:pt idx="33">
                  <c:v>140.0811892623218</c:v>
                </c:pt>
                <c:pt idx="34">
                  <c:v>138.37377324792789</c:v>
                </c:pt>
                <c:pt idx="35">
                  <c:v>137.34409801038976</c:v>
                </c:pt>
                <c:pt idx="36">
                  <c:v>137</c:v>
                </c:pt>
              </c:numCache>
            </c:numRef>
          </c:xVal>
          <c:yVal>
            <c:numRef>
              <c:f>'WS-TRX-CU Multi'!$V$187:$V$223</c:f>
              <c:numCache>
                <c:formatCode>General</c:formatCode>
                <c:ptCount val="37"/>
                <c:pt idx="0">
                  <c:v>0</c:v>
                </c:pt>
                <c:pt idx="1">
                  <c:v>7.8811401556484784</c:v>
                </c:pt>
                <c:pt idx="2">
                  <c:v>15.702300075949937</c:v>
                </c:pt>
                <c:pt idx="3">
                  <c:v>23.403956011365402</c:v>
                </c:pt>
                <c:pt idx="4">
                  <c:v>30.927493709839364</c:v>
                </c:pt>
                <c:pt idx="5">
                  <c:v>38.215654506650168</c:v>
                </c:pt>
                <c:pt idx="6">
                  <c:v>45.212971097422262</c:v>
                </c:pt>
                <c:pt idx="7">
                  <c:v>51.86618967780462</c:v>
                </c:pt>
                <c:pt idx="8">
                  <c:v>58.124675237077291</c:v>
                </c:pt>
                <c:pt idx="9">
                  <c:v>63.940796921157329</c:v>
                </c:pt>
                <c:pt idx="10">
                  <c:v>69.270290532158583</c:v>
                </c:pt>
                <c:pt idx="11">
                  <c:v>74.072595405665112</c:v>
                </c:pt>
                <c:pt idx="12">
                  <c:v>78.311163101878549</c:v>
                </c:pt>
                <c:pt idx="13">
                  <c:v>81.953735561313579</c:v>
                </c:pt>
                <c:pt idx="14">
                  <c:v>84.972590608108518</c:v>
                </c:pt>
                <c:pt idx="15">
                  <c:v>87.344752932522738</c:v>
                </c:pt>
                <c:pt idx="16">
                  <c:v>89.052168946916666</c:v>
                </c:pt>
                <c:pt idx="17">
                  <c:v>90.081844184454795</c:v>
                </c:pt>
                <c:pt idx="18">
                  <c:v>90.425942194844538</c:v>
                </c:pt>
                <c:pt idx="19">
                  <c:v>90.081844184454795</c:v>
                </c:pt>
                <c:pt idx="20">
                  <c:v>89.052168946916666</c:v>
                </c:pt>
                <c:pt idx="21">
                  <c:v>87.344752932522738</c:v>
                </c:pt>
                <c:pt idx="22">
                  <c:v>84.972590608108518</c:v>
                </c:pt>
                <c:pt idx="23">
                  <c:v>81.953735561313593</c:v>
                </c:pt>
                <c:pt idx="24">
                  <c:v>78.311163101878549</c:v>
                </c:pt>
                <c:pt idx="25">
                  <c:v>74.072595405665098</c:v>
                </c:pt>
                <c:pt idx="26">
                  <c:v>69.270290532158583</c:v>
                </c:pt>
                <c:pt idx="27">
                  <c:v>63.940796921157336</c:v>
                </c:pt>
                <c:pt idx="28">
                  <c:v>58.124675237077312</c:v>
                </c:pt>
                <c:pt idx="29">
                  <c:v>51.866189677804606</c:v>
                </c:pt>
                <c:pt idx="30">
                  <c:v>45.212971097422262</c:v>
                </c:pt>
                <c:pt idx="31">
                  <c:v>38.215654506650175</c:v>
                </c:pt>
                <c:pt idx="32">
                  <c:v>30.927493709839379</c:v>
                </c:pt>
                <c:pt idx="33">
                  <c:v>23.403956011365427</c:v>
                </c:pt>
                <c:pt idx="34">
                  <c:v>15.702300075949932</c:v>
                </c:pt>
                <c:pt idx="35">
                  <c:v>7.881140155648481</c:v>
                </c:pt>
                <c:pt idx="36">
                  <c:v>1.1078520336366997E-14</c:v>
                </c:pt>
              </c:numCache>
            </c:numRef>
          </c:yVal>
          <c:smooth val="1"/>
          <c:extLst>
            <c:ext xmlns:c16="http://schemas.microsoft.com/office/drawing/2014/chart" uri="{C3380CC4-5D6E-409C-BE32-E72D297353CC}">
              <c16:uniqueId val="{00000002-AF6C-42EC-8196-733826C725C5}"/>
            </c:ext>
          </c:extLst>
        </c:ser>
        <c:dLbls>
          <c:showLegendKey val="0"/>
          <c:showVal val="0"/>
          <c:showCatName val="0"/>
          <c:showSerName val="0"/>
          <c:showPercent val="0"/>
          <c:showBubbleSize val="0"/>
        </c:dLbls>
        <c:axId val="1145180799"/>
        <c:axId val="1078682415"/>
      </c:scatterChart>
      <c:scatterChart>
        <c:scatterStyle val="lineMarker"/>
        <c:varyColors val="0"/>
        <c:ser>
          <c:idx val="6"/>
          <c:order val="3"/>
          <c:tx>
            <c:strRef>
              <c:f>'WS-TRX-CU Multi'!$R$246</c:f>
              <c:strCache>
                <c:ptCount val="1"/>
                <c:pt idx="0">
                  <c:v>Effective Stress Envelope</c:v>
                </c:pt>
              </c:strCache>
            </c:strRef>
          </c:tx>
          <c:spPr>
            <a:ln w="15875" cap="rnd">
              <a:solidFill>
                <a:schemeClr val="accent1">
                  <a:lumMod val="60000"/>
                </a:schemeClr>
              </a:solidFill>
              <a:round/>
            </a:ln>
            <a:effectLst/>
          </c:spPr>
          <c:marker>
            <c:symbol val="none"/>
          </c:marker>
          <c:xVal>
            <c:numRef>
              <c:f>'WS-TRX-CU Multi'!$M$271:$M$277</c:f>
              <c:numCache>
                <c:formatCode>General</c:formatCode>
                <c:ptCount val="7"/>
                <c:pt idx="0">
                  <c:v>0</c:v>
                </c:pt>
                <c:pt idx="1">
                  <c:v>50</c:v>
                </c:pt>
                <c:pt idx="2">
                  <c:v>100</c:v>
                </c:pt>
                <c:pt idx="3">
                  <c:v>200</c:v>
                </c:pt>
                <c:pt idx="4">
                  <c:v>300</c:v>
                </c:pt>
                <c:pt idx="5">
                  <c:v>400</c:v>
                </c:pt>
                <c:pt idx="6">
                  <c:v>500</c:v>
                </c:pt>
              </c:numCache>
            </c:numRef>
          </c:xVal>
          <c:yVal>
            <c:numRef>
              <c:f>'WS-TRX-CU Multi'!$O$271:$O$277</c:f>
              <c:numCache>
                <c:formatCode>General</c:formatCode>
                <c:ptCount val="7"/>
                <c:pt idx="0">
                  <c:v>13.173350404143219</c:v>
                </c:pt>
                <c:pt idx="1">
                  <c:v>31.443127433699374</c:v>
                </c:pt>
                <c:pt idx="2">
                  <c:v>49.712904463255526</c:v>
                </c:pt>
                <c:pt idx="3">
                  <c:v>86.252458522367832</c:v>
                </c:pt>
                <c:pt idx="4">
                  <c:v>122.79201258148014</c:v>
                </c:pt>
                <c:pt idx="5">
                  <c:v>159.33156664059243</c:v>
                </c:pt>
                <c:pt idx="6">
                  <c:v>195.87112069970473</c:v>
                </c:pt>
              </c:numCache>
            </c:numRef>
          </c:yVal>
          <c:smooth val="0"/>
          <c:extLst>
            <c:ext xmlns:c16="http://schemas.microsoft.com/office/drawing/2014/chart" uri="{C3380CC4-5D6E-409C-BE32-E72D297353CC}">
              <c16:uniqueId val="{00000003-AF6C-42EC-8196-733826C725C5}"/>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Multi'!$Y$285:$Y$309</c:f>
              <c:numCache>
                <c:formatCode>0.00</c:formatCode>
                <c:ptCount val="25"/>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Multi'!$AC$285:$AC$309</c:f>
              <c:numCache>
                <c:formatCode>General</c:formatCode>
                <c:ptCount val="25"/>
                <c:pt idx="0">
                  <c:v>0</c:v>
                </c:pt>
                <c:pt idx="1">
                  <c:v>8.5787047999803043</c:v>
                </c:pt>
                <c:pt idx="2">
                  <c:v>16.63624892891184</c:v>
                </c:pt>
                <c:pt idx="3">
                  <c:v>23.70240424139012</c:v>
                </c:pt>
                <c:pt idx="4">
                  <c:v>27.420936757828322</c:v>
                </c:pt>
                <c:pt idx="5">
                  <c:v>32.062099181099988</c:v>
                </c:pt>
                <c:pt idx="6">
                  <c:v>34.796882759931577</c:v>
                </c:pt>
                <c:pt idx="7">
                  <c:v>40.799070406913494</c:v>
                </c:pt>
                <c:pt idx="8">
                  <c:v>47.235833431348901</c:v>
                </c:pt>
                <c:pt idx="9">
                  <c:v>50.838494451946346</c:v>
                </c:pt>
                <c:pt idx="10">
                  <c:v>53.025377783765911</c:v>
                </c:pt>
                <c:pt idx="11">
                  <c:v>55.199527984174416</c:v>
                </c:pt>
                <c:pt idx="12">
                  <c:v>56.435768520056179</c:v>
                </c:pt>
                <c:pt idx="13">
                  <c:v>58.586999083924738</c:v>
                </c:pt>
                <c:pt idx="14">
                  <c:v>61.185538156657863</c:v>
                </c:pt>
                <c:pt idx="15">
                  <c:v>63.768797471697695</c:v>
                </c:pt>
                <c:pt idx="16">
                  <c:v>66.336777029044242</c:v>
                </c:pt>
                <c:pt idx="17">
                  <c:v>70.258141931254428</c:v>
                </c:pt>
                <c:pt idx="18">
                  <c:v>72.336793646079869</c:v>
                </c:pt>
                <c:pt idx="19">
                  <c:v>73.495362080354084</c:v>
                </c:pt>
                <c:pt idx="20">
                  <c:v>73.741487112923693</c:v>
                </c:pt>
                <c:pt idx="21">
                  <c:v>73.533937070923216</c:v>
                </c:pt>
                <c:pt idx="22">
                  <c:v>73.776242164069515</c:v>
                </c:pt>
                <c:pt idx="23">
                  <c:v>74.01600063093359</c:v>
                </c:pt>
                <c:pt idx="24">
                  <c:v>74.25321247151544</c:v>
                </c:pt>
              </c:numCache>
            </c:numRef>
          </c:yVal>
          <c:smooth val="1"/>
          <c:extLst>
            <c:ext xmlns:c16="http://schemas.microsoft.com/office/drawing/2014/chart" uri="{C3380CC4-5D6E-409C-BE32-E72D297353CC}">
              <c16:uniqueId val="{00000000-91E7-4F1F-9FC2-BC8903F0948C}"/>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Multi'!$AI$285:$AI$313</c:f>
              <c:numCache>
                <c:formatCode>General</c:formatCode>
                <c:ptCount val="29"/>
                <c:pt idx="0">
                  <c:v>0</c:v>
                </c:pt>
                <c:pt idx="1">
                  <c:v>13.908165733219732</c:v>
                </c:pt>
                <c:pt idx="2">
                  <c:v>29.077819352007406</c:v>
                </c:pt>
                <c:pt idx="3">
                  <c:v>42.374904506546791</c:v>
                </c:pt>
                <c:pt idx="4">
                  <c:v>64.044314757424232</c:v>
                </c:pt>
                <c:pt idx="5">
                  <c:v>70.95243923939023</c:v>
                </c:pt>
                <c:pt idx="6">
                  <c:v>76.050368404432291</c:v>
                </c:pt>
                <c:pt idx="7">
                  <c:v>80.676257131704489</c:v>
                </c:pt>
                <c:pt idx="8">
                  <c:v>85.713112589991482</c:v>
                </c:pt>
                <c:pt idx="9">
                  <c:v>88.965761542739642</c:v>
                </c:pt>
                <c:pt idx="10">
                  <c:v>90.449797276780075</c:v>
                </c:pt>
                <c:pt idx="11">
                  <c:v>91.052125282605161</c:v>
                </c:pt>
                <c:pt idx="12">
                  <c:v>92.083612187414602</c:v>
                </c:pt>
                <c:pt idx="13">
                  <c:v>93.107302448808525</c:v>
                </c:pt>
                <c:pt idx="14">
                  <c:v>93.691438286663995</c:v>
                </c:pt>
                <c:pt idx="15">
                  <c:v>94.700834701796069</c:v>
                </c:pt>
                <c:pt idx="16">
                  <c:v>96.13159337249698</c:v>
                </c:pt>
                <c:pt idx="17">
                  <c:v>97.551956518643792</c:v>
                </c:pt>
                <c:pt idx="18">
                  <c:v>98.108804104544888</c:v>
                </c:pt>
                <c:pt idx="19">
                  <c:v>100.78675681455189</c:v>
                </c:pt>
                <c:pt idx="20">
                  <c:v>103.02255621988198</c:v>
                </c:pt>
                <c:pt idx="21">
                  <c:v>103.97477724996673</c:v>
                </c:pt>
                <c:pt idx="22">
                  <c:v>105.76192614777361</c:v>
                </c:pt>
                <c:pt idx="23">
                  <c:v>106.69595500988878</c:v>
                </c:pt>
                <c:pt idx="24">
                  <c:v>107.62218722858842</c:v>
                </c:pt>
                <c:pt idx="25">
                  <c:v>108.95808673773354</c:v>
                </c:pt>
                <c:pt idx="26">
                  <c:v>109.03509724244923</c:v>
                </c:pt>
                <c:pt idx="27">
                  <c:v>109.93923897147148</c:v>
                </c:pt>
                <c:pt idx="28">
                  <c:v>110.83558405707821</c:v>
                </c:pt>
              </c:numCache>
            </c:numRef>
          </c:yVal>
          <c:smooth val="1"/>
          <c:extLst>
            <c:ext xmlns:c16="http://schemas.microsoft.com/office/drawing/2014/chart" uri="{C3380CC4-5D6E-409C-BE32-E72D297353CC}">
              <c16:uniqueId val="{00000001-91E7-4F1F-9FC2-BC8903F0948C}"/>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Multi'!$AK$285:$AK$318</c:f>
              <c:numCache>
                <c:formatCode>0.00</c:formatCode>
                <c:ptCount val="34"/>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pt idx="30">
                  <c:v>0</c:v>
                </c:pt>
                <c:pt idx="31">
                  <c:v>0</c:v>
                </c:pt>
                <c:pt idx="32">
                  <c:v>0</c:v>
                </c:pt>
                <c:pt idx="33">
                  <c:v>0</c:v>
                </c:pt>
              </c:numCache>
            </c:numRef>
          </c:xVal>
          <c:yVal>
            <c:numRef>
              <c:f>'WS-TRX-CU Multi'!$AO$285:$AO$318</c:f>
              <c:numCache>
                <c:formatCode>General</c:formatCode>
                <c:ptCount val="34"/>
                <c:pt idx="0">
                  <c:v>0</c:v>
                </c:pt>
                <c:pt idx="1">
                  <c:v>41.45793952936139</c:v>
                </c:pt>
                <c:pt idx="2">
                  <c:v>61.779962395802876</c:v>
                </c:pt>
                <c:pt idx="3">
                  <c:v>75.729706915934642</c:v>
                </c:pt>
                <c:pt idx="4">
                  <c:v>85.026292644472377</c:v>
                </c:pt>
                <c:pt idx="5">
                  <c:v>95.501756089888289</c:v>
                </c:pt>
                <c:pt idx="6">
                  <c:v>103.43524961231654</c:v>
                </c:pt>
                <c:pt idx="7">
                  <c:v>110.49383214995096</c:v>
                </c:pt>
                <c:pt idx="8">
                  <c:v>119.14205014479795</c:v>
                </c:pt>
                <c:pt idx="9">
                  <c:v>128.13962105023549</c:v>
                </c:pt>
                <c:pt idx="10">
                  <c:v>137.07578712592928</c:v>
                </c:pt>
                <c:pt idx="11">
                  <c:v>145.1397119920355</c:v>
                </c:pt>
                <c:pt idx="12">
                  <c:v>151.93532167185413</c:v>
                </c:pt>
                <c:pt idx="13">
                  <c:v>159.48837222739155</c:v>
                </c:pt>
                <c:pt idx="14">
                  <c:v>164.98095964324133</c:v>
                </c:pt>
                <c:pt idx="15">
                  <c:v>168.03302859394105</c:v>
                </c:pt>
                <c:pt idx="16">
                  <c:v>171.85855707159703</c:v>
                </c:pt>
                <c:pt idx="17">
                  <c:v>175.25730915768111</c:v>
                </c:pt>
                <c:pt idx="18">
                  <c:v>177.04506758490265</c:v>
                </c:pt>
                <c:pt idx="19">
                  <c:v>178.42206827178981</c:v>
                </c:pt>
                <c:pt idx="20">
                  <c:v>178.99891167965822</c:v>
                </c:pt>
                <c:pt idx="21">
                  <c:v>180.35188438968908</c:v>
                </c:pt>
                <c:pt idx="22">
                  <c:v>180.91003937111367</c:v>
                </c:pt>
                <c:pt idx="23">
                  <c:v>182.23898410428831</c:v>
                </c:pt>
                <c:pt idx="24">
                  <c:v>183.55457996143167</c:v>
                </c:pt>
                <c:pt idx="25">
                  <c:v>184.85682694254376</c:v>
                </c:pt>
                <c:pt idx="26">
                  <c:v>186.9165147993746</c:v>
                </c:pt>
                <c:pt idx="27">
                  <c:v>184.73285435877108</c:v>
                </c:pt>
                <c:pt idx="28">
                  <c:v>182.17714791832384</c:v>
                </c:pt>
                <c:pt idx="29">
                  <c:v>179.63479035390785</c:v>
                </c:pt>
                <c:pt idx="30">
                  <c:v>0</c:v>
                </c:pt>
                <c:pt idx="31">
                  <c:v>0</c:v>
                </c:pt>
                <c:pt idx="32">
                  <c:v>0</c:v>
                </c:pt>
                <c:pt idx="33">
                  <c:v>0</c:v>
                </c:pt>
              </c:numCache>
            </c:numRef>
          </c:yVal>
          <c:smooth val="1"/>
          <c:extLst>
            <c:ext xmlns:c16="http://schemas.microsoft.com/office/drawing/2014/chart" uri="{C3380CC4-5D6E-409C-BE32-E72D297353CC}">
              <c16:uniqueId val="{00000002-91E7-4F1F-9FC2-BC8903F0948C}"/>
            </c:ext>
          </c:extLst>
        </c:ser>
        <c:dLbls>
          <c:showLegendKey val="0"/>
          <c:showVal val="0"/>
          <c:showCatName val="0"/>
          <c:showSerName val="0"/>
          <c:showPercent val="0"/>
          <c:showBubbleSize val="0"/>
        </c:dLbls>
        <c:axId val="1976424751"/>
        <c:axId val="2012520991"/>
      </c:scatterChart>
      <c:valAx>
        <c:axId val="1976424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Axial Strain, </a:t>
                </a:r>
                <a:r>
                  <a:rPr lang="el-GR" sz="800" b="0" i="0" u="none" strike="noStrike" baseline="0">
                    <a:latin typeface="Arial" panose="020B0604020202020204" pitchFamily="34" charset="0"/>
                    <a:cs typeface="Arial" panose="020B0604020202020204" pitchFamily="34" charset="0"/>
                  </a:rPr>
                  <a:t>ε</a:t>
                </a:r>
                <a:r>
                  <a:rPr lang="en-ID" sz="800" b="0" i="0" u="none" strike="noStrike" baseline="0">
                    <a:latin typeface="Arial" panose="020B0604020202020204" pitchFamily="34" charset="0"/>
                    <a:cs typeface="Arial" panose="020B0604020202020204" pitchFamily="34" charset="0"/>
                  </a:rPr>
                  <a:t>a​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520991"/>
        <c:crosses val="autoZero"/>
        <c:crossBetween val="midCat"/>
      </c:valAx>
      <c:valAx>
        <c:axId val="201252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Deviator Stress, (</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1​</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3</a:t>
                </a:r>
                <a:r>
                  <a:rPr lang="el-GR" sz="800" b="0" i="0" u="none" strike="noStrike" baseline="0">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kPa)</a:t>
                </a:r>
                <a:endParaRPr lang="en-US" sz="800">
                  <a:latin typeface="Arial" panose="020B0604020202020204" pitchFamily="34" charset="0"/>
                  <a:cs typeface="Arial" panose="020B0604020202020204" pitchFamily="34" charset="0"/>
                </a:endParaRPr>
              </a:p>
            </c:rich>
          </c:tx>
          <c:layout>
            <c:manualLayout>
              <c:xMode val="edge"/>
              <c:yMode val="edge"/>
              <c:x val="3.0583861711348966E-2"/>
              <c:y val="0.101556368107661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76424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Multi'!$Y$285:$Y$316</c:f>
              <c:numCache>
                <c:formatCode>0.00</c:formatCode>
                <c:ptCount val="32"/>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Multi'!$AA$285:$AA$319</c:f>
              <c:numCache>
                <c:formatCode>General</c:formatCode>
                <c:ptCount val="35"/>
                <c:pt idx="0">
                  <c:v>190</c:v>
                </c:pt>
                <c:pt idx="1">
                  <c:v>190.3</c:v>
                </c:pt>
                <c:pt idx="2">
                  <c:v>190.7</c:v>
                </c:pt>
                <c:pt idx="3">
                  <c:v>191.2</c:v>
                </c:pt>
                <c:pt idx="4">
                  <c:v>191.8</c:v>
                </c:pt>
                <c:pt idx="5">
                  <c:v>192.3</c:v>
                </c:pt>
                <c:pt idx="6">
                  <c:v>193.2</c:v>
                </c:pt>
                <c:pt idx="7">
                  <c:v>194</c:v>
                </c:pt>
                <c:pt idx="8">
                  <c:v>194.8</c:v>
                </c:pt>
                <c:pt idx="9">
                  <c:v>196.5</c:v>
                </c:pt>
                <c:pt idx="10">
                  <c:v>197.8</c:v>
                </c:pt>
                <c:pt idx="11">
                  <c:v>199</c:v>
                </c:pt>
                <c:pt idx="12">
                  <c:v>200</c:v>
                </c:pt>
                <c:pt idx="13">
                  <c:v>201</c:v>
                </c:pt>
                <c:pt idx="14">
                  <c:v>201.7</c:v>
                </c:pt>
                <c:pt idx="15">
                  <c:v>202</c:v>
                </c:pt>
                <c:pt idx="16">
                  <c:v>202.7</c:v>
                </c:pt>
                <c:pt idx="17">
                  <c:v>204.3</c:v>
                </c:pt>
                <c:pt idx="18">
                  <c:v>204.7</c:v>
                </c:pt>
                <c:pt idx="19">
                  <c:v>205</c:v>
                </c:pt>
                <c:pt idx="20">
                  <c:v>205</c:v>
                </c:pt>
                <c:pt idx="21">
                  <c:v>205</c:v>
                </c:pt>
                <c:pt idx="22">
                  <c:v>205</c:v>
                </c:pt>
                <c:pt idx="23">
                  <c:v>205</c:v>
                </c:pt>
                <c:pt idx="24">
                  <c:v>205</c:v>
                </c:pt>
              </c:numCache>
            </c:numRef>
          </c:yVal>
          <c:smooth val="1"/>
          <c:extLst>
            <c:ext xmlns:c16="http://schemas.microsoft.com/office/drawing/2014/chart" uri="{C3380CC4-5D6E-409C-BE32-E72D297353CC}">
              <c16:uniqueId val="{00000000-ACDD-43A5-9B00-B97D7CC79935}"/>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Multi'!$AG$285:$AG$313</c:f>
              <c:numCache>
                <c:formatCode>General</c:formatCode>
                <c:ptCount val="29"/>
                <c:pt idx="0">
                  <c:v>190</c:v>
                </c:pt>
                <c:pt idx="1">
                  <c:v>190.9</c:v>
                </c:pt>
                <c:pt idx="2">
                  <c:v>192.3</c:v>
                </c:pt>
                <c:pt idx="3">
                  <c:v>195.4</c:v>
                </c:pt>
                <c:pt idx="4">
                  <c:v>198.5</c:v>
                </c:pt>
                <c:pt idx="5">
                  <c:v>199.9</c:v>
                </c:pt>
                <c:pt idx="6">
                  <c:v>202.3</c:v>
                </c:pt>
                <c:pt idx="7">
                  <c:v>205.5</c:v>
                </c:pt>
                <c:pt idx="8">
                  <c:v>207.3</c:v>
                </c:pt>
                <c:pt idx="9">
                  <c:v>208.2</c:v>
                </c:pt>
                <c:pt idx="10">
                  <c:v>209.3</c:v>
                </c:pt>
                <c:pt idx="11">
                  <c:v>210.3</c:v>
                </c:pt>
                <c:pt idx="12">
                  <c:v>211.7</c:v>
                </c:pt>
                <c:pt idx="13">
                  <c:v>212.7</c:v>
                </c:pt>
                <c:pt idx="14">
                  <c:v>214.1</c:v>
                </c:pt>
                <c:pt idx="15">
                  <c:v>215</c:v>
                </c:pt>
                <c:pt idx="16">
                  <c:v>215.3</c:v>
                </c:pt>
                <c:pt idx="17">
                  <c:v>216.1</c:v>
                </c:pt>
                <c:pt idx="18">
                  <c:v>216.5</c:v>
                </c:pt>
                <c:pt idx="19">
                  <c:v>217.3</c:v>
                </c:pt>
                <c:pt idx="20">
                  <c:v>218.1</c:v>
                </c:pt>
                <c:pt idx="21">
                  <c:v>218.8</c:v>
                </c:pt>
                <c:pt idx="22">
                  <c:v>219.2</c:v>
                </c:pt>
                <c:pt idx="23">
                  <c:v>219.5</c:v>
                </c:pt>
                <c:pt idx="24">
                  <c:v>220</c:v>
                </c:pt>
                <c:pt idx="25">
                  <c:v>220</c:v>
                </c:pt>
                <c:pt idx="26">
                  <c:v>220</c:v>
                </c:pt>
                <c:pt idx="27">
                  <c:v>220</c:v>
                </c:pt>
                <c:pt idx="28">
                  <c:v>220</c:v>
                </c:pt>
              </c:numCache>
            </c:numRef>
          </c:yVal>
          <c:smooth val="1"/>
          <c:extLst>
            <c:ext xmlns:c16="http://schemas.microsoft.com/office/drawing/2014/chart" uri="{C3380CC4-5D6E-409C-BE32-E72D297353CC}">
              <c16:uniqueId val="{00000001-ACDD-43A5-9B00-B97D7CC79935}"/>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Multi'!$AK$285:$AK$318</c:f>
              <c:numCache>
                <c:formatCode>0.00</c:formatCode>
                <c:ptCount val="34"/>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pt idx="30">
                  <c:v>0</c:v>
                </c:pt>
                <c:pt idx="31">
                  <c:v>0</c:v>
                </c:pt>
                <c:pt idx="32">
                  <c:v>0</c:v>
                </c:pt>
                <c:pt idx="33">
                  <c:v>0</c:v>
                </c:pt>
              </c:numCache>
            </c:numRef>
          </c:xVal>
          <c:yVal>
            <c:numRef>
              <c:f>'WS-TRX-CU Multi'!$AM$285:$AM$318</c:f>
              <c:numCache>
                <c:formatCode>General</c:formatCode>
                <c:ptCount val="34"/>
                <c:pt idx="0">
                  <c:v>190</c:v>
                </c:pt>
                <c:pt idx="1">
                  <c:v>193.2</c:v>
                </c:pt>
                <c:pt idx="2">
                  <c:v>195.4</c:v>
                </c:pt>
                <c:pt idx="3">
                  <c:v>200.6</c:v>
                </c:pt>
                <c:pt idx="4">
                  <c:v>206.8</c:v>
                </c:pt>
                <c:pt idx="5">
                  <c:v>213.9</c:v>
                </c:pt>
                <c:pt idx="6">
                  <c:v>218</c:v>
                </c:pt>
                <c:pt idx="7">
                  <c:v>221.6</c:v>
                </c:pt>
                <c:pt idx="8">
                  <c:v>224.3</c:v>
                </c:pt>
                <c:pt idx="9">
                  <c:v>230.4</c:v>
                </c:pt>
                <c:pt idx="10">
                  <c:v>233.4</c:v>
                </c:pt>
                <c:pt idx="11">
                  <c:v>235.7</c:v>
                </c:pt>
                <c:pt idx="12">
                  <c:v>237.6</c:v>
                </c:pt>
                <c:pt idx="13">
                  <c:v>239.2</c:v>
                </c:pt>
                <c:pt idx="14">
                  <c:v>242.8</c:v>
                </c:pt>
                <c:pt idx="15">
                  <c:v>244.9</c:v>
                </c:pt>
                <c:pt idx="16">
                  <c:v>245.8</c:v>
                </c:pt>
                <c:pt idx="17">
                  <c:v>248.3</c:v>
                </c:pt>
                <c:pt idx="18">
                  <c:v>250.8</c:v>
                </c:pt>
                <c:pt idx="19">
                  <c:v>251.8</c:v>
                </c:pt>
                <c:pt idx="20">
                  <c:v>252.3</c:v>
                </c:pt>
                <c:pt idx="21">
                  <c:v>252.5</c:v>
                </c:pt>
                <c:pt idx="22">
                  <c:v>252.7</c:v>
                </c:pt>
                <c:pt idx="23">
                  <c:v>252.9</c:v>
                </c:pt>
                <c:pt idx="24">
                  <c:v>253</c:v>
                </c:pt>
                <c:pt idx="25">
                  <c:v>253</c:v>
                </c:pt>
                <c:pt idx="26">
                  <c:v>253</c:v>
                </c:pt>
                <c:pt idx="27">
                  <c:v>253</c:v>
                </c:pt>
                <c:pt idx="28">
                  <c:v>253</c:v>
                </c:pt>
                <c:pt idx="29">
                  <c:v>253</c:v>
                </c:pt>
                <c:pt idx="30">
                  <c:v>0</c:v>
                </c:pt>
                <c:pt idx="31">
                  <c:v>0</c:v>
                </c:pt>
                <c:pt idx="32">
                  <c:v>0</c:v>
                </c:pt>
                <c:pt idx="33">
                  <c:v>0</c:v>
                </c:pt>
              </c:numCache>
            </c:numRef>
          </c:yVal>
          <c:smooth val="1"/>
          <c:extLst>
            <c:ext xmlns:c16="http://schemas.microsoft.com/office/drawing/2014/chart" uri="{C3380CC4-5D6E-409C-BE32-E72D297353CC}">
              <c16:uniqueId val="{00000002-ACDD-43A5-9B00-B97D7CC79935}"/>
            </c:ext>
          </c:extLst>
        </c:ser>
        <c:dLbls>
          <c:showLegendKey val="0"/>
          <c:showVal val="0"/>
          <c:showCatName val="0"/>
          <c:showSerName val="0"/>
          <c:showPercent val="0"/>
          <c:showBubbleSize val="0"/>
        </c:dLbls>
        <c:axId val="70689072"/>
        <c:axId val="112692560"/>
      </c:scatterChart>
      <c:valAx>
        <c:axId val="70689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latin typeface="Arial" panose="020B0604020202020204" pitchFamily="34" charset="0"/>
                    <a:cs typeface="Arial" panose="020B0604020202020204" pitchFamily="34" charset="0"/>
                  </a:rPr>
                  <a:t>Axial Strain, </a:t>
                </a:r>
                <a:r>
                  <a:rPr lang="el-GR" sz="800">
                    <a:latin typeface="Arial" panose="020B0604020202020204" pitchFamily="34" charset="0"/>
                    <a:cs typeface="Arial" panose="020B0604020202020204" pitchFamily="34" charset="0"/>
                  </a:rPr>
                  <a:t>ε</a:t>
                </a:r>
                <a:r>
                  <a:rPr lang="en-US" sz="800">
                    <a:latin typeface="Arial" panose="020B0604020202020204" pitchFamily="34" charset="0"/>
                    <a:cs typeface="Arial" panose="020B0604020202020204" pitchFamily="34" charset="0"/>
                  </a:rPr>
                  <a:t>a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2692560"/>
        <c:crosses val="autoZero"/>
        <c:crossBetween val="midCat"/>
      </c:valAx>
      <c:valAx>
        <c:axId val="112692560"/>
        <c:scaling>
          <c:orientation val="minMax"/>
          <c:max val="3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Pore Water Pressure, u (kPa)</a:t>
                </a:r>
              </a:p>
            </c:rich>
          </c:tx>
          <c:layout>
            <c:manualLayout>
              <c:xMode val="edge"/>
              <c:yMode val="edge"/>
              <c:x val="1.683798809779331E-2"/>
              <c:y val="0.2357525306844579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68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Multi'!$R$236</c:f>
              <c:strCache>
                <c:ptCount val="1"/>
                <c:pt idx="0">
                  <c:v>σ₃=50 kPa</c:v>
                </c:pt>
              </c:strCache>
            </c:strRef>
          </c:tx>
          <c:spPr>
            <a:ln w="12700" cap="rnd">
              <a:solidFill>
                <a:schemeClr val="accent1"/>
              </a:solidFill>
              <a:round/>
            </a:ln>
            <a:effectLst/>
          </c:spPr>
          <c:marker>
            <c:symbol val="none"/>
          </c:marker>
          <c:xVal>
            <c:numRef>
              <c:f>'WS-TRX-CU Multi'!$C$187:$C$223</c:f>
              <c:numCache>
                <c:formatCode>0.00</c:formatCode>
                <c:ptCount val="37"/>
                <c:pt idx="0">
                  <c:v>124.25321247151544</c:v>
                </c:pt>
                <c:pt idx="1">
                  <c:v>124.1119345259595</c:v>
                </c:pt>
                <c:pt idx="2">
                  <c:v>123.68917589976331</c:v>
                </c:pt>
                <c:pt idx="3">
                  <c:v>122.98815404134086</c:v>
                </c:pt>
                <c:pt idx="4">
                  <c:v>122.01420415032334</c:v>
                </c:pt>
                <c:pt idx="5">
                  <c:v>120.7747385734684</c:v>
                </c:pt>
                <c:pt idx="6">
                  <c:v>119.27919039222566</c:v>
                </c:pt>
                <c:pt idx="7">
                  <c:v>117.5389416312911</c:v>
                </c:pt>
                <c:pt idx="8">
                  <c:v>115.56723663452632</c:v>
                </c:pt>
                <c:pt idx="9">
                  <c:v>113.37908126750477</c:v>
                </c:pt>
                <c:pt idx="10">
                  <c:v>110.99112871381379</c:v>
                </c:pt>
                <c:pt idx="11">
                  <c:v>108.42155273427215</c:v>
                </c:pt>
                <c:pt idx="12">
                  <c:v>105.68990935363658</c:v>
                </c:pt>
                <c:pt idx="13">
                  <c:v>102.81698802744506</c:v>
                </c:pt>
                <c:pt idx="14">
                  <c:v>99.824653421707239</c:v>
                </c:pt>
                <c:pt idx="15">
                  <c:v>96.735679009593824</c:v>
                </c:pt>
                <c:pt idx="16">
                  <c:v>93.573573751554747</c:v>
                </c:pt>
                <c:pt idx="17">
                  <c:v>90.362403177935022</c:v>
                </c:pt>
                <c:pt idx="18">
                  <c:v>87.12660623575772</c:v>
                </c:pt>
                <c:pt idx="19">
                  <c:v>83.890809293580418</c:v>
                </c:pt>
                <c:pt idx="20">
                  <c:v>80.679638719960707</c:v>
                </c:pt>
                <c:pt idx="21">
                  <c:v>77.517533461921616</c:v>
                </c:pt>
                <c:pt idx="22">
                  <c:v>74.4285590498082</c:v>
                </c:pt>
                <c:pt idx="23">
                  <c:v>71.436224444070376</c:v>
                </c:pt>
                <c:pt idx="24">
                  <c:v>68.56330311787886</c:v>
                </c:pt>
                <c:pt idx="25">
                  <c:v>65.831659737243285</c:v>
                </c:pt>
                <c:pt idx="26">
                  <c:v>63.262083757701646</c:v>
                </c:pt>
                <c:pt idx="27">
                  <c:v>60.874131204010681</c:v>
                </c:pt>
                <c:pt idx="28">
                  <c:v>58.68597583698913</c:v>
                </c:pt>
                <c:pt idx="29">
                  <c:v>56.714270840224344</c:v>
                </c:pt>
                <c:pt idx="30">
                  <c:v>54.974022079289782</c:v>
                </c:pt>
                <c:pt idx="31">
                  <c:v>53.478473898047049</c:v>
                </c:pt>
                <c:pt idx="32">
                  <c:v>52.239008321192102</c:v>
                </c:pt>
                <c:pt idx="33">
                  <c:v>51.26505843017457</c:v>
                </c:pt>
                <c:pt idx="34">
                  <c:v>50.564036571752126</c:v>
                </c:pt>
                <c:pt idx="35">
                  <c:v>50.141277945555942</c:v>
                </c:pt>
                <c:pt idx="36">
                  <c:v>50</c:v>
                </c:pt>
              </c:numCache>
            </c:numRef>
          </c:xVal>
          <c:yVal>
            <c:numRef>
              <c:f>'WS-TRX-CU Multi'!$D$187:$D$223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0-1022-4216-B174-73CA1777C6F4}"/>
            </c:ext>
          </c:extLst>
        </c:ser>
        <c:ser>
          <c:idx val="2"/>
          <c:order val="1"/>
          <c:tx>
            <c:strRef>
              <c:f>'WS-TRX-CU Multi'!$R$237</c:f>
              <c:strCache>
                <c:ptCount val="1"/>
                <c:pt idx="0">
                  <c:v>σ₃=100 kPa</c:v>
                </c:pt>
              </c:strCache>
            </c:strRef>
          </c:tx>
          <c:spPr>
            <a:ln w="12700" cap="rnd">
              <a:solidFill>
                <a:schemeClr val="accent3"/>
              </a:solidFill>
              <a:round/>
            </a:ln>
            <a:effectLst/>
          </c:spPr>
          <c:marker>
            <c:symbol val="none"/>
          </c:marker>
          <c:xVal>
            <c:numRef>
              <c:f>'WS-TRX-CU Multi'!$J$187:$J$223</c:f>
              <c:numCache>
                <c:formatCode>0.00</c:formatCode>
                <c:ptCount val="37"/>
                <c:pt idx="0">
                  <c:v>207.62218722858842</c:v>
                </c:pt>
                <c:pt idx="1">
                  <c:v>207.41741977137269</c:v>
                </c:pt>
                <c:pt idx="2">
                  <c:v>206.80467580371686</c:v>
                </c:pt>
                <c:pt idx="3">
                  <c:v>205.78861867719974</c:v>
                </c:pt>
                <c:pt idx="4">
                  <c:v>204.37698120006621</c:v>
                </c:pt>
                <c:pt idx="5">
                  <c:v>202.5805067858872</c:v>
                </c:pt>
                <c:pt idx="6">
                  <c:v>200.41286768969559</c:v>
                </c:pt>
                <c:pt idx="7">
                  <c:v>197.89056095386962</c:v>
                </c:pt>
                <c:pt idx="8">
                  <c:v>195.03278285567941</c:v>
                </c:pt>
                <c:pt idx="9">
                  <c:v>191.86128281202576</c:v>
                </c:pt>
                <c:pt idx="10">
                  <c:v>188.40019785324498</c:v>
                </c:pt>
                <c:pt idx="11">
                  <c:v>184.67586892573362</c:v>
                </c:pt>
                <c:pt idx="12">
                  <c:v>180.71664042144133</c:v>
                </c:pt>
                <c:pt idx="13">
                  <c:v>176.55264445993328</c:v>
                </c:pt>
                <c:pt idx="14">
                  <c:v>172.21557156476609</c:v>
                </c:pt>
                <c:pt idx="15">
                  <c:v>167.73842947946818</c:v>
                </c:pt>
                <c:pt idx="16">
                  <c:v>163.155291958681</c:v>
                </c:pt>
                <c:pt idx="17">
                  <c:v>158.50103944631178</c:v>
                </c:pt>
                <c:pt idx="18">
                  <c:v>153.81109361429421</c:v>
                </c:pt>
                <c:pt idx="19">
                  <c:v>149.12114778227664</c:v>
                </c:pt>
                <c:pt idx="20">
                  <c:v>144.46689526990744</c:v>
                </c:pt>
                <c:pt idx="21">
                  <c:v>139.88375774912024</c:v>
                </c:pt>
                <c:pt idx="22">
                  <c:v>135.40661566382232</c:v>
                </c:pt>
                <c:pt idx="23">
                  <c:v>131.06954276865514</c:v>
                </c:pt>
                <c:pt idx="24">
                  <c:v>126.90554680714712</c:v>
                </c:pt>
                <c:pt idx="25">
                  <c:v>122.94631830285479</c:v>
                </c:pt>
                <c:pt idx="26">
                  <c:v>119.22198937534344</c:v>
                </c:pt>
                <c:pt idx="27">
                  <c:v>115.76090441656265</c:v>
                </c:pt>
                <c:pt idx="28">
                  <c:v>112.58940437290902</c:v>
                </c:pt>
                <c:pt idx="29">
                  <c:v>109.73162627471879</c:v>
                </c:pt>
                <c:pt idx="30">
                  <c:v>107.20931953889283</c:v>
                </c:pt>
                <c:pt idx="31">
                  <c:v>105.04168044270122</c:v>
                </c:pt>
                <c:pt idx="32">
                  <c:v>103.24520602852223</c:v>
                </c:pt>
                <c:pt idx="33">
                  <c:v>101.83356855138868</c:v>
                </c:pt>
                <c:pt idx="34">
                  <c:v>100.81751142487155</c:v>
                </c:pt>
                <c:pt idx="35">
                  <c:v>100.20476745721572</c:v>
                </c:pt>
                <c:pt idx="36">
                  <c:v>100</c:v>
                </c:pt>
              </c:numCache>
            </c:numRef>
          </c:xVal>
          <c:yVal>
            <c:numRef>
              <c:f>'WS-TRX-CU Multi'!$K$187:$K$223</c:f>
              <c:numCache>
                <c:formatCode>General</c:formatCode>
                <c:ptCount val="37"/>
                <c:pt idx="0">
                  <c:v>0</c:v>
                </c:pt>
                <c:pt idx="1">
                  <c:v>4.6899458320175773</c:v>
                </c:pt>
                <c:pt idx="2">
                  <c:v>9.3441983443867809</c:v>
                </c:pt>
                <c:pt idx="3">
                  <c:v>13.927335865173978</c:v>
                </c:pt>
                <c:pt idx="4">
                  <c:v>18.404477950471883</c:v>
                </c:pt>
                <c:pt idx="5">
                  <c:v>22.741550845639068</c:v>
                </c:pt>
                <c:pt idx="6">
                  <c:v>26.9055468071471</c:v>
                </c:pt>
                <c:pt idx="7">
                  <c:v>30.864775311439402</c:v>
                </c:pt>
                <c:pt idx="8">
                  <c:v>34.589104238950767</c:v>
                </c:pt>
                <c:pt idx="9">
                  <c:v>38.050189197731555</c:v>
                </c:pt>
                <c:pt idx="10">
                  <c:v>41.221689241385199</c:v>
                </c:pt>
                <c:pt idx="11">
                  <c:v>44.079467339575416</c:v>
                </c:pt>
                <c:pt idx="12">
                  <c:v>46.601774075401366</c:v>
                </c:pt>
                <c:pt idx="13">
                  <c:v>48.769413171592987</c:v>
                </c:pt>
                <c:pt idx="14">
                  <c:v>50.565887585771982</c:v>
                </c:pt>
                <c:pt idx="15">
                  <c:v>51.977525062905542</c:v>
                </c:pt>
                <c:pt idx="16">
                  <c:v>52.993582189422654</c:v>
                </c:pt>
                <c:pt idx="17">
                  <c:v>53.606326157078477</c:v>
                </c:pt>
                <c:pt idx="18">
                  <c:v>53.811093614294208</c:v>
                </c:pt>
                <c:pt idx="19">
                  <c:v>53.606326157078477</c:v>
                </c:pt>
                <c:pt idx="20">
                  <c:v>52.993582189422654</c:v>
                </c:pt>
                <c:pt idx="21">
                  <c:v>51.977525062905542</c:v>
                </c:pt>
                <c:pt idx="22">
                  <c:v>50.565887585771989</c:v>
                </c:pt>
                <c:pt idx="23">
                  <c:v>48.769413171592994</c:v>
                </c:pt>
                <c:pt idx="24">
                  <c:v>46.601774075401373</c:v>
                </c:pt>
                <c:pt idx="25">
                  <c:v>44.079467339575409</c:v>
                </c:pt>
                <c:pt idx="26">
                  <c:v>41.221689241385199</c:v>
                </c:pt>
                <c:pt idx="27">
                  <c:v>38.050189197731562</c:v>
                </c:pt>
                <c:pt idx="28">
                  <c:v>34.589104238950782</c:v>
                </c:pt>
                <c:pt idx="29">
                  <c:v>30.864775311439395</c:v>
                </c:pt>
                <c:pt idx="30">
                  <c:v>26.9055468071471</c:v>
                </c:pt>
                <c:pt idx="31">
                  <c:v>22.741550845639072</c:v>
                </c:pt>
                <c:pt idx="32">
                  <c:v>18.40447795047189</c:v>
                </c:pt>
                <c:pt idx="33">
                  <c:v>13.927335865173994</c:v>
                </c:pt>
                <c:pt idx="34">
                  <c:v>9.3441983443867773</c:v>
                </c:pt>
                <c:pt idx="35">
                  <c:v>4.6899458320175782</c:v>
                </c:pt>
                <c:pt idx="36">
                  <c:v>6.5926578198495655E-15</c:v>
                </c:pt>
              </c:numCache>
            </c:numRef>
          </c:yVal>
          <c:smooth val="1"/>
          <c:extLst>
            <c:ext xmlns:c16="http://schemas.microsoft.com/office/drawing/2014/chart" uri="{C3380CC4-5D6E-409C-BE32-E72D297353CC}">
              <c16:uniqueId val="{00000001-1022-4216-B174-73CA1777C6F4}"/>
            </c:ext>
          </c:extLst>
        </c:ser>
        <c:ser>
          <c:idx val="4"/>
          <c:order val="2"/>
          <c:tx>
            <c:strRef>
              <c:f>'WS-TRX-CU Multi'!$R$238</c:f>
              <c:strCache>
                <c:ptCount val="1"/>
                <c:pt idx="0">
                  <c:v>σ₃​=200 kPa</c:v>
                </c:pt>
              </c:strCache>
            </c:strRef>
          </c:tx>
          <c:spPr>
            <a:ln w="12700" cap="rnd">
              <a:solidFill>
                <a:schemeClr val="accent5"/>
              </a:solidFill>
              <a:round/>
            </a:ln>
            <a:effectLst/>
          </c:spPr>
          <c:marker>
            <c:symbol val="none"/>
          </c:marker>
          <c:xVal>
            <c:numRef>
              <c:f>'WS-TRX-CU Multi'!$Q$187:$Q$223</c:f>
              <c:numCache>
                <c:formatCode>0.00</c:formatCode>
                <c:ptCount val="37"/>
                <c:pt idx="0">
                  <c:v>375.25730915768111</c:v>
                </c:pt>
                <c:pt idx="1">
                  <c:v>374.92385567119447</c:v>
                </c:pt>
                <c:pt idx="2">
                  <c:v>373.92603299411144</c:v>
                </c:pt>
                <c:pt idx="3">
                  <c:v>372.2714351595065</c:v>
                </c:pt>
                <c:pt idx="4">
                  <c:v>369.97265465597434</c:v>
                </c:pt>
                <c:pt idx="5">
                  <c:v>367.04718659118851</c:v>
                </c:pt>
                <c:pt idx="6">
                  <c:v>363.51729554356803</c:v>
                </c:pt>
                <c:pt idx="7">
                  <c:v>359.4098461153917</c:v>
                </c:pt>
                <c:pt idx="8">
                  <c:v>354.75609847695375</c:v>
                </c:pt>
                <c:pt idx="9">
                  <c:v>349.5914704577923</c:v>
                </c:pt>
                <c:pt idx="10">
                  <c:v>343.95526799562089</c:v>
                </c:pt>
                <c:pt idx="11">
                  <c:v>337.89038599440869</c:v>
                </c:pt>
                <c:pt idx="12">
                  <c:v>331.44298186826086</c:v>
                </c:pt>
                <c:pt idx="13">
                  <c:v>324.66212425562634</c:v>
                </c:pt>
                <c:pt idx="14">
                  <c:v>317.5994195773311</c:v>
                </c:pt>
                <c:pt idx="15">
                  <c:v>310.30861928055469</c:v>
                </c:pt>
                <c:pt idx="16">
                  <c:v>302.84521075786114</c:v>
                </c:pt>
                <c:pt idx="17">
                  <c:v>295.26599505463736</c:v>
                </c:pt>
                <c:pt idx="18">
                  <c:v>287.62865457884055</c:v>
                </c:pt>
                <c:pt idx="19">
                  <c:v>279.99131410304375</c:v>
                </c:pt>
                <c:pt idx="20">
                  <c:v>272.41209839981997</c:v>
                </c:pt>
                <c:pt idx="21">
                  <c:v>264.94868987712641</c:v>
                </c:pt>
                <c:pt idx="22">
                  <c:v>257.65788958035</c:v>
                </c:pt>
                <c:pt idx="23">
                  <c:v>250.59518490205477</c:v>
                </c:pt>
                <c:pt idx="24">
                  <c:v>243.81432728942031</c:v>
                </c:pt>
                <c:pt idx="25">
                  <c:v>237.36692316327242</c:v>
                </c:pt>
                <c:pt idx="26">
                  <c:v>231.30204116206022</c:v>
                </c:pt>
                <c:pt idx="27">
                  <c:v>225.66583869988881</c:v>
                </c:pt>
                <c:pt idx="28">
                  <c:v>220.50121068072735</c:v>
                </c:pt>
                <c:pt idx="29">
                  <c:v>215.84746304228938</c:v>
                </c:pt>
                <c:pt idx="30">
                  <c:v>211.74001361411305</c:v>
                </c:pt>
                <c:pt idx="31">
                  <c:v>208.21012256649257</c:v>
                </c:pt>
                <c:pt idx="32">
                  <c:v>205.28465450170677</c:v>
                </c:pt>
                <c:pt idx="33">
                  <c:v>202.98587399817467</c:v>
                </c:pt>
                <c:pt idx="34">
                  <c:v>201.33127616356967</c:v>
                </c:pt>
                <c:pt idx="35">
                  <c:v>200.33345348648663</c:v>
                </c:pt>
                <c:pt idx="36">
                  <c:v>200</c:v>
                </c:pt>
              </c:numCache>
            </c:numRef>
          </c:xVal>
          <c:yVal>
            <c:numRef>
              <c:f>'WS-TRX-CU Multi'!$R$187:$R$223</c:f>
              <c:numCache>
                <c:formatCode>General</c:formatCode>
                <c:ptCount val="37"/>
                <c:pt idx="0">
                  <c:v>0</c:v>
                </c:pt>
                <c:pt idx="1">
                  <c:v>7.6373404757968251</c:v>
                </c:pt>
                <c:pt idx="2">
                  <c:v>15.216556179020573</c:v>
                </c:pt>
                <c:pt idx="3">
                  <c:v>22.679964701714145</c:v>
                </c:pt>
                <c:pt idx="4">
                  <c:v>29.970764998490562</c:v>
                </c:pt>
                <c:pt idx="5">
                  <c:v>37.033469676785778</c:v>
                </c:pt>
                <c:pt idx="6">
                  <c:v>43.81432728942027</c:v>
                </c:pt>
                <c:pt idx="7">
                  <c:v>50.261731415568136</c:v>
                </c:pt>
                <c:pt idx="8">
                  <c:v>56.326613416780333</c:v>
                </c:pt>
                <c:pt idx="9">
                  <c:v>61.962815878951758</c:v>
                </c:pt>
                <c:pt idx="10">
                  <c:v>67.127443898113199</c:v>
                </c:pt>
                <c:pt idx="11">
                  <c:v>71.781191536551162</c:v>
                </c:pt>
                <c:pt idx="12">
                  <c:v>75.888640964727486</c:v>
                </c:pt>
                <c:pt idx="13">
                  <c:v>79.418532012347981</c:v>
                </c:pt>
                <c:pt idx="14">
                  <c:v>82.344000077133771</c:v>
                </c:pt>
                <c:pt idx="15">
                  <c:v>84.642780580665914</c:v>
                </c:pt>
                <c:pt idx="16">
                  <c:v>86.297378415270899</c:v>
                </c:pt>
                <c:pt idx="17">
                  <c:v>87.295201092353921</c:v>
                </c:pt>
                <c:pt idx="18">
                  <c:v>87.628654578840553</c:v>
                </c:pt>
                <c:pt idx="19">
                  <c:v>87.295201092353921</c:v>
                </c:pt>
                <c:pt idx="20">
                  <c:v>86.297378415270899</c:v>
                </c:pt>
                <c:pt idx="21">
                  <c:v>84.642780580665914</c:v>
                </c:pt>
                <c:pt idx="22">
                  <c:v>82.344000077133771</c:v>
                </c:pt>
                <c:pt idx="23">
                  <c:v>79.418532012347995</c:v>
                </c:pt>
                <c:pt idx="24">
                  <c:v>75.8886409647275</c:v>
                </c:pt>
                <c:pt idx="25">
                  <c:v>71.781191536551148</c:v>
                </c:pt>
                <c:pt idx="26">
                  <c:v>67.127443898113199</c:v>
                </c:pt>
                <c:pt idx="27">
                  <c:v>61.962815878951766</c:v>
                </c:pt>
                <c:pt idx="28">
                  <c:v>56.326613416780354</c:v>
                </c:pt>
                <c:pt idx="29">
                  <c:v>50.261731415568129</c:v>
                </c:pt>
                <c:pt idx="30">
                  <c:v>43.81432728942027</c:v>
                </c:pt>
                <c:pt idx="31">
                  <c:v>37.033469676785785</c:v>
                </c:pt>
                <c:pt idx="32">
                  <c:v>29.970764998490576</c:v>
                </c:pt>
                <c:pt idx="33">
                  <c:v>22.679964701714169</c:v>
                </c:pt>
                <c:pt idx="34">
                  <c:v>15.216556179020568</c:v>
                </c:pt>
                <c:pt idx="35">
                  <c:v>7.6373404757968277</c:v>
                </c:pt>
                <c:pt idx="36">
                  <c:v>1.0735811076298767E-14</c:v>
                </c:pt>
              </c:numCache>
            </c:numRef>
          </c:yVal>
          <c:smooth val="1"/>
          <c:extLst>
            <c:ext xmlns:c16="http://schemas.microsoft.com/office/drawing/2014/chart" uri="{C3380CC4-5D6E-409C-BE32-E72D297353CC}">
              <c16:uniqueId val="{00000002-1022-4216-B174-73CA1777C6F4}"/>
            </c:ext>
          </c:extLst>
        </c:ser>
        <c:dLbls>
          <c:showLegendKey val="0"/>
          <c:showVal val="0"/>
          <c:showCatName val="0"/>
          <c:showSerName val="0"/>
          <c:showPercent val="0"/>
          <c:showBubbleSize val="0"/>
        </c:dLbls>
        <c:axId val="1145180799"/>
        <c:axId val="1078682415"/>
      </c:scatterChart>
      <c:scatterChart>
        <c:scatterStyle val="lineMarker"/>
        <c:varyColors val="0"/>
        <c:ser>
          <c:idx val="7"/>
          <c:order val="3"/>
          <c:tx>
            <c:strRef>
              <c:f>'WS-TRX-CU Multi'!$R$245</c:f>
              <c:strCache>
                <c:ptCount val="1"/>
                <c:pt idx="0">
                  <c:v>Total Stress Envelope</c:v>
                </c:pt>
              </c:strCache>
            </c:strRef>
          </c:tx>
          <c:spPr>
            <a:ln w="15875" cap="rnd">
              <a:solidFill>
                <a:schemeClr val="accent2">
                  <a:lumMod val="60000"/>
                </a:schemeClr>
              </a:solidFill>
              <a:round/>
            </a:ln>
            <a:effectLst/>
          </c:spPr>
          <c:marker>
            <c:symbol val="none"/>
          </c:marker>
          <c:xVal>
            <c:numRef>
              <c:f>'WS-TRX-CU Multi'!$M$248:$M$254</c:f>
              <c:numCache>
                <c:formatCode>General</c:formatCode>
                <c:ptCount val="7"/>
                <c:pt idx="0">
                  <c:v>0</c:v>
                </c:pt>
                <c:pt idx="1">
                  <c:v>50</c:v>
                </c:pt>
                <c:pt idx="2">
                  <c:v>100</c:v>
                </c:pt>
                <c:pt idx="3">
                  <c:v>200</c:v>
                </c:pt>
                <c:pt idx="4">
                  <c:v>300</c:v>
                </c:pt>
                <c:pt idx="5">
                  <c:v>400</c:v>
                </c:pt>
                <c:pt idx="6">
                  <c:v>500</c:v>
                </c:pt>
              </c:numCache>
            </c:numRef>
          </c:xVal>
          <c:yVal>
            <c:numRef>
              <c:f>'WS-TRX-CU Multi'!$O$248:$O$254</c:f>
              <c:numCache>
                <c:formatCode>General</c:formatCode>
                <c:ptCount val="7"/>
                <c:pt idx="0">
                  <c:v>15.627310499286921</c:v>
                </c:pt>
                <c:pt idx="1">
                  <c:v>28.647370589137431</c:v>
                </c:pt>
                <c:pt idx="2">
                  <c:v>41.667430678987941</c:v>
                </c:pt>
                <c:pt idx="3">
                  <c:v>67.707550858688961</c:v>
                </c:pt>
                <c:pt idx="4">
                  <c:v>93.747671038389967</c:v>
                </c:pt>
                <c:pt idx="5">
                  <c:v>119.78779121809099</c:v>
                </c:pt>
                <c:pt idx="6">
                  <c:v>145.82791139779201</c:v>
                </c:pt>
              </c:numCache>
            </c:numRef>
          </c:yVal>
          <c:smooth val="0"/>
          <c:extLst>
            <c:ext xmlns:c16="http://schemas.microsoft.com/office/drawing/2014/chart" uri="{C3380CC4-5D6E-409C-BE32-E72D297353CC}">
              <c16:uniqueId val="{00000003-1022-4216-B174-73CA1777C6F4}"/>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layout>
            <c:manualLayout>
              <c:xMode val="edge"/>
              <c:yMode val="edge"/>
              <c:x val="0.41734361691703109"/>
              <c:y val="0.879963308406294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Normal'!$B$73:$B$77</c:f>
              <c:numCache>
                <c:formatCode>General</c:formatCode>
                <c:ptCount val="5"/>
                <c:pt idx="0">
                  <c:v>50</c:v>
                </c:pt>
                <c:pt idx="1">
                  <c:v>100</c:v>
                </c:pt>
                <c:pt idx="2">
                  <c:v>150</c:v>
                </c:pt>
                <c:pt idx="3">
                  <c:v>200</c:v>
                </c:pt>
                <c:pt idx="4">
                  <c:v>240</c:v>
                </c:pt>
              </c:numCache>
            </c:numRef>
          </c:xVal>
          <c:yVal>
            <c:numRef>
              <c:f>'WS-TRX-CU Normal'!$C$73:$C$77</c:f>
              <c:numCache>
                <c:formatCode>0.00</c:formatCode>
                <c:ptCount val="5"/>
                <c:pt idx="0">
                  <c:v>0.2</c:v>
                </c:pt>
                <c:pt idx="1">
                  <c:v>0.52</c:v>
                </c:pt>
                <c:pt idx="2">
                  <c:v>0.8</c:v>
                </c:pt>
                <c:pt idx="3">
                  <c:v>0.9</c:v>
                </c:pt>
                <c:pt idx="4">
                  <c:v>0.97499999999999998</c:v>
                </c:pt>
              </c:numCache>
            </c:numRef>
          </c:yVal>
          <c:smooth val="1"/>
          <c:extLst>
            <c:ext xmlns:c16="http://schemas.microsoft.com/office/drawing/2014/chart" uri="{C3380CC4-5D6E-409C-BE32-E72D297353CC}">
              <c16:uniqueId val="{00000000-A39B-6647-AEE4-6AAFD52BCB0C}"/>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Normal'!$S$274</c:f>
              <c:strCache>
                <c:ptCount val="1"/>
                <c:pt idx="0">
                  <c:v>σ₃′ =28 kPa</c:v>
                </c:pt>
              </c:strCache>
            </c:strRef>
          </c:tx>
          <c:spPr>
            <a:ln w="15875" cap="rnd">
              <a:solidFill>
                <a:schemeClr val="accent2"/>
              </a:solidFill>
              <a:round/>
            </a:ln>
            <a:effectLst/>
          </c:spPr>
          <c:marker>
            <c:symbol val="none"/>
          </c:marker>
          <c:xVal>
            <c:numRef>
              <c:f>'WS-TRX-CU Normal'!$G$217:$G$253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'WS-TRX-CU Normal'!$H$217:$H$253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1-3ADE-144B-B2BF-E1E7142F673B}"/>
            </c:ext>
          </c:extLst>
        </c:ser>
        <c:ser>
          <c:idx val="3"/>
          <c:order val="1"/>
          <c:tx>
            <c:strRef>
              <c:f>'WS-TRX-CU Normal'!$S$275</c:f>
              <c:strCache>
                <c:ptCount val="1"/>
                <c:pt idx="0">
                  <c:v>σ₃′ =56 kPa</c:v>
                </c:pt>
              </c:strCache>
            </c:strRef>
          </c:tx>
          <c:spPr>
            <a:ln w="15875" cap="rnd">
              <a:solidFill>
                <a:schemeClr val="accent4"/>
              </a:solidFill>
              <a:round/>
            </a:ln>
            <a:effectLst/>
          </c:spPr>
          <c:marker>
            <c:symbol val="none"/>
          </c:marker>
          <c:xVal>
            <c:numRef>
              <c:f>'WS-TRX-CU Normal'!$W$217:$W$253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'WS-TRX-CU Normal'!$X$217:$X$253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3-3ADE-144B-B2BF-E1E7142F673B}"/>
            </c:ext>
          </c:extLst>
        </c:ser>
        <c:ser>
          <c:idx val="5"/>
          <c:order val="2"/>
          <c:tx>
            <c:strRef>
              <c:f>'WS-TRX-CU Normal'!$S$276</c:f>
              <c:strCache>
                <c:ptCount val="1"/>
                <c:pt idx="0">
                  <c:v>σ₃′ =112 kPa</c:v>
                </c:pt>
              </c:strCache>
            </c:strRef>
          </c:tx>
          <c:spPr>
            <a:ln w="15875" cap="rnd">
              <a:solidFill>
                <a:schemeClr val="accent6"/>
              </a:solidFill>
              <a:round/>
            </a:ln>
            <a:effectLst/>
          </c:spPr>
          <c:marker>
            <c:symbol val="none"/>
          </c:marker>
          <c:xVal>
            <c:numRef>
              <c:f>'WS-TRX-CU Normal'!$AN$217:$AN$253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'WS-TRX-CU Normal'!$AO$217:$AO$253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5-3ADE-144B-B2BF-E1E7142F673B}"/>
            </c:ext>
          </c:extLst>
        </c:ser>
        <c:ser>
          <c:idx val="7"/>
          <c:order val="3"/>
          <c:tx>
            <c:strRef>
              <c:f>'WS-TRX-CU Normal'!$S$280</c:f>
              <c:strCache>
                <c:ptCount val="1"/>
                <c:pt idx="0">
                  <c:v>Effective Stress Envelope</c:v>
                </c:pt>
              </c:strCache>
            </c:strRef>
          </c:tx>
          <c:spPr>
            <a:ln w="19050" cap="rnd">
              <a:solidFill>
                <a:schemeClr val="bg2">
                  <a:lumMod val="50000"/>
                </a:schemeClr>
              </a:solidFill>
              <a:round/>
            </a:ln>
            <a:effectLst/>
          </c:spPr>
          <c:marker>
            <c:symbol val="none"/>
          </c:marker>
          <c:xVal>
            <c:numRef>
              <c:f>'WS-TRX-CU Normal'!$L$305:$L$311</c:f>
              <c:numCache>
                <c:formatCode>General</c:formatCode>
                <c:ptCount val="7"/>
                <c:pt idx="0">
                  <c:v>0</c:v>
                </c:pt>
                <c:pt idx="1">
                  <c:v>50</c:v>
                </c:pt>
                <c:pt idx="2">
                  <c:v>100</c:v>
                </c:pt>
                <c:pt idx="3">
                  <c:v>200</c:v>
                </c:pt>
                <c:pt idx="4">
                  <c:v>300</c:v>
                </c:pt>
                <c:pt idx="5">
                  <c:v>400</c:v>
                </c:pt>
                <c:pt idx="6">
                  <c:v>500</c:v>
                </c:pt>
              </c:numCache>
            </c:numRef>
          </c:xVal>
          <c:yVal>
            <c:numRef>
              <c:f>'WS-TRX-CU Normal'!$M$305:$M$311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1-5782-7749-AD90-82E29468A43E}"/>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a:t>
                </a:r>
                <a:r>
                  <a:rPr lang="el-GR"/>
                  <a:t>τ (</a:t>
                </a:r>
                <a:r>
                  <a:rPr lang="en-US"/>
                  <a:t>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Normal'!$R$72:$R$77</c:f>
              <c:numCache>
                <c:formatCode>General</c:formatCode>
                <c:ptCount val="6"/>
                <c:pt idx="0">
                  <c:v>0</c:v>
                </c:pt>
                <c:pt idx="1">
                  <c:v>50</c:v>
                </c:pt>
                <c:pt idx="2">
                  <c:v>100</c:v>
                </c:pt>
                <c:pt idx="3">
                  <c:v>150</c:v>
                </c:pt>
                <c:pt idx="4">
                  <c:v>200</c:v>
                </c:pt>
                <c:pt idx="5">
                  <c:v>290</c:v>
                </c:pt>
              </c:numCache>
            </c:numRef>
          </c:xVal>
          <c:yVal>
            <c:numRef>
              <c:f>'WS-TRX-CU Normal'!$S$72:$S$77</c:f>
              <c:numCache>
                <c:formatCode>0.00</c:formatCode>
                <c:ptCount val="6"/>
                <c:pt idx="1">
                  <c:v>0.24</c:v>
                </c:pt>
                <c:pt idx="2">
                  <c:v>0.56000000000000005</c:v>
                </c:pt>
                <c:pt idx="3">
                  <c:v>0.8</c:v>
                </c:pt>
                <c:pt idx="4">
                  <c:v>0.88</c:v>
                </c:pt>
                <c:pt idx="5">
                  <c:v>0.94444444444444442</c:v>
                </c:pt>
              </c:numCache>
            </c:numRef>
          </c:yVal>
          <c:smooth val="1"/>
          <c:extLst>
            <c:ext xmlns:c16="http://schemas.microsoft.com/office/drawing/2014/chart" uri="{C3380CC4-5D6E-409C-BE32-E72D297353CC}">
              <c16:uniqueId val="{00000000-2C2B-3946-94F5-DE78B30B7425}"/>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Normal'!$AI$72:$AI$78</c:f>
              <c:numCache>
                <c:formatCode>General</c:formatCode>
                <c:ptCount val="7"/>
                <c:pt idx="0">
                  <c:v>0</c:v>
                </c:pt>
                <c:pt idx="1">
                  <c:v>50</c:v>
                </c:pt>
                <c:pt idx="2">
                  <c:v>100</c:v>
                </c:pt>
                <c:pt idx="3">
                  <c:v>150</c:v>
                </c:pt>
                <c:pt idx="4">
                  <c:v>200</c:v>
                </c:pt>
                <c:pt idx="5">
                  <c:v>290</c:v>
                </c:pt>
                <c:pt idx="6">
                  <c:v>390</c:v>
                </c:pt>
              </c:numCache>
            </c:numRef>
          </c:xVal>
          <c:yVal>
            <c:numRef>
              <c:f>'WS-TRX-CU Normal'!$AJ$72:$AJ$78</c:f>
              <c:numCache>
                <c:formatCode>0.00</c:formatCode>
                <c:ptCount val="7"/>
                <c:pt idx="1">
                  <c:v>0.2</c:v>
                </c:pt>
                <c:pt idx="2">
                  <c:v>0.44</c:v>
                </c:pt>
                <c:pt idx="3">
                  <c:v>0.68</c:v>
                </c:pt>
                <c:pt idx="4">
                  <c:v>0.84</c:v>
                </c:pt>
                <c:pt idx="5">
                  <c:v>0.9555555555555556</c:v>
                </c:pt>
                <c:pt idx="6">
                  <c:v>0.97894736842105268</c:v>
                </c:pt>
              </c:numCache>
            </c:numRef>
          </c:yVal>
          <c:smooth val="1"/>
          <c:extLst>
            <c:ext xmlns:c16="http://schemas.microsoft.com/office/drawing/2014/chart" uri="{C3380CC4-5D6E-409C-BE32-E72D297353CC}">
              <c16:uniqueId val="{00000000-592F-EB40-8000-923F480A51AC}"/>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Normal'!$S$270</c:f>
              <c:strCache>
                <c:ptCount val="1"/>
                <c:pt idx="0">
                  <c:v>σ₃=50 kPa</c:v>
                </c:pt>
              </c:strCache>
            </c:strRef>
          </c:tx>
          <c:spPr>
            <a:ln w="15875" cap="rnd">
              <a:solidFill>
                <a:schemeClr val="accent1">
                  <a:lumMod val="75000"/>
                </a:schemeClr>
              </a:solidFill>
              <a:round/>
            </a:ln>
            <a:effectLst/>
          </c:spPr>
          <c:marker>
            <c:symbol val="none"/>
          </c:marker>
          <c:xVal>
            <c:numRef>
              <c:f>'WS-TRX-CU Normal'!$C$217:$C$253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'WS-TRX-CU Normal'!$D$217:$D$253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AC15-F641-AE35-443BB72C608E}"/>
            </c:ext>
          </c:extLst>
        </c:ser>
        <c:ser>
          <c:idx val="2"/>
          <c:order val="1"/>
          <c:tx>
            <c:strRef>
              <c:f>'WS-TRX-CU Normal'!$S$271</c:f>
              <c:strCache>
                <c:ptCount val="1"/>
                <c:pt idx="0">
                  <c:v>σ₃=100 kPa</c:v>
                </c:pt>
              </c:strCache>
            </c:strRef>
          </c:tx>
          <c:spPr>
            <a:ln w="15875" cap="rnd">
              <a:solidFill>
                <a:schemeClr val="accent2">
                  <a:lumMod val="75000"/>
                </a:schemeClr>
              </a:solidFill>
              <a:round/>
            </a:ln>
            <a:effectLst/>
          </c:spPr>
          <c:marker>
            <c:symbol val="none"/>
          </c:marker>
          <c:xVal>
            <c:numRef>
              <c:f>'WS-TRX-CU Normal'!$S$217:$S$253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'WS-TRX-CU Normal'!$T$217:$T$253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2-AC15-F641-AE35-443BB72C608E}"/>
            </c:ext>
          </c:extLst>
        </c:ser>
        <c:ser>
          <c:idx val="4"/>
          <c:order val="2"/>
          <c:tx>
            <c:strRef>
              <c:f>'WS-TRX-CU Normal'!$S$272</c:f>
              <c:strCache>
                <c:ptCount val="1"/>
                <c:pt idx="0">
                  <c:v>σ₃​=200 kPa</c:v>
                </c:pt>
              </c:strCache>
            </c:strRef>
          </c:tx>
          <c:spPr>
            <a:ln w="15875" cap="rnd">
              <a:solidFill>
                <a:schemeClr val="accent3">
                  <a:lumMod val="75000"/>
                </a:schemeClr>
              </a:solidFill>
              <a:round/>
            </a:ln>
            <a:effectLst/>
          </c:spPr>
          <c:marker>
            <c:symbol val="none"/>
          </c:marker>
          <c:xVal>
            <c:numRef>
              <c:f>'WS-TRX-CU Normal'!$AJ$217:$AJ$253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'WS-TRX-CU Normal'!$AK$217:$AK$253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4-AC15-F641-AE35-443BB72C608E}"/>
            </c:ext>
          </c:extLst>
        </c:ser>
        <c:ser>
          <c:idx val="6"/>
          <c:order val="3"/>
          <c:tx>
            <c:strRef>
              <c:f>'WS-TRX-CU Normal'!$S$279</c:f>
              <c:strCache>
                <c:ptCount val="1"/>
                <c:pt idx="0">
                  <c:v>Total Stress Envelope</c:v>
                </c:pt>
              </c:strCache>
            </c:strRef>
          </c:tx>
          <c:spPr>
            <a:ln w="19050" cap="rnd">
              <a:solidFill>
                <a:schemeClr val="accent1">
                  <a:lumMod val="60000"/>
                </a:schemeClr>
              </a:solidFill>
              <a:round/>
            </a:ln>
            <a:effectLst/>
          </c:spPr>
          <c:marker>
            <c:symbol val="none"/>
          </c:marker>
          <c:xVal>
            <c:numRef>
              <c:f>'WS-TRX-CU Normal'!$L$282:$L$288</c:f>
              <c:numCache>
                <c:formatCode>General</c:formatCode>
                <c:ptCount val="7"/>
                <c:pt idx="0">
                  <c:v>0</c:v>
                </c:pt>
                <c:pt idx="1">
                  <c:v>50</c:v>
                </c:pt>
                <c:pt idx="2">
                  <c:v>100</c:v>
                </c:pt>
                <c:pt idx="3">
                  <c:v>200</c:v>
                </c:pt>
                <c:pt idx="4">
                  <c:v>300</c:v>
                </c:pt>
                <c:pt idx="5">
                  <c:v>400</c:v>
                </c:pt>
                <c:pt idx="6">
                  <c:v>500</c:v>
                </c:pt>
              </c:numCache>
            </c:numRef>
          </c:xVal>
          <c:yVal>
            <c:numRef>
              <c:f>'WS-TRX-CU Normal'!$M$282:$M$288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6-AC15-F641-AE35-443BB72C608E}"/>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b="0" i="0" u="none" strike="noStrike" baseline="0">
                    <a:effectLst/>
                    <a:latin typeface="Arial" panose="020B0604020202020204" pitchFamily="34" charset="0"/>
                    <a:cs typeface="Arial" panose="020B0604020202020204" pitchFamily="34" charset="0"/>
                  </a:rPr>
                  <a:t>Normal Stress, </a:t>
                </a:r>
                <a:r>
                  <a:rPr lang="el-GR" sz="1000" b="0" i="0" u="none" strike="noStrike" baseline="0">
                    <a:effectLst/>
                    <a:latin typeface="Arial" panose="020B0604020202020204" pitchFamily="34" charset="0"/>
                    <a:cs typeface="Arial" panose="020B0604020202020204" pitchFamily="34" charset="0"/>
                  </a:rPr>
                  <a:t>σ (</a:t>
                </a:r>
                <a:r>
                  <a:rPr lang="en-ID" sz="1000" b="0" i="0" u="none" strike="noStrike" baseline="0">
                    <a:effectLst/>
                    <a:latin typeface="Arial" panose="020B0604020202020204" pitchFamily="34" charset="0"/>
                    <a:cs typeface="Arial" panose="020B0604020202020204" pitchFamily="34" charset="0"/>
                  </a:rPr>
                  <a:t>kPa) </a:t>
                </a:r>
                <a:r>
                  <a:rPr lang="en-ID" sz="1000" b="0" i="0" u="none" strike="noStrike" baseline="0">
                    <a:latin typeface="Arial" panose="020B0604020202020204" pitchFamily="34" charset="0"/>
                    <a:cs typeface="Arial" panose="020B0604020202020204" pitchFamily="34" charset="0"/>
                  </a:rPr>
                  <a:t> </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75BB-2443-B53A-0EB8C62686F9}"/>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75BB-2443-B53A-0EB8C62686F9}"/>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75BB-2443-B53A-0EB8C62686F9}"/>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5F94-F147-86AF-12F836976402}"/>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5F94-F147-86AF-12F836976402}"/>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5F94-F147-86AF-12F836976402}"/>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581F-4B54-9053-0125A08B2E88}"/>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581F-4B54-9053-0125A08B2E88}"/>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581F-4B54-9053-0125A08B2E88}"/>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6C25-4FC2-917E-89F0F227A312}"/>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6C25-4FC2-917E-89F0F227A312}"/>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6C25-4FC2-917E-89F0F227A312}"/>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Normal'!$S$274</c:f>
              <c:strCache>
                <c:ptCount val="1"/>
                <c:pt idx="0">
                  <c:v>σ₃′ =28 kPa</c:v>
                </c:pt>
              </c:strCache>
            </c:strRef>
          </c:tx>
          <c:spPr>
            <a:ln w="12700" cap="rnd">
              <a:solidFill>
                <a:schemeClr val="accent2"/>
              </a:solidFill>
              <a:round/>
            </a:ln>
            <a:effectLst/>
          </c:spPr>
          <c:marker>
            <c:symbol val="none"/>
          </c:marker>
          <c:xVal>
            <c:numRef>
              <c:f>'WS-TRX-CU Normal'!$G$217:$G$253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'WS-TRX-CU Normal'!$H$217:$H$253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BEF4-4D00-9A87-BBF264A850AD}"/>
            </c:ext>
          </c:extLst>
        </c:ser>
        <c:ser>
          <c:idx val="3"/>
          <c:order val="1"/>
          <c:tx>
            <c:strRef>
              <c:f>'WS-TRX-CU Normal'!$S$275</c:f>
              <c:strCache>
                <c:ptCount val="1"/>
                <c:pt idx="0">
                  <c:v>σ₃′ =56 kPa</c:v>
                </c:pt>
              </c:strCache>
            </c:strRef>
          </c:tx>
          <c:spPr>
            <a:ln w="12700" cap="rnd">
              <a:solidFill>
                <a:schemeClr val="accent4"/>
              </a:solidFill>
              <a:round/>
            </a:ln>
            <a:effectLst/>
          </c:spPr>
          <c:marker>
            <c:symbol val="none"/>
          </c:marker>
          <c:xVal>
            <c:numRef>
              <c:f>'WS-TRX-CU Normal'!$W$217:$W$253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'WS-TRX-CU Normal'!$X$217:$X$253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BEF4-4D00-9A87-BBF264A850AD}"/>
            </c:ext>
          </c:extLst>
        </c:ser>
        <c:ser>
          <c:idx val="5"/>
          <c:order val="2"/>
          <c:tx>
            <c:strRef>
              <c:f>'WS-TRX-CU Normal'!$S$276</c:f>
              <c:strCache>
                <c:ptCount val="1"/>
                <c:pt idx="0">
                  <c:v>σ₃′ =112 kPa</c:v>
                </c:pt>
              </c:strCache>
            </c:strRef>
          </c:tx>
          <c:spPr>
            <a:ln w="12700" cap="rnd">
              <a:solidFill>
                <a:schemeClr val="accent6"/>
              </a:solidFill>
              <a:round/>
            </a:ln>
            <a:effectLst/>
          </c:spPr>
          <c:marker>
            <c:symbol val="none"/>
          </c:marker>
          <c:xVal>
            <c:numRef>
              <c:f>'WS-TRX-CU Normal'!$AN$217:$AN$253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'WS-TRX-CU Normal'!$AO$217:$AO$253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BEF4-4D00-9A87-BBF264A850AD}"/>
            </c:ext>
          </c:extLst>
        </c:ser>
        <c:ser>
          <c:idx val="7"/>
          <c:order val="3"/>
          <c:tx>
            <c:strRef>
              <c:f>'WS-TRX-CU Normal'!$S$280</c:f>
              <c:strCache>
                <c:ptCount val="1"/>
                <c:pt idx="0">
                  <c:v>Effective Stress Envelope</c:v>
                </c:pt>
              </c:strCache>
            </c:strRef>
          </c:tx>
          <c:spPr>
            <a:ln w="15875" cap="rnd">
              <a:solidFill>
                <a:schemeClr val="bg2">
                  <a:lumMod val="50000"/>
                </a:schemeClr>
              </a:solidFill>
              <a:round/>
            </a:ln>
            <a:effectLst/>
          </c:spPr>
          <c:marker>
            <c:symbol val="none"/>
          </c:marker>
          <c:xVal>
            <c:numRef>
              <c:f>'WS-TRX-CU Normal'!$L$305:$L$311</c:f>
              <c:numCache>
                <c:formatCode>General</c:formatCode>
                <c:ptCount val="7"/>
                <c:pt idx="0">
                  <c:v>0</c:v>
                </c:pt>
                <c:pt idx="1">
                  <c:v>50</c:v>
                </c:pt>
                <c:pt idx="2">
                  <c:v>100</c:v>
                </c:pt>
                <c:pt idx="3">
                  <c:v>200</c:v>
                </c:pt>
                <c:pt idx="4">
                  <c:v>300</c:v>
                </c:pt>
                <c:pt idx="5">
                  <c:v>400</c:v>
                </c:pt>
                <c:pt idx="6">
                  <c:v>500</c:v>
                </c:pt>
              </c:numCache>
            </c:numRef>
          </c:xVal>
          <c:yVal>
            <c:numRef>
              <c:f>'WS-TRX-CU Normal'!$M$305:$M$311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3-BEF4-4D00-9A87-BBF264A850A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Normal'!$S$270</c:f>
              <c:strCache>
                <c:ptCount val="1"/>
                <c:pt idx="0">
                  <c:v>σ₃=50 kPa</c:v>
                </c:pt>
              </c:strCache>
            </c:strRef>
          </c:tx>
          <c:spPr>
            <a:ln w="12700" cap="rnd">
              <a:solidFill>
                <a:schemeClr val="accent1">
                  <a:lumMod val="75000"/>
                </a:schemeClr>
              </a:solidFill>
              <a:round/>
            </a:ln>
            <a:effectLst/>
          </c:spPr>
          <c:marker>
            <c:symbol val="none"/>
          </c:marker>
          <c:xVal>
            <c:numRef>
              <c:f>'WS-TRX-CU Normal'!$C$217:$C$253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'WS-TRX-CU Normal'!$D$217:$D$253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E8DD-4BD3-898C-71CFC10AB919}"/>
            </c:ext>
          </c:extLst>
        </c:ser>
        <c:ser>
          <c:idx val="2"/>
          <c:order val="1"/>
          <c:tx>
            <c:strRef>
              <c:f>'WS-TRX-CU Normal'!$S$271</c:f>
              <c:strCache>
                <c:ptCount val="1"/>
                <c:pt idx="0">
                  <c:v>σ₃=100 kPa</c:v>
                </c:pt>
              </c:strCache>
            </c:strRef>
          </c:tx>
          <c:spPr>
            <a:ln w="12700" cap="rnd">
              <a:solidFill>
                <a:schemeClr val="accent2">
                  <a:lumMod val="75000"/>
                </a:schemeClr>
              </a:solidFill>
              <a:round/>
            </a:ln>
            <a:effectLst/>
          </c:spPr>
          <c:marker>
            <c:symbol val="none"/>
          </c:marker>
          <c:xVal>
            <c:numRef>
              <c:f>'WS-TRX-CU Normal'!$S$217:$S$253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'WS-TRX-CU Normal'!$T$217:$T$253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E8DD-4BD3-898C-71CFC10AB919}"/>
            </c:ext>
          </c:extLst>
        </c:ser>
        <c:ser>
          <c:idx val="4"/>
          <c:order val="2"/>
          <c:tx>
            <c:strRef>
              <c:f>'WS-TRX-CU Normal'!$S$272</c:f>
              <c:strCache>
                <c:ptCount val="1"/>
                <c:pt idx="0">
                  <c:v>σ₃​=200 kPa</c:v>
                </c:pt>
              </c:strCache>
            </c:strRef>
          </c:tx>
          <c:spPr>
            <a:ln w="12700" cap="rnd">
              <a:solidFill>
                <a:schemeClr val="accent3">
                  <a:lumMod val="75000"/>
                </a:schemeClr>
              </a:solidFill>
              <a:round/>
            </a:ln>
            <a:effectLst/>
          </c:spPr>
          <c:marker>
            <c:symbol val="none"/>
          </c:marker>
          <c:xVal>
            <c:numRef>
              <c:f>'WS-TRX-CU Normal'!$AJ$217:$AJ$253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'WS-TRX-CU Normal'!$AK$217:$AK$253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E8DD-4BD3-898C-71CFC10AB919}"/>
            </c:ext>
          </c:extLst>
        </c:ser>
        <c:ser>
          <c:idx val="6"/>
          <c:order val="3"/>
          <c:tx>
            <c:strRef>
              <c:f>'WS-TRX-CU Normal'!$S$279</c:f>
              <c:strCache>
                <c:ptCount val="1"/>
                <c:pt idx="0">
                  <c:v>Total Stress Envelope</c:v>
                </c:pt>
              </c:strCache>
            </c:strRef>
          </c:tx>
          <c:spPr>
            <a:ln w="15875" cap="rnd">
              <a:solidFill>
                <a:schemeClr val="accent1">
                  <a:lumMod val="60000"/>
                </a:schemeClr>
              </a:solidFill>
              <a:round/>
            </a:ln>
            <a:effectLst/>
          </c:spPr>
          <c:marker>
            <c:symbol val="none"/>
          </c:marker>
          <c:xVal>
            <c:numRef>
              <c:f>'WS-TRX-CU Normal'!$L$282:$L$288</c:f>
              <c:numCache>
                <c:formatCode>General</c:formatCode>
                <c:ptCount val="7"/>
                <c:pt idx="0">
                  <c:v>0</c:v>
                </c:pt>
                <c:pt idx="1">
                  <c:v>50</c:v>
                </c:pt>
                <c:pt idx="2">
                  <c:v>100</c:v>
                </c:pt>
                <c:pt idx="3">
                  <c:v>200</c:v>
                </c:pt>
                <c:pt idx="4">
                  <c:v>300</c:v>
                </c:pt>
                <c:pt idx="5">
                  <c:v>400</c:v>
                </c:pt>
                <c:pt idx="6">
                  <c:v>500</c:v>
                </c:pt>
              </c:numCache>
            </c:numRef>
          </c:xVal>
          <c:yVal>
            <c:numRef>
              <c:f>'WS-TRX-CU Normal'!$M$282:$M$288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3-E8DD-4BD3-898C-71CFC10AB919}"/>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Normal Stress, </a:t>
                </a:r>
                <a:r>
                  <a:rPr lang="el-GR" sz="800" b="0" i="0" u="none" strike="noStrike" baseline="0">
                    <a:effectLst/>
                    <a:latin typeface="Arial" panose="020B0604020202020204" pitchFamily="34" charset="0"/>
                    <a:cs typeface="Arial" panose="020B0604020202020204" pitchFamily="34" charset="0"/>
                  </a:rPr>
                  <a:t>σ (</a:t>
                </a:r>
                <a:r>
                  <a:rPr lang="en-ID" sz="800" b="0" i="0" u="none" strike="noStrike" baseline="0">
                    <a:effectLst/>
                    <a:latin typeface="Arial" panose="020B0604020202020204" pitchFamily="34" charset="0"/>
                    <a:cs typeface="Arial" panose="020B0604020202020204" pitchFamily="34" charset="0"/>
                  </a:rPr>
                  <a:t>kPa)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majorUnit val="100"/>
      </c:valAx>
      <c:valAx>
        <c:axId val="107868241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'WS-TRX-CD'!$B$73:$B$77</c:f>
              <c:numCache>
                <c:formatCode>General</c:formatCode>
                <c:ptCount val="5"/>
                <c:pt idx="0">
                  <c:v>50</c:v>
                </c:pt>
                <c:pt idx="1">
                  <c:v>100</c:v>
                </c:pt>
                <c:pt idx="2">
                  <c:v>150</c:v>
                </c:pt>
                <c:pt idx="3">
                  <c:v>200</c:v>
                </c:pt>
                <c:pt idx="4">
                  <c:v>240</c:v>
                </c:pt>
              </c:numCache>
            </c:numRef>
          </c:xVal>
          <c:yVal>
            <c:numRef>
              <c:f>'WS-TRX-CD'!$C$73:$C$77</c:f>
              <c:numCache>
                <c:formatCode>0.00</c:formatCode>
                <c:ptCount val="5"/>
                <c:pt idx="0">
                  <c:v>0.2</c:v>
                </c:pt>
                <c:pt idx="1">
                  <c:v>0.52</c:v>
                </c:pt>
                <c:pt idx="2">
                  <c:v>0.8</c:v>
                </c:pt>
                <c:pt idx="3">
                  <c:v>0.9</c:v>
                </c:pt>
                <c:pt idx="4">
                  <c:v>0.97499999999999998</c:v>
                </c:pt>
              </c:numCache>
            </c:numRef>
          </c:yVal>
          <c:smooth val="1"/>
          <c:extLst>
            <c:ext xmlns:c16="http://schemas.microsoft.com/office/drawing/2014/chart" uri="{C3380CC4-5D6E-409C-BE32-E72D297353CC}">
              <c16:uniqueId val="{00000000-5A3E-4ED2-87C8-DB9DC2B9AAA5}"/>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'WS-TRX-CD'!$S$274</c:f>
              <c:strCache>
                <c:ptCount val="1"/>
                <c:pt idx="0">
                  <c:v>σ₃′ =28 kPa</c:v>
                </c:pt>
              </c:strCache>
            </c:strRef>
          </c:tx>
          <c:spPr>
            <a:ln w="15875" cap="rnd">
              <a:solidFill>
                <a:schemeClr val="accent2"/>
              </a:solidFill>
              <a:round/>
            </a:ln>
            <a:effectLst/>
          </c:spPr>
          <c:marker>
            <c:symbol val="none"/>
          </c:marker>
          <c:xVal>
            <c:numRef>
              <c:f>'WS-TRX-CD'!$G$217:$G$253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'WS-TRX-CD'!$H$217:$H$253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5427-4617-BDF4-5EFCBC5FA8AD}"/>
            </c:ext>
          </c:extLst>
        </c:ser>
        <c:ser>
          <c:idx val="3"/>
          <c:order val="1"/>
          <c:tx>
            <c:strRef>
              <c:f>'WS-TRX-CD'!$S$275</c:f>
              <c:strCache>
                <c:ptCount val="1"/>
                <c:pt idx="0">
                  <c:v>σ₃′ =56 kPa</c:v>
                </c:pt>
              </c:strCache>
            </c:strRef>
          </c:tx>
          <c:spPr>
            <a:ln w="15875" cap="rnd">
              <a:solidFill>
                <a:schemeClr val="accent4"/>
              </a:solidFill>
              <a:round/>
            </a:ln>
            <a:effectLst/>
          </c:spPr>
          <c:marker>
            <c:symbol val="none"/>
          </c:marker>
          <c:xVal>
            <c:numRef>
              <c:f>'WS-TRX-CD'!$W$217:$W$253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'WS-TRX-CD'!$X$217:$X$253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5427-4617-BDF4-5EFCBC5FA8AD}"/>
            </c:ext>
          </c:extLst>
        </c:ser>
        <c:ser>
          <c:idx val="5"/>
          <c:order val="2"/>
          <c:tx>
            <c:strRef>
              <c:f>'WS-TRX-CD'!$S$276</c:f>
              <c:strCache>
                <c:ptCount val="1"/>
                <c:pt idx="0">
                  <c:v>σ₃′ =112 kPa</c:v>
                </c:pt>
              </c:strCache>
            </c:strRef>
          </c:tx>
          <c:spPr>
            <a:ln w="15875" cap="rnd">
              <a:solidFill>
                <a:schemeClr val="accent6"/>
              </a:solidFill>
              <a:round/>
            </a:ln>
            <a:effectLst/>
          </c:spPr>
          <c:marker>
            <c:symbol val="none"/>
          </c:marker>
          <c:xVal>
            <c:numRef>
              <c:f>'WS-TRX-CD'!$AN$217:$AN$253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'WS-TRX-CD'!$AO$217:$AO$253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5427-4617-BDF4-5EFCBC5FA8AD}"/>
            </c:ext>
          </c:extLst>
        </c:ser>
        <c:ser>
          <c:idx val="7"/>
          <c:order val="3"/>
          <c:tx>
            <c:strRef>
              <c:f>'WS-TRX-CD'!$S$280</c:f>
              <c:strCache>
                <c:ptCount val="1"/>
                <c:pt idx="0">
                  <c:v>Effective Stress Envelope</c:v>
                </c:pt>
              </c:strCache>
            </c:strRef>
          </c:tx>
          <c:spPr>
            <a:ln w="19050" cap="rnd">
              <a:solidFill>
                <a:schemeClr val="bg2">
                  <a:lumMod val="50000"/>
                </a:schemeClr>
              </a:solidFill>
              <a:round/>
            </a:ln>
            <a:effectLst/>
          </c:spPr>
          <c:marker>
            <c:symbol val="none"/>
          </c:marker>
          <c:xVal>
            <c:numRef>
              <c:f>'WS-TRX-CD'!$L$305:$L$311</c:f>
              <c:numCache>
                <c:formatCode>General</c:formatCode>
                <c:ptCount val="7"/>
                <c:pt idx="0">
                  <c:v>0</c:v>
                </c:pt>
                <c:pt idx="1">
                  <c:v>50</c:v>
                </c:pt>
                <c:pt idx="2">
                  <c:v>100</c:v>
                </c:pt>
                <c:pt idx="3">
                  <c:v>200</c:v>
                </c:pt>
                <c:pt idx="4">
                  <c:v>300</c:v>
                </c:pt>
                <c:pt idx="5">
                  <c:v>400</c:v>
                </c:pt>
                <c:pt idx="6">
                  <c:v>500</c:v>
                </c:pt>
              </c:numCache>
            </c:numRef>
          </c:xVal>
          <c:yVal>
            <c:numRef>
              <c:f>'WS-TRX-CD'!$M$305:$M$311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3-5427-4617-BDF4-5EFCBC5FA8A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a:t>
                </a:r>
                <a:r>
                  <a:rPr lang="el-GR"/>
                  <a:t>τ (</a:t>
                </a:r>
                <a:r>
                  <a:rPr lang="en-US"/>
                  <a:t>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'WS-TRX-CD'!$R$72:$R$77</c:f>
              <c:numCache>
                <c:formatCode>General</c:formatCode>
                <c:ptCount val="6"/>
                <c:pt idx="0">
                  <c:v>0</c:v>
                </c:pt>
                <c:pt idx="1">
                  <c:v>50</c:v>
                </c:pt>
                <c:pt idx="2">
                  <c:v>100</c:v>
                </c:pt>
                <c:pt idx="3">
                  <c:v>150</c:v>
                </c:pt>
                <c:pt idx="4">
                  <c:v>200</c:v>
                </c:pt>
                <c:pt idx="5">
                  <c:v>290</c:v>
                </c:pt>
              </c:numCache>
            </c:numRef>
          </c:xVal>
          <c:yVal>
            <c:numRef>
              <c:f>'WS-TRX-CD'!$S$72:$S$77</c:f>
              <c:numCache>
                <c:formatCode>0.00</c:formatCode>
                <c:ptCount val="6"/>
                <c:pt idx="1">
                  <c:v>0.24</c:v>
                </c:pt>
                <c:pt idx="2">
                  <c:v>0.56000000000000005</c:v>
                </c:pt>
                <c:pt idx="3">
                  <c:v>0.8</c:v>
                </c:pt>
                <c:pt idx="4">
                  <c:v>0.88</c:v>
                </c:pt>
                <c:pt idx="5">
                  <c:v>0.94444444444444442</c:v>
                </c:pt>
              </c:numCache>
            </c:numRef>
          </c:yVal>
          <c:smooth val="1"/>
          <c:extLst>
            <c:ext xmlns:c16="http://schemas.microsoft.com/office/drawing/2014/chart" uri="{C3380CC4-5D6E-409C-BE32-E72D297353CC}">
              <c16:uniqueId val="{00000000-E2CA-4719-AE7E-22F8DAC52CDA}"/>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'WS-TRX-CD'!$AI$72:$AI$78</c:f>
              <c:numCache>
                <c:formatCode>General</c:formatCode>
                <c:ptCount val="7"/>
                <c:pt idx="0">
                  <c:v>0</c:v>
                </c:pt>
                <c:pt idx="1">
                  <c:v>50</c:v>
                </c:pt>
                <c:pt idx="2">
                  <c:v>100</c:v>
                </c:pt>
                <c:pt idx="3">
                  <c:v>150</c:v>
                </c:pt>
                <c:pt idx="4">
                  <c:v>200</c:v>
                </c:pt>
                <c:pt idx="5">
                  <c:v>290</c:v>
                </c:pt>
                <c:pt idx="6">
                  <c:v>390</c:v>
                </c:pt>
              </c:numCache>
            </c:numRef>
          </c:xVal>
          <c:yVal>
            <c:numRef>
              <c:f>'WS-TRX-CD'!$AJ$72:$AJ$78</c:f>
              <c:numCache>
                <c:formatCode>0.00</c:formatCode>
                <c:ptCount val="7"/>
                <c:pt idx="1">
                  <c:v>0.2</c:v>
                </c:pt>
                <c:pt idx="2">
                  <c:v>0.44</c:v>
                </c:pt>
                <c:pt idx="3">
                  <c:v>0.68</c:v>
                </c:pt>
                <c:pt idx="4">
                  <c:v>0.84</c:v>
                </c:pt>
                <c:pt idx="5">
                  <c:v>0.9555555555555556</c:v>
                </c:pt>
                <c:pt idx="6">
                  <c:v>0.97894736842105268</c:v>
                </c:pt>
              </c:numCache>
            </c:numRef>
          </c:yVal>
          <c:smooth val="1"/>
          <c:extLst>
            <c:ext xmlns:c16="http://schemas.microsoft.com/office/drawing/2014/chart" uri="{C3380CC4-5D6E-409C-BE32-E72D297353CC}">
              <c16:uniqueId val="{00000000-5D4F-4974-A5C7-2C1798B9A0D7}"/>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'WS-TRX-CD'!$S$270</c:f>
              <c:strCache>
                <c:ptCount val="1"/>
                <c:pt idx="0">
                  <c:v>σ₃=50 kPa</c:v>
                </c:pt>
              </c:strCache>
            </c:strRef>
          </c:tx>
          <c:spPr>
            <a:ln w="15875" cap="rnd">
              <a:solidFill>
                <a:schemeClr val="accent1">
                  <a:lumMod val="75000"/>
                </a:schemeClr>
              </a:solidFill>
              <a:round/>
            </a:ln>
            <a:effectLst/>
          </c:spPr>
          <c:marker>
            <c:symbol val="none"/>
          </c:marker>
          <c:xVal>
            <c:numRef>
              <c:f>'WS-TRX-CD'!$C$217:$C$253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'WS-TRX-CD'!$D$217:$D$253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FF8C-43A9-A217-0ACB5176CB3F}"/>
            </c:ext>
          </c:extLst>
        </c:ser>
        <c:ser>
          <c:idx val="2"/>
          <c:order val="1"/>
          <c:tx>
            <c:strRef>
              <c:f>'WS-TRX-CD'!$S$271</c:f>
              <c:strCache>
                <c:ptCount val="1"/>
                <c:pt idx="0">
                  <c:v>σ₃=100 kPa</c:v>
                </c:pt>
              </c:strCache>
            </c:strRef>
          </c:tx>
          <c:spPr>
            <a:ln w="15875" cap="rnd">
              <a:solidFill>
                <a:schemeClr val="accent2">
                  <a:lumMod val="75000"/>
                </a:schemeClr>
              </a:solidFill>
              <a:round/>
            </a:ln>
            <a:effectLst/>
          </c:spPr>
          <c:marker>
            <c:symbol val="none"/>
          </c:marker>
          <c:xVal>
            <c:numRef>
              <c:f>'WS-TRX-CD'!$S$217:$S$253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'WS-TRX-CD'!$T$217:$T$253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FF8C-43A9-A217-0ACB5176CB3F}"/>
            </c:ext>
          </c:extLst>
        </c:ser>
        <c:ser>
          <c:idx val="4"/>
          <c:order val="2"/>
          <c:tx>
            <c:strRef>
              <c:f>'WS-TRX-CD'!$S$272</c:f>
              <c:strCache>
                <c:ptCount val="1"/>
                <c:pt idx="0">
                  <c:v>σ₃​=200 kPa</c:v>
                </c:pt>
              </c:strCache>
            </c:strRef>
          </c:tx>
          <c:spPr>
            <a:ln w="15875" cap="rnd">
              <a:solidFill>
                <a:schemeClr val="accent3">
                  <a:lumMod val="75000"/>
                </a:schemeClr>
              </a:solidFill>
              <a:round/>
            </a:ln>
            <a:effectLst/>
          </c:spPr>
          <c:marker>
            <c:symbol val="none"/>
          </c:marker>
          <c:xVal>
            <c:numRef>
              <c:f>'WS-TRX-CD'!$AJ$217:$AJ$253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'WS-TRX-CD'!$AK$217:$AK$253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FF8C-43A9-A217-0ACB5176CB3F}"/>
            </c:ext>
          </c:extLst>
        </c:ser>
        <c:ser>
          <c:idx val="6"/>
          <c:order val="3"/>
          <c:tx>
            <c:strRef>
              <c:f>'WS-TRX-CD'!$S$279</c:f>
              <c:strCache>
                <c:ptCount val="1"/>
                <c:pt idx="0">
                  <c:v>Total Stress Envelope</c:v>
                </c:pt>
              </c:strCache>
            </c:strRef>
          </c:tx>
          <c:spPr>
            <a:ln w="19050" cap="rnd">
              <a:solidFill>
                <a:schemeClr val="accent1">
                  <a:lumMod val="60000"/>
                </a:schemeClr>
              </a:solidFill>
              <a:round/>
            </a:ln>
            <a:effectLst/>
          </c:spPr>
          <c:marker>
            <c:symbol val="none"/>
          </c:marker>
          <c:xVal>
            <c:numRef>
              <c:f>'WS-TRX-CD'!$L$282:$L$288</c:f>
              <c:numCache>
                <c:formatCode>General</c:formatCode>
                <c:ptCount val="7"/>
                <c:pt idx="0">
                  <c:v>0</c:v>
                </c:pt>
                <c:pt idx="1">
                  <c:v>50</c:v>
                </c:pt>
                <c:pt idx="2">
                  <c:v>100</c:v>
                </c:pt>
                <c:pt idx="3">
                  <c:v>200</c:v>
                </c:pt>
                <c:pt idx="4">
                  <c:v>300</c:v>
                </c:pt>
                <c:pt idx="5">
                  <c:v>400</c:v>
                </c:pt>
                <c:pt idx="6">
                  <c:v>500</c:v>
                </c:pt>
              </c:numCache>
            </c:numRef>
          </c:xVal>
          <c:yVal>
            <c:numRef>
              <c:f>'WS-TRX-CD'!$M$282:$M$288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3-FF8C-43A9-A217-0ACB5176CB3F}"/>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b="0" i="0" u="none" strike="noStrike" baseline="0">
                    <a:effectLst/>
                    <a:latin typeface="Arial" panose="020B0604020202020204" pitchFamily="34" charset="0"/>
                    <a:cs typeface="Arial" panose="020B0604020202020204" pitchFamily="34" charset="0"/>
                  </a:rPr>
                  <a:t>Normal Stress, </a:t>
                </a:r>
                <a:r>
                  <a:rPr lang="el-GR" sz="1000" b="0" i="0" u="none" strike="noStrike" baseline="0">
                    <a:effectLst/>
                    <a:latin typeface="Arial" panose="020B0604020202020204" pitchFamily="34" charset="0"/>
                    <a:cs typeface="Arial" panose="020B0604020202020204" pitchFamily="34" charset="0"/>
                  </a:rPr>
                  <a:t>σ (</a:t>
                </a:r>
                <a:r>
                  <a:rPr lang="en-ID" sz="1000" b="0" i="0" u="none" strike="noStrike" baseline="0">
                    <a:effectLst/>
                    <a:latin typeface="Arial" panose="020B0604020202020204" pitchFamily="34" charset="0"/>
                    <a:cs typeface="Arial" panose="020B0604020202020204" pitchFamily="34" charset="0"/>
                  </a:rPr>
                  <a:t>kPa) </a:t>
                </a:r>
                <a:r>
                  <a:rPr lang="en-ID" sz="1000" b="0" i="0" u="none" strike="noStrike" baseline="0">
                    <a:latin typeface="Arial" panose="020B0604020202020204" pitchFamily="34" charset="0"/>
                    <a:cs typeface="Arial" panose="020B0604020202020204" pitchFamily="34" charset="0"/>
                  </a:rPr>
                  <a:t> </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'WS-TRX-CD'!$X$306</c:f>
              <c:strCache>
                <c:ptCount val="1"/>
                <c:pt idx="0">
                  <c:v> σ₃=50 kPa</c:v>
                </c:pt>
              </c:strCache>
            </c:strRef>
          </c:tx>
          <c:spPr>
            <a:ln w="19050" cap="rnd">
              <a:solidFill>
                <a:schemeClr val="accent1"/>
              </a:solidFill>
              <a:round/>
            </a:ln>
            <a:effectLst/>
          </c:spPr>
          <c:marker>
            <c:symbol val="none"/>
          </c:marker>
          <c:xVal>
            <c:numRef>
              <c:f>'WS-TRX-CD'!$AI$288:$AI$317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'WS-TRX-CD'!$AK$288:$AK$317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84BB-4F22-8012-8AAD3491AA76}"/>
            </c:ext>
          </c:extLst>
        </c:ser>
        <c:ser>
          <c:idx val="1"/>
          <c:order val="1"/>
          <c:tx>
            <c:strRef>
              <c:f>'WS-TRX-CD'!$X$307</c:f>
              <c:strCache>
                <c:ptCount val="1"/>
                <c:pt idx="0">
                  <c:v>σ₃=100kPa</c:v>
                </c:pt>
              </c:strCache>
            </c:strRef>
          </c:tx>
          <c:spPr>
            <a:ln w="19050" cap="rnd">
              <a:solidFill>
                <a:schemeClr val="accent2"/>
              </a:solidFill>
              <a:round/>
            </a:ln>
            <a:effectLst/>
          </c:spPr>
          <c:marker>
            <c:symbol val="none"/>
          </c:marker>
          <c:xVal>
            <c:numRef>
              <c:f>'WS-TRX-CD'!$AN$288:$AN$318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'WS-TRX-CD'!$AP$288:$AP$318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84BB-4F22-8012-8AAD3491AA76}"/>
            </c:ext>
          </c:extLst>
        </c:ser>
        <c:ser>
          <c:idx val="2"/>
          <c:order val="2"/>
          <c:tx>
            <c:strRef>
              <c:f>'WS-TRX-CD'!$X$308</c:f>
              <c:strCache>
                <c:ptCount val="1"/>
                <c:pt idx="0">
                  <c:v>σ₃=200 kPa</c:v>
                </c:pt>
              </c:strCache>
            </c:strRef>
          </c:tx>
          <c:spPr>
            <a:ln w="19050" cap="rnd">
              <a:solidFill>
                <a:schemeClr val="accent3"/>
              </a:solidFill>
              <a:round/>
            </a:ln>
            <a:effectLst/>
          </c:spPr>
          <c:marker>
            <c:symbol val="none"/>
          </c:marker>
          <c:xVal>
            <c:numRef>
              <c:f>'WS-TRX-CD'!$AS$288:$AS$316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'WS-TRX-CD'!$AU$288:$AU$316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84BB-4F22-8012-8AAD3491AA76}"/>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'WS-TRX-CD'!$X$306</c:f>
              <c:strCache>
                <c:ptCount val="1"/>
                <c:pt idx="0">
                  <c:v> σ₃=50 kPa</c:v>
                </c:pt>
              </c:strCache>
            </c:strRef>
          </c:tx>
          <c:spPr>
            <a:ln w="19050" cap="rnd">
              <a:solidFill>
                <a:schemeClr val="accent1"/>
              </a:solidFill>
              <a:round/>
            </a:ln>
            <a:effectLst/>
          </c:spPr>
          <c:marker>
            <c:symbol val="none"/>
          </c:marker>
          <c:xVal>
            <c:numRef>
              <c:f>'WS-TRX-CD'!$AI$288:$AI$317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'WS-TRX-CD'!$AM$288:$AM$317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31DC-4304-9AD3-3D2BDD072F95}"/>
            </c:ext>
          </c:extLst>
        </c:ser>
        <c:ser>
          <c:idx val="1"/>
          <c:order val="1"/>
          <c:tx>
            <c:strRef>
              <c:f>'WS-TRX-CD'!$X$307</c:f>
              <c:strCache>
                <c:ptCount val="1"/>
                <c:pt idx="0">
                  <c:v>σ₃=100kPa</c:v>
                </c:pt>
              </c:strCache>
            </c:strRef>
          </c:tx>
          <c:spPr>
            <a:ln w="19050" cap="rnd">
              <a:solidFill>
                <a:schemeClr val="accent2"/>
              </a:solidFill>
              <a:round/>
            </a:ln>
            <a:effectLst/>
          </c:spPr>
          <c:marker>
            <c:symbol val="none"/>
          </c:marker>
          <c:xVal>
            <c:numRef>
              <c:f>'WS-TRX-CD'!$AN$288:$AN$318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'WS-TRX-CD'!$AR$288:$AR$318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31DC-4304-9AD3-3D2BDD072F95}"/>
            </c:ext>
          </c:extLst>
        </c:ser>
        <c:ser>
          <c:idx val="2"/>
          <c:order val="2"/>
          <c:tx>
            <c:strRef>
              <c:f>'WS-TRX-CD'!$X$308</c:f>
              <c:strCache>
                <c:ptCount val="1"/>
                <c:pt idx="0">
                  <c:v>σ₃=200 kPa</c:v>
                </c:pt>
              </c:strCache>
            </c:strRef>
          </c:tx>
          <c:spPr>
            <a:ln w="19050" cap="rnd">
              <a:solidFill>
                <a:schemeClr val="accent3"/>
              </a:solidFill>
              <a:round/>
            </a:ln>
            <a:effectLst/>
          </c:spPr>
          <c:marker>
            <c:symbol val="none"/>
          </c:marker>
          <c:xVal>
            <c:numRef>
              <c:f>'WS-TRX-CD'!$AS$288:$AS$316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'WS-TRX-CD'!$AW$288:$AW$316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31DC-4304-9AD3-3D2BDD072F95}"/>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4E79-46CC-92CE-41C14ADE67EF}"/>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4E79-46CC-92CE-41C14ADE67EF}"/>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4E79-46CC-92CE-41C14ADE67EF}"/>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4A9A-4198-B52A-E956852EB1F0}"/>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4A9A-4198-B52A-E956852EB1F0}"/>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4A9A-4198-B52A-E956852EB1F0}"/>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Normal'!$S$274</c:f>
              <c:strCache>
                <c:ptCount val="1"/>
                <c:pt idx="0">
                  <c:v>σ₃′ =28 kPa</c:v>
                </c:pt>
              </c:strCache>
            </c:strRef>
          </c:tx>
          <c:spPr>
            <a:ln w="12700" cap="rnd">
              <a:solidFill>
                <a:schemeClr val="accent2"/>
              </a:solidFill>
              <a:round/>
            </a:ln>
            <a:effectLst/>
          </c:spPr>
          <c:marker>
            <c:symbol val="none"/>
          </c:marker>
          <c:xVal>
            <c:numRef>
              <c:f>'WS-TRX-CU Normal'!$G$217:$G$253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'WS-TRX-CU Normal'!$H$217:$H$253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5247-4FBE-B8B1-5095DA6D7D20}"/>
            </c:ext>
          </c:extLst>
        </c:ser>
        <c:ser>
          <c:idx val="3"/>
          <c:order val="1"/>
          <c:tx>
            <c:strRef>
              <c:f>'WS-TRX-CU Normal'!$S$275</c:f>
              <c:strCache>
                <c:ptCount val="1"/>
                <c:pt idx="0">
                  <c:v>σ₃′ =56 kPa</c:v>
                </c:pt>
              </c:strCache>
            </c:strRef>
          </c:tx>
          <c:spPr>
            <a:ln w="12700" cap="rnd">
              <a:solidFill>
                <a:schemeClr val="accent4"/>
              </a:solidFill>
              <a:round/>
            </a:ln>
            <a:effectLst/>
          </c:spPr>
          <c:marker>
            <c:symbol val="none"/>
          </c:marker>
          <c:xVal>
            <c:numRef>
              <c:f>'WS-TRX-CU Normal'!$W$217:$W$253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'WS-TRX-CU Normal'!$X$217:$X$253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5247-4FBE-B8B1-5095DA6D7D20}"/>
            </c:ext>
          </c:extLst>
        </c:ser>
        <c:ser>
          <c:idx val="5"/>
          <c:order val="2"/>
          <c:tx>
            <c:strRef>
              <c:f>'WS-TRX-CU Normal'!$S$276</c:f>
              <c:strCache>
                <c:ptCount val="1"/>
                <c:pt idx="0">
                  <c:v>σ₃′ =112 kPa</c:v>
                </c:pt>
              </c:strCache>
            </c:strRef>
          </c:tx>
          <c:spPr>
            <a:ln w="12700" cap="rnd">
              <a:solidFill>
                <a:schemeClr val="accent6"/>
              </a:solidFill>
              <a:round/>
            </a:ln>
            <a:effectLst/>
          </c:spPr>
          <c:marker>
            <c:symbol val="none"/>
          </c:marker>
          <c:xVal>
            <c:numRef>
              <c:f>'WS-TRX-CU Normal'!$AN$217:$AN$253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'WS-TRX-CU Normal'!$AO$217:$AO$253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5247-4FBE-B8B1-5095DA6D7D20}"/>
            </c:ext>
          </c:extLst>
        </c:ser>
        <c:ser>
          <c:idx val="7"/>
          <c:order val="3"/>
          <c:tx>
            <c:strRef>
              <c:f>'WS-TRX-CU Normal'!$S$280</c:f>
              <c:strCache>
                <c:ptCount val="1"/>
                <c:pt idx="0">
                  <c:v>Effective Stress Envelope</c:v>
                </c:pt>
              </c:strCache>
            </c:strRef>
          </c:tx>
          <c:spPr>
            <a:ln w="15875" cap="rnd">
              <a:solidFill>
                <a:schemeClr val="bg2">
                  <a:lumMod val="50000"/>
                </a:schemeClr>
              </a:solidFill>
              <a:round/>
            </a:ln>
            <a:effectLst/>
          </c:spPr>
          <c:marker>
            <c:symbol val="none"/>
          </c:marker>
          <c:xVal>
            <c:numRef>
              <c:f>'WS-TRX-CU Normal'!$L$305:$L$311</c:f>
              <c:numCache>
                <c:formatCode>General</c:formatCode>
                <c:ptCount val="7"/>
                <c:pt idx="0">
                  <c:v>0</c:v>
                </c:pt>
                <c:pt idx="1">
                  <c:v>50</c:v>
                </c:pt>
                <c:pt idx="2">
                  <c:v>100</c:v>
                </c:pt>
                <c:pt idx="3">
                  <c:v>200</c:v>
                </c:pt>
                <c:pt idx="4">
                  <c:v>300</c:v>
                </c:pt>
                <c:pt idx="5">
                  <c:v>400</c:v>
                </c:pt>
                <c:pt idx="6">
                  <c:v>500</c:v>
                </c:pt>
              </c:numCache>
            </c:numRef>
          </c:xVal>
          <c:yVal>
            <c:numRef>
              <c:f>'WS-TRX-CU Normal'!$M$305:$M$311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3-5247-4FBE-B8B1-5095DA6D7D20}"/>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Normal'!$S$270</c:f>
              <c:strCache>
                <c:ptCount val="1"/>
                <c:pt idx="0">
                  <c:v>σ₃=50 kPa</c:v>
                </c:pt>
              </c:strCache>
            </c:strRef>
          </c:tx>
          <c:spPr>
            <a:ln w="12700" cap="rnd">
              <a:solidFill>
                <a:schemeClr val="accent1">
                  <a:lumMod val="75000"/>
                </a:schemeClr>
              </a:solidFill>
              <a:round/>
            </a:ln>
            <a:effectLst/>
          </c:spPr>
          <c:marker>
            <c:symbol val="none"/>
          </c:marker>
          <c:xVal>
            <c:numRef>
              <c:f>'WS-TRX-CU Normal'!$C$217:$C$253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'WS-TRX-CU Normal'!$D$217:$D$253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1829-41CC-80D7-CC0A367600C2}"/>
            </c:ext>
          </c:extLst>
        </c:ser>
        <c:ser>
          <c:idx val="2"/>
          <c:order val="1"/>
          <c:tx>
            <c:strRef>
              <c:f>'WS-TRX-CU Normal'!$S$271</c:f>
              <c:strCache>
                <c:ptCount val="1"/>
                <c:pt idx="0">
                  <c:v>σ₃=100 kPa</c:v>
                </c:pt>
              </c:strCache>
            </c:strRef>
          </c:tx>
          <c:spPr>
            <a:ln w="12700" cap="rnd">
              <a:solidFill>
                <a:schemeClr val="accent2">
                  <a:lumMod val="75000"/>
                </a:schemeClr>
              </a:solidFill>
              <a:round/>
            </a:ln>
            <a:effectLst/>
          </c:spPr>
          <c:marker>
            <c:symbol val="none"/>
          </c:marker>
          <c:xVal>
            <c:numRef>
              <c:f>'WS-TRX-CU Normal'!$S$217:$S$253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'WS-TRX-CU Normal'!$T$217:$T$253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1829-41CC-80D7-CC0A367600C2}"/>
            </c:ext>
          </c:extLst>
        </c:ser>
        <c:ser>
          <c:idx val="4"/>
          <c:order val="2"/>
          <c:tx>
            <c:strRef>
              <c:f>'WS-TRX-CU Normal'!$S$272</c:f>
              <c:strCache>
                <c:ptCount val="1"/>
                <c:pt idx="0">
                  <c:v>σ₃​=200 kPa</c:v>
                </c:pt>
              </c:strCache>
            </c:strRef>
          </c:tx>
          <c:spPr>
            <a:ln w="12700" cap="rnd">
              <a:solidFill>
                <a:schemeClr val="accent3">
                  <a:lumMod val="75000"/>
                </a:schemeClr>
              </a:solidFill>
              <a:round/>
            </a:ln>
            <a:effectLst/>
          </c:spPr>
          <c:marker>
            <c:symbol val="none"/>
          </c:marker>
          <c:xVal>
            <c:numRef>
              <c:f>'WS-TRX-CU Normal'!$AJ$217:$AJ$253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'WS-TRX-CU Normal'!$AK$217:$AK$253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1829-41CC-80D7-CC0A367600C2}"/>
            </c:ext>
          </c:extLst>
        </c:ser>
        <c:ser>
          <c:idx val="6"/>
          <c:order val="3"/>
          <c:tx>
            <c:strRef>
              <c:f>'WS-TRX-CU Normal'!$S$279</c:f>
              <c:strCache>
                <c:ptCount val="1"/>
                <c:pt idx="0">
                  <c:v>Total Stress Envelope</c:v>
                </c:pt>
              </c:strCache>
            </c:strRef>
          </c:tx>
          <c:spPr>
            <a:ln w="15875" cap="rnd">
              <a:solidFill>
                <a:schemeClr val="accent1">
                  <a:lumMod val="60000"/>
                </a:schemeClr>
              </a:solidFill>
              <a:round/>
            </a:ln>
            <a:effectLst/>
          </c:spPr>
          <c:marker>
            <c:symbol val="none"/>
          </c:marker>
          <c:xVal>
            <c:numRef>
              <c:f>'WS-TRX-CU Normal'!$L$282:$L$288</c:f>
              <c:numCache>
                <c:formatCode>General</c:formatCode>
                <c:ptCount val="7"/>
                <c:pt idx="0">
                  <c:v>0</c:v>
                </c:pt>
                <c:pt idx="1">
                  <c:v>50</c:v>
                </c:pt>
                <c:pt idx="2">
                  <c:v>100</c:v>
                </c:pt>
                <c:pt idx="3">
                  <c:v>200</c:v>
                </c:pt>
                <c:pt idx="4">
                  <c:v>300</c:v>
                </c:pt>
                <c:pt idx="5">
                  <c:v>400</c:v>
                </c:pt>
                <c:pt idx="6">
                  <c:v>500</c:v>
                </c:pt>
              </c:numCache>
            </c:numRef>
          </c:xVal>
          <c:yVal>
            <c:numRef>
              <c:f>'WS-TRX-CU Normal'!$M$282:$M$288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3-1829-41CC-80D7-CC0A367600C2}"/>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Normal Stress, </a:t>
                </a:r>
                <a:r>
                  <a:rPr lang="el-GR" sz="800" b="0" i="0" u="none" strike="noStrike" baseline="0">
                    <a:effectLst/>
                    <a:latin typeface="Arial" panose="020B0604020202020204" pitchFamily="34" charset="0"/>
                    <a:cs typeface="Arial" panose="020B0604020202020204" pitchFamily="34" charset="0"/>
                  </a:rPr>
                  <a:t>σ (</a:t>
                </a:r>
                <a:r>
                  <a:rPr lang="en-ID" sz="800" b="0" i="0" u="none" strike="noStrike" baseline="0">
                    <a:effectLst/>
                    <a:latin typeface="Arial" panose="020B0604020202020204" pitchFamily="34" charset="0"/>
                    <a:cs typeface="Arial" panose="020B0604020202020204" pitchFamily="34" charset="0"/>
                  </a:rPr>
                  <a:t>kPa)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majorUnit val="100"/>
      </c:valAx>
      <c:valAx>
        <c:axId val="107868241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01C3-B447-A471-78FAAAB7B5C5}"/>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unsoaked'!$C$107:$C$109</c:f>
              <c:numCache>
                <c:formatCode>0.0000</c:formatCode>
                <c:ptCount val="3"/>
                <c:pt idx="0">
                  <c:v>2.54</c:v>
                </c:pt>
                <c:pt idx="1">
                  <c:v>2.54</c:v>
                </c:pt>
                <c:pt idx="2" formatCode="General">
                  <c:v>0</c:v>
                </c:pt>
              </c:numCache>
            </c:numRef>
          </c:xVal>
          <c:yVal>
            <c:numRef>
              <c:f>'WS-CBR unsoaked'!$D$107:$D$109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01C3-B447-A471-78FAAAB7B5C5}"/>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unsoaked'!$C$111:$C$113</c:f>
              <c:numCache>
                <c:formatCode>0.0000</c:formatCode>
                <c:ptCount val="3"/>
                <c:pt idx="0">
                  <c:v>5.08</c:v>
                </c:pt>
                <c:pt idx="1">
                  <c:v>5.08</c:v>
                </c:pt>
                <c:pt idx="2" formatCode="General">
                  <c:v>0</c:v>
                </c:pt>
              </c:numCache>
            </c:numRef>
          </c:xVal>
          <c:yVal>
            <c:numRef>
              <c:f>'WS-CBR unsoaked'!$D$111:$D$113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01C3-B447-A471-78FAAAB7B5C5}"/>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A7C8-764B-B3B7-4306AE09CF58}"/>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unsoaked'!$I$107:$I$109</c:f>
              <c:numCache>
                <c:formatCode>0.0000</c:formatCode>
                <c:ptCount val="3"/>
                <c:pt idx="0">
                  <c:v>2.54</c:v>
                </c:pt>
                <c:pt idx="1">
                  <c:v>2.54</c:v>
                </c:pt>
                <c:pt idx="2" formatCode="General">
                  <c:v>0</c:v>
                </c:pt>
              </c:numCache>
            </c:numRef>
          </c:xVal>
          <c:yVal>
            <c:numRef>
              <c:f>'WS-CBR unsoaked'!$J$107:$J$109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A7C8-764B-B3B7-4306AE09CF58}"/>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unsoaked'!$I$111:$I$113</c:f>
              <c:numCache>
                <c:formatCode>0.0000</c:formatCode>
                <c:ptCount val="3"/>
                <c:pt idx="0">
                  <c:v>5.08</c:v>
                </c:pt>
                <c:pt idx="1">
                  <c:v>5.08</c:v>
                </c:pt>
                <c:pt idx="2" formatCode="General">
                  <c:v>0</c:v>
                </c:pt>
              </c:numCache>
            </c:numRef>
          </c:xVal>
          <c:yVal>
            <c:numRef>
              <c:f>'WS-CBR unsoaked'!$J$111:$J$113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A7C8-764B-B3B7-4306AE09CF58}"/>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09B3-E74A-B88F-E99D2F0D70E6}"/>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unsoaked'!$O$107:$O$109</c:f>
              <c:numCache>
                <c:formatCode>0.0000</c:formatCode>
                <c:ptCount val="3"/>
                <c:pt idx="0">
                  <c:v>2.54</c:v>
                </c:pt>
                <c:pt idx="1">
                  <c:v>2.54</c:v>
                </c:pt>
                <c:pt idx="2" formatCode="General">
                  <c:v>0</c:v>
                </c:pt>
              </c:numCache>
            </c:numRef>
          </c:xVal>
          <c:yVal>
            <c:numRef>
              <c:f>'WS-CBR unsoaked'!$P$107:$P$109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09B3-E74A-B88F-E99D2F0D70E6}"/>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unsoaked'!$O$111:$O$113</c:f>
              <c:numCache>
                <c:formatCode>0.0000</c:formatCode>
                <c:ptCount val="3"/>
                <c:pt idx="0">
                  <c:v>5.08</c:v>
                </c:pt>
                <c:pt idx="1">
                  <c:v>5.08</c:v>
                </c:pt>
                <c:pt idx="2" formatCode="General">
                  <c:v>0</c:v>
                </c:pt>
              </c:numCache>
            </c:numRef>
          </c:xVal>
          <c:yVal>
            <c:numRef>
              <c:f>'WS-CBR unsoaked'!$P$111:$P$113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09B3-E74A-B88F-E99D2F0D70E6}"/>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Kurva Polinomial</c:v>
          </c:tx>
          <c:spPr>
            <a:ln w="9525" cap="rnd">
              <a:solidFill>
                <a:schemeClr val="accent1"/>
              </a:solidFill>
              <a:round/>
            </a:ln>
            <a:effectLst/>
          </c:spPr>
          <c:marker>
            <c:symbol val="none"/>
          </c:marker>
          <c:xVal>
            <c:numRef>
              <c:f>'WS-CBR unsoaked'!$K$123:$K$170</c:f>
              <c:numCache>
                <c:formatCode>0.00</c:formatCode>
                <c:ptCount val="4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numCache>
            </c:numRef>
          </c:xVal>
          <c:yVal>
            <c:numRef>
              <c:f>'WS-CBR unsoaked'!$J$123:$J$170</c:f>
              <c:numCache>
                <c:formatCode>0.0000</c:formatCode>
                <c:ptCount val="4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numCache>
            </c:numRef>
          </c:yVal>
          <c:smooth val="0"/>
          <c:extLst>
            <c:ext xmlns:c16="http://schemas.microsoft.com/office/drawing/2014/chart" uri="{C3380CC4-5D6E-409C-BE32-E72D297353CC}">
              <c16:uniqueId val="{00000000-54DC-6748-9A73-CE54260AAD0F}"/>
            </c:ext>
          </c:extLst>
        </c:ser>
        <c:ser>
          <c:idx val="1"/>
          <c:order val="1"/>
          <c:tx>
            <c:v>Reported CBR</c:v>
          </c:tx>
          <c:spPr>
            <a:ln w="25400" cap="rnd">
              <a:noFill/>
              <a:round/>
            </a:ln>
            <a:effectLst/>
          </c:spPr>
          <c:marker>
            <c:symbol val="circle"/>
            <c:size val="3"/>
            <c:spPr>
              <a:solidFill>
                <a:schemeClr val="bg2">
                  <a:lumMod val="25000"/>
                  <a:alpha val="70000"/>
                </a:schemeClr>
              </a:solidFill>
              <a:ln w="9525">
                <a:solidFill>
                  <a:schemeClr val="bg2">
                    <a:lumMod val="25000"/>
                    <a:alpha val="70000"/>
                  </a:schemeClr>
                </a:solidFill>
              </a:ln>
              <a:effectLst/>
            </c:spPr>
          </c:marker>
          <c:xVal>
            <c:numRef>
              <c:f>'WS-CBR unsoaked'!$B$123:$B$125</c:f>
              <c:numCache>
                <c:formatCode>0.0</c:formatCode>
                <c:ptCount val="3"/>
                <c:pt idx="0">
                  <c:v>29.348704030488758</c:v>
                </c:pt>
                <c:pt idx="1">
                  <c:v>30.015720031181687</c:v>
                </c:pt>
                <c:pt idx="2">
                  <c:v>30.682736031874612</c:v>
                </c:pt>
              </c:numCache>
            </c:numRef>
          </c:xVal>
          <c:yVal>
            <c:numRef>
              <c:f>'WS-CBR unsoaked'!$A$123:$A$125</c:f>
              <c:numCache>
                <c:formatCode>0.00</c:formatCode>
                <c:ptCount val="3"/>
                <c:pt idx="0" formatCode="0.0000">
                  <c:v>1.1824087231164917</c:v>
                </c:pt>
                <c:pt idx="1">
                  <c:v>1.2005385322377311</c:v>
                </c:pt>
                <c:pt idx="2">
                  <c:v>1.250068842993334</c:v>
                </c:pt>
              </c:numCache>
            </c:numRef>
          </c:yVal>
          <c:smooth val="0"/>
          <c:extLst>
            <c:ext xmlns:c16="http://schemas.microsoft.com/office/drawing/2014/chart" uri="{C3380CC4-5D6E-409C-BE32-E72D297353CC}">
              <c16:uniqueId val="{00000001-54DC-6748-9A73-CE54260AAD0F}"/>
            </c:ext>
          </c:extLst>
        </c:ser>
        <c:ser>
          <c:idx val="2"/>
          <c:order val="2"/>
          <c:tx>
            <c:strRef>
              <c:f>'WS-CBR unsoaked'!$U$134</c:f>
              <c:strCache>
                <c:ptCount val="1"/>
                <c:pt idx="0">
                  <c:v>100 % MDD</c:v>
                </c:pt>
              </c:strCache>
            </c:strRef>
          </c:tx>
          <c:spPr>
            <a:ln w="12700" cap="rnd">
              <a:solidFill>
                <a:schemeClr val="accent1">
                  <a:lumMod val="75000"/>
                </a:schemeClr>
              </a:solidFill>
              <a:prstDash val="dash"/>
              <a:round/>
            </a:ln>
            <a:effectLst/>
          </c:spPr>
          <c:marker>
            <c:symbol val="none"/>
          </c:marker>
          <c:xVal>
            <c:numRef>
              <c:f>'WS-CBR unsoaked'!$U$130:$U$132</c:f>
              <c:numCache>
                <c:formatCode>General</c:formatCode>
                <c:ptCount val="3"/>
                <c:pt idx="0">
                  <c:v>0</c:v>
                </c:pt>
                <c:pt idx="1">
                  <c:v>30.684111680597027</c:v>
                </c:pt>
                <c:pt idx="2">
                  <c:v>30.684111680597027</c:v>
                </c:pt>
              </c:numCache>
            </c:numRef>
          </c:xVal>
          <c:yVal>
            <c:numRef>
              <c:f>'WS-CBR unsoaked'!$T$130:$T$132</c:f>
              <c:numCache>
                <c:formatCode>General</c:formatCode>
                <c:ptCount val="3"/>
                <c:pt idx="0">
                  <c:v>1.24</c:v>
                </c:pt>
                <c:pt idx="1">
                  <c:v>1.24</c:v>
                </c:pt>
                <c:pt idx="2">
                  <c:v>0</c:v>
                </c:pt>
              </c:numCache>
            </c:numRef>
          </c:yVal>
          <c:smooth val="0"/>
          <c:extLst>
            <c:ext xmlns:c16="http://schemas.microsoft.com/office/drawing/2014/chart" uri="{C3380CC4-5D6E-409C-BE32-E72D297353CC}">
              <c16:uniqueId val="{00000002-54DC-6748-9A73-CE54260AAD0F}"/>
            </c:ext>
          </c:extLst>
        </c:ser>
        <c:ser>
          <c:idx val="3"/>
          <c:order val="3"/>
          <c:tx>
            <c:strRef>
              <c:f>'WS-CBR unsoaked'!$U$135</c:f>
              <c:strCache>
                <c:ptCount val="1"/>
                <c:pt idx="0">
                  <c:v>CBR @ 100 % MDD = 30.7 %</c:v>
                </c:pt>
              </c:strCache>
            </c:strRef>
          </c:tx>
          <c:spPr>
            <a:ln w="25400" cap="rnd">
              <a:noFill/>
              <a:round/>
            </a:ln>
            <a:effectLst/>
          </c:spPr>
          <c:marker>
            <c:symbol val="triangle"/>
            <c:size val="4"/>
            <c:spPr>
              <a:solidFill>
                <a:srgbClr val="FF0000"/>
              </a:solidFill>
              <a:ln w="9525">
                <a:solidFill>
                  <a:schemeClr val="accent4"/>
                </a:solidFill>
              </a:ln>
              <a:effectLst/>
            </c:spPr>
          </c:marker>
          <c:xVal>
            <c:numRef>
              <c:f>'WS-CBR unsoaked'!$R$123</c:f>
              <c:numCache>
                <c:formatCode>General</c:formatCode>
                <c:ptCount val="1"/>
                <c:pt idx="0">
                  <c:v>30.684111680597027</c:v>
                </c:pt>
              </c:numCache>
            </c:numRef>
          </c:xVal>
          <c:yVal>
            <c:numRef>
              <c:f>'WS-CBR unsoaked'!$Q$123</c:f>
              <c:numCache>
                <c:formatCode>General</c:formatCode>
                <c:ptCount val="1"/>
                <c:pt idx="0">
                  <c:v>1.24</c:v>
                </c:pt>
              </c:numCache>
            </c:numRef>
          </c:yVal>
          <c:smooth val="0"/>
          <c:extLst>
            <c:ext xmlns:c16="http://schemas.microsoft.com/office/drawing/2014/chart" uri="{C3380CC4-5D6E-409C-BE32-E72D297353CC}">
              <c16:uniqueId val="{00000003-54DC-6748-9A73-CE54260AAD0F}"/>
            </c:ext>
          </c:extLst>
        </c:ser>
        <c:dLbls>
          <c:showLegendKey val="0"/>
          <c:showVal val="0"/>
          <c:showCatName val="0"/>
          <c:showSerName val="0"/>
          <c:showPercent val="0"/>
          <c:showBubbleSize val="0"/>
        </c:dLbls>
        <c:axId val="326953744"/>
        <c:axId val="269481536"/>
      </c:scatterChart>
      <c:valAx>
        <c:axId val="326953744"/>
        <c:scaling>
          <c:orientation val="minMax"/>
          <c:max val="40"/>
          <c:min val="20"/>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CBR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69481536"/>
        <c:crosses val="autoZero"/>
        <c:crossBetween val="midCat"/>
      </c:valAx>
      <c:valAx>
        <c:axId val="269481536"/>
        <c:scaling>
          <c:orientation val="minMax"/>
          <c:min val="1"/>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Berat Isi Kering (g/cm</a:t>
                </a:r>
                <a:r>
                  <a:rPr lang="en-US" sz="800" baseline="30000">
                    <a:latin typeface="Arial" panose="020B0604020202020204" pitchFamily="34" charset="0"/>
                    <a:cs typeface="Arial" panose="020B0604020202020204" pitchFamily="34" charset="0"/>
                  </a:rPr>
                  <a:t>3</a:t>
                </a:r>
                <a:r>
                  <a:rPr lang="en-US" sz="800">
                    <a:latin typeface="Arial" panose="020B0604020202020204" pitchFamily="34" charset="0"/>
                    <a:cs typeface="Arial" panose="020B0604020202020204" pitchFamily="34" charset="0"/>
                  </a:rPr>
                  <a:t>)</a:t>
                </a:r>
              </a:p>
            </c:rich>
          </c:tx>
          <c:layout>
            <c:manualLayout>
              <c:xMode val="edge"/>
              <c:yMode val="edge"/>
              <c:x val="2.7796570163015531E-2"/>
              <c:y val="0.18186661755323003"/>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269537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 unsoaked'!$J$123:$J$130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 unsoaked'!$K$123:$K$130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66D5-364D-814B-09BC689DC87C}"/>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 unsoaked'!$A$123:$A$125</c:f>
              <c:numCache>
                <c:formatCode>0.00</c:formatCode>
                <c:ptCount val="3"/>
                <c:pt idx="0" formatCode="0.0000">
                  <c:v>1.1824087231164917</c:v>
                </c:pt>
                <c:pt idx="1">
                  <c:v>1.2005385322377311</c:v>
                </c:pt>
                <c:pt idx="2">
                  <c:v>1.250068842993334</c:v>
                </c:pt>
              </c:numCache>
            </c:numRef>
          </c:xVal>
          <c:yVal>
            <c:numRef>
              <c:f>'WS-CBR unsoaked'!$B$123:$B$125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66D5-364D-814B-09BC689DC87C}"/>
            </c:ext>
          </c:extLst>
        </c:ser>
        <c:ser>
          <c:idx val="2"/>
          <c:order val="2"/>
          <c:tx>
            <c:strRef>
              <c:f>'WS-CBR unsoaked'!$P$143</c:f>
              <c:strCache>
                <c:ptCount val="1"/>
                <c:pt idx="0">
                  <c:v>100 % MDD</c:v>
                </c:pt>
              </c:strCache>
            </c:strRef>
          </c:tx>
          <c:spPr>
            <a:ln w="12700" cap="rnd">
              <a:solidFill>
                <a:srgbClr val="FF0000"/>
              </a:solidFill>
              <a:prstDash val="dash"/>
              <a:round/>
            </a:ln>
            <a:effectLst/>
          </c:spPr>
          <c:marker>
            <c:symbol val="none"/>
          </c:marker>
          <c:xVal>
            <c:numRef>
              <c:f>'WS-CBR unsoaked'!$P$144:$P$146</c:f>
              <c:numCache>
                <c:formatCode>General</c:formatCode>
                <c:ptCount val="3"/>
                <c:pt idx="0">
                  <c:v>1.24</c:v>
                </c:pt>
                <c:pt idx="1">
                  <c:v>1.24</c:v>
                </c:pt>
                <c:pt idx="2">
                  <c:v>0</c:v>
                </c:pt>
              </c:numCache>
            </c:numRef>
          </c:xVal>
          <c:yVal>
            <c:numRef>
              <c:f>'WS-CBR unsoaked'!$Q$144:$Q$146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66D5-364D-814B-09BC689DC87C}"/>
            </c:ext>
          </c:extLst>
        </c:ser>
        <c:ser>
          <c:idx val="3"/>
          <c:order val="3"/>
          <c:tx>
            <c:strRef>
              <c:f>'WS-CBR unsoaked'!$P$148</c:f>
              <c:strCache>
                <c:ptCount val="1"/>
                <c:pt idx="0">
                  <c:v>98 % MDD</c:v>
                </c:pt>
              </c:strCache>
            </c:strRef>
          </c:tx>
          <c:spPr>
            <a:ln w="12700" cap="rnd">
              <a:solidFill>
                <a:schemeClr val="accent4"/>
              </a:solidFill>
              <a:prstDash val="dash"/>
              <a:round/>
            </a:ln>
            <a:effectLst/>
          </c:spPr>
          <c:marker>
            <c:symbol val="none"/>
          </c:marker>
          <c:xVal>
            <c:numRef>
              <c:f>'WS-CBR unsoaked'!$P$149:$P$151</c:f>
              <c:numCache>
                <c:formatCode>General</c:formatCode>
                <c:ptCount val="3"/>
                <c:pt idx="0">
                  <c:v>1.2152000000000001</c:v>
                </c:pt>
                <c:pt idx="1">
                  <c:v>1.2152000000000001</c:v>
                </c:pt>
                <c:pt idx="2">
                  <c:v>0</c:v>
                </c:pt>
              </c:numCache>
            </c:numRef>
          </c:xVal>
          <c:yVal>
            <c:numRef>
              <c:f>'WS-CBR unsoaked'!$Q$149:$Q$151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66D5-364D-814B-09BC689DC87C}"/>
            </c:ext>
          </c:extLst>
        </c:ser>
        <c:ser>
          <c:idx val="4"/>
          <c:order val="4"/>
          <c:tx>
            <c:strRef>
              <c:f>'WS-CBR unsoaked'!$P$153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66D5-364D-814B-09BC689DC87C}"/>
              </c:ext>
            </c:extLst>
          </c:dPt>
          <c:xVal>
            <c:numRef>
              <c:f>'WS-CBR unsoaked'!$P$154:$P$156</c:f>
              <c:numCache>
                <c:formatCode>General</c:formatCode>
                <c:ptCount val="3"/>
                <c:pt idx="0">
                  <c:v>#N/A</c:v>
                </c:pt>
                <c:pt idx="1">
                  <c:v>#N/A</c:v>
                </c:pt>
                <c:pt idx="2">
                  <c:v>0</c:v>
                </c:pt>
              </c:numCache>
            </c:numRef>
          </c:xVal>
          <c:yVal>
            <c:numRef>
              <c:f>'WS-CBR unsoaked'!$Q$154:$Q$156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4-66D5-364D-814B-09BC689DC87C}"/>
            </c:ext>
          </c:extLst>
        </c:ser>
        <c:ser>
          <c:idx val="5"/>
          <c:order val="5"/>
          <c:tx>
            <c:strRef>
              <c:f>'WS-CBR unsoaked'!$M$144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 unsoaked'!$D$133</c:f>
              <c:numCache>
                <c:formatCode>General</c:formatCode>
                <c:ptCount val="1"/>
                <c:pt idx="0">
                  <c:v>1.24</c:v>
                </c:pt>
              </c:numCache>
            </c:numRef>
          </c:xVal>
          <c:yVal>
            <c:numRef>
              <c:f>'WS-CBR unsoaked'!$H$133</c:f>
              <c:numCache>
                <c:formatCode>General</c:formatCode>
                <c:ptCount val="1"/>
                <c:pt idx="0">
                  <c:v>30.684111680597027</c:v>
                </c:pt>
              </c:numCache>
            </c:numRef>
          </c:yVal>
          <c:smooth val="0"/>
          <c:extLst>
            <c:ext xmlns:c16="http://schemas.microsoft.com/office/drawing/2014/chart" uri="{C3380CC4-5D6E-409C-BE32-E72D297353CC}">
              <c16:uniqueId val="{00000007-66D5-364D-814B-09BC689DC87C}"/>
            </c:ext>
          </c:extLst>
        </c:ser>
        <c:ser>
          <c:idx val="6"/>
          <c:order val="6"/>
          <c:tx>
            <c:strRef>
              <c:f>'WS-CBR unsoaked'!$M$145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 unsoaked'!$D$134</c:f>
              <c:numCache>
                <c:formatCode>General</c:formatCode>
                <c:ptCount val="1"/>
                <c:pt idx="0">
                  <c:v>1.2152000000000001</c:v>
                </c:pt>
              </c:numCache>
            </c:numRef>
          </c:xVal>
          <c:yVal>
            <c:numRef>
              <c:f>'WS-CBR unsoaked'!$H$134</c:f>
              <c:numCache>
                <c:formatCode>General</c:formatCode>
                <c:ptCount val="1"/>
                <c:pt idx="0">
                  <c:v>30.389397881842399</c:v>
                </c:pt>
              </c:numCache>
            </c:numRef>
          </c:yVal>
          <c:smooth val="0"/>
          <c:extLst>
            <c:ext xmlns:c16="http://schemas.microsoft.com/office/drawing/2014/chart" uri="{C3380CC4-5D6E-409C-BE32-E72D297353CC}">
              <c16:uniqueId val="{00000008-66D5-364D-814B-09BC689DC87C}"/>
            </c:ext>
          </c:extLst>
        </c:ser>
        <c:ser>
          <c:idx val="7"/>
          <c:order val="7"/>
          <c:tx>
            <c:strRef>
              <c:f>'WS-CBR unsoaked'!$M$146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 unsoaked'!$D$135</c:f>
              <c:numCache>
                <c:formatCode>General</c:formatCode>
                <c:ptCount val="1"/>
                <c:pt idx="0">
                  <c:v>0</c:v>
                </c:pt>
              </c:numCache>
            </c:numRef>
          </c:xVal>
          <c:yVal>
            <c:numRef>
              <c:f>'WS-CBR unsoaked'!$H$135</c:f>
              <c:numCache>
                <c:formatCode>General</c:formatCode>
                <c:ptCount val="1"/>
                <c:pt idx="0">
                  <c:v>#N/A</c:v>
                </c:pt>
              </c:numCache>
            </c:numRef>
          </c:yVal>
          <c:smooth val="0"/>
          <c:extLst>
            <c:ext xmlns:c16="http://schemas.microsoft.com/office/drawing/2014/chart" uri="{C3380CC4-5D6E-409C-BE32-E72D297353CC}">
              <c16:uniqueId val="{00000009-66D5-364D-814B-09BC689DC87C}"/>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Dry Density (g/cm</a:t>
                </a:r>
                <a:r>
                  <a:rPr lang="en-US" sz="800" baseline="30000">
                    <a:latin typeface="Arial" panose="020B0604020202020204" pitchFamily="34" charset="0"/>
                    <a:cs typeface="Arial" panose="020B0604020202020204" pitchFamily="34" charset="0"/>
                  </a:rPr>
                  <a:t>3</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CAB0-4C87-B6D0-C671D2D5D0EE}"/>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unsoaked'!$C$107:$C$109</c:f>
              <c:numCache>
                <c:formatCode>0.0000</c:formatCode>
                <c:ptCount val="3"/>
                <c:pt idx="0">
                  <c:v>2.54</c:v>
                </c:pt>
                <c:pt idx="1">
                  <c:v>2.54</c:v>
                </c:pt>
                <c:pt idx="2" formatCode="General">
                  <c:v>0</c:v>
                </c:pt>
              </c:numCache>
            </c:numRef>
          </c:xVal>
          <c:yVal>
            <c:numRef>
              <c:f>'WS-CBR unsoaked'!$D$107:$D$109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CAB0-4C87-B6D0-C671D2D5D0EE}"/>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unsoaked'!$C$111:$C$113</c:f>
              <c:numCache>
                <c:formatCode>0.0000</c:formatCode>
                <c:ptCount val="3"/>
                <c:pt idx="0">
                  <c:v>5.08</c:v>
                </c:pt>
                <c:pt idx="1">
                  <c:v>5.08</c:v>
                </c:pt>
                <c:pt idx="2" formatCode="General">
                  <c:v>0</c:v>
                </c:pt>
              </c:numCache>
            </c:numRef>
          </c:xVal>
          <c:yVal>
            <c:numRef>
              <c:f>'WS-CBR unsoaked'!$D$111:$D$113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CAB0-4C87-B6D0-C671D2D5D0EE}"/>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4339-447F-AB8B-9413EA23E4C1}"/>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unsoaked'!$I$107:$I$109</c:f>
              <c:numCache>
                <c:formatCode>0.0000</c:formatCode>
                <c:ptCount val="3"/>
                <c:pt idx="0">
                  <c:v>2.54</c:v>
                </c:pt>
                <c:pt idx="1">
                  <c:v>2.54</c:v>
                </c:pt>
                <c:pt idx="2" formatCode="General">
                  <c:v>0</c:v>
                </c:pt>
              </c:numCache>
            </c:numRef>
          </c:xVal>
          <c:yVal>
            <c:numRef>
              <c:f>'WS-CBR unsoaked'!$J$107:$J$109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4339-447F-AB8B-9413EA23E4C1}"/>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unsoaked'!$I$111:$I$113</c:f>
              <c:numCache>
                <c:formatCode>0.0000</c:formatCode>
                <c:ptCount val="3"/>
                <c:pt idx="0">
                  <c:v>5.08</c:v>
                </c:pt>
                <c:pt idx="1">
                  <c:v>5.08</c:v>
                </c:pt>
                <c:pt idx="2" formatCode="General">
                  <c:v>0</c:v>
                </c:pt>
              </c:numCache>
            </c:numRef>
          </c:xVal>
          <c:yVal>
            <c:numRef>
              <c:f>'WS-CBR unsoaked'!$J$111:$J$113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4339-447F-AB8B-9413EA23E4C1}"/>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D3FD-4808-9609-BE84EAFA0F66}"/>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unsoaked'!$O$107:$O$109</c:f>
              <c:numCache>
                <c:formatCode>0.0000</c:formatCode>
                <c:ptCount val="3"/>
                <c:pt idx="0">
                  <c:v>2.54</c:v>
                </c:pt>
                <c:pt idx="1">
                  <c:v>2.54</c:v>
                </c:pt>
                <c:pt idx="2" formatCode="General">
                  <c:v>0</c:v>
                </c:pt>
              </c:numCache>
            </c:numRef>
          </c:xVal>
          <c:yVal>
            <c:numRef>
              <c:f>'WS-CBR unsoaked'!$P$107:$P$109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D3FD-4808-9609-BE84EAFA0F66}"/>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unsoaked'!$O$111:$O$113</c:f>
              <c:numCache>
                <c:formatCode>0.0000</c:formatCode>
                <c:ptCount val="3"/>
                <c:pt idx="0">
                  <c:v>5.08</c:v>
                </c:pt>
                <c:pt idx="1">
                  <c:v>5.08</c:v>
                </c:pt>
                <c:pt idx="2" formatCode="General">
                  <c:v>0</c:v>
                </c:pt>
              </c:numCache>
            </c:numRef>
          </c:xVal>
          <c:yVal>
            <c:numRef>
              <c:f>'WS-CBR unsoaked'!$P$111:$P$113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D3FD-4808-9609-BE84EAFA0F66}"/>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 unsoaked'!$J$123:$J$130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 unsoaked'!$K$123:$K$130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1672-446C-BBD4-8483AA5E06F0}"/>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 unsoaked'!$A$123:$A$125</c:f>
              <c:numCache>
                <c:formatCode>0.00</c:formatCode>
                <c:ptCount val="3"/>
                <c:pt idx="0" formatCode="0.0000">
                  <c:v>1.1824087231164917</c:v>
                </c:pt>
                <c:pt idx="1">
                  <c:v>1.2005385322377311</c:v>
                </c:pt>
                <c:pt idx="2">
                  <c:v>1.250068842993334</c:v>
                </c:pt>
              </c:numCache>
            </c:numRef>
          </c:xVal>
          <c:yVal>
            <c:numRef>
              <c:f>'WS-CBR unsoaked'!$B$123:$B$125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1672-446C-BBD4-8483AA5E06F0}"/>
            </c:ext>
          </c:extLst>
        </c:ser>
        <c:ser>
          <c:idx val="2"/>
          <c:order val="2"/>
          <c:tx>
            <c:strRef>
              <c:f>'WS-CBR unsoaked'!$P$143</c:f>
              <c:strCache>
                <c:ptCount val="1"/>
                <c:pt idx="0">
                  <c:v>100 % MDD</c:v>
                </c:pt>
              </c:strCache>
            </c:strRef>
          </c:tx>
          <c:spPr>
            <a:ln w="12700" cap="rnd">
              <a:solidFill>
                <a:srgbClr val="FF0000"/>
              </a:solidFill>
              <a:prstDash val="dash"/>
              <a:round/>
            </a:ln>
            <a:effectLst/>
          </c:spPr>
          <c:marker>
            <c:symbol val="none"/>
          </c:marker>
          <c:xVal>
            <c:numRef>
              <c:f>'WS-CBR unsoaked'!$P$144:$P$146</c:f>
              <c:numCache>
                <c:formatCode>General</c:formatCode>
                <c:ptCount val="3"/>
                <c:pt idx="0">
                  <c:v>1.24</c:v>
                </c:pt>
                <c:pt idx="1">
                  <c:v>1.24</c:v>
                </c:pt>
                <c:pt idx="2">
                  <c:v>0</c:v>
                </c:pt>
              </c:numCache>
            </c:numRef>
          </c:xVal>
          <c:yVal>
            <c:numRef>
              <c:f>'WS-CBR unsoaked'!$Q$144:$Q$146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1672-446C-BBD4-8483AA5E06F0}"/>
            </c:ext>
          </c:extLst>
        </c:ser>
        <c:ser>
          <c:idx val="3"/>
          <c:order val="3"/>
          <c:tx>
            <c:strRef>
              <c:f>'WS-CBR unsoaked'!$P$148</c:f>
              <c:strCache>
                <c:ptCount val="1"/>
                <c:pt idx="0">
                  <c:v>98 % MDD</c:v>
                </c:pt>
              </c:strCache>
            </c:strRef>
          </c:tx>
          <c:spPr>
            <a:ln w="12700" cap="rnd">
              <a:solidFill>
                <a:schemeClr val="accent4"/>
              </a:solidFill>
              <a:prstDash val="dash"/>
              <a:round/>
            </a:ln>
            <a:effectLst/>
          </c:spPr>
          <c:marker>
            <c:symbol val="none"/>
          </c:marker>
          <c:xVal>
            <c:numRef>
              <c:f>'WS-CBR unsoaked'!$P$149:$P$151</c:f>
              <c:numCache>
                <c:formatCode>General</c:formatCode>
                <c:ptCount val="3"/>
                <c:pt idx="0">
                  <c:v>1.2152000000000001</c:v>
                </c:pt>
                <c:pt idx="1">
                  <c:v>1.2152000000000001</c:v>
                </c:pt>
                <c:pt idx="2">
                  <c:v>0</c:v>
                </c:pt>
              </c:numCache>
            </c:numRef>
          </c:xVal>
          <c:yVal>
            <c:numRef>
              <c:f>'WS-CBR unsoaked'!$Q$149:$Q$151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1672-446C-BBD4-8483AA5E06F0}"/>
            </c:ext>
          </c:extLst>
        </c:ser>
        <c:ser>
          <c:idx val="4"/>
          <c:order val="4"/>
          <c:tx>
            <c:strRef>
              <c:f>'WS-CBR unsoaked'!$P$153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1672-446C-BBD4-8483AA5E06F0}"/>
              </c:ext>
            </c:extLst>
          </c:dPt>
          <c:xVal>
            <c:numRef>
              <c:f>'WS-CBR unsoaked'!$P$154:$P$156</c:f>
              <c:numCache>
                <c:formatCode>General</c:formatCode>
                <c:ptCount val="3"/>
                <c:pt idx="0">
                  <c:v>#N/A</c:v>
                </c:pt>
                <c:pt idx="1">
                  <c:v>#N/A</c:v>
                </c:pt>
                <c:pt idx="2">
                  <c:v>0</c:v>
                </c:pt>
              </c:numCache>
            </c:numRef>
          </c:xVal>
          <c:yVal>
            <c:numRef>
              <c:f>'WS-CBR unsoaked'!$Q$154:$Q$156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6-1672-446C-BBD4-8483AA5E06F0}"/>
            </c:ext>
          </c:extLst>
        </c:ser>
        <c:ser>
          <c:idx val="5"/>
          <c:order val="5"/>
          <c:tx>
            <c:strRef>
              <c:f>'WS-CBR unsoaked'!$M$144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 unsoaked'!$D$133</c:f>
              <c:numCache>
                <c:formatCode>General</c:formatCode>
                <c:ptCount val="1"/>
                <c:pt idx="0">
                  <c:v>1.24</c:v>
                </c:pt>
              </c:numCache>
            </c:numRef>
          </c:xVal>
          <c:yVal>
            <c:numRef>
              <c:f>'WS-CBR unsoaked'!$H$133</c:f>
              <c:numCache>
                <c:formatCode>General</c:formatCode>
                <c:ptCount val="1"/>
                <c:pt idx="0">
                  <c:v>30.684111680597027</c:v>
                </c:pt>
              </c:numCache>
            </c:numRef>
          </c:yVal>
          <c:smooth val="0"/>
          <c:extLst>
            <c:ext xmlns:c16="http://schemas.microsoft.com/office/drawing/2014/chart" uri="{C3380CC4-5D6E-409C-BE32-E72D297353CC}">
              <c16:uniqueId val="{00000007-1672-446C-BBD4-8483AA5E06F0}"/>
            </c:ext>
          </c:extLst>
        </c:ser>
        <c:ser>
          <c:idx val="6"/>
          <c:order val="6"/>
          <c:tx>
            <c:strRef>
              <c:f>'WS-CBR unsoaked'!$M$145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 unsoaked'!$D$134</c:f>
              <c:numCache>
                <c:formatCode>General</c:formatCode>
                <c:ptCount val="1"/>
                <c:pt idx="0">
                  <c:v>1.2152000000000001</c:v>
                </c:pt>
              </c:numCache>
            </c:numRef>
          </c:xVal>
          <c:yVal>
            <c:numRef>
              <c:f>'WS-CBR unsoaked'!$H$134</c:f>
              <c:numCache>
                <c:formatCode>General</c:formatCode>
                <c:ptCount val="1"/>
                <c:pt idx="0">
                  <c:v>30.389397881842399</c:v>
                </c:pt>
              </c:numCache>
            </c:numRef>
          </c:yVal>
          <c:smooth val="0"/>
          <c:extLst>
            <c:ext xmlns:c16="http://schemas.microsoft.com/office/drawing/2014/chart" uri="{C3380CC4-5D6E-409C-BE32-E72D297353CC}">
              <c16:uniqueId val="{00000008-1672-446C-BBD4-8483AA5E06F0}"/>
            </c:ext>
          </c:extLst>
        </c:ser>
        <c:ser>
          <c:idx val="7"/>
          <c:order val="7"/>
          <c:tx>
            <c:strRef>
              <c:f>'WS-CBR unsoaked'!$M$146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 unsoaked'!$D$135</c:f>
              <c:numCache>
                <c:formatCode>General</c:formatCode>
                <c:ptCount val="1"/>
                <c:pt idx="0">
                  <c:v>0</c:v>
                </c:pt>
              </c:numCache>
            </c:numRef>
          </c:xVal>
          <c:yVal>
            <c:numRef>
              <c:f>'WS-CBR unsoaked'!$H$135</c:f>
              <c:numCache>
                <c:formatCode>General</c:formatCode>
                <c:ptCount val="1"/>
                <c:pt idx="0">
                  <c:v>#N/A</c:v>
                </c:pt>
              </c:numCache>
            </c:numRef>
          </c:yVal>
          <c:smooth val="0"/>
          <c:extLst>
            <c:ext xmlns:c16="http://schemas.microsoft.com/office/drawing/2014/chart" uri="{C3380CC4-5D6E-409C-BE32-E72D297353CC}">
              <c16:uniqueId val="{00000009-1672-446C-BBD4-8483AA5E06F0}"/>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latin typeface="Arial" panose="020B0604020202020204" pitchFamily="34" charset="0"/>
                    <a:cs typeface="Arial" panose="020B0604020202020204" pitchFamily="34" charset="0"/>
                  </a:rPr>
                  <a:t>Dry Density (g/cm</a:t>
                </a:r>
                <a:r>
                  <a:rPr lang="en-US" sz="800" baseline="30000">
                    <a:latin typeface="Arial" panose="020B0604020202020204" pitchFamily="34" charset="0"/>
                    <a:cs typeface="Arial" panose="020B0604020202020204" pitchFamily="34" charset="0"/>
                  </a:rPr>
                  <a:t>3</a:t>
                </a:r>
                <a:r>
                  <a:rPr lang="en-US" sz="800">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legendEntry>
        <c:idx val="3"/>
        <c:delete val="1"/>
      </c:legendEntry>
      <c:legendEntry>
        <c:idx val="4"/>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6A9A-40A2-9954-D45BAEE36D18}"/>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'WS-CBRSoaked'!$C$107:$C$109</c:f>
              <c:numCache>
                <c:formatCode>0.0000</c:formatCode>
                <c:ptCount val="3"/>
                <c:pt idx="0">
                  <c:v>2.54</c:v>
                </c:pt>
                <c:pt idx="1">
                  <c:v>2.54</c:v>
                </c:pt>
                <c:pt idx="2" formatCode="General">
                  <c:v>0</c:v>
                </c:pt>
              </c:numCache>
            </c:numRef>
          </c:xVal>
          <c:yVal>
            <c:numRef>
              <c:f>'WS-CBRSoaked'!$D$107:$D$109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6A9A-40A2-9954-D45BAEE36D18}"/>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'WS-CBRSoaked'!$C$111:$C$113</c:f>
              <c:numCache>
                <c:formatCode>0.0000</c:formatCode>
                <c:ptCount val="3"/>
                <c:pt idx="0">
                  <c:v>5.08</c:v>
                </c:pt>
                <c:pt idx="1">
                  <c:v>5.08</c:v>
                </c:pt>
                <c:pt idx="2" formatCode="General">
                  <c:v>0</c:v>
                </c:pt>
              </c:numCache>
            </c:numRef>
          </c:xVal>
          <c:yVal>
            <c:numRef>
              <c:f>'WS-CBRSoaked'!$D$111:$D$113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6A9A-40A2-9954-D45BAEE36D18}"/>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4246-4D16-B677-3908CA683A20}"/>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'WS-CBRSoaked'!$I$107:$I$109</c:f>
              <c:numCache>
                <c:formatCode>0.0000</c:formatCode>
                <c:ptCount val="3"/>
                <c:pt idx="0">
                  <c:v>2.54</c:v>
                </c:pt>
                <c:pt idx="1">
                  <c:v>2.54</c:v>
                </c:pt>
                <c:pt idx="2" formatCode="General">
                  <c:v>0</c:v>
                </c:pt>
              </c:numCache>
            </c:numRef>
          </c:xVal>
          <c:yVal>
            <c:numRef>
              <c:f>'WS-CBRSoaked'!$J$107:$J$109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4246-4D16-B677-3908CA683A20}"/>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'WS-CBRSoaked'!$I$111:$I$113</c:f>
              <c:numCache>
                <c:formatCode>0.0000</c:formatCode>
                <c:ptCount val="3"/>
                <c:pt idx="0">
                  <c:v>5.08</c:v>
                </c:pt>
                <c:pt idx="1">
                  <c:v>5.08</c:v>
                </c:pt>
                <c:pt idx="2" formatCode="General">
                  <c:v>0</c:v>
                </c:pt>
              </c:numCache>
            </c:numRef>
          </c:xVal>
          <c:yVal>
            <c:numRef>
              <c:f>'WS-CBRSoaked'!$J$111:$J$113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4246-4D16-B677-3908CA683A20}"/>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F312-4DCD-9CF0-C603C4F0EBA6}"/>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'WS-CBRSoaked'!$O$107:$O$109</c:f>
              <c:numCache>
                <c:formatCode>0.0000</c:formatCode>
                <c:ptCount val="3"/>
                <c:pt idx="0">
                  <c:v>2.54</c:v>
                </c:pt>
                <c:pt idx="1">
                  <c:v>2.54</c:v>
                </c:pt>
                <c:pt idx="2" formatCode="General">
                  <c:v>0</c:v>
                </c:pt>
              </c:numCache>
            </c:numRef>
          </c:xVal>
          <c:yVal>
            <c:numRef>
              <c:f>'WS-CBRSoaked'!$P$107:$P$109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F312-4DCD-9CF0-C603C4F0EBA6}"/>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'WS-CBRSoaked'!$O$111:$O$113</c:f>
              <c:numCache>
                <c:formatCode>0.0000</c:formatCode>
                <c:ptCount val="3"/>
                <c:pt idx="0">
                  <c:v>5.08</c:v>
                </c:pt>
                <c:pt idx="1">
                  <c:v>5.08</c:v>
                </c:pt>
                <c:pt idx="2" formatCode="General">
                  <c:v>0</c:v>
                </c:pt>
              </c:numCache>
            </c:numRef>
          </c:xVal>
          <c:yVal>
            <c:numRef>
              <c:f>'WS-CBRSoaked'!$P$111:$P$113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F312-4DCD-9CF0-C603C4F0EBA6}"/>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2B07-4791-8E71-55CFB54AF080}"/>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'WS-CBRSoaked'!$A$123:$A$125</c:f>
              <c:numCache>
                <c:formatCode>0.00</c:formatCode>
                <c:ptCount val="3"/>
                <c:pt idx="0" formatCode="0.0000">
                  <c:v>1.1824087231164917</c:v>
                </c:pt>
                <c:pt idx="1">
                  <c:v>1.2005385322377311</c:v>
                </c:pt>
                <c:pt idx="2">
                  <c:v>1.250068842993334</c:v>
                </c:pt>
              </c:numCache>
            </c:numRef>
          </c:xVal>
          <c:yVal>
            <c:numRef>
              <c:f>'WS-CBRSoaked'!$B$123:$B$125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2B07-4791-8E71-55CFB54AF080}"/>
            </c:ext>
          </c:extLst>
        </c:ser>
        <c:ser>
          <c:idx val="2"/>
          <c:order val="2"/>
          <c:tx>
            <c:strRef>
              <c:f>'WS-CBRSoaked'!$P$143</c:f>
              <c:strCache>
                <c:ptCount val="1"/>
                <c:pt idx="0">
                  <c:v>100 % MDD</c:v>
                </c:pt>
              </c:strCache>
            </c:strRef>
          </c:tx>
          <c:spPr>
            <a:ln w="12700" cap="rnd">
              <a:solidFill>
                <a:srgbClr val="FF0000"/>
              </a:solidFill>
              <a:prstDash val="dash"/>
              <a:round/>
            </a:ln>
            <a:effectLst/>
          </c:spPr>
          <c:marker>
            <c:symbol val="none"/>
          </c:marker>
          <c:xVal>
            <c:numRef>
              <c:f>'WS-CBRSoaked'!$P$144:$P$146</c:f>
              <c:numCache>
                <c:formatCode>General</c:formatCode>
                <c:ptCount val="3"/>
                <c:pt idx="0">
                  <c:v>1.24</c:v>
                </c:pt>
                <c:pt idx="1">
                  <c:v>1.24</c:v>
                </c:pt>
                <c:pt idx="2">
                  <c:v>0</c:v>
                </c:pt>
              </c:numCache>
            </c:numRef>
          </c:xVal>
          <c:yVal>
            <c:numRef>
              <c:f>'WS-CBRSoaked'!$Q$144:$Q$146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2B07-4791-8E71-55CFB54AF080}"/>
            </c:ext>
          </c:extLst>
        </c:ser>
        <c:ser>
          <c:idx val="3"/>
          <c:order val="3"/>
          <c:tx>
            <c:strRef>
              <c:f>'WS-CBRSoaked'!$P$148</c:f>
              <c:strCache>
                <c:ptCount val="1"/>
                <c:pt idx="0">
                  <c:v>98 % MDD</c:v>
                </c:pt>
              </c:strCache>
            </c:strRef>
          </c:tx>
          <c:spPr>
            <a:ln w="12700" cap="rnd">
              <a:solidFill>
                <a:schemeClr val="accent4"/>
              </a:solidFill>
              <a:prstDash val="dash"/>
              <a:round/>
            </a:ln>
            <a:effectLst/>
          </c:spPr>
          <c:marker>
            <c:symbol val="none"/>
          </c:marker>
          <c:xVal>
            <c:numRef>
              <c:f>'WS-CBRSoaked'!$P$149:$P$151</c:f>
              <c:numCache>
                <c:formatCode>General</c:formatCode>
                <c:ptCount val="3"/>
                <c:pt idx="0">
                  <c:v>1.2152000000000001</c:v>
                </c:pt>
                <c:pt idx="1">
                  <c:v>1.2152000000000001</c:v>
                </c:pt>
                <c:pt idx="2">
                  <c:v>0</c:v>
                </c:pt>
              </c:numCache>
            </c:numRef>
          </c:xVal>
          <c:yVal>
            <c:numRef>
              <c:f>'WS-CBRSoaked'!$Q$149:$Q$151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2B07-4791-8E71-55CFB54AF080}"/>
            </c:ext>
          </c:extLst>
        </c:ser>
        <c:ser>
          <c:idx val="4"/>
          <c:order val="4"/>
          <c:tx>
            <c:strRef>
              <c:f>'WS-CBRSoaked'!$P$153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2B07-4791-8E71-55CFB54AF080}"/>
              </c:ext>
            </c:extLst>
          </c:dPt>
          <c:xVal>
            <c:numRef>
              <c:f>'WS-CBRSoaked'!$P$154:$P$156</c:f>
              <c:numCache>
                <c:formatCode>General</c:formatCode>
                <c:ptCount val="3"/>
                <c:pt idx="0">
                  <c:v>#N/A</c:v>
                </c:pt>
                <c:pt idx="1">
                  <c:v>#N/A</c:v>
                </c:pt>
                <c:pt idx="2">
                  <c:v>0</c:v>
                </c:pt>
              </c:numCache>
            </c:numRef>
          </c:xVal>
          <c:yVal>
            <c:numRef>
              <c:f>'WS-CBRSoaked'!$Q$154:$Q$156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6-2B07-4791-8E71-55CFB54AF080}"/>
            </c:ext>
          </c:extLst>
        </c:ser>
        <c:ser>
          <c:idx val="5"/>
          <c:order val="5"/>
          <c:tx>
            <c:strRef>
              <c:f>'WS-CBRSoaked'!$M$144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'WS-CBRSoaked'!$D$133</c:f>
              <c:numCache>
                <c:formatCode>General</c:formatCode>
                <c:ptCount val="1"/>
                <c:pt idx="0">
                  <c:v>1.24</c:v>
                </c:pt>
              </c:numCache>
            </c:numRef>
          </c:xVal>
          <c:yVal>
            <c:numRef>
              <c:f>'WS-CBRSoaked'!$H$133</c:f>
              <c:numCache>
                <c:formatCode>General</c:formatCode>
                <c:ptCount val="1"/>
                <c:pt idx="0">
                  <c:v>30.684111680597027</c:v>
                </c:pt>
              </c:numCache>
            </c:numRef>
          </c:yVal>
          <c:smooth val="0"/>
          <c:extLst>
            <c:ext xmlns:c16="http://schemas.microsoft.com/office/drawing/2014/chart" uri="{C3380CC4-5D6E-409C-BE32-E72D297353CC}">
              <c16:uniqueId val="{00000007-2B07-4791-8E71-55CFB54AF080}"/>
            </c:ext>
          </c:extLst>
        </c:ser>
        <c:ser>
          <c:idx val="6"/>
          <c:order val="6"/>
          <c:tx>
            <c:strRef>
              <c:f>'WS-CBRSoaked'!$M$145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'WS-CBRSoaked'!$D$134</c:f>
              <c:numCache>
                <c:formatCode>General</c:formatCode>
                <c:ptCount val="1"/>
                <c:pt idx="0">
                  <c:v>1.2152000000000001</c:v>
                </c:pt>
              </c:numCache>
            </c:numRef>
          </c:xVal>
          <c:yVal>
            <c:numRef>
              <c:f>'WS-CBRSoaked'!$H$134</c:f>
              <c:numCache>
                <c:formatCode>General</c:formatCode>
                <c:ptCount val="1"/>
                <c:pt idx="0">
                  <c:v>30.389397881842399</c:v>
                </c:pt>
              </c:numCache>
            </c:numRef>
          </c:yVal>
          <c:smooth val="0"/>
          <c:extLst>
            <c:ext xmlns:c16="http://schemas.microsoft.com/office/drawing/2014/chart" uri="{C3380CC4-5D6E-409C-BE32-E72D297353CC}">
              <c16:uniqueId val="{00000008-2B07-4791-8E71-55CFB54AF080}"/>
            </c:ext>
          </c:extLst>
        </c:ser>
        <c:ser>
          <c:idx val="7"/>
          <c:order val="7"/>
          <c:tx>
            <c:strRef>
              <c:f>'WS-CBRSoaked'!$M$146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'WS-CBRSoaked'!$D$135</c:f>
              <c:numCache>
                <c:formatCode>General</c:formatCode>
                <c:ptCount val="1"/>
                <c:pt idx="0">
                  <c:v>0</c:v>
                </c:pt>
              </c:numCache>
            </c:numRef>
          </c:xVal>
          <c:yVal>
            <c:numRef>
              <c:f>'WS-CBRSoaked'!$H$135</c:f>
              <c:numCache>
                <c:formatCode>General</c:formatCode>
                <c:ptCount val="1"/>
                <c:pt idx="0">
                  <c:v>#N/A</c:v>
                </c:pt>
              </c:numCache>
            </c:numRef>
          </c:yVal>
          <c:smooth val="0"/>
          <c:extLst>
            <c:ext xmlns:c16="http://schemas.microsoft.com/office/drawing/2014/chart" uri="{C3380CC4-5D6E-409C-BE32-E72D297353CC}">
              <c16:uniqueId val="{00000009-2B07-4791-8E71-55CFB54AF080}"/>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Dry Density (g/cm</a:t>
                </a:r>
                <a:r>
                  <a:rPr lang="en-US" sz="800" baseline="30000">
                    <a:latin typeface="Arial" panose="020B0604020202020204" pitchFamily="34" charset="0"/>
                    <a:cs typeface="Arial" panose="020B0604020202020204" pitchFamily="34" charset="0"/>
                  </a:rPr>
                  <a:t>3</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5CBB-4655-BAC9-F81EEF9EC871}"/>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'WS-CBRSoaked'!$A$123:$A$125</c:f>
              <c:numCache>
                <c:formatCode>0.00</c:formatCode>
                <c:ptCount val="3"/>
                <c:pt idx="0" formatCode="0.0000">
                  <c:v>1.1824087231164917</c:v>
                </c:pt>
                <c:pt idx="1">
                  <c:v>1.2005385322377311</c:v>
                </c:pt>
                <c:pt idx="2">
                  <c:v>1.250068842993334</c:v>
                </c:pt>
              </c:numCache>
            </c:numRef>
          </c:xVal>
          <c:yVal>
            <c:numRef>
              <c:f>'WS-CBRSoaked'!$B$123:$B$125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5CBB-4655-BAC9-F81EEF9EC871}"/>
            </c:ext>
          </c:extLst>
        </c:ser>
        <c:ser>
          <c:idx val="2"/>
          <c:order val="2"/>
          <c:tx>
            <c:strRef>
              <c:f>'WS-CBRSoaked'!$P$143</c:f>
              <c:strCache>
                <c:ptCount val="1"/>
                <c:pt idx="0">
                  <c:v>100 % MDD</c:v>
                </c:pt>
              </c:strCache>
            </c:strRef>
          </c:tx>
          <c:spPr>
            <a:ln w="12700" cap="rnd">
              <a:solidFill>
                <a:srgbClr val="FF0000"/>
              </a:solidFill>
              <a:prstDash val="dash"/>
              <a:round/>
            </a:ln>
            <a:effectLst/>
          </c:spPr>
          <c:marker>
            <c:symbol val="none"/>
          </c:marker>
          <c:xVal>
            <c:numRef>
              <c:f>'WS-CBRSoaked'!$P$144:$P$146</c:f>
              <c:numCache>
                <c:formatCode>General</c:formatCode>
                <c:ptCount val="3"/>
                <c:pt idx="0">
                  <c:v>1.24</c:v>
                </c:pt>
                <c:pt idx="1">
                  <c:v>1.24</c:v>
                </c:pt>
                <c:pt idx="2">
                  <c:v>0</c:v>
                </c:pt>
              </c:numCache>
            </c:numRef>
          </c:xVal>
          <c:yVal>
            <c:numRef>
              <c:f>'WS-CBRSoaked'!$Q$144:$Q$146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5CBB-4655-BAC9-F81EEF9EC871}"/>
            </c:ext>
          </c:extLst>
        </c:ser>
        <c:ser>
          <c:idx val="3"/>
          <c:order val="3"/>
          <c:tx>
            <c:strRef>
              <c:f>'WS-CBRSoaked'!$P$148</c:f>
              <c:strCache>
                <c:ptCount val="1"/>
                <c:pt idx="0">
                  <c:v>98 % MDD</c:v>
                </c:pt>
              </c:strCache>
            </c:strRef>
          </c:tx>
          <c:spPr>
            <a:ln w="12700" cap="rnd">
              <a:solidFill>
                <a:schemeClr val="accent4"/>
              </a:solidFill>
              <a:prstDash val="dash"/>
              <a:round/>
            </a:ln>
            <a:effectLst/>
          </c:spPr>
          <c:marker>
            <c:symbol val="none"/>
          </c:marker>
          <c:xVal>
            <c:numRef>
              <c:f>'WS-CBRSoaked'!$P$149:$P$151</c:f>
              <c:numCache>
                <c:formatCode>General</c:formatCode>
                <c:ptCount val="3"/>
                <c:pt idx="0">
                  <c:v>1.2152000000000001</c:v>
                </c:pt>
                <c:pt idx="1">
                  <c:v>1.2152000000000001</c:v>
                </c:pt>
                <c:pt idx="2">
                  <c:v>0</c:v>
                </c:pt>
              </c:numCache>
            </c:numRef>
          </c:xVal>
          <c:yVal>
            <c:numRef>
              <c:f>'WS-CBRSoaked'!$Q$149:$Q$151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5CBB-4655-BAC9-F81EEF9EC871}"/>
            </c:ext>
          </c:extLst>
        </c:ser>
        <c:ser>
          <c:idx val="4"/>
          <c:order val="4"/>
          <c:tx>
            <c:strRef>
              <c:f>'WS-CBRSoaked'!$P$153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5CBB-4655-BAC9-F81EEF9EC871}"/>
              </c:ext>
            </c:extLst>
          </c:dPt>
          <c:xVal>
            <c:numRef>
              <c:f>'WS-CBRSoaked'!$P$154:$P$156</c:f>
              <c:numCache>
                <c:formatCode>General</c:formatCode>
                <c:ptCount val="3"/>
                <c:pt idx="0">
                  <c:v>#N/A</c:v>
                </c:pt>
                <c:pt idx="1">
                  <c:v>#N/A</c:v>
                </c:pt>
                <c:pt idx="2">
                  <c:v>0</c:v>
                </c:pt>
              </c:numCache>
            </c:numRef>
          </c:xVal>
          <c:yVal>
            <c:numRef>
              <c:f>'WS-CBRSoaked'!$Q$154:$Q$156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6-5CBB-4655-BAC9-F81EEF9EC871}"/>
            </c:ext>
          </c:extLst>
        </c:ser>
        <c:ser>
          <c:idx val="5"/>
          <c:order val="5"/>
          <c:tx>
            <c:strRef>
              <c:f>'WS-CBRSoaked'!$M$144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'WS-CBRSoaked'!$D$133</c:f>
              <c:numCache>
                <c:formatCode>General</c:formatCode>
                <c:ptCount val="1"/>
                <c:pt idx="0">
                  <c:v>1.24</c:v>
                </c:pt>
              </c:numCache>
            </c:numRef>
          </c:xVal>
          <c:yVal>
            <c:numRef>
              <c:f>'WS-CBRSoaked'!$H$133</c:f>
              <c:numCache>
                <c:formatCode>General</c:formatCode>
                <c:ptCount val="1"/>
                <c:pt idx="0">
                  <c:v>30.684111680597027</c:v>
                </c:pt>
              </c:numCache>
            </c:numRef>
          </c:yVal>
          <c:smooth val="0"/>
          <c:extLst>
            <c:ext xmlns:c16="http://schemas.microsoft.com/office/drawing/2014/chart" uri="{C3380CC4-5D6E-409C-BE32-E72D297353CC}">
              <c16:uniqueId val="{00000007-5CBB-4655-BAC9-F81EEF9EC871}"/>
            </c:ext>
          </c:extLst>
        </c:ser>
        <c:ser>
          <c:idx val="6"/>
          <c:order val="6"/>
          <c:tx>
            <c:strRef>
              <c:f>'WS-CBRSoaked'!$M$145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'WS-CBRSoaked'!$D$134</c:f>
              <c:numCache>
                <c:formatCode>General</c:formatCode>
                <c:ptCount val="1"/>
                <c:pt idx="0">
                  <c:v>1.2152000000000001</c:v>
                </c:pt>
              </c:numCache>
            </c:numRef>
          </c:xVal>
          <c:yVal>
            <c:numRef>
              <c:f>'WS-CBRSoaked'!$H$134</c:f>
              <c:numCache>
                <c:formatCode>General</c:formatCode>
                <c:ptCount val="1"/>
                <c:pt idx="0">
                  <c:v>30.389397881842399</c:v>
                </c:pt>
              </c:numCache>
            </c:numRef>
          </c:yVal>
          <c:smooth val="0"/>
          <c:extLst>
            <c:ext xmlns:c16="http://schemas.microsoft.com/office/drawing/2014/chart" uri="{C3380CC4-5D6E-409C-BE32-E72D297353CC}">
              <c16:uniqueId val="{00000008-5CBB-4655-BAC9-F81EEF9EC871}"/>
            </c:ext>
          </c:extLst>
        </c:ser>
        <c:ser>
          <c:idx val="7"/>
          <c:order val="7"/>
          <c:tx>
            <c:strRef>
              <c:f>'WS-CBRSoaked'!$M$146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'WS-CBRSoaked'!$D$135</c:f>
              <c:numCache>
                <c:formatCode>General</c:formatCode>
                <c:ptCount val="1"/>
                <c:pt idx="0">
                  <c:v>0</c:v>
                </c:pt>
              </c:numCache>
            </c:numRef>
          </c:xVal>
          <c:yVal>
            <c:numRef>
              <c:f>'WS-CBRSoaked'!$H$135</c:f>
              <c:numCache>
                <c:formatCode>General</c:formatCode>
                <c:ptCount val="1"/>
                <c:pt idx="0">
                  <c:v>#N/A</c:v>
                </c:pt>
              </c:numCache>
            </c:numRef>
          </c:yVal>
          <c:smooth val="0"/>
          <c:extLst>
            <c:ext xmlns:c16="http://schemas.microsoft.com/office/drawing/2014/chart" uri="{C3380CC4-5D6E-409C-BE32-E72D297353CC}">
              <c16:uniqueId val="{00000009-5CBB-4655-BAC9-F81EEF9EC871}"/>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Dry Density (g/cm</a:t>
                </a:r>
                <a:r>
                  <a:rPr lang="en-US" sz="800" baseline="30000">
                    <a:latin typeface="Arial" panose="020B0604020202020204" pitchFamily="34" charset="0"/>
                    <a:cs typeface="Arial" panose="020B0604020202020204" pitchFamily="34" charset="0"/>
                  </a:rPr>
                  <a:t>3</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7EA4-453F-8CE1-D0D9CF98704F}"/>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'WS-CBRSoaked'!$C$107:$C$109</c:f>
              <c:numCache>
                <c:formatCode>0.0000</c:formatCode>
                <c:ptCount val="3"/>
                <c:pt idx="0">
                  <c:v>2.54</c:v>
                </c:pt>
                <c:pt idx="1">
                  <c:v>2.54</c:v>
                </c:pt>
                <c:pt idx="2" formatCode="General">
                  <c:v>0</c:v>
                </c:pt>
              </c:numCache>
            </c:numRef>
          </c:xVal>
          <c:yVal>
            <c:numRef>
              <c:f>'WS-CBRSoaked'!$D$107:$D$109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7EA4-453F-8CE1-D0D9CF98704F}"/>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'WS-CBRSoaked'!$C$111:$C$113</c:f>
              <c:numCache>
                <c:formatCode>0.0000</c:formatCode>
                <c:ptCount val="3"/>
                <c:pt idx="0">
                  <c:v>5.08</c:v>
                </c:pt>
                <c:pt idx="1">
                  <c:v>5.08</c:v>
                </c:pt>
                <c:pt idx="2" formatCode="General">
                  <c:v>0</c:v>
                </c:pt>
              </c:numCache>
            </c:numRef>
          </c:xVal>
          <c:yVal>
            <c:numRef>
              <c:f>'WS-CBRSoaked'!$D$111:$D$113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7EA4-453F-8CE1-D0D9CF98704F}"/>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13C5-4DF6-9F01-787B446F19EB}"/>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'WS-CBRSoaked'!$I$107:$I$109</c:f>
              <c:numCache>
                <c:formatCode>0.0000</c:formatCode>
                <c:ptCount val="3"/>
                <c:pt idx="0">
                  <c:v>2.54</c:v>
                </c:pt>
                <c:pt idx="1">
                  <c:v>2.54</c:v>
                </c:pt>
                <c:pt idx="2" formatCode="General">
                  <c:v>0</c:v>
                </c:pt>
              </c:numCache>
            </c:numRef>
          </c:xVal>
          <c:yVal>
            <c:numRef>
              <c:f>'WS-CBRSoaked'!$J$107:$J$109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13C5-4DF6-9F01-787B446F19EB}"/>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'WS-CBRSoaked'!$I$111:$I$113</c:f>
              <c:numCache>
                <c:formatCode>0.0000</c:formatCode>
                <c:ptCount val="3"/>
                <c:pt idx="0">
                  <c:v>5.08</c:v>
                </c:pt>
                <c:pt idx="1">
                  <c:v>5.08</c:v>
                </c:pt>
                <c:pt idx="2" formatCode="General">
                  <c:v>0</c:v>
                </c:pt>
              </c:numCache>
            </c:numRef>
          </c:xVal>
          <c:yVal>
            <c:numRef>
              <c:f>'WS-CBRSoaked'!$J$111:$J$113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13C5-4DF6-9F01-787B446F19EB}"/>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A657-41E9-96C4-752B954E72CD}"/>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'WS-CBRSoaked'!$O$107:$O$109</c:f>
              <c:numCache>
                <c:formatCode>0.0000</c:formatCode>
                <c:ptCount val="3"/>
                <c:pt idx="0">
                  <c:v>2.54</c:v>
                </c:pt>
                <c:pt idx="1">
                  <c:v>2.54</c:v>
                </c:pt>
                <c:pt idx="2" formatCode="General">
                  <c:v>0</c:v>
                </c:pt>
              </c:numCache>
            </c:numRef>
          </c:xVal>
          <c:yVal>
            <c:numRef>
              <c:f>'WS-CBRSoaked'!$P$107:$P$109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A657-41E9-96C4-752B954E72CD}"/>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'WS-CBRSoaked'!$O$111:$O$113</c:f>
              <c:numCache>
                <c:formatCode>0.0000</c:formatCode>
                <c:ptCount val="3"/>
                <c:pt idx="0">
                  <c:v>5.08</c:v>
                </c:pt>
                <c:pt idx="1">
                  <c:v>5.08</c:v>
                </c:pt>
                <c:pt idx="2" formatCode="General">
                  <c:v>0</c:v>
                </c:pt>
              </c:numCache>
            </c:numRef>
          </c:xVal>
          <c:yVal>
            <c:numRef>
              <c:f>'WS-CBRSoaked'!$P$111:$P$113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A657-41E9-96C4-752B954E72CD}"/>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emf"/></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6.png"/><Relationship Id="rId2"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image" Target="../media/image12.emf"/><Relationship Id="rId5" Type="http://schemas.openxmlformats.org/officeDocument/2006/relationships/image" Target="../media/image11.emf"/><Relationship Id="rId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5.emf"/></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chart" Target="../charts/chart7.xml"/><Relationship Id="rId2" Type="http://schemas.openxmlformats.org/officeDocument/2006/relationships/image" Target="../media/image18.emf"/><Relationship Id="rId1" Type="http://schemas.openxmlformats.org/officeDocument/2006/relationships/image" Target="../media/image2.png"/><Relationship Id="rId6" Type="http://schemas.openxmlformats.org/officeDocument/2006/relationships/image" Target="../media/image21.emf"/><Relationship Id="rId5" Type="http://schemas.openxmlformats.org/officeDocument/2006/relationships/image" Target="../media/image20.emf"/><Relationship Id="rId4" Type="http://schemas.openxmlformats.org/officeDocument/2006/relationships/image" Target="../media/image19.emf"/></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chart" Target="../charts/chart9.xml"/><Relationship Id="rId4" Type="http://schemas.openxmlformats.org/officeDocument/2006/relationships/image" Target="../media/image12.emf"/></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image" Target="../media/image10.emf"/><Relationship Id="rId7" Type="http://schemas.openxmlformats.org/officeDocument/2006/relationships/chart" Target="../charts/chart21.xml"/><Relationship Id="rId12" Type="http://schemas.openxmlformats.org/officeDocument/2006/relationships/image" Target="../media/image26.tmp"/><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image" Target="../media/image12.emf"/><Relationship Id="rId9"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chart" Target="../charts/chart28.xml"/><Relationship Id="rId1" Type="http://schemas.openxmlformats.org/officeDocument/2006/relationships/image" Target="../media/image2.png"/><Relationship Id="rId6" Type="http://schemas.openxmlformats.org/officeDocument/2006/relationships/image" Target="../media/image10.emf"/><Relationship Id="rId5" Type="http://schemas.openxmlformats.org/officeDocument/2006/relationships/image" Target="../media/image27.emf"/><Relationship Id="rId4" Type="http://schemas.openxmlformats.org/officeDocument/2006/relationships/image" Target="../media/image12.emf"/></Relationships>
</file>

<file path=xl/drawings/_rels/drawing1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1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0.emf"/><Relationship Id="rId1" Type="http://schemas.openxmlformats.org/officeDocument/2006/relationships/image" Target="../media/image2.png"/><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image" Target="../media/image11.emf"/></Relationships>
</file>

<file path=xl/drawings/_rels/drawing20.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21.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29.emf"/><Relationship Id="rId1" Type="http://schemas.openxmlformats.org/officeDocument/2006/relationships/image" Target="../media/image2.png"/><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image" Target="../media/image12.emf"/></Relationships>
</file>

<file path=xl/drawings/_rels/drawing22.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23.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3" Type="http://schemas.openxmlformats.org/officeDocument/2006/relationships/image" Target="../media/image11.emf"/><Relationship Id="rId7" Type="http://schemas.openxmlformats.org/officeDocument/2006/relationships/chart" Target="../charts/chart47.xml"/><Relationship Id="rId12" Type="http://schemas.openxmlformats.org/officeDocument/2006/relationships/chart" Target="../charts/chart52.xml"/><Relationship Id="rId2" Type="http://schemas.openxmlformats.org/officeDocument/2006/relationships/image" Target="../media/image10.emf"/><Relationship Id="rId1" Type="http://schemas.openxmlformats.org/officeDocument/2006/relationships/image" Target="../media/image2.png"/><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31.tmp"/><Relationship Id="rId10" Type="http://schemas.openxmlformats.org/officeDocument/2006/relationships/chart" Target="../charts/chart50.xml"/><Relationship Id="rId4" Type="http://schemas.openxmlformats.org/officeDocument/2006/relationships/image" Target="../media/image12.emf"/><Relationship Id="rId9" Type="http://schemas.openxmlformats.org/officeDocument/2006/relationships/chart" Target="../charts/chart49.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image" Target="../media/image2.png"/><Relationship Id="rId6" Type="http://schemas.openxmlformats.org/officeDocument/2006/relationships/image" Target="../media/image12.emf"/><Relationship Id="rId5" Type="http://schemas.openxmlformats.org/officeDocument/2006/relationships/image" Target="../media/image10.emf"/><Relationship Id="rId4" Type="http://schemas.openxmlformats.org/officeDocument/2006/relationships/image" Target="../media/image29.emf"/></Relationships>
</file>

<file path=xl/drawings/_rels/drawing26.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 Id="rId5" Type="http://schemas.openxmlformats.org/officeDocument/2006/relationships/chart" Target="../charts/chart62.xml"/><Relationship Id="rId4" Type="http://schemas.openxmlformats.org/officeDocument/2006/relationships/chart" Target="../charts/chart61.xml"/></Relationships>
</file>

<file path=xl/drawings/_rels/drawing27.xml.rels><?xml version="1.0" encoding="UTF-8" standalone="yes"?>
<Relationships xmlns="http://schemas.openxmlformats.org/package/2006/relationships"><Relationship Id="rId8" Type="http://schemas.openxmlformats.org/officeDocument/2006/relationships/chart" Target="../charts/chart66.xml"/><Relationship Id="rId3" Type="http://schemas.openxmlformats.org/officeDocument/2006/relationships/image" Target="../media/image5.emf"/><Relationship Id="rId7" Type="http://schemas.openxmlformats.org/officeDocument/2006/relationships/chart" Target="../charts/chart65.xml"/><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chart" Target="../charts/chart64.xml"/><Relationship Id="rId5" Type="http://schemas.openxmlformats.org/officeDocument/2006/relationships/chart" Target="../charts/chart63.xml"/><Relationship Id="rId4" Type="http://schemas.openxmlformats.org/officeDocument/2006/relationships/image" Target="../media/image4.emf"/></Relationships>
</file>

<file path=xl/drawings/_rels/drawing28.xml.rels><?xml version="1.0" encoding="UTF-8" standalone="yes"?>
<Relationships xmlns="http://schemas.openxmlformats.org/package/2006/relationships"><Relationship Id="rId3" Type="http://schemas.openxmlformats.org/officeDocument/2006/relationships/chart" Target="../charts/chart69.xml"/><Relationship Id="rId7" Type="http://schemas.openxmlformats.org/officeDocument/2006/relationships/chart" Target="../charts/chart73.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29.xml.rels><?xml version="1.0" encoding="UTF-8" standalone="yes"?>
<Relationships xmlns="http://schemas.openxmlformats.org/package/2006/relationships"><Relationship Id="rId8" Type="http://schemas.openxmlformats.org/officeDocument/2006/relationships/chart" Target="../charts/chart76.xml"/><Relationship Id="rId3" Type="http://schemas.openxmlformats.org/officeDocument/2006/relationships/image" Target="../media/image4.emf"/><Relationship Id="rId7" Type="http://schemas.openxmlformats.org/officeDocument/2006/relationships/chart" Target="../charts/chart75.xml"/><Relationship Id="rId2" Type="http://schemas.openxmlformats.org/officeDocument/2006/relationships/image" Target="../media/image20.emf"/><Relationship Id="rId1" Type="http://schemas.openxmlformats.org/officeDocument/2006/relationships/image" Target="../media/image2.png"/><Relationship Id="rId6" Type="http://schemas.openxmlformats.org/officeDocument/2006/relationships/chart" Target="../charts/chart74.xml"/><Relationship Id="rId5" Type="http://schemas.openxmlformats.org/officeDocument/2006/relationships/image" Target="../media/image18.emf"/><Relationship Id="rId4" Type="http://schemas.openxmlformats.org/officeDocument/2006/relationships/image" Target="../media/image5.emf"/><Relationship Id="rId9" Type="http://schemas.openxmlformats.org/officeDocument/2006/relationships/chart" Target="../charts/chart77.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80.xml"/><Relationship Id="rId7" Type="http://schemas.openxmlformats.org/officeDocument/2006/relationships/chart" Target="../charts/chart84.xml"/><Relationship Id="rId2" Type="http://schemas.openxmlformats.org/officeDocument/2006/relationships/chart" Target="../charts/chart79.xml"/><Relationship Id="rId1" Type="http://schemas.openxmlformats.org/officeDocument/2006/relationships/chart" Target="../charts/chart78.xml"/><Relationship Id="rId6" Type="http://schemas.openxmlformats.org/officeDocument/2006/relationships/chart" Target="../charts/chart83.xml"/><Relationship Id="rId5" Type="http://schemas.openxmlformats.org/officeDocument/2006/relationships/chart" Target="../charts/chart82.xml"/><Relationship Id="rId4" Type="http://schemas.openxmlformats.org/officeDocument/2006/relationships/chart" Target="../charts/chart81.xml"/></Relationships>
</file>

<file path=xl/drawings/_rels/drawing31.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image" Target="../media/image4.emf"/><Relationship Id="rId7" Type="http://schemas.openxmlformats.org/officeDocument/2006/relationships/chart" Target="../charts/chart86.xml"/><Relationship Id="rId2" Type="http://schemas.openxmlformats.org/officeDocument/2006/relationships/image" Target="../media/image20.emf"/><Relationship Id="rId1" Type="http://schemas.openxmlformats.org/officeDocument/2006/relationships/image" Target="../media/image2.png"/><Relationship Id="rId6" Type="http://schemas.openxmlformats.org/officeDocument/2006/relationships/chart" Target="../charts/chart85.xml"/><Relationship Id="rId5" Type="http://schemas.openxmlformats.org/officeDocument/2006/relationships/image" Target="../media/image18.emf"/><Relationship Id="rId4" Type="http://schemas.openxmlformats.org/officeDocument/2006/relationships/image" Target="../media/image5.emf"/><Relationship Id="rId9" Type="http://schemas.openxmlformats.org/officeDocument/2006/relationships/chart" Target="../charts/chart88.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91.xml"/><Relationship Id="rId2" Type="http://schemas.openxmlformats.org/officeDocument/2006/relationships/chart" Target="../charts/chart90.xml"/><Relationship Id="rId1" Type="http://schemas.openxmlformats.org/officeDocument/2006/relationships/chart" Target="../charts/chart89.xml"/><Relationship Id="rId5" Type="http://schemas.openxmlformats.org/officeDocument/2006/relationships/chart" Target="../charts/chart93.xml"/><Relationship Id="rId4" Type="http://schemas.openxmlformats.org/officeDocument/2006/relationships/chart" Target="../charts/chart92.xml"/></Relationships>
</file>

<file path=xl/drawings/_rels/drawing33.xml.rels><?xml version="1.0" encoding="UTF-8" standalone="yes"?>
<Relationships xmlns="http://schemas.openxmlformats.org/package/2006/relationships"><Relationship Id="rId8" Type="http://schemas.openxmlformats.org/officeDocument/2006/relationships/chart" Target="../charts/chart97.xml"/><Relationship Id="rId3" Type="http://schemas.openxmlformats.org/officeDocument/2006/relationships/image" Target="../media/image10.emf"/><Relationship Id="rId7" Type="http://schemas.openxmlformats.org/officeDocument/2006/relationships/chart" Target="../charts/chart96.xml"/><Relationship Id="rId2" Type="http://schemas.openxmlformats.org/officeDocument/2006/relationships/image" Target="../media/image29.emf"/><Relationship Id="rId1" Type="http://schemas.openxmlformats.org/officeDocument/2006/relationships/image" Target="../media/image2.png"/><Relationship Id="rId6" Type="http://schemas.openxmlformats.org/officeDocument/2006/relationships/chart" Target="../charts/chart95.xml"/><Relationship Id="rId5" Type="http://schemas.openxmlformats.org/officeDocument/2006/relationships/chart" Target="../charts/chart94.xml"/><Relationship Id="rId4" Type="http://schemas.openxmlformats.org/officeDocument/2006/relationships/image" Target="../media/image12.emf"/></Relationships>
</file>

<file path=xl/drawings/_rels/drawing34.xml.rels><?xml version="1.0" encoding="UTF-8" standalone="yes"?>
<Relationships xmlns="http://schemas.openxmlformats.org/package/2006/relationships"><Relationship Id="rId3" Type="http://schemas.openxmlformats.org/officeDocument/2006/relationships/chart" Target="../charts/chart100.xml"/><Relationship Id="rId2" Type="http://schemas.openxmlformats.org/officeDocument/2006/relationships/chart" Target="../charts/chart99.xml"/><Relationship Id="rId1" Type="http://schemas.openxmlformats.org/officeDocument/2006/relationships/chart" Target="../charts/chart98.xml"/><Relationship Id="rId4" Type="http://schemas.openxmlformats.org/officeDocument/2006/relationships/chart" Target="../charts/chart101.xml"/></Relationships>
</file>

<file path=xl/drawings/_rels/drawing35.xml.rels><?xml version="1.0" encoding="UTF-8" standalone="yes"?>
<Relationships xmlns="http://schemas.openxmlformats.org/package/2006/relationships"><Relationship Id="rId8" Type="http://schemas.openxmlformats.org/officeDocument/2006/relationships/chart" Target="../charts/chart105.xml"/><Relationship Id="rId3" Type="http://schemas.openxmlformats.org/officeDocument/2006/relationships/image" Target="../media/image10.emf"/><Relationship Id="rId7" Type="http://schemas.openxmlformats.org/officeDocument/2006/relationships/chart" Target="../charts/chart104.xml"/><Relationship Id="rId2" Type="http://schemas.openxmlformats.org/officeDocument/2006/relationships/image" Target="../media/image29.emf"/><Relationship Id="rId1" Type="http://schemas.openxmlformats.org/officeDocument/2006/relationships/image" Target="../media/image2.png"/><Relationship Id="rId6" Type="http://schemas.openxmlformats.org/officeDocument/2006/relationships/chart" Target="../charts/chart103.xml"/><Relationship Id="rId5" Type="http://schemas.openxmlformats.org/officeDocument/2006/relationships/chart" Target="../charts/chart102.xml"/><Relationship Id="rId4" Type="http://schemas.openxmlformats.org/officeDocument/2006/relationships/image" Target="../media/image12.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8.emf"/><Relationship Id="rId1" Type="http://schemas.openxmlformats.org/officeDocument/2006/relationships/image" Target="../media/image22.emf"/><Relationship Id="rId5" Type="http://schemas.openxmlformats.org/officeDocument/2006/relationships/image" Target="../media/image25.emf"/><Relationship Id="rId4" Type="http://schemas.openxmlformats.org/officeDocument/2006/relationships/image" Target="../media/image24.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3.emf"/><Relationship Id="rId1" Type="http://schemas.openxmlformats.org/officeDocument/2006/relationships/image" Target="../media/image7.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3.emf"/><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15.emf"/><Relationship Id="rId1" Type="http://schemas.openxmlformats.org/officeDocument/2006/relationships/image" Target="../media/image14.emf"/><Relationship Id="rId4" Type="http://schemas.openxmlformats.org/officeDocument/2006/relationships/image" Target="../media/image13.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5.emf"/><Relationship Id="rId1" Type="http://schemas.openxmlformats.org/officeDocument/2006/relationships/image" Target="../media/image13.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3.emf"/><Relationship Id="rId1" Type="http://schemas.openxmlformats.org/officeDocument/2006/relationships/image" Target="../media/image30.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3.emf"/><Relationship Id="rId1" Type="http://schemas.openxmlformats.org/officeDocument/2006/relationships/image" Target="../media/image30.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9.emf"/><Relationship Id="rId1" Type="http://schemas.openxmlformats.org/officeDocument/2006/relationships/image" Target="../media/image7.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24.emf"/><Relationship Id="rId4" Type="http://schemas.openxmlformats.org/officeDocument/2006/relationships/image" Target="../media/image22.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24.emf"/><Relationship Id="rId4" Type="http://schemas.openxmlformats.org/officeDocument/2006/relationships/image" Target="../media/image22.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3.emf"/><Relationship Id="rId1" Type="http://schemas.openxmlformats.org/officeDocument/2006/relationships/image" Target="../media/image30.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3.emf"/><Relationship Id="rId1"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twoCellAnchor editAs="oneCell">
    <xdr:from>
      <xdr:col>1</xdr:col>
      <xdr:colOff>258188</xdr:colOff>
      <xdr:row>11</xdr:row>
      <xdr:rowOff>153517</xdr:rowOff>
    </xdr:from>
    <xdr:to>
      <xdr:col>3</xdr:col>
      <xdr:colOff>720757</xdr:colOff>
      <xdr:row>17</xdr:row>
      <xdr:rowOff>90714</xdr:rowOff>
    </xdr:to>
    <xdr:pic>
      <xdr:nvPicPr>
        <xdr:cNvPr id="11" name="Picture 10">
          <a:extLst>
            <a:ext uri="{FF2B5EF4-FFF2-40B4-BE49-F238E27FC236}">
              <a16:creationId xmlns:a16="http://schemas.microsoft.com/office/drawing/2014/main" id="{2D4865BE-65F3-16FE-CF7A-6D28CA946C2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2466" t="53674" b="11731"/>
        <a:stretch/>
      </xdr:blipFill>
      <xdr:spPr>
        <a:xfrm>
          <a:off x="1081595" y="2379506"/>
          <a:ext cx="2109382" cy="1151373"/>
        </a:xfrm>
        <a:prstGeom prst="rect">
          <a:avLst/>
        </a:prstGeom>
      </xdr:spPr>
    </xdr:pic>
    <xdr:clientData/>
  </xdr:twoCellAnchor>
  <xdr:twoCellAnchor editAs="oneCell">
    <xdr:from>
      <xdr:col>1</xdr:col>
      <xdr:colOff>40750</xdr:colOff>
      <xdr:row>19</xdr:row>
      <xdr:rowOff>97694</xdr:rowOff>
    </xdr:from>
    <xdr:to>
      <xdr:col>3</xdr:col>
      <xdr:colOff>81442</xdr:colOff>
      <xdr:row>24</xdr:row>
      <xdr:rowOff>6979</xdr:rowOff>
    </xdr:to>
    <xdr:pic>
      <xdr:nvPicPr>
        <xdr:cNvPr id="12" name="Picture 11">
          <a:extLst>
            <a:ext uri="{FF2B5EF4-FFF2-40B4-BE49-F238E27FC236}">
              <a16:creationId xmlns:a16="http://schemas.microsoft.com/office/drawing/2014/main" id="{573A265E-8E41-D34B-A96F-22DA0BAB655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7506" t="11702" r="4960" b="53703"/>
        <a:stretch/>
      </xdr:blipFill>
      <xdr:spPr>
        <a:xfrm>
          <a:off x="864157" y="3942584"/>
          <a:ext cx="1687505" cy="921098"/>
        </a:xfrm>
        <a:prstGeom prst="rect">
          <a:avLst/>
        </a:prstGeom>
      </xdr:spPr>
    </xdr:pic>
    <xdr:clientData/>
  </xdr:twoCellAnchor>
  <xdr:twoCellAnchor editAs="oneCell">
    <xdr:from>
      <xdr:col>1</xdr:col>
      <xdr:colOff>209340</xdr:colOff>
      <xdr:row>27</xdr:row>
      <xdr:rowOff>155346</xdr:rowOff>
    </xdr:from>
    <xdr:to>
      <xdr:col>3</xdr:col>
      <xdr:colOff>80487</xdr:colOff>
      <xdr:row>31</xdr:row>
      <xdr:rowOff>174450</xdr:rowOff>
    </xdr:to>
    <xdr:pic>
      <xdr:nvPicPr>
        <xdr:cNvPr id="13" name="Picture 12">
          <a:extLst>
            <a:ext uri="{FF2B5EF4-FFF2-40B4-BE49-F238E27FC236}">
              <a16:creationId xmlns:a16="http://schemas.microsoft.com/office/drawing/2014/main" id="{A28D28F4-9EB2-A94C-8665-AEFD09875DE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1" t="11448" r="53227" b="53957"/>
        <a:stretch/>
      </xdr:blipFill>
      <xdr:spPr>
        <a:xfrm>
          <a:off x="1032747" y="5619137"/>
          <a:ext cx="1517960" cy="828555"/>
        </a:xfrm>
        <a:prstGeom prst="rect">
          <a:avLst/>
        </a:prstGeom>
      </xdr:spPr>
    </xdr:pic>
    <xdr:clientData/>
  </xdr:twoCellAnchor>
  <xdr:twoCellAnchor editAs="oneCell">
    <xdr:from>
      <xdr:col>1</xdr:col>
      <xdr:colOff>167471</xdr:colOff>
      <xdr:row>35</xdr:row>
      <xdr:rowOff>110533</xdr:rowOff>
    </xdr:from>
    <xdr:to>
      <xdr:col>2</xdr:col>
      <xdr:colOff>648956</xdr:colOff>
      <xdr:row>40</xdr:row>
      <xdr:rowOff>155161</xdr:rowOff>
    </xdr:to>
    <xdr:pic>
      <xdr:nvPicPr>
        <xdr:cNvPr id="14" name="Picture 13">
          <a:extLst>
            <a:ext uri="{FF2B5EF4-FFF2-40B4-BE49-F238E27FC236}">
              <a16:creationId xmlns:a16="http://schemas.microsoft.com/office/drawing/2014/main" id="{785220C5-F44F-8F44-B9E4-1A5446C0F7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802" t="49858" r="52273" b="3805"/>
        <a:stretch/>
      </xdr:blipFill>
      <xdr:spPr>
        <a:xfrm>
          <a:off x="990878" y="7193225"/>
          <a:ext cx="1304891" cy="10564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5" name="Picture 4">
          <a:extLst>
            <a:ext uri="{FF2B5EF4-FFF2-40B4-BE49-F238E27FC236}">
              <a16:creationId xmlns:a16="http://schemas.microsoft.com/office/drawing/2014/main" id="{00A5C313-E4E6-CB6C-14BD-0DECD1A1F36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3399" y="76200"/>
          <a:ext cx="1562947" cy="49530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4" name="Picture 3">
          <a:extLst>
            <a:ext uri="{FF2B5EF4-FFF2-40B4-BE49-F238E27FC236}">
              <a16:creationId xmlns:a16="http://schemas.microsoft.com/office/drawing/2014/main" id="{CF66F7DC-46D9-734E-AD81-57F3D7D142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62100"/>
          <a:ext cx="1562947" cy="495300"/>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6" name="Group 5">
          <a:extLst>
            <a:ext uri="{FF2B5EF4-FFF2-40B4-BE49-F238E27FC236}">
              <a16:creationId xmlns:a16="http://schemas.microsoft.com/office/drawing/2014/main" id="{22C8EC22-96B1-D04E-B1D1-4DD8E6DE9F7A}"/>
            </a:ext>
          </a:extLst>
        </xdr:cNvPr>
        <xdr:cNvGrpSpPr/>
      </xdr:nvGrpSpPr>
      <xdr:grpSpPr>
        <a:xfrm>
          <a:off x="762000" y="15986125"/>
          <a:ext cx="7376119" cy="2541170"/>
          <a:chOff x="828675" y="11311834"/>
          <a:chExt cx="7014852" cy="2639596"/>
        </a:xfrm>
      </xdr:grpSpPr>
      <xdr:sp macro="" textlink="">
        <xdr:nvSpPr>
          <xdr:cNvPr id="8" name="TextBox 7">
            <a:extLst>
              <a:ext uri="{FF2B5EF4-FFF2-40B4-BE49-F238E27FC236}">
                <a16:creationId xmlns:a16="http://schemas.microsoft.com/office/drawing/2014/main" id="{67F99116-1381-2A49-A4DB-88AE7480675E}"/>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9" name="TextBox 8">
            <a:extLst>
              <a:ext uri="{FF2B5EF4-FFF2-40B4-BE49-F238E27FC236}">
                <a16:creationId xmlns:a16="http://schemas.microsoft.com/office/drawing/2014/main" id="{CA85EFF1-32B8-455F-F333-9CA1F0558DE9}"/>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10" name="TextBox 9">
            <a:extLst>
              <a:ext uri="{FF2B5EF4-FFF2-40B4-BE49-F238E27FC236}">
                <a16:creationId xmlns:a16="http://schemas.microsoft.com/office/drawing/2014/main" id="{E1FB8390-EA5E-8D6A-C3B4-B001BE0E8244}"/>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139700</xdr:colOff>
      <xdr:row>77</xdr:row>
      <xdr:rowOff>25400</xdr:rowOff>
    </xdr:from>
    <xdr:to>
      <xdr:col>5</xdr:col>
      <xdr:colOff>181822</xdr:colOff>
      <xdr:row>78</xdr:row>
      <xdr:rowOff>228600</xdr:rowOff>
    </xdr:to>
    <xdr:pic>
      <xdr:nvPicPr>
        <xdr:cNvPr id="3" name="Picture 2">
          <a:extLst>
            <a:ext uri="{FF2B5EF4-FFF2-40B4-BE49-F238E27FC236}">
              <a16:creationId xmlns:a16="http://schemas.microsoft.com/office/drawing/2014/main" id="{638D71D3-94F6-3640-9A3C-F85DD03F5E0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2</xdr:col>
      <xdr:colOff>0</xdr:colOff>
      <xdr:row>88</xdr:row>
      <xdr:rowOff>88900</xdr:rowOff>
    </xdr:from>
    <xdr:to>
      <xdr:col>22</xdr:col>
      <xdr:colOff>99019</xdr:colOff>
      <xdr:row>101</xdr:row>
      <xdr:rowOff>29745</xdr:rowOff>
    </xdr:to>
    <xdr:grpSp>
      <xdr:nvGrpSpPr>
        <xdr:cNvPr id="4" name="Group 3">
          <a:extLst>
            <a:ext uri="{FF2B5EF4-FFF2-40B4-BE49-F238E27FC236}">
              <a16:creationId xmlns:a16="http://schemas.microsoft.com/office/drawing/2014/main" id="{69569798-7F6B-3148-910A-EE35E4A8813E}"/>
            </a:ext>
          </a:extLst>
        </xdr:cNvPr>
        <xdr:cNvGrpSpPr/>
      </xdr:nvGrpSpPr>
      <xdr:grpSpPr>
        <a:xfrm>
          <a:off x="742950" y="16062325"/>
          <a:ext cx="7347544" cy="2541170"/>
          <a:chOff x="828675" y="11311834"/>
          <a:chExt cx="7014852" cy="2639596"/>
        </a:xfrm>
      </xdr:grpSpPr>
      <xdr:sp macro="" textlink="">
        <xdr:nvSpPr>
          <xdr:cNvPr id="5" name="TextBox 4">
            <a:extLst>
              <a:ext uri="{FF2B5EF4-FFF2-40B4-BE49-F238E27FC236}">
                <a16:creationId xmlns:a16="http://schemas.microsoft.com/office/drawing/2014/main" id="{A9332FE2-5C36-328B-6A08-BDE38DAC8F10}"/>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3EC2825E-D98D-1F40-28BE-F15864B14001}"/>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432DD086-7059-57EF-31EA-E39BC688BA7E}"/>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3</xdr:col>
          <xdr:colOff>73421</xdr:colOff>
          <xdr:row>58</xdr:row>
          <xdr:rowOff>42068</xdr:rowOff>
        </xdr:from>
        <xdr:to>
          <xdr:col>7</xdr:col>
          <xdr:colOff>263921</xdr:colOff>
          <xdr:row>67</xdr:row>
          <xdr:rowOff>3969</xdr:rowOff>
        </xdr:to>
        <xdr:pic>
          <xdr:nvPicPr>
            <xdr:cNvPr id="8" name="Picture 7">
              <a:extLst>
                <a:ext uri="{FF2B5EF4-FFF2-40B4-BE49-F238E27FC236}">
                  <a16:creationId xmlns:a16="http://schemas.microsoft.com/office/drawing/2014/main" id="{9F09D31C-68C4-7109-1205-48D9780F6A61}"/>
                </a:ext>
              </a:extLst>
            </xdr:cNvPr>
            <xdr:cNvPicPr>
              <a:picLocks noChangeAspect="1" noChangeArrowheads="1"/>
              <a:extLst>
                <a:ext uri="{84589F7E-364E-4C9E-8A38-B11213B215E9}">
                  <a14:cameraTool cellRange="TTD_1PP" spid="_x0000_s81725"/>
                </a:ext>
              </a:extLst>
            </xdr:cNvPicPr>
          </xdr:nvPicPr>
          <xdr:blipFill>
            <a:blip xmlns:r="http://schemas.openxmlformats.org/officeDocument/2006/relationships" r:embed="rId2"/>
            <a:srcRect/>
            <a:stretch>
              <a:fillRect/>
            </a:stretch>
          </xdr:blipFill>
          <xdr:spPr bwMode="auto">
            <a:xfrm>
              <a:off x="1174749" y="10539412"/>
              <a:ext cx="1658938" cy="159901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157560</xdr:colOff>
          <xdr:row>57</xdr:row>
          <xdr:rowOff>73025</xdr:rowOff>
        </xdr:from>
        <xdr:to>
          <xdr:col>12</xdr:col>
          <xdr:colOff>70247</xdr:colOff>
          <xdr:row>64</xdr:row>
          <xdr:rowOff>84534</xdr:rowOff>
        </xdr:to>
        <xdr:pic>
          <xdr:nvPicPr>
            <xdr:cNvPr id="9" name="Picture 8">
              <a:extLst>
                <a:ext uri="{FF2B5EF4-FFF2-40B4-BE49-F238E27FC236}">
                  <a16:creationId xmlns:a16="http://schemas.microsoft.com/office/drawing/2014/main" id="{232D0B17-A06A-323A-3DAA-A6FD728ED701}"/>
                </a:ext>
              </a:extLst>
            </xdr:cNvPr>
            <xdr:cNvPicPr>
              <a:picLocks noChangeAspect="1" noChangeArrowheads="1"/>
              <a:extLst>
                <a:ext uri="{84589F7E-364E-4C9E-8A38-B11213B215E9}">
                  <a14:cameraTool cellRange="TTD_2PP" spid="_x0000_s81726"/>
                </a:ext>
              </a:extLst>
            </xdr:cNvPicPr>
          </xdr:nvPicPr>
          <xdr:blipFill>
            <a:blip xmlns:r="http://schemas.openxmlformats.org/officeDocument/2006/relationships" r:embed="rId3"/>
            <a:srcRect/>
            <a:stretch>
              <a:fillRect/>
            </a:stretch>
          </xdr:blipFill>
          <xdr:spPr bwMode="auto">
            <a:xfrm>
              <a:off x="3094435" y="10371931"/>
              <a:ext cx="1658937" cy="140057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190499</xdr:colOff>
          <xdr:row>58</xdr:row>
          <xdr:rowOff>86692</xdr:rowOff>
        </xdr:from>
        <xdr:to>
          <xdr:col>19</xdr:col>
          <xdr:colOff>73421</xdr:colOff>
          <xdr:row>63</xdr:row>
          <xdr:rowOff>124619</xdr:rowOff>
        </xdr:to>
        <xdr:pic>
          <xdr:nvPicPr>
            <xdr:cNvPr id="10" name="Picture 9">
              <a:extLst>
                <a:ext uri="{FF2B5EF4-FFF2-40B4-BE49-F238E27FC236}">
                  <a16:creationId xmlns:a16="http://schemas.microsoft.com/office/drawing/2014/main" id="{B84D2424-03C3-7C4D-AA41-53E309CCABE6}"/>
                </a:ext>
              </a:extLst>
            </xdr:cNvPr>
            <xdr:cNvPicPr>
              <a:picLocks noChangeAspect="1" noChangeArrowheads="1"/>
              <a:extLst>
                <a:ext uri="{84589F7E-364E-4C9E-8A38-B11213B215E9}">
                  <a14:cameraTool cellRange="TTD_3PP" spid="_x0000_s81727"/>
                </a:ext>
              </a:extLst>
            </xdr:cNvPicPr>
          </xdr:nvPicPr>
          <xdr:blipFill>
            <a:blip xmlns:r="http://schemas.openxmlformats.org/officeDocument/2006/relationships" r:embed="rId4"/>
            <a:srcRect/>
            <a:stretch>
              <a:fillRect/>
            </a:stretch>
          </xdr:blipFill>
          <xdr:spPr bwMode="auto">
            <a:xfrm>
              <a:off x="5012530" y="10584036"/>
              <a:ext cx="1813719" cy="1030114"/>
            </a:xfrm>
            <a:prstGeom prst="rect">
              <a:avLst/>
            </a:prstGeom>
            <a:noFill/>
            <a:ln w="9525">
              <a:noFill/>
              <a:miter lim="800000"/>
              <a:headEnd/>
              <a:tailEnd/>
            </a:ln>
          </xdr:spPr>
        </xdr:pic>
        <xdr:clientData/>
      </xdr:twoCellAnchor>
    </mc:Choice>
    <mc:Fallback/>
  </mc:AlternateContent>
  <xdr:twoCellAnchor editAs="oneCell">
    <xdr:from>
      <xdr:col>3</xdr:col>
      <xdr:colOff>38100</xdr:colOff>
      <xdr:row>0</xdr:row>
      <xdr:rowOff>0</xdr:rowOff>
    </xdr:from>
    <xdr:to>
      <xdr:col>4</xdr:col>
      <xdr:colOff>304065</xdr:colOff>
      <xdr:row>2</xdr:row>
      <xdr:rowOff>133350</xdr:rowOff>
    </xdr:to>
    <xdr:pic>
      <xdr:nvPicPr>
        <xdr:cNvPr id="11" name="Picture 10">
          <a:extLst>
            <a:ext uri="{FF2B5EF4-FFF2-40B4-BE49-F238E27FC236}">
              <a16:creationId xmlns:a16="http://schemas.microsoft.com/office/drawing/2014/main" id="{10F36E75-78D7-428F-A79A-930DE94C7BAF}"/>
            </a:ext>
          </a:extLst>
        </xdr:cNvPr>
        <xdr:cNvPicPr>
          <a:picLocks noChangeAspect="1"/>
        </xdr:cNvPicPr>
      </xdr:nvPicPr>
      <xdr:blipFill rotWithShape="1">
        <a:blip xmlns:r="http://schemas.openxmlformats.org/officeDocument/2006/relationships" r:embed="rId5"/>
        <a:srcRect l="37279" t="61975" r="38095" b="5285"/>
        <a:stretch>
          <a:fillRect/>
        </a:stretch>
      </xdr:blipFill>
      <xdr:spPr>
        <a:xfrm>
          <a:off x="1200150" y="0"/>
          <a:ext cx="637440" cy="561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40</xdr:row>
      <xdr:rowOff>114300</xdr:rowOff>
    </xdr:from>
    <xdr:to>
      <xdr:col>7</xdr:col>
      <xdr:colOff>685800</xdr:colOff>
      <xdr:row>59</xdr:row>
      <xdr:rowOff>101600</xdr:rowOff>
    </xdr:to>
    <xdr:graphicFrame macro="">
      <xdr:nvGraphicFramePr>
        <xdr:cNvPr id="2" name="Chart 1">
          <a:extLst>
            <a:ext uri="{FF2B5EF4-FFF2-40B4-BE49-F238E27FC236}">
              <a16:creationId xmlns:a16="http://schemas.microsoft.com/office/drawing/2014/main" id="{D78F734E-BD8D-874B-8204-DD8A6C05C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275822</xdr:colOff>
      <xdr:row>90</xdr:row>
      <xdr:rowOff>35775</xdr:rowOff>
    </xdr:from>
    <xdr:to>
      <xdr:col>12</xdr:col>
      <xdr:colOff>504421</xdr:colOff>
      <xdr:row>110</xdr:row>
      <xdr:rowOff>4115</xdr:rowOff>
    </xdr:to>
    <xdr:grpSp>
      <xdr:nvGrpSpPr>
        <xdr:cNvPr id="3" name="Group 2">
          <a:extLst>
            <a:ext uri="{FF2B5EF4-FFF2-40B4-BE49-F238E27FC236}">
              <a16:creationId xmlns:a16="http://schemas.microsoft.com/office/drawing/2014/main" id="{0C431ABA-2913-6847-9539-1669A16ABBF0}"/>
            </a:ext>
          </a:extLst>
        </xdr:cNvPr>
        <xdr:cNvGrpSpPr/>
      </xdr:nvGrpSpPr>
      <xdr:grpSpPr>
        <a:xfrm>
          <a:off x="1942697" y="17790970"/>
          <a:ext cx="8637388" cy="3837872"/>
          <a:chOff x="1275230" y="11220450"/>
          <a:chExt cx="7119470" cy="3686548"/>
        </a:xfrm>
      </xdr:grpSpPr>
      <xdr:grpSp>
        <xdr:nvGrpSpPr>
          <xdr:cNvPr id="4" name="Group 3">
            <a:extLst>
              <a:ext uri="{FF2B5EF4-FFF2-40B4-BE49-F238E27FC236}">
                <a16:creationId xmlns:a16="http://schemas.microsoft.com/office/drawing/2014/main" id="{548F58ED-0EFD-8731-1670-4486B9EE7FB4}"/>
              </a:ext>
            </a:extLst>
          </xdr:cNvPr>
          <xdr:cNvGrpSpPr/>
        </xdr:nvGrpSpPr>
        <xdr:grpSpPr>
          <a:xfrm>
            <a:off x="1275230" y="11220450"/>
            <a:ext cx="7119470" cy="3686548"/>
            <a:chOff x="9872728" y="5074475"/>
            <a:chExt cx="6737350" cy="3511550"/>
          </a:xfrm>
        </xdr:grpSpPr>
        <xdr:graphicFrame macro="">
          <xdr:nvGraphicFramePr>
            <xdr:cNvPr id="7" name="Chart 6">
              <a:extLst>
                <a:ext uri="{FF2B5EF4-FFF2-40B4-BE49-F238E27FC236}">
                  <a16:creationId xmlns:a16="http://schemas.microsoft.com/office/drawing/2014/main" id="{6731D0AE-29F0-0331-1160-445052F5CBBF}"/>
                </a:ext>
              </a:extLst>
            </xdr:cNvPr>
            <xdr:cNvGraphicFramePr>
              <a:graphicFrameLocks/>
            </xdr:cNvGraphicFramePr>
          </xdr:nvGraphicFramePr>
          <xdr:xfrm>
            <a:off x="9872728" y="5074475"/>
            <a:ext cx="6737350" cy="35115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57752542-5D2B-BDBB-D3F8-A5DC8333D66D}"/>
                </a:ext>
              </a:extLst>
            </xdr:cNvPr>
            <xdr:cNvSpPr txBox="1"/>
          </xdr:nvSpPr>
          <xdr:spPr>
            <a:xfrm rot="19658683">
              <a:off x="12325704" y="6628035"/>
              <a:ext cx="820236" cy="1487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75000"/>
                    </a:schemeClr>
                  </a:solidFill>
                  <a:latin typeface="Aptos" panose="020B0004020202020204" pitchFamily="34" charset="0"/>
                </a:rPr>
                <a:t>U-Line : PI =0.9 (LL-8)</a:t>
              </a:r>
            </a:p>
          </xdr:txBody>
        </xdr:sp>
        <xdr:sp macro="" textlink="">
          <xdr:nvSpPr>
            <xdr:cNvPr id="9" name="TextBox 8">
              <a:extLst>
                <a:ext uri="{FF2B5EF4-FFF2-40B4-BE49-F238E27FC236}">
                  <a16:creationId xmlns:a16="http://schemas.microsoft.com/office/drawing/2014/main" id="{EF8114CE-FAED-DA46-F1EA-D1607A7207B7}"/>
                </a:ext>
              </a:extLst>
            </xdr:cNvPr>
            <xdr:cNvSpPr txBox="1"/>
          </xdr:nvSpPr>
          <xdr:spPr>
            <a:xfrm rot="19971656">
              <a:off x="14670396" y="6011767"/>
              <a:ext cx="843340" cy="1610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50000"/>
                    </a:schemeClr>
                  </a:solidFill>
                  <a:latin typeface="Aptos" panose="020B0004020202020204" pitchFamily="34" charset="0"/>
                </a:rPr>
                <a:t>U-Line : PI =0.9 (LL-8)</a:t>
              </a:r>
            </a:p>
          </xdr:txBody>
        </xdr:sp>
        <xdr:sp macro="" textlink="">
          <xdr:nvSpPr>
            <xdr:cNvPr id="10" name="TextBox 9">
              <a:extLst>
                <a:ext uri="{FF2B5EF4-FFF2-40B4-BE49-F238E27FC236}">
                  <a16:creationId xmlns:a16="http://schemas.microsoft.com/office/drawing/2014/main" id="{EE914058-BE94-6510-059F-E01E51779FDD}"/>
                </a:ext>
              </a:extLst>
            </xdr:cNvPr>
            <xdr:cNvSpPr txBox="1"/>
          </xdr:nvSpPr>
          <xdr:spPr>
            <a:xfrm>
              <a:off x="11404412" y="7725414"/>
              <a:ext cx="414841" cy="10506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 b="1">
                  <a:solidFill>
                    <a:schemeClr val="accent2"/>
                  </a:solidFill>
                  <a:latin typeface="Arial" panose="020B0604020202020204" pitchFamily="34" charset="0"/>
                  <a:cs typeface="Arial" panose="020B0604020202020204" pitchFamily="34" charset="0"/>
                </a:rPr>
                <a:t>CL - ML</a:t>
              </a:r>
            </a:p>
          </xdr:txBody>
        </xdr:sp>
        <xdr:sp macro="" textlink="">
          <xdr:nvSpPr>
            <xdr:cNvPr id="11" name="TextBox 10">
              <a:extLst>
                <a:ext uri="{FF2B5EF4-FFF2-40B4-BE49-F238E27FC236}">
                  <a16:creationId xmlns:a16="http://schemas.microsoft.com/office/drawing/2014/main" id="{C695CF83-EF74-5B25-7D43-6E3138F6E55D}"/>
                </a:ext>
              </a:extLst>
            </xdr:cNvPr>
            <xdr:cNvSpPr txBox="1"/>
          </xdr:nvSpPr>
          <xdr:spPr>
            <a:xfrm>
              <a:off x="12640611" y="7538152"/>
              <a:ext cx="726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ML </a:t>
              </a:r>
              <a:r>
                <a:rPr lang="en-US" sz="800" b="0">
                  <a:solidFill>
                    <a:schemeClr val="bg2">
                      <a:lumMod val="50000"/>
                    </a:schemeClr>
                  </a:solidFill>
                  <a:latin typeface="Arial" panose="020B0604020202020204" pitchFamily="34" charset="0"/>
                  <a:cs typeface="Arial" panose="020B0604020202020204" pitchFamily="34" charset="0"/>
                </a:rPr>
                <a:t>or</a:t>
              </a:r>
              <a:r>
                <a:rPr lang="en-US" sz="800" b="0" baseline="0">
                  <a:solidFill>
                    <a:schemeClr val="bg2">
                      <a:lumMod val="50000"/>
                    </a:schemeClr>
                  </a:solidFill>
                  <a:latin typeface="Arial" panose="020B0604020202020204" pitchFamily="34" charset="0"/>
                  <a:cs typeface="Arial" panose="020B0604020202020204" pitchFamily="34" charset="0"/>
                </a:rPr>
                <a:t> </a:t>
              </a:r>
              <a:r>
                <a:rPr lang="en-US" sz="800" b="1" baseline="0">
                  <a:solidFill>
                    <a:schemeClr val="bg2">
                      <a:lumMod val="50000"/>
                    </a:schemeClr>
                  </a:solidFill>
                  <a:latin typeface="Arial" panose="020B0604020202020204" pitchFamily="34" charset="0"/>
                  <a:cs typeface="Arial" panose="020B0604020202020204" pitchFamily="34" charset="0"/>
                </a:rPr>
                <a:t>OL</a:t>
              </a:r>
              <a:endParaRPr lang="en-US" sz="800" b="1">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12" name="TextBox 11">
              <a:extLst>
                <a:ext uri="{FF2B5EF4-FFF2-40B4-BE49-F238E27FC236}">
                  <a16:creationId xmlns:a16="http://schemas.microsoft.com/office/drawing/2014/main" id="{29F50047-1C04-3081-6013-9762128B99DE}"/>
                </a:ext>
              </a:extLst>
            </xdr:cNvPr>
            <xdr:cNvSpPr txBox="1"/>
          </xdr:nvSpPr>
          <xdr:spPr>
            <a:xfrm>
              <a:off x="14002623" y="6845033"/>
              <a:ext cx="96830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sp macro="" textlink="">
          <xdr:nvSpPr>
            <xdr:cNvPr id="13" name="TextBox 12">
              <a:extLst>
                <a:ext uri="{FF2B5EF4-FFF2-40B4-BE49-F238E27FC236}">
                  <a16:creationId xmlns:a16="http://schemas.microsoft.com/office/drawing/2014/main" id="{1245D339-2A08-682D-FC90-028B2B51484A}"/>
                </a:ext>
              </a:extLst>
            </xdr:cNvPr>
            <xdr:cNvSpPr txBox="1"/>
          </xdr:nvSpPr>
          <xdr:spPr>
            <a:xfrm>
              <a:off x="13868790" y="6068230"/>
              <a:ext cx="537373"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CH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sp macro="" textlink="">
          <xdr:nvSpPr>
            <xdr:cNvPr id="14" name="TextBox 13">
              <a:extLst>
                <a:ext uri="{FF2B5EF4-FFF2-40B4-BE49-F238E27FC236}">
                  <a16:creationId xmlns:a16="http://schemas.microsoft.com/office/drawing/2014/main" id="{F4B29CAC-2A08-0F18-E957-69CA1B2B271D}"/>
                </a:ext>
              </a:extLst>
            </xdr:cNvPr>
            <xdr:cNvSpPr txBox="1"/>
          </xdr:nvSpPr>
          <xdr:spPr>
            <a:xfrm>
              <a:off x="12477724" y="6999424"/>
              <a:ext cx="520631" cy="20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CL </a:t>
              </a:r>
              <a:r>
                <a:rPr lang="en-US" sz="800" b="0" i="0">
                  <a:solidFill>
                    <a:schemeClr val="bg2">
                      <a:lumMod val="50000"/>
                    </a:schemeClr>
                  </a:solidFill>
                  <a:latin typeface="Arial" panose="020B0604020202020204" pitchFamily="34" charset="0"/>
                  <a:cs typeface="Arial" panose="020B0604020202020204" pitchFamily="34" charset="0"/>
                </a:rPr>
                <a:t>or</a:t>
              </a:r>
              <a:r>
                <a:rPr lang="en-US" sz="800" b="0" i="0" baseline="0">
                  <a:solidFill>
                    <a:schemeClr val="bg2">
                      <a:lumMod val="50000"/>
                    </a:schemeClr>
                  </a:solidFill>
                  <a:latin typeface="Arial" panose="020B0604020202020204" pitchFamily="34" charset="0"/>
                  <a:cs typeface="Arial" panose="020B0604020202020204" pitchFamily="34" charset="0"/>
                </a:rPr>
                <a:t> </a:t>
              </a:r>
              <a:r>
                <a:rPr lang="en-US" sz="800" b="1" i="0" baseline="0">
                  <a:solidFill>
                    <a:schemeClr val="bg2">
                      <a:lumMod val="50000"/>
                    </a:schemeClr>
                  </a:solidFill>
                  <a:latin typeface="Arial" panose="020B0604020202020204" pitchFamily="34" charset="0"/>
                  <a:cs typeface="Arial" panose="020B0604020202020204" pitchFamily="34" charset="0"/>
                </a:rPr>
                <a:t>OL</a:t>
              </a:r>
              <a:endParaRPr lang="en-US" sz="800" b="1">
                <a:solidFill>
                  <a:schemeClr val="bg2">
                    <a:lumMod val="50000"/>
                  </a:schemeClr>
                </a:solidFill>
                <a:latin typeface="Arial" panose="020B0604020202020204" pitchFamily="34" charset="0"/>
                <a:cs typeface="Arial" panose="020B0604020202020204" pitchFamily="34" charset="0"/>
              </a:endParaRPr>
            </a:p>
          </xdr:txBody>
        </xdr:sp>
      </xdr:grpSp>
      <xdr:sp macro="" textlink="">
        <xdr:nvSpPr>
          <xdr:cNvPr id="5" name="TextBox 4">
            <a:extLst>
              <a:ext uri="{FF2B5EF4-FFF2-40B4-BE49-F238E27FC236}">
                <a16:creationId xmlns:a16="http://schemas.microsoft.com/office/drawing/2014/main" id="{3C3BB7CC-EEB1-3AD6-8170-6737D14C60EE}"/>
              </a:ext>
            </a:extLst>
          </xdr:cNvPr>
          <xdr:cNvSpPr txBox="1"/>
        </xdr:nvSpPr>
        <xdr:spPr>
          <a:xfrm>
            <a:off x="1631039" y="13880938"/>
            <a:ext cx="177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7</a:t>
            </a:r>
          </a:p>
        </xdr:txBody>
      </xdr:sp>
      <xdr:sp macro="" textlink="">
        <xdr:nvSpPr>
          <xdr:cNvPr id="6" name="TextBox 5">
            <a:extLst>
              <a:ext uri="{FF2B5EF4-FFF2-40B4-BE49-F238E27FC236}">
                <a16:creationId xmlns:a16="http://schemas.microsoft.com/office/drawing/2014/main" id="{8D7F4803-74E5-C72F-6F88-3C845AE0A78E}"/>
              </a:ext>
            </a:extLst>
          </xdr:cNvPr>
          <xdr:cNvSpPr txBox="1"/>
        </xdr:nvSpPr>
        <xdr:spPr>
          <a:xfrm>
            <a:off x="1623167" y="14042670"/>
            <a:ext cx="177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4</a:t>
            </a:r>
          </a:p>
        </xdr:txBody>
      </xdr:sp>
    </xdr:grpSp>
    <xdr:clientData/>
  </xdr:twoCellAnchor>
  <xdr:twoCellAnchor>
    <xdr:from>
      <xdr:col>6</xdr:col>
      <xdr:colOff>785155</xdr:colOff>
      <xdr:row>99</xdr:row>
      <xdr:rowOff>22180</xdr:rowOff>
    </xdr:from>
    <xdr:to>
      <xdr:col>8</xdr:col>
      <xdr:colOff>618365</xdr:colOff>
      <xdr:row>100</xdr:row>
      <xdr:rowOff>148367</xdr:rowOff>
    </xdr:to>
    <xdr:sp macro="" textlink="$G$117">
      <xdr:nvSpPr>
        <xdr:cNvPr id="16" name="TextBox 15">
          <a:extLst>
            <a:ext uri="{FF2B5EF4-FFF2-40B4-BE49-F238E27FC236}">
              <a16:creationId xmlns:a16="http://schemas.microsoft.com/office/drawing/2014/main" id="{7F68008C-11C0-B47E-A8CF-24916E681A69}"/>
            </a:ext>
          </a:extLst>
        </xdr:cNvPr>
        <xdr:cNvSpPr txBox="1"/>
      </xdr:nvSpPr>
      <xdr:spPr>
        <a:xfrm>
          <a:off x="5775718" y="20507638"/>
          <a:ext cx="1496732" cy="327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565B9-7CE3-9948-97B9-4529617CF91C}" type="TxLink">
            <a:rPr lang="en-US" sz="900" b="1" i="0" u="none" strike="noStrike">
              <a:solidFill>
                <a:schemeClr val="accent6">
                  <a:lumMod val="50000"/>
                </a:schemeClr>
              </a:solidFill>
              <a:latin typeface="Arial" panose="020B0604020202020204" pitchFamily="34" charset="0"/>
              <a:cs typeface="Arial" panose="020B0604020202020204" pitchFamily="34" charset="0"/>
            </a:rPr>
            <a:pPr/>
            <a:t>USCS : CL - Lean Clay</a:t>
          </a:fld>
          <a:endParaRPr lang="en-US" sz="9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7</xdr:col>
      <xdr:colOff>283099</xdr:colOff>
      <xdr:row>92</xdr:row>
      <xdr:rowOff>59245</xdr:rowOff>
    </xdr:from>
    <xdr:to>
      <xdr:col>8</xdr:col>
      <xdr:colOff>21404</xdr:colOff>
      <xdr:row>93</xdr:row>
      <xdr:rowOff>47905</xdr:rowOff>
    </xdr:to>
    <xdr:sp macro="" textlink="">
      <xdr:nvSpPr>
        <xdr:cNvPr id="17" name="TextBox 16">
          <a:extLst>
            <a:ext uri="{FF2B5EF4-FFF2-40B4-BE49-F238E27FC236}">
              <a16:creationId xmlns:a16="http://schemas.microsoft.com/office/drawing/2014/main" id="{4ADDFF4C-386A-DA4B-A704-D8A29F5377D5}"/>
            </a:ext>
          </a:extLst>
        </xdr:cNvPr>
        <xdr:cNvSpPr txBox="1"/>
      </xdr:nvSpPr>
      <xdr:spPr>
        <a:xfrm>
          <a:off x="6076582" y="18745369"/>
          <a:ext cx="565946" cy="1884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i="0" u="none" strike="noStrike">
              <a:solidFill>
                <a:schemeClr val="bg2">
                  <a:lumMod val="25000"/>
                </a:schemeClr>
              </a:solidFill>
              <a:latin typeface="Arial" panose="020B0604020202020204" pitchFamily="34" charset="0"/>
              <a:cs typeface="Arial" panose="020B0604020202020204" pitchFamily="34" charset="0"/>
            </a:rPr>
            <a:t>LL = 50</a:t>
          </a:r>
        </a:p>
      </xdr:txBody>
    </xdr:sp>
    <xdr:clientData/>
  </xdr:twoCellAnchor>
  <xdr:twoCellAnchor>
    <xdr:from>
      <xdr:col>9</xdr:col>
      <xdr:colOff>209550</xdr:colOff>
      <xdr:row>71</xdr:row>
      <xdr:rowOff>19050</xdr:rowOff>
    </xdr:from>
    <xdr:to>
      <xdr:col>10</xdr:col>
      <xdr:colOff>133350</xdr:colOff>
      <xdr:row>73</xdr:row>
      <xdr:rowOff>133350</xdr:rowOff>
    </xdr:to>
    <xdr:sp macro="" textlink="">
      <xdr:nvSpPr>
        <xdr:cNvPr id="15" name="Arrow: Down 14">
          <a:extLst>
            <a:ext uri="{FF2B5EF4-FFF2-40B4-BE49-F238E27FC236}">
              <a16:creationId xmlns:a16="http://schemas.microsoft.com/office/drawing/2014/main" id="{4171764C-7FF3-FBB5-5D03-D07AD4F94284}"/>
            </a:ext>
          </a:extLst>
        </xdr:cNvPr>
        <xdr:cNvSpPr/>
      </xdr:nvSpPr>
      <xdr:spPr>
        <a:xfrm>
          <a:off x="7753350" y="14535150"/>
          <a:ext cx="762000" cy="5143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139700</xdr:colOff>
      <xdr:row>78</xdr:row>
      <xdr:rowOff>25400</xdr:rowOff>
    </xdr:from>
    <xdr:to>
      <xdr:col>5</xdr:col>
      <xdr:colOff>134197</xdr:colOff>
      <xdr:row>79</xdr:row>
      <xdr:rowOff>228600</xdr:rowOff>
    </xdr:to>
    <xdr:pic>
      <xdr:nvPicPr>
        <xdr:cNvPr id="3" name="Picture 2">
          <a:extLst>
            <a:ext uri="{FF2B5EF4-FFF2-40B4-BE49-F238E27FC236}">
              <a16:creationId xmlns:a16="http://schemas.microsoft.com/office/drawing/2014/main" id="{EAD665D0-B061-EF47-8456-4CDE2B406F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2</xdr:col>
      <xdr:colOff>0</xdr:colOff>
      <xdr:row>89</xdr:row>
      <xdr:rowOff>88900</xdr:rowOff>
    </xdr:from>
    <xdr:to>
      <xdr:col>22</xdr:col>
      <xdr:colOff>99019</xdr:colOff>
      <xdr:row>102</xdr:row>
      <xdr:rowOff>29745</xdr:rowOff>
    </xdr:to>
    <xdr:grpSp>
      <xdr:nvGrpSpPr>
        <xdr:cNvPr id="4" name="Group 3">
          <a:extLst>
            <a:ext uri="{FF2B5EF4-FFF2-40B4-BE49-F238E27FC236}">
              <a16:creationId xmlns:a16="http://schemas.microsoft.com/office/drawing/2014/main" id="{5FB299C0-01A9-2344-A91C-A28A7171D265}"/>
            </a:ext>
          </a:extLst>
        </xdr:cNvPr>
        <xdr:cNvGrpSpPr/>
      </xdr:nvGrpSpPr>
      <xdr:grpSpPr>
        <a:xfrm>
          <a:off x="734219" y="16082963"/>
          <a:ext cx="7282456" cy="2520532"/>
          <a:chOff x="828675" y="11311834"/>
          <a:chExt cx="7014852" cy="2639596"/>
        </a:xfrm>
      </xdr:grpSpPr>
      <xdr:sp macro="" textlink="">
        <xdr:nvSpPr>
          <xdr:cNvPr id="5" name="TextBox 4">
            <a:extLst>
              <a:ext uri="{FF2B5EF4-FFF2-40B4-BE49-F238E27FC236}">
                <a16:creationId xmlns:a16="http://schemas.microsoft.com/office/drawing/2014/main" id="{C5C5F1C2-7761-B19D-9FAA-94CF4B738BC6}"/>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623CEBA7-88C3-14F6-DB9E-3D24E26CFF66}"/>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97F0710F-F2AA-C06B-F514-161BF4B021F0}"/>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xdr:from>
      <xdr:col>13</xdr:col>
      <xdr:colOff>5566</xdr:colOff>
      <xdr:row>28</xdr:row>
      <xdr:rowOff>197469</xdr:rowOff>
    </xdr:from>
    <xdr:to>
      <xdr:col>24</xdr:col>
      <xdr:colOff>287734</xdr:colOff>
      <xdr:row>46</xdr:row>
      <xdr:rowOff>148828</xdr:rowOff>
    </xdr:to>
    <xdr:graphicFrame macro="">
      <xdr:nvGraphicFramePr>
        <xdr:cNvPr id="25" name="Chart 24">
          <a:extLst>
            <a:ext uri="{FF2B5EF4-FFF2-40B4-BE49-F238E27FC236}">
              <a16:creationId xmlns:a16="http://schemas.microsoft.com/office/drawing/2014/main" id="{CAF2017C-9925-AC0F-3BC3-220E345D7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349015</xdr:colOff>
      <xdr:row>36</xdr:row>
      <xdr:rowOff>83552</xdr:rowOff>
    </xdr:from>
    <xdr:to>
      <xdr:col>17</xdr:col>
      <xdr:colOff>166698</xdr:colOff>
      <xdr:row>40</xdr:row>
      <xdr:rowOff>190604</xdr:rowOff>
    </xdr:to>
    <xdr:sp macro="" textlink="">
      <xdr:nvSpPr>
        <xdr:cNvPr id="26" name="TextBox 25">
          <a:extLst>
            <a:ext uri="{FF2B5EF4-FFF2-40B4-BE49-F238E27FC236}">
              <a16:creationId xmlns:a16="http://schemas.microsoft.com/office/drawing/2014/main" id="{0F9B7A19-DCAA-9471-3584-09D7D64AA19E}"/>
            </a:ext>
          </a:extLst>
        </xdr:cNvPr>
        <xdr:cNvSpPr txBox="1"/>
      </xdr:nvSpPr>
      <xdr:spPr>
        <a:xfrm rot="18344105">
          <a:off x="6013589" y="6374837"/>
          <a:ext cx="900802" cy="18479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75000"/>
                </a:schemeClr>
              </a:solidFill>
              <a:latin typeface="Aptos" panose="020B0004020202020204" pitchFamily="34" charset="0"/>
            </a:rPr>
            <a:t>U-Line : PI =0.9 (LL-8)</a:t>
          </a:r>
        </a:p>
      </xdr:txBody>
    </xdr:sp>
    <xdr:clientData/>
  </xdr:twoCellAnchor>
  <xdr:twoCellAnchor>
    <xdr:from>
      <xdr:col>22</xdr:col>
      <xdr:colOff>111078</xdr:colOff>
      <xdr:row>31</xdr:row>
      <xdr:rowOff>95603</xdr:rowOff>
    </xdr:from>
    <xdr:to>
      <xdr:col>22</xdr:col>
      <xdr:colOff>286438</xdr:colOff>
      <xdr:row>36</xdr:row>
      <xdr:rowOff>2438</xdr:rowOff>
    </xdr:to>
    <xdr:sp macro="" textlink="">
      <xdr:nvSpPr>
        <xdr:cNvPr id="27" name="TextBox 26">
          <a:extLst>
            <a:ext uri="{FF2B5EF4-FFF2-40B4-BE49-F238E27FC236}">
              <a16:creationId xmlns:a16="http://schemas.microsoft.com/office/drawing/2014/main" id="{B1B16FF0-B587-2632-3675-3FDAF52B5E18}"/>
            </a:ext>
          </a:extLst>
        </xdr:cNvPr>
        <xdr:cNvSpPr txBox="1"/>
      </xdr:nvSpPr>
      <xdr:spPr>
        <a:xfrm rot="18636379">
          <a:off x="7547841" y="5398528"/>
          <a:ext cx="899022" cy="1753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50000"/>
                </a:schemeClr>
              </a:solidFill>
              <a:latin typeface="Aptos" panose="020B0004020202020204" pitchFamily="34" charset="0"/>
            </a:rPr>
            <a:t>U-Line : PI =0.9 (LL-8)</a:t>
          </a:r>
        </a:p>
      </xdr:txBody>
    </xdr:sp>
    <xdr:clientData/>
  </xdr:twoCellAnchor>
  <xdr:twoCellAnchor>
    <xdr:from>
      <xdr:col>15</xdr:col>
      <xdr:colOff>214742</xdr:colOff>
      <xdr:row>44</xdr:row>
      <xdr:rowOff>165520</xdr:rowOff>
    </xdr:from>
    <xdr:to>
      <xdr:col>16</xdr:col>
      <xdr:colOff>364931</xdr:colOff>
      <xdr:row>45</xdr:row>
      <xdr:rowOff>83973</xdr:rowOff>
    </xdr:to>
    <xdr:sp macro="" textlink="">
      <xdr:nvSpPr>
        <xdr:cNvPr id="28" name="TextBox 27">
          <a:extLst>
            <a:ext uri="{FF2B5EF4-FFF2-40B4-BE49-F238E27FC236}">
              <a16:creationId xmlns:a16="http://schemas.microsoft.com/office/drawing/2014/main" id="{1199E3EB-B810-B088-27CE-F7F1C948FB2E}"/>
            </a:ext>
          </a:extLst>
        </xdr:cNvPr>
        <xdr:cNvSpPr txBox="1"/>
      </xdr:nvSpPr>
      <xdr:spPr>
        <a:xfrm>
          <a:off x="5836815" y="7901679"/>
          <a:ext cx="521896" cy="11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 b="1">
              <a:solidFill>
                <a:schemeClr val="accent2"/>
              </a:solidFill>
              <a:latin typeface="Arial" panose="020B0604020202020204" pitchFamily="34" charset="0"/>
              <a:cs typeface="Arial" panose="020B0604020202020204" pitchFamily="34" charset="0"/>
            </a:rPr>
            <a:t>CL - ML</a:t>
          </a:r>
        </a:p>
      </xdr:txBody>
    </xdr:sp>
    <xdr:clientData/>
  </xdr:twoCellAnchor>
  <xdr:twoCellAnchor>
    <xdr:from>
      <xdr:col>17</xdr:col>
      <xdr:colOff>20571</xdr:colOff>
      <xdr:row>42</xdr:row>
      <xdr:rowOff>114494</xdr:rowOff>
    </xdr:from>
    <xdr:to>
      <xdr:col>19</xdr:col>
      <xdr:colOff>347267</xdr:colOff>
      <xdr:row>44</xdr:row>
      <xdr:rowOff>2878</xdr:rowOff>
    </xdr:to>
    <xdr:sp macro="" textlink="">
      <xdr:nvSpPr>
        <xdr:cNvPr id="29" name="TextBox 28">
          <a:extLst>
            <a:ext uri="{FF2B5EF4-FFF2-40B4-BE49-F238E27FC236}">
              <a16:creationId xmlns:a16="http://schemas.microsoft.com/office/drawing/2014/main" id="{2D9F905C-7E8C-522F-4C46-D1FFBD808705}"/>
            </a:ext>
          </a:extLst>
        </xdr:cNvPr>
        <xdr:cNvSpPr txBox="1"/>
      </xdr:nvSpPr>
      <xdr:spPr>
        <a:xfrm>
          <a:off x="6410259" y="7357463"/>
          <a:ext cx="693805" cy="28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ML </a:t>
          </a:r>
          <a:r>
            <a:rPr lang="en-US" sz="800" b="0">
              <a:solidFill>
                <a:schemeClr val="bg2">
                  <a:lumMod val="50000"/>
                </a:schemeClr>
              </a:solidFill>
              <a:latin typeface="Arial" panose="020B0604020202020204" pitchFamily="34" charset="0"/>
              <a:cs typeface="Arial" panose="020B0604020202020204" pitchFamily="34" charset="0"/>
            </a:rPr>
            <a:t>or</a:t>
          </a:r>
          <a:r>
            <a:rPr lang="en-US" sz="800" b="0" baseline="0">
              <a:solidFill>
                <a:schemeClr val="bg2">
                  <a:lumMod val="50000"/>
                </a:schemeClr>
              </a:solidFill>
              <a:latin typeface="Arial" panose="020B0604020202020204" pitchFamily="34" charset="0"/>
              <a:cs typeface="Arial" panose="020B0604020202020204" pitchFamily="34" charset="0"/>
            </a:rPr>
            <a:t> </a:t>
          </a:r>
          <a:r>
            <a:rPr lang="en-US" sz="800" b="1" baseline="0">
              <a:solidFill>
                <a:schemeClr val="bg2">
                  <a:lumMod val="50000"/>
                </a:schemeClr>
              </a:solidFill>
              <a:latin typeface="Arial" panose="020B0604020202020204" pitchFamily="34" charset="0"/>
              <a:cs typeface="Arial" panose="020B0604020202020204" pitchFamily="34" charset="0"/>
            </a:rPr>
            <a:t>OL</a:t>
          </a:r>
          <a:endParaRPr lang="en-US" sz="8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20</xdr:col>
      <xdr:colOff>76738</xdr:colOff>
      <xdr:row>41</xdr:row>
      <xdr:rowOff>9906</xdr:rowOff>
    </xdr:from>
    <xdr:to>
      <xdr:col>22</xdr:col>
      <xdr:colOff>59531</xdr:colOff>
      <xdr:row>42</xdr:row>
      <xdr:rowOff>82812</xdr:rowOff>
    </xdr:to>
    <xdr:sp macro="" textlink="">
      <xdr:nvSpPr>
        <xdr:cNvPr id="30" name="TextBox 29">
          <a:extLst>
            <a:ext uri="{FF2B5EF4-FFF2-40B4-BE49-F238E27FC236}">
              <a16:creationId xmlns:a16="http://schemas.microsoft.com/office/drawing/2014/main" id="{640DB6C0-6C0B-52AF-1AB6-0953CE765378}"/>
            </a:ext>
          </a:extLst>
        </xdr:cNvPr>
        <xdr:cNvSpPr txBox="1"/>
      </xdr:nvSpPr>
      <xdr:spPr>
        <a:xfrm>
          <a:off x="7101426" y="7064359"/>
          <a:ext cx="717011" cy="27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clientData/>
  </xdr:twoCellAnchor>
  <xdr:twoCellAnchor>
    <xdr:from>
      <xdr:col>19</xdr:col>
      <xdr:colOff>246146</xdr:colOff>
      <xdr:row>35</xdr:row>
      <xdr:rowOff>51752</xdr:rowOff>
    </xdr:from>
    <xdr:to>
      <xdr:col>21</xdr:col>
      <xdr:colOff>198438</xdr:colOff>
      <xdr:row>36</xdr:row>
      <xdr:rowOff>142051</xdr:rowOff>
    </xdr:to>
    <xdr:sp macro="" textlink="">
      <xdr:nvSpPr>
        <xdr:cNvPr id="31" name="TextBox 30">
          <a:extLst>
            <a:ext uri="{FF2B5EF4-FFF2-40B4-BE49-F238E27FC236}">
              <a16:creationId xmlns:a16="http://schemas.microsoft.com/office/drawing/2014/main" id="{B4857695-40DD-D0F5-7254-248A5D790ED1}"/>
            </a:ext>
          </a:extLst>
        </xdr:cNvPr>
        <xdr:cNvSpPr txBox="1"/>
      </xdr:nvSpPr>
      <xdr:spPr>
        <a:xfrm>
          <a:off x="7002943" y="5905658"/>
          <a:ext cx="686511" cy="288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CH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clientData/>
  </xdr:twoCellAnchor>
  <xdr:twoCellAnchor>
    <xdr:from>
      <xdr:col>15</xdr:col>
      <xdr:colOff>162981</xdr:colOff>
      <xdr:row>42</xdr:row>
      <xdr:rowOff>119537</xdr:rowOff>
    </xdr:from>
    <xdr:to>
      <xdr:col>17</xdr:col>
      <xdr:colOff>198435</xdr:colOff>
      <xdr:row>43</xdr:row>
      <xdr:rowOff>138907</xdr:rowOff>
    </xdr:to>
    <xdr:sp macro="" textlink="">
      <xdr:nvSpPr>
        <xdr:cNvPr id="32" name="TextBox 31">
          <a:extLst>
            <a:ext uri="{FF2B5EF4-FFF2-40B4-BE49-F238E27FC236}">
              <a16:creationId xmlns:a16="http://schemas.microsoft.com/office/drawing/2014/main" id="{3EBF54A7-FD1F-BA7E-748D-0D262C65CD6B}"/>
            </a:ext>
          </a:extLst>
        </xdr:cNvPr>
        <xdr:cNvSpPr txBox="1"/>
      </xdr:nvSpPr>
      <xdr:spPr>
        <a:xfrm>
          <a:off x="5818450" y="7362506"/>
          <a:ext cx="769673" cy="21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 b="1">
              <a:solidFill>
                <a:schemeClr val="bg2">
                  <a:lumMod val="50000"/>
                </a:schemeClr>
              </a:solidFill>
              <a:latin typeface="Arial" panose="020B0604020202020204" pitchFamily="34" charset="0"/>
              <a:cs typeface="Arial" panose="020B0604020202020204" pitchFamily="34" charset="0"/>
            </a:rPr>
            <a:t>CL </a:t>
          </a:r>
          <a:r>
            <a:rPr lang="en-US" sz="600" b="0" i="0">
              <a:solidFill>
                <a:schemeClr val="bg2">
                  <a:lumMod val="50000"/>
                </a:schemeClr>
              </a:solidFill>
              <a:latin typeface="Arial" panose="020B0604020202020204" pitchFamily="34" charset="0"/>
              <a:cs typeface="Arial" panose="020B0604020202020204" pitchFamily="34" charset="0"/>
            </a:rPr>
            <a:t>or</a:t>
          </a:r>
          <a:r>
            <a:rPr lang="en-US" sz="600" b="0" i="0" baseline="0">
              <a:solidFill>
                <a:schemeClr val="bg2">
                  <a:lumMod val="50000"/>
                </a:schemeClr>
              </a:solidFill>
              <a:latin typeface="Arial" panose="020B0604020202020204" pitchFamily="34" charset="0"/>
              <a:cs typeface="Arial" panose="020B0604020202020204" pitchFamily="34" charset="0"/>
            </a:rPr>
            <a:t> </a:t>
          </a:r>
          <a:r>
            <a:rPr lang="en-US" sz="600" b="1" i="0" baseline="0">
              <a:solidFill>
                <a:schemeClr val="bg2">
                  <a:lumMod val="50000"/>
                </a:schemeClr>
              </a:solidFill>
              <a:latin typeface="Arial" panose="020B0604020202020204" pitchFamily="34" charset="0"/>
              <a:cs typeface="Arial" panose="020B0604020202020204" pitchFamily="34" charset="0"/>
            </a:rPr>
            <a:t>OL</a:t>
          </a:r>
          <a:endParaRPr lang="en-US" sz="6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13</xdr:col>
      <xdr:colOff>308512</xdr:colOff>
      <xdr:row>44</xdr:row>
      <xdr:rowOff>3244</xdr:rowOff>
    </xdr:from>
    <xdr:to>
      <xdr:col>14</xdr:col>
      <xdr:colOff>40269</xdr:colOff>
      <xdr:row>45</xdr:row>
      <xdr:rowOff>10252</xdr:rowOff>
    </xdr:to>
    <xdr:sp macro="" textlink="">
      <xdr:nvSpPr>
        <xdr:cNvPr id="23" name="TextBox 22">
          <a:extLst>
            <a:ext uri="{FF2B5EF4-FFF2-40B4-BE49-F238E27FC236}">
              <a16:creationId xmlns:a16="http://schemas.microsoft.com/office/drawing/2014/main" id="{5CA25675-16A0-786D-4334-BF1EDCD4FF2B}"/>
            </a:ext>
          </a:extLst>
        </xdr:cNvPr>
        <xdr:cNvSpPr txBox="1"/>
      </xdr:nvSpPr>
      <xdr:spPr>
        <a:xfrm>
          <a:off x="5130543" y="7653010"/>
          <a:ext cx="98867" cy="205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7</a:t>
          </a:r>
        </a:p>
      </xdr:txBody>
    </xdr:sp>
    <xdr:clientData/>
  </xdr:twoCellAnchor>
  <xdr:twoCellAnchor>
    <xdr:from>
      <xdr:col>13</xdr:col>
      <xdr:colOff>294212</xdr:colOff>
      <xdr:row>44</xdr:row>
      <xdr:rowOff>152195</xdr:rowOff>
    </xdr:from>
    <xdr:to>
      <xdr:col>14</xdr:col>
      <xdr:colOff>25969</xdr:colOff>
      <xdr:row>45</xdr:row>
      <xdr:rowOff>159203</xdr:rowOff>
    </xdr:to>
    <xdr:sp macro="" textlink="">
      <xdr:nvSpPr>
        <xdr:cNvPr id="24" name="TextBox 23">
          <a:extLst>
            <a:ext uri="{FF2B5EF4-FFF2-40B4-BE49-F238E27FC236}">
              <a16:creationId xmlns:a16="http://schemas.microsoft.com/office/drawing/2014/main" id="{5AD20BEF-F1AE-8F07-4EAD-3B6388B42B94}"/>
            </a:ext>
          </a:extLst>
        </xdr:cNvPr>
        <xdr:cNvSpPr txBox="1"/>
      </xdr:nvSpPr>
      <xdr:spPr>
        <a:xfrm>
          <a:off x="5116243" y="7801961"/>
          <a:ext cx="98867" cy="205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4</a:t>
          </a:r>
        </a:p>
      </xdr:txBody>
    </xdr:sp>
    <xdr:clientData/>
  </xdr:twoCellAnchor>
  <xdr:twoCellAnchor>
    <xdr:from>
      <xdr:col>19</xdr:col>
      <xdr:colOff>69453</xdr:colOff>
      <xdr:row>31</xdr:row>
      <xdr:rowOff>128984</xdr:rowOff>
    </xdr:from>
    <xdr:to>
      <xdr:col>20</xdr:col>
      <xdr:colOff>266148</xdr:colOff>
      <xdr:row>32</xdr:row>
      <xdr:rowOff>125581</xdr:rowOff>
    </xdr:to>
    <xdr:sp macro="" textlink="">
      <xdr:nvSpPr>
        <xdr:cNvPr id="34" name="TextBox 33">
          <a:extLst>
            <a:ext uri="{FF2B5EF4-FFF2-40B4-BE49-F238E27FC236}">
              <a16:creationId xmlns:a16="http://schemas.microsoft.com/office/drawing/2014/main" id="{C21BABED-1105-C94C-80A3-E7B751D529FA}"/>
            </a:ext>
          </a:extLst>
        </xdr:cNvPr>
        <xdr:cNvSpPr txBox="1"/>
      </xdr:nvSpPr>
      <xdr:spPr>
        <a:xfrm>
          <a:off x="6727031" y="5199062"/>
          <a:ext cx="563805" cy="1950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i="0" u="none" strike="noStrike">
              <a:solidFill>
                <a:schemeClr val="bg2">
                  <a:lumMod val="25000"/>
                </a:schemeClr>
              </a:solidFill>
              <a:latin typeface="Arial" panose="020B0604020202020204" pitchFamily="34" charset="0"/>
              <a:cs typeface="Arial" panose="020B0604020202020204" pitchFamily="34" charset="0"/>
            </a:rPr>
            <a:t>LL = 50</a:t>
          </a:r>
        </a:p>
      </xdr:txBody>
    </xdr:sp>
    <xdr:clientData/>
  </xdr:twoCellAnchor>
  <xdr:twoCellAnchor>
    <xdr:from>
      <xdr:col>19</xdr:col>
      <xdr:colOff>297608</xdr:colOff>
      <xdr:row>37</xdr:row>
      <xdr:rowOff>197421</xdr:rowOff>
    </xdr:from>
    <xdr:to>
      <xdr:col>24</xdr:col>
      <xdr:colOff>19844</xdr:colOff>
      <xdr:row>39</xdr:row>
      <xdr:rowOff>101205</xdr:rowOff>
    </xdr:to>
    <xdr:sp macro="" textlink="'WS-ATB'!$G$117">
      <xdr:nvSpPr>
        <xdr:cNvPr id="35" name="TextBox 34">
          <a:extLst>
            <a:ext uri="{FF2B5EF4-FFF2-40B4-BE49-F238E27FC236}">
              <a16:creationId xmlns:a16="http://schemas.microsoft.com/office/drawing/2014/main" id="{0A6CDA7C-A4C1-F549-B686-14BB01A543DD}"/>
            </a:ext>
          </a:extLst>
        </xdr:cNvPr>
        <xdr:cNvSpPr txBox="1"/>
      </xdr:nvSpPr>
      <xdr:spPr>
        <a:xfrm>
          <a:off x="7173467" y="6329140"/>
          <a:ext cx="1498252" cy="30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8EF7EF-AA5E-4583-81A7-B22756B27704}" type="TxLink">
            <a:rPr lang="en-US" sz="900" b="1" i="0" u="none" strike="noStrike">
              <a:solidFill>
                <a:schemeClr val="accent6">
                  <a:lumMod val="75000"/>
                </a:schemeClr>
              </a:solidFill>
              <a:latin typeface="Arial" panose="020B0604020202020204" pitchFamily="34" charset="0"/>
              <a:cs typeface="Arial" panose="020B0604020202020204" pitchFamily="34" charset="0"/>
            </a:rPr>
            <a:pPr/>
            <a:t>USCS : CL - Lean Clay</a:t>
          </a:fld>
          <a:endParaRPr lang="en-US" sz="900" b="1">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0</xdr:colOff>
      <xdr:row>44</xdr:row>
      <xdr:rowOff>93267</xdr:rowOff>
    </xdr:from>
    <xdr:to>
      <xdr:col>11</xdr:col>
      <xdr:colOff>605233</xdr:colOff>
      <xdr:row>57</xdr:row>
      <xdr:rowOff>172642</xdr:rowOff>
    </xdr:to>
    <xdr:graphicFrame macro="">
      <xdr:nvGraphicFramePr>
        <xdr:cNvPr id="36" name="Chart 35">
          <a:extLst>
            <a:ext uri="{FF2B5EF4-FFF2-40B4-BE49-F238E27FC236}">
              <a16:creationId xmlns:a16="http://schemas.microsoft.com/office/drawing/2014/main" id="{01CB19F7-266F-1444-8458-D7F0A99ED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266012</xdr:colOff>
          <xdr:row>58</xdr:row>
          <xdr:rowOff>178468</xdr:rowOff>
        </xdr:from>
        <xdr:to>
          <xdr:col>6</xdr:col>
          <xdr:colOff>360701</xdr:colOff>
          <xdr:row>67</xdr:row>
          <xdr:rowOff>48429</xdr:rowOff>
        </xdr:to>
        <xdr:pic>
          <xdr:nvPicPr>
            <xdr:cNvPr id="8" name="Picture 7">
              <a:extLst>
                <a:ext uri="{FF2B5EF4-FFF2-40B4-BE49-F238E27FC236}">
                  <a16:creationId xmlns:a16="http://schemas.microsoft.com/office/drawing/2014/main" id="{C97F3AB6-6682-B7C9-676C-A84E457A7E1D}"/>
                </a:ext>
              </a:extLst>
            </xdr:cNvPr>
            <xdr:cNvPicPr>
              <a:picLocks noChangeAspect="1" noChangeArrowheads="1"/>
              <a:extLst>
                <a:ext uri="{84589F7E-364E-4C9E-8A38-B11213B215E9}">
                  <a14:cameraTool cellRange="TTD_1ATB" spid="_x0000_s74557"/>
                </a:ext>
              </a:extLst>
            </xdr:cNvPicPr>
          </xdr:nvPicPr>
          <xdr:blipFill>
            <a:blip xmlns:r="http://schemas.openxmlformats.org/officeDocument/2006/relationships" r:embed="rId4"/>
            <a:srcRect/>
            <a:stretch>
              <a:fillRect/>
            </a:stretch>
          </xdr:blipFill>
          <xdr:spPr bwMode="auto">
            <a:xfrm>
              <a:off x="1000231" y="10596437"/>
              <a:ext cx="1662345" cy="160628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87662</xdr:colOff>
          <xdr:row>58</xdr:row>
          <xdr:rowOff>180820</xdr:rowOff>
        </xdr:from>
        <xdr:to>
          <xdr:col>11</xdr:col>
          <xdr:colOff>642358</xdr:colOff>
          <xdr:row>66</xdr:row>
          <xdr:rowOff>42049</xdr:rowOff>
        </xdr:to>
        <xdr:pic>
          <xdr:nvPicPr>
            <xdr:cNvPr id="9" name="Picture 8">
              <a:extLst>
                <a:ext uri="{FF2B5EF4-FFF2-40B4-BE49-F238E27FC236}">
                  <a16:creationId xmlns:a16="http://schemas.microsoft.com/office/drawing/2014/main" id="{98EBE7EC-AA16-48AA-FDB6-A97462F09FDB}"/>
                </a:ext>
              </a:extLst>
            </xdr:cNvPr>
            <xdr:cNvPicPr>
              <a:picLocks noChangeAspect="1" noChangeArrowheads="1"/>
              <a:extLst>
                <a:ext uri="{84589F7E-364E-4C9E-8A38-B11213B215E9}">
                  <a14:cameraTool cellRange="TTD_2ATB" spid="_x0000_s74558"/>
                </a:ext>
              </a:extLst>
            </xdr:cNvPicPr>
          </xdr:nvPicPr>
          <xdr:blipFill>
            <a:blip xmlns:r="http://schemas.openxmlformats.org/officeDocument/2006/relationships" r:embed="rId5"/>
            <a:srcRect/>
            <a:stretch>
              <a:fillRect/>
            </a:stretch>
          </xdr:blipFill>
          <xdr:spPr bwMode="auto">
            <a:xfrm>
              <a:off x="3008662" y="10848820"/>
              <a:ext cx="1650071" cy="146460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29269</xdr:colOff>
          <xdr:row>59</xdr:row>
          <xdr:rowOff>94831</xdr:rowOff>
        </xdr:from>
        <xdr:to>
          <xdr:col>19</xdr:col>
          <xdr:colOff>166687</xdr:colOff>
          <xdr:row>65</xdr:row>
          <xdr:rowOff>100748</xdr:rowOff>
        </xdr:to>
        <xdr:pic>
          <xdr:nvPicPr>
            <xdr:cNvPr id="10" name="Picture 9">
              <a:extLst>
                <a:ext uri="{FF2B5EF4-FFF2-40B4-BE49-F238E27FC236}">
                  <a16:creationId xmlns:a16="http://schemas.microsoft.com/office/drawing/2014/main" id="{50668487-8EA2-BD49-5B13-AD09393091F5}"/>
                </a:ext>
              </a:extLst>
            </xdr:cNvPr>
            <xdr:cNvPicPr>
              <a:picLocks noChangeAspect="1" noChangeArrowheads="1"/>
              <a:extLst>
                <a:ext uri="{84589F7E-364E-4C9E-8A38-B11213B215E9}">
                  <a14:cameraTool cellRange="TTD_3ATB" spid="_x0000_s74559"/>
                </a:ext>
              </a:extLst>
            </xdr:cNvPicPr>
          </xdr:nvPicPr>
          <xdr:blipFill>
            <a:blip xmlns:r="http://schemas.openxmlformats.org/officeDocument/2006/relationships" r:embed="rId6"/>
            <a:srcRect/>
            <a:stretch>
              <a:fillRect/>
            </a:stretch>
          </xdr:blipFill>
          <xdr:spPr bwMode="auto">
            <a:xfrm>
              <a:off x="4839394" y="10969206"/>
              <a:ext cx="2082105" cy="1244167"/>
            </a:xfrm>
            <a:prstGeom prst="rect">
              <a:avLst/>
            </a:prstGeom>
            <a:noFill/>
            <a:ln w="9525">
              <a:noFill/>
              <a:miter lim="800000"/>
              <a:headEnd/>
              <a:tailEnd/>
            </a:ln>
          </xdr:spPr>
        </xdr:pic>
        <xdr:clientData/>
      </xdr:twoCellAnchor>
    </mc:Choice>
    <mc:Fallback/>
  </mc:AlternateContent>
  <xdr:twoCellAnchor editAs="oneCell">
    <xdr:from>
      <xdr:col>4</xdr:col>
      <xdr:colOff>29766</xdr:colOff>
      <xdr:row>0</xdr:row>
      <xdr:rowOff>29765</xdr:rowOff>
    </xdr:from>
    <xdr:to>
      <xdr:col>5</xdr:col>
      <xdr:colOff>300096</xdr:colOff>
      <xdr:row>2</xdr:row>
      <xdr:rowOff>36115</xdr:rowOff>
    </xdr:to>
    <xdr:pic>
      <xdr:nvPicPr>
        <xdr:cNvPr id="11" name="Picture 10">
          <a:extLst>
            <a:ext uri="{FF2B5EF4-FFF2-40B4-BE49-F238E27FC236}">
              <a16:creationId xmlns:a16="http://schemas.microsoft.com/office/drawing/2014/main" id="{513E6792-3893-4E8B-AA8A-8D9F7C1D6AC1}"/>
            </a:ext>
          </a:extLst>
        </xdr:cNvPr>
        <xdr:cNvPicPr>
          <a:picLocks noChangeAspect="1"/>
        </xdr:cNvPicPr>
      </xdr:nvPicPr>
      <xdr:blipFill rotWithShape="1">
        <a:blip xmlns:r="http://schemas.openxmlformats.org/officeDocument/2006/relationships" r:embed="rId7"/>
        <a:srcRect l="37279" t="61975" r="38095" b="5285"/>
        <a:stretch>
          <a:fillRect/>
        </a:stretch>
      </xdr:blipFill>
      <xdr:spPr>
        <a:xfrm>
          <a:off x="1597422" y="29765"/>
          <a:ext cx="637440" cy="561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212389</xdr:colOff>
      <xdr:row>67</xdr:row>
      <xdr:rowOff>177072</xdr:rowOff>
    </xdr:from>
    <xdr:to>
      <xdr:col>10</xdr:col>
      <xdr:colOff>634767</xdr:colOff>
      <xdr:row>97</xdr:row>
      <xdr:rowOff>178205</xdr:rowOff>
    </xdr:to>
    <xdr:graphicFrame macro="">
      <xdr:nvGraphicFramePr>
        <xdr:cNvPr id="2" name="Chart 1">
          <a:extLst>
            <a:ext uri="{FF2B5EF4-FFF2-40B4-BE49-F238E27FC236}">
              <a16:creationId xmlns:a16="http://schemas.microsoft.com/office/drawing/2014/main" id="{9DDFEFD3-525B-4F4B-8160-38410626E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0.27518</cdr:x>
      <cdr:y>0.04937</cdr:y>
    </cdr:from>
    <cdr:to>
      <cdr:x>0.40604</cdr:x>
      <cdr:y>0.08059</cdr:y>
    </cdr:to>
    <cdr:sp macro="" textlink="">
      <cdr:nvSpPr>
        <cdr:cNvPr id="32" name="TextBox 1">
          <a:extLst xmlns:a="http://schemas.openxmlformats.org/drawingml/2006/main">
            <a:ext uri="{FF2B5EF4-FFF2-40B4-BE49-F238E27FC236}">
              <a16:creationId xmlns:a16="http://schemas.microsoft.com/office/drawing/2014/main" id="{88A228EE-2CBC-56B4-9288-EE0E3F2966C8}"/>
            </a:ext>
          </a:extLst>
        </cdr:cNvPr>
        <cdr:cNvSpPr txBox="1"/>
      </cdr:nvSpPr>
      <cdr:spPr>
        <a:xfrm xmlns:a="http://schemas.openxmlformats.org/drawingml/2006/main">
          <a:off x="2456991" y="299082"/>
          <a:ext cx="1168376" cy="1891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0">
              <a:solidFill>
                <a:schemeClr val="accent6">
                  <a:lumMod val="75000"/>
                </a:schemeClr>
              </a:solidFill>
              <a:latin typeface="Arial" panose="020B0604020202020204" pitchFamily="34" charset="0"/>
              <a:cs typeface="Arial" panose="020B0604020202020204" pitchFamily="34" charset="0"/>
            </a:rPr>
            <a:t>SIEVE OPENING (mm)</a:t>
          </a:r>
        </a:p>
      </cdr:txBody>
    </cdr:sp>
  </cdr:relSizeAnchor>
  <cdr:relSizeAnchor xmlns:cdr="http://schemas.openxmlformats.org/drawingml/2006/chartDrawing">
    <cdr:from>
      <cdr:x>0.17577</cdr:x>
      <cdr:y>0.01968</cdr:y>
    </cdr:from>
    <cdr:to>
      <cdr:x>0.94963</cdr:x>
      <cdr:y>0.89635</cdr:y>
    </cdr:to>
    <cdr:grpSp>
      <cdr:nvGrpSpPr>
        <cdr:cNvPr id="34" name="Group 33">
          <a:extLst xmlns:a="http://schemas.openxmlformats.org/drawingml/2006/main">
            <a:ext uri="{FF2B5EF4-FFF2-40B4-BE49-F238E27FC236}">
              <a16:creationId xmlns:a16="http://schemas.microsoft.com/office/drawing/2014/main" id="{8107A9C4-1C85-228F-D7AD-2D5ECF06DD94}"/>
            </a:ext>
          </a:extLst>
        </cdr:cNvPr>
        <cdr:cNvGrpSpPr/>
      </cdr:nvGrpSpPr>
      <cdr:grpSpPr>
        <a:xfrm xmlns:a="http://schemas.openxmlformats.org/drawingml/2006/main">
          <a:off x="1748451" y="121866"/>
          <a:ext cx="7697878" cy="5428677"/>
          <a:chOff x="1585080" y="117935"/>
          <a:chExt cx="6978610" cy="5253592"/>
        </a:xfrm>
      </cdr:grpSpPr>
      <cdr:grpSp>
        <cdr:nvGrpSpPr>
          <cdr:cNvPr id="3" name="Group 2">
            <a:extLst xmlns:a="http://schemas.openxmlformats.org/drawingml/2006/main">
              <a:ext uri="{FF2B5EF4-FFF2-40B4-BE49-F238E27FC236}">
                <a16:creationId xmlns:a16="http://schemas.microsoft.com/office/drawing/2014/main" id="{801193E2-C350-3AAC-7D49-C6F98BA5C1A6}"/>
              </a:ext>
            </a:extLst>
          </cdr:cNvPr>
          <cdr:cNvGrpSpPr/>
        </cdr:nvGrpSpPr>
        <cdr:grpSpPr>
          <a:xfrm xmlns:a="http://schemas.openxmlformats.org/drawingml/2006/main">
            <a:off x="2853902" y="117935"/>
            <a:ext cx="5709788" cy="384490"/>
            <a:chOff x="2853234" y="117437"/>
            <a:chExt cx="5708452" cy="382865"/>
          </a:xfrm>
        </cdr:grpSpPr>
        <cdr:sp macro="" textlink="">
          <cdr:nvSpPr>
            <cdr:cNvPr id="2" name="TextBox 3">
              <a:extLst xmlns:a="http://schemas.openxmlformats.org/drawingml/2006/main">
                <a:ext uri="{FF2B5EF4-FFF2-40B4-BE49-F238E27FC236}">
                  <a16:creationId xmlns:a16="http://schemas.microsoft.com/office/drawing/2014/main" id="{7DE38460-9498-1840-9A9F-5652D8E66FB0}"/>
                </a:ext>
              </a:extLst>
            </cdr:cNvPr>
            <cdr:cNvSpPr txBox="1"/>
          </cdr:nvSpPr>
          <cdr:spPr>
            <a:xfrm xmlns:a="http://schemas.openxmlformats.org/drawingml/2006/main">
              <a:off x="3282928" y="162491"/>
              <a:ext cx="5141266" cy="2163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D" sz="1100" b="0" i="0" u="none" strike="noStrike">
                  <a:solidFill>
                    <a:schemeClr val="dk1"/>
                  </a:solidFill>
                  <a:effectLst/>
                  <a:latin typeface="+mn-lt"/>
                  <a:ea typeface="+mn-ea"/>
                  <a:cs typeface="+mn-cs"/>
                </a:rPr>
                <a:t> </a:t>
              </a:r>
              <a:r>
                <a:rPr lang="en-ID" sz="600" b="0" i="0" u="none" strike="noStrike">
                  <a:solidFill>
                    <a:schemeClr val="dk1"/>
                  </a:solidFill>
                  <a:effectLst/>
                  <a:latin typeface="Arial" panose="020B0604020202020204" pitchFamily="34" charset="0"/>
                  <a:ea typeface="+mn-ea"/>
                  <a:cs typeface="Arial" panose="020B0604020202020204" pitchFamily="34" charset="0"/>
                </a:rPr>
                <a:t>|</a:t>
              </a:r>
              <a:r>
                <a:rPr lang="en-ID" sz="1100" b="0" i="0" u="none" strike="noStrike">
                  <a:solidFill>
                    <a:schemeClr val="dk1"/>
                  </a:solidFill>
                  <a:effectLst/>
                  <a:latin typeface="+mn-lt"/>
                  <a:ea typeface="+mn-ea"/>
                  <a:cs typeface="+mn-cs"/>
                </a:rPr>
                <a:t> </a:t>
              </a:r>
              <a:r>
                <a:rPr lang="en-ID" sz="1100" b="0" i="0" u="none" strike="noStrike" baseline="0">
                  <a:solidFill>
                    <a:schemeClr val="dk1"/>
                  </a:solidFill>
                  <a:effectLst/>
                  <a:latin typeface="+mn-lt"/>
                  <a:ea typeface="+mn-ea"/>
                  <a:cs typeface="+mn-cs"/>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a:t>
              </a:r>
              <a:endParaRPr lang="en-US" sz="600" b="0" i="0" u="none" strike="noStrike">
                <a:solidFill>
                  <a:schemeClr val="dk1"/>
                </a:solidFill>
                <a:effectLst/>
                <a:latin typeface="Arial" panose="020B0604020202020204" pitchFamily="34" charset="0"/>
                <a:ea typeface="+mn-ea"/>
                <a:cs typeface="Arial" panose="020B0604020202020204" pitchFamily="34" charset="0"/>
              </a:endParaRPr>
            </a:p>
          </cdr:txBody>
        </cdr:sp>
        <cdr:sp macro="" textlink="">
          <cdr:nvSpPr>
            <cdr:cNvPr id="4" name="TextBox 3">
              <a:extLst xmlns:a="http://schemas.openxmlformats.org/drawingml/2006/main">
                <a:ext uri="{FF2B5EF4-FFF2-40B4-BE49-F238E27FC236}">
                  <a16:creationId xmlns:a16="http://schemas.microsoft.com/office/drawing/2014/main" id="{1960E18B-B01C-572E-8FFA-42605C5CD664}"/>
                </a:ext>
              </a:extLst>
            </cdr:cNvPr>
            <cdr:cNvSpPr txBox="1"/>
          </cdr:nvSpPr>
          <cdr:spPr>
            <a:xfrm xmlns:a="http://schemas.openxmlformats.org/drawingml/2006/main">
              <a:off x="3250471" y="132117"/>
              <a:ext cx="412563" cy="186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500">
                  <a:solidFill>
                    <a:schemeClr val="accent2"/>
                  </a:solidFill>
                  <a:latin typeface="Arial" panose="020B0604020202020204" pitchFamily="34" charset="0"/>
                  <a:cs typeface="Arial" panose="020B0604020202020204" pitchFamily="34" charset="0"/>
                </a:rPr>
                <a:t>#200</a:t>
              </a:r>
            </a:p>
          </cdr:txBody>
        </cdr:sp>
        <cdr:sp macro="" textlink="">
          <cdr:nvSpPr>
            <cdr:cNvPr id="5" name="TextBox 1">
              <a:extLst xmlns:a="http://schemas.openxmlformats.org/drawingml/2006/main">
                <a:ext uri="{FF2B5EF4-FFF2-40B4-BE49-F238E27FC236}">
                  <a16:creationId xmlns:a16="http://schemas.microsoft.com/office/drawing/2014/main" id="{E7EFBBA7-C316-5108-A02A-4B433A8F4F99}"/>
                </a:ext>
              </a:extLst>
            </cdr:cNvPr>
            <cdr:cNvSpPr txBox="1"/>
          </cdr:nvSpPr>
          <cdr:spPr>
            <a:xfrm xmlns:a="http://schemas.openxmlformats.org/drawingml/2006/main">
              <a:off x="3228562" y="305886"/>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0.075</a:t>
              </a:r>
            </a:p>
          </cdr:txBody>
        </cdr:sp>
        <cdr:sp macro="" textlink="">
          <cdr:nvSpPr>
            <cdr:cNvPr id="6"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3729841" y="133310"/>
              <a:ext cx="412654"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#100</a:t>
              </a:r>
            </a:p>
          </cdr:txBody>
        </cdr:sp>
        <cdr:sp macro="" textlink="">
          <cdr:nvSpPr>
            <cdr:cNvPr id="7"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3742914" y="298128"/>
              <a:ext cx="393000"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0.15</a:t>
              </a:r>
            </a:p>
          </cdr:txBody>
        </cdr:sp>
        <cdr:sp macro="" textlink="">
          <cdr:nvSpPr>
            <cdr:cNvPr id="8"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5551035" y="137368"/>
              <a:ext cx="412564"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#10</a:t>
              </a:r>
            </a:p>
          </cdr:txBody>
        </cdr:sp>
        <cdr:sp macro="" textlink="">
          <cdr:nvSpPr>
            <cdr:cNvPr id="9"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4453901" y="293235"/>
              <a:ext cx="467921"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0.425</a:t>
              </a:r>
            </a:p>
          </cdr:txBody>
        </cdr:sp>
        <cdr:sp macro="" textlink="">
          <cdr:nvSpPr>
            <cdr:cNvPr id="10"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4478424" y="138860"/>
              <a:ext cx="412564"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#40</a:t>
              </a:r>
            </a:p>
          </cdr:txBody>
        </cdr:sp>
        <cdr:sp macro="" textlink="">
          <cdr:nvSpPr>
            <cdr:cNvPr id="11"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4951394" y="299262"/>
              <a:ext cx="467920"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0.85</a:t>
              </a:r>
            </a:p>
            <a:p xmlns:a="http://schemas.openxmlformats.org/drawingml/2006/main">
              <a:endParaRPr lang="en-US" sz="600">
                <a:latin typeface="Arial" panose="020B0604020202020204" pitchFamily="34" charset="0"/>
                <a:cs typeface="Arial" panose="020B0604020202020204" pitchFamily="34" charset="0"/>
              </a:endParaRPr>
            </a:p>
          </cdr:txBody>
        </cdr:sp>
        <cdr:sp macro="" textlink="">
          <cdr:nvSpPr>
            <cdr:cNvPr id="12"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4969425" y="117437"/>
              <a:ext cx="412564"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#20</a:t>
              </a:r>
            </a:p>
          </cdr:txBody>
        </cdr:sp>
        <cdr:sp macro="" textlink="">
          <cdr:nvSpPr>
            <cdr:cNvPr id="13"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5555724" y="305707"/>
              <a:ext cx="467920"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2.00</a:t>
              </a:r>
            </a:p>
          </cdr:txBody>
        </cdr:sp>
        <cdr:sp macro="" textlink="">
          <cdr:nvSpPr>
            <cdr:cNvPr id="15"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6162758" y="301112"/>
              <a:ext cx="467921"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4.75</a:t>
              </a:r>
            </a:p>
            <a:p xmlns:a="http://schemas.openxmlformats.org/drawingml/2006/main">
              <a:endParaRPr lang="en-US" sz="500">
                <a:latin typeface="Arial" panose="020B0604020202020204" pitchFamily="34" charset="0"/>
                <a:cs typeface="Arial" panose="020B0604020202020204" pitchFamily="34" charset="0"/>
              </a:endParaRPr>
            </a:p>
          </cdr:txBody>
        </cdr:sp>
        <cdr:sp macro="" textlink="">
          <cdr:nvSpPr>
            <cdr:cNvPr id="16"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6178716" y="138263"/>
              <a:ext cx="308702" cy="2547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#4</a:t>
              </a:r>
            </a:p>
          </cdr:txBody>
        </cdr:sp>
        <cdr:sp macro="" textlink="">
          <cdr:nvSpPr>
            <cdr:cNvPr id="17"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6639695" y="306184"/>
              <a:ext cx="467920"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9.52</a:t>
              </a:r>
            </a:p>
          </cdr:txBody>
        </cdr:sp>
        <cdr:sp macro="" textlink="">
          <cdr:nvSpPr>
            <cdr:cNvPr id="18"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6847870" y="132714"/>
              <a:ext cx="431677"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1/2"</a:t>
              </a:r>
            </a:p>
          </cdr:txBody>
        </cdr:sp>
        <cdr:sp macro="" textlink="">
          <cdr:nvSpPr>
            <cdr:cNvPr id="19"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6646817" y="131759"/>
              <a:ext cx="453405"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3/8"</a:t>
              </a:r>
            </a:p>
          </cdr:txBody>
        </cdr:sp>
        <cdr:sp macro="" textlink="">
          <cdr:nvSpPr>
            <cdr:cNvPr id="20"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122401" y="131401"/>
              <a:ext cx="489649"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3/4"</a:t>
              </a:r>
            </a:p>
          </cdr:txBody>
        </cdr:sp>
        <cdr:sp macro="" textlink="">
          <cdr:nvSpPr>
            <cdr:cNvPr id="21"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348969" y="128596"/>
              <a:ext cx="412563"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a:t>
              </a:r>
            </a:p>
          </cdr:txBody>
        </cdr:sp>
        <cdr:sp macro="" textlink="">
          <cdr:nvSpPr>
            <cdr:cNvPr id="22"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595461" y="126388"/>
              <a:ext cx="467921"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a:t>
              </a:r>
              <a:r>
                <a:rPr lang="en-US" sz="500" baseline="30000">
                  <a:solidFill>
                    <a:schemeClr val="accent2"/>
                  </a:solidFill>
                  <a:latin typeface="Arial" panose="020B0604020202020204" pitchFamily="34" charset="0"/>
                  <a:cs typeface="Arial" panose="020B0604020202020204" pitchFamily="34" charset="0"/>
                </a:rPr>
                <a:t>1/2</a:t>
              </a:r>
              <a:r>
                <a:rPr lang="en-US" sz="500">
                  <a:solidFill>
                    <a:schemeClr val="accent2"/>
                  </a:solidFill>
                  <a:latin typeface="Arial" panose="020B0604020202020204" pitchFamily="34" charset="0"/>
                  <a:cs typeface="Arial" panose="020B0604020202020204" pitchFamily="34" charset="0"/>
                </a:rPr>
                <a:t>"</a:t>
              </a:r>
            </a:p>
          </cdr:txBody>
        </cdr:sp>
        <cdr:sp macro="" textlink="">
          <cdr:nvSpPr>
            <cdr:cNvPr id="23"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847002" y="119944"/>
              <a:ext cx="323127"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2"</a:t>
              </a:r>
            </a:p>
          </cdr:txBody>
        </cdr:sp>
        <cdr:sp macro="" textlink="">
          <cdr:nvSpPr>
            <cdr:cNvPr id="24"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8118378" y="126388"/>
              <a:ext cx="337642"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3"</a:t>
              </a:r>
            </a:p>
          </cdr:txBody>
        </cdr:sp>
        <cdr:sp macro="" textlink="">
          <cdr:nvSpPr>
            <cdr:cNvPr id="25"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6809553" y="307557"/>
              <a:ext cx="467920"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12.70</a:t>
              </a:r>
            </a:p>
          </cdr:txBody>
        </cdr:sp>
        <cdr:sp macro="" textlink="">
          <cdr:nvSpPr>
            <cdr:cNvPr id="26"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321380" y="314002"/>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25.4</a:t>
              </a:r>
            </a:p>
          </cdr:txBody>
        </cdr:sp>
        <cdr:sp macro="" textlink="">
          <cdr:nvSpPr>
            <cdr:cNvPr id="27"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587798" y="314002"/>
              <a:ext cx="467920"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37.5</a:t>
              </a:r>
            </a:p>
          </cdr:txBody>
        </cdr:sp>
        <cdr:sp macro="" textlink="">
          <cdr:nvSpPr>
            <cdr:cNvPr id="28"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088502" y="307557"/>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19.05</a:t>
              </a:r>
            </a:p>
          </cdr:txBody>
        </cdr:sp>
        <cdr:sp macro="" textlink="">
          <cdr:nvSpPr>
            <cdr:cNvPr id="29"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825995" y="314002"/>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50.8</a:t>
              </a:r>
            </a:p>
          </cdr:txBody>
        </cdr:sp>
        <cdr:sp macro="" textlink="">
          <cdr:nvSpPr>
            <cdr:cNvPr id="30"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8093765" y="307557"/>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76.2</a:t>
              </a:r>
            </a:p>
          </cdr:txBody>
        </cdr:sp>
        <cdr:sp macro="" textlink="">
          <cdr:nvSpPr>
            <cdr:cNvPr id="31" name="TextBox 1">
              <a:extLst xmlns:a="http://schemas.openxmlformats.org/drawingml/2006/main">
                <a:ext uri="{FF2B5EF4-FFF2-40B4-BE49-F238E27FC236}">
                  <a16:creationId xmlns:a16="http://schemas.microsoft.com/office/drawing/2014/main" id="{336ECCE6-AA13-A10F-C6D3-C30AA5CB7876}"/>
                </a:ext>
              </a:extLst>
            </cdr:cNvPr>
            <cdr:cNvSpPr txBox="1"/>
          </cdr:nvSpPr>
          <cdr:spPr>
            <a:xfrm xmlns:a="http://schemas.openxmlformats.org/drawingml/2006/main">
              <a:off x="2853234" y="132952"/>
              <a:ext cx="692234" cy="192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0">
                  <a:solidFill>
                    <a:schemeClr val="accent2"/>
                  </a:solidFill>
                  <a:latin typeface="Arial" panose="020B0604020202020204" pitchFamily="34" charset="0"/>
                  <a:cs typeface="Arial" panose="020B0604020202020204" pitchFamily="34" charset="0"/>
                </a:rPr>
                <a:t>SIEVE NO</a:t>
              </a:r>
              <a:r>
                <a:rPr lang="en-US" sz="500" b="1">
                  <a:solidFill>
                    <a:schemeClr val="accent2"/>
                  </a:solidFill>
                  <a:latin typeface="Arial" panose="020B0604020202020204" pitchFamily="34" charset="0"/>
                  <a:cs typeface="Arial" panose="020B0604020202020204" pitchFamily="34" charset="0"/>
                </a:rPr>
                <a:t>.</a:t>
              </a:r>
            </a:p>
          </cdr:txBody>
        </cdr:sp>
      </cdr:grpSp>
      <cdr:sp macro="" textlink="">
        <cdr:nvSpPr>
          <cdr:cNvPr id="33" name="TextBox 3">
            <a:extLst xmlns:a="http://schemas.openxmlformats.org/drawingml/2006/main">
              <a:ext uri="{FF2B5EF4-FFF2-40B4-BE49-F238E27FC236}">
                <a16:creationId xmlns:a16="http://schemas.microsoft.com/office/drawing/2014/main" id="{0BD8BE2D-9515-75E1-8E5D-1F3B94702D5A}"/>
              </a:ext>
            </a:extLst>
          </cdr:cNvPr>
          <cdr:cNvSpPr txBox="1"/>
        </cdr:nvSpPr>
        <cdr:spPr>
          <a:xfrm xmlns:a="http://schemas.openxmlformats.org/drawingml/2006/main">
            <a:off x="1585080" y="5075729"/>
            <a:ext cx="5685710" cy="21729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baseline="0">
                <a:solidFill>
                  <a:schemeClr val="accent4">
                    <a:lumMod val="50000"/>
                  </a:schemeClr>
                </a:solidFill>
                <a:effectLst/>
                <a:latin typeface="Arial" panose="020B0604020202020204" pitchFamily="34" charset="0"/>
                <a:ea typeface="+mn-ea"/>
                <a:cs typeface="Arial" panose="020B0604020202020204" pitchFamily="34" charset="0"/>
              </a:rPr>
              <a:t>      </a:t>
            </a:r>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accent4">
                    <a:lumMod val="50000"/>
                  </a:schemeClr>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          </a:t>
            </a:r>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                         </a:t>
            </a:r>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                |                                                                      </a:t>
            </a:r>
            <a:endParaRPr lang="en-US" sz="1000" b="0" i="0" u="none" strike="noStrike">
              <a:solidFill>
                <a:schemeClr val="dk1"/>
              </a:solidFill>
              <a:effectLst/>
              <a:latin typeface="Arial" panose="020B0604020202020204" pitchFamily="34" charset="0"/>
              <a:ea typeface="+mn-ea"/>
              <a:cs typeface="Arial" panose="020B0604020202020204" pitchFamily="34" charset="0"/>
            </a:endParaRPr>
          </a:p>
        </cdr:txBody>
      </cdr:sp>
      <cdr:sp macro="" textlink="">
        <cdr:nvSpPr>
          <cdr:cNvPr id="35" name="TextBox 1">
            <a:extLst xmlns:a="http://schemas.openxmlformats.org/drawingml/2006/main">
              <a:ext uri="{FF2B5EF4-FFF2-40B4-BE49-F238E27FC236}">
                <a16:creationId xmlns:a16="http://schemas.microsoft.com/office/drawing/2014/main" id="{47C58D4D-6EF4-B7CA-F39E-CE0FFDCB31EC}"/>
              </a:ext>
            </a:extLst>
          </cdr:cNvPr>
          <cdr:cNvSpPr txBox="1"/>
        </cdr:nvSpPr>
        <cdr:spPr>
          <a:xfrm xmlns:a="http://schemas.openxmlformats.org/drawingml/2006/main">
            <a:off x="2804123" y="5129364"/>
            <a:ext cx="692486" cy="1870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latin typeface="Arial" panose="020B0604020202020204" pitchFamily="34" charset="0"/>
                <a:cs typeface="Arial" panose="020B0604020202020204" pitchFamily="34" charset="0"/>
              </a:rPr>
              <a:t> </a:t>
            </a:r>
            <a:r>
              <a:rPr lang="en-US" sz="500" b="1" baseline="0">
                <a:latin typeface="Arial" panose="020B0604020202020204" pitchFamily="34" charset="0"/>
                <a:cs typeface="Arial" panose="020B0604020202020204" pitchFamily="34" charset="0"/>
              </a:rPr>
              <a:t> </a:t>
            </a:r>
            <a:r>
              <a:rPr lang="en-US" sz="500" b="1" baseline="0">
                <a:solidFill>
                  <a:schemeClr val="accent4">
                    <a:lumMod val="50000"/>
                  </a:schemeClr>
                </a:solidFill>
                <a:latin typeface="Arial" panose="020B0604020202020204" pitchFamily="34" charset="0"/>
                <a:cs typeface="Arial" panose="020B0604020202020204" pitchFamily="34" charset="0"/>
              </a:rPr>
              <a:t>SILT</a:t>
            </a:r>
            <a:endParaRPr lang="en-US" sz="500" b="1">
              <a:solidFill>
                <a:schemeClr val="accent4">
                  <a:lumMod val="50000"/>
                </a:schemeClr>
              </a:solidFill>
              <a:latin typeface="Arial" panose="020B0604020202020204" pitchFamily="34" charset="0"/>
              <a:cs typeface="Arial" panose="020B0604020202020204" pitchFamily="34" charset="0"/>
            </a:endParaRPr>
          </a:p>
        </cdr:txBody>
      </cdr:sp>
      <cdr:sp macro="" textlink="">
        <cdr:nvSpPr>
          <cdr:cNvPr id="36" name="TextBox 1">
            <a:extLst xmlns:a="http://schemas.openxmlformats.org/drawingml/2006/main">
              <a:ext uri="{FF2B5EF4-FFF2-40B4-BE49-F238E27FC236}">
                <a16:creationId xmlns:a16="http://schemas.microsoft.com/office/drawing/2014/main" id="{5A04405B-AC3F-C617-BCD9-A6AB3AF6CAD2}"/>
              </a:ext>
            </a:extLst>
          </cdr:cNvPr>
          <cdr:cNvSpPr txBox="1"/>
        </cdr:nvSpPr>
        <cdr:spPr>
          <a:xfrm xmlns:a="http://schemas.openxmlformats.org/drawingml/2006/main">
            <a:off x="3784912" y="5127026"/>
            <a:ext cx="692396" cy="1870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FINE SAND</a:t>
            </a:r>
          </a:p>
        </cdr:txBody>
      </cdr:sp>
      <cdr:sp macro="" textlink="">
        <cdr:nvSpPr>
          <cdr:cNvPr id="72" name="TextBox 1">
            <a:extLst xmlns:a="http://schemas.openxmlformats.org/drawingml/2006/main">
              <a:ext uri="{FF2B5EF4-FFF2-40B4-BE49-F238E27FC236}">
                <a16:creationId xmlns:a16="http://schemas.microsoft.com/office/drawing/2014/main" id="{B9E6DD63-BCD1-7A18-21D7-0CBA5AE1E54F}"/>
              </a:ext>
            </a:extLst>
          </cdr:cNvPr>
          <cdr:cNvSpPr txBox="1"/>
        </cdr:nvSpPr>
        <cdr:spPr>
          <a:xfrm xmlns:a="http://schemas.openxmlformats.org/drawingml/2006/main">
            <a:off x="4849839" y="5124210"/>
            <a:ext cx="852463" cy="1870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MEDIUM </a:t>
            </a:r>
            <a:r>
              <a:rPr lang="en-US" sz="500" b="1" baseline="0">
                <a:solidFill>
                  <a:schemeClr val="accent4">
                    <a:lumMod val="50000"/>
                  </a:schemeClr>
                </a:solidFill>
                <a:latin typeface="Arial" panose="020B0604020202020204" pitchFamily="34" charset="0"/>
                <a:cs typeface="Arial" panose="020B0604020202020204" pitchFamily="34" charset="0"/>
              </a:rPr>
              <a:t> </a:t>
            </a:r>
            <a:r>
              <a:rPr lang="en-US" sz="500" b="1">
                <a:solidFill>
                  <a:schemeClr val="accent4">
                    <a:lumMod val="50000"/>
                  </a:schemeClr>
                </a:solidFill>
                <a:latin typeface="Arial" panose="020B0604020202020204" pitchFamily="34" charset="0"/>
                <a:cs typeface="Arial" panose="020B0604020202020204" pitchFamily="34" charset="0"/>
              </a:rPr>
              <a:t>SAND</a:t>
            </a:r>
          </a:p>
        </cdr:txBody>
      </cdr:sp>
      <cdr:sp macro="" textlink="">
        <cdr:nvSpPr>
          <cdr:cNvPr id="73" name="TextBox 1">
            <a:extLst xmlns:a="http://schemas.openxmlformats.org/drawingml/2006/main">
              <a:ext uri="{FF2B5EF4-FFF2-40B4-BE49-F238E27FC236}">
                <a16:creationId xmlns:a16="http://schemas.microsoft.com/office/drawing/2014/main" id="{B9E6DD63-BCD1-7A18-21D7-0CBA5AE1E54F}"/>
              </a:ext>
            </a:extLst>
          </cdr:cNvPr>
          <cdr:cNvSpPr txBox="1"/>
        </cdr:nvSpPr>
        <cdr:spPr>
          <a:xfrm xmlns:a="http://schemas.openxmlformats.org/drawingml/2006/main">
            <a:off x="5805828" y="5119596"/>
            <a:ext cx="537919" cy="2519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COARSE </a:t>
            </a:r>
          </a:p>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SAND</a:t>
            </a:r>
          </a:p>
        </cdr:txBody>
      </cdr:sp>
      <cdr:sp macro="" textlink="">
        <cdr:nvSpPr>
          <cdr:cNvPr id="74" name="TextBox 1">
            <a:extLst xmlns:a="http://schemas.openxmlformats.org/drawingml/2006/main">
              <a:ext uri="{FF2B5EF4-FFF2-40B4-BE49-F238E27FC236}">
                <a16:creationId xmlns:a16="http://schemas.microsoft.com/office/drawing/2014/main" id="{B9E6DD63-BCD1-7A18-21D7-0CBA5AE1E54F}"/>
              </a:ext>
            </a:extLst>
          </cdr:cNvPr>
          <cdr:cNvSpPr txBox="1"/>
        </cdr:nvSpPr>
        <cdr:spPr>
          <a:xfrm xmlns:a="http://schemas.openxmlformats.org/drawingml/2006/main">
            <a:off x="6282606" y="5115880"/>
            <a:ext cx="692396" cy="1870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GRAVEL</a:t>
            </a:r>
          </a:p>
        </cdr:txBody>
      </cdr:sp>
      <cdr:sp macro="" textlink="">
        <cdr:nvSpPr>
          <cdr:cNvPr id="75" name="TextBox 1">
            <a:extLst xmlns:a="http://schemas.openxmlformats.org/drawingml/2006/main">
              <a:ext uri="{FF2B5EF4-FFF2-40B4-BE49-F238E27FC236}">
                <a16:creationId xmlns:a16="http://schemas.microsoft.com/office/drawing/2014/main" id="{C31A5AAD-1CD6-B771-0BA6-DB9611378892}"/>
              </a:ext>
            </a:extLst>
          </cdr:cNvPr>
          <cdr:cNvSpPr txBox="1"/>
        </cdr:nvSpPr>
        <cdr:spPr>
          <a:xfrm xmlns:a="http://schemas.openxmlformats.org/drawingml/2006/main">
            <a:off x="2038321" y="5126008"/>
            <a:ext cx="692486" cy="1870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CLAY</a:t>
            </a:r>
          </a:p>
        </cdr:txBody>
      </cdr:sp>
    </cdr:grpSp>
  </cdr:relSizeAnchor>
</c:userShapes>
</file>

<file path=xl/drawings/drawing8.xml><?xml version="1.0" encoding="utf-8"?>
<xdr:wsDr xmlns:xdr="http://schemas.openxmlformats.org/drawingml/2006/spreadsheetDrawing" xmlns:a="http://schemas.openxmlformats.org/drawingml/2006/main">
  <xdr:twoCellAnchor editAs="oneCell">
    <xdr:from>
      <xdr:col>1</xdr:col>
      <xdr:colOff>139700</xdr:colOff>
      <xdr:row>78</xdr:row>
      <xdr:rowOff>25400</xdr:rowOff>
    </xdr:from>
    <xdr:to>
      <xdr:col>5</xdr:col>
      <xdr:colOff>150072</xdr:colOff>
      <xdr:row>79</xdr:row>
      <xdr:rowOff>228599</xdr:rowOff>
    </xdr:to>
    <xdr:pic>
      <xdr:nvPicPr>
        <xdr:cNvPr id="3" name="Picture 2">
          <a:extLst>
            <a:ext uri="{FF2B5EF4-FFF2-40B4-BE49-F238E27FC236}">
              <a16:creationId xmlns:a16="http://schemas.microsoft.com/office/drawing/2014/main" id="{DBD96180-3F21-3841-845F-484CF8DC82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331F7A72-9D88-7345-AB32-975F7B84CD53}"/>
            </a:ext>
          </a:extLst>
        </xdr:cNvPr>
        <xdr:cNvGrpSpPr/>
      </xdr:nvGrpSpPr>
      <xdr:grpSpPr>
        <a:xfrm>
          <a:off x="727364" y="16697036"/>
          <a:ext cx="7130200" cy="2642482"/>
          <a:chOff x="828675" y="11311834"/>
          <a:chExt cx="7014852" cy="2639596"/>
        </a:xfrm>
      </xdr:grpSpPr>
      <xdr:sp macro="" textlink="">
        <xdr:nvSpPr>
          <xdr:cNvPr id="5" name="TextBox 4">
            <a:extLst>
              <a:ext uri="{FF2B5EF4-FFF2-40B4-BE49-F238E27FC236}">
                <a16:creationId xmlns:a16="http://schemas.microsoft.com/office/drawing/2014/main" id="{EBE37B91-2456-D4F2-E7D6-93C85639CB06}"/>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053C8B19-9315-16D3-E48B-7820398F9C55}"/>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D584EC06-C8D1-DE87-7DAE-6F27EE971A25}"/>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2</xdr:col>
          <xdr:colOff>225028</xdr:colOff>
          <xdr:row>59</xdr:row>
          <xdr:rowOff>125413</xdr:rowOff>
        </xdr:from>
        <xdr:to>
          <xdr:col>6</xdr:col>
          <xdr:colOff>341312</xdr:colOff>
          <xdr:row>66</xdr:row>
          <xdr:rowOff>194469</xdr:rowOff>
        </xdr:to>
        <xdr:pic>
          <xdr:nvPicPr>
            <xdr:cNvPr id="13" name="Picture 12">
              <a:extLst>
                <a:ext uri="{FF2B5EF4-FFF2-40B4-BE49-F238E27FC236}">
                  <a16:creationId xmlns:a16="http://schemas.microsoft.com/office/drawing/2014/main" id="{C02CCD8E-E513-7B2F-8528-39ADAC9B456C}"/>
                </a:ext>
              </a:extLst>
            </xdr:cNvPr>
            <xdr:cNvPicPr>
              <a:picLocks noChangeAspect="1" noChangeArrowheads="1"/>
              <a:extLst>
                <a:ext uri="{84589F7E-364E-4C9E-8A38-B11213B215E9}">
                  <a14:cameraTool cellRange="TTD_1SH" spid="_x0000_s196413"/>
                </a:ext>
              </a:extLst>
            </xdr:cNvPicPr>
          </xdr:nvPicPr>
          <xdr:blipFill rotWithShape="1">
            <a:blip xmlns:r="http://schemas.openxmlformats.org/officeDocument/2006/relationships" r:embed="rId2"/>
            <a:srcRect r="32843"/>
            <a:stretch>
              <a:fillRect/>
            </a:stretch>
          </xdr:blipFill>
          <xdr:spPr bwMode="auto">
            <a:xfrm>
              <a:off x="955278" y="10952163"/>
              <a:ext cx="1656159" cy="146605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237729</xdr:colOff>
          <xdr:row>58</xdr:row>
          <xdr:rowOff>25399</xdr:rowOff>
        </xdr:from>
        <xdr:to>
          <xdr:col>11</xdr:col>
          <xdr:colOff>561579</xdr:colOff>
          <xdr:row>66</xdr:row>
          <xdr:rowOff>2891</xdr:rowOff>
        </xdr:to>
        <xdr:pic>
          <xdr:nvPicPr>
            <xdr:cNvPr id="14" name="Picture 13">
              <a:extLst>
                <a:ext uri="{FF2B5EF4-FFF2-40B4-BE49-F238E27FC236}">
                  <a16:creationId xmlns:a16="http://schemas.microsoft.com/office/drawing/2014/main" id="{2E86AAA1-1BBC-5F47-4780-24C9A210CE1B}"/>
                </a:ext>
              </a:extLst>
            </xdr:cNvPr>
            <xdr:cNvPicPr>
              <a:picLocks noChangeAspect="1" noChangeArrowheads="1"/>
              <a:extLst>
                <a:ext uri="{84589F7E-364E-4C9E-8A38-B11213B215E9}">
                  <a14:cameraTool cellRange="TTD_2SH" spid="_x0000_s196414"/>
                </a:ext>
              </a:extLst>
            </xdr:cNvPicPr>
          </xdr:nvPicPr>
          <xdr:blipFill rotWithShape="1">
            <a:blip xmlns:r="http://schemas.openxmlformats.org/officeDocument/2006/relationships" r:embed="rId3"/>
            <a:srcRect r="27721"/>
            <a:stretch>
              <a:fillRect/>
            </a:stretch>
          </xdr:blipFill>
          <xdr:spPr bwMode="auto">
            <a:xfrm>
              <a:off x="2872979" y="10772774"/>
              <a:ext cx="1784350" cy="144819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584994</xdr:colOff>
          <xdr:row>59</xdr:row>
          <xdr:rowOff>62066</xdr:rowOff>
        </xdr:from>
        <xdr:to>
          <xdr:col>18</xdr:col>
          <xdr:colOff>238126</xdr:colOff>
          <xdr:row>65</xdr:row>
          <xdr:rowOff>130969</xdr:rowOff>
        </xdr:to>
        <xdr:pic>
          <xdr:nvPicPr>
            <xdr:cNvPr id="15" name="Picture 14">
              <a:extLst>
                <a:ext uri="{FF2B5EF4-FFF2-40B4-BE49-F238E27FC236}">
                  <a16:creationId xmlns:a16="http://schemas.microsoft.com/office/drawing/2014/main" id="{723B7F8F-38E1-B4C7-582A-80717E4664A3}"/>
                </a:ext>
              </a:extLst>
            </xdr:cNvPr>
            <xdr:cNvPicPr>
              <a:picLocks noChangeAspect="1" noChangeArrowheads="1"/>
              <a:extLst>
                <a:ext uri="{84589F7E-364E-4C9E-8A38-B11213B215E9}">
                  <a14:cameraTool cellRange="TTD!$B$12:$E$18" spid="_x0000_s196415"/>
                </a:ext>
              </a:extLst>
            </xdr:cNvPicPr>
          </xdr:nvPicPr>
          <xdr:blipFill rotWithShape="1">
            <a:blip xmlns:r="http://schemas.openxmlformats.org/officeDocument/2006/relationships" r:embed="rId4"/>
            <a:srcRect l="-598" t="2796" r="23421" b="-2796"/>
            <a:stretch>
              <a:fillRect/>
            </a:stretch>
          </xdr:blipFill>
          <xdr:spPr bwMode="auto">
            <a:xfrm>
              <a:off x="4623197" y="10628863"/>
              <a:ext cx="2272507" cy="1259528"/>
            </a:xfrm>
            <a:prstGeom prst="rect">
              <a:avLst/>
            </a:prstGeom>
            <a:noFill/>
            <a:ln w="9525">
              <a:noFill/>
              <a:miter lim="800000"/>
              <a:headEnd/>
              <a:tailEnd/>
            </a:ln>
          </xdr:spPr>
        </xdr:pic>
        <xdr:clientData/>
      </xdr:twoCellAnchor>
    </mc:Choice>
    <mc:Fallback/>
  </mc:AlternateContent>
  <xdr:twoCellAnchor editAs="oneCell">
    <xdr:from>
      <xdr:col>0</xdr:col>
      <xdr:colOff>28864</xdr:colOff>
      <xdr:row>42</xdr:row>
      <xdr:rowOff>14431</xdr:rowOff>
    </xdr:from>
    <xdr:to>
      <xdr:col>11</xdr:col>
      <xdr:colOff>539750</xdr:colOff>
      <xdr:row>57</xdr:row>
      <xdr:rowOff>177848</xdr:rowOff>
    </xdr:to>
    <xdr:pic>
      <xdr:nvPicPr>
        <xdr:cNvPr id="10" name="Picture 9">
          <a:extLst>
            <a:ext uri="{FF2B5EF4-FFF2-40B4-BE49-F238E27FC236}">
              <a16:creationId xmlns:a16="http://schemas.microsoft.com/office/drawing/2014/main" id="{9A39BED7-822A-B685-FCC6-51D8BC6036A9}"/>
            </a:ext>
          </a:extLst>
        </xdr:cNvPr>
        <xdr:cNvPicPr>
          <a:picLocks noChangeAspect="1"/>
        </xdr:cNvPicPr>
      </xdr:nvPicPr>
      <xdr:blipFill>
        <a:blip xmlns:r="http://schemas.openxmlformats.org/officeDocument/2006/relationships" r:embed="rId5"/>
        <a:stretch>
          <a:fillRect/>
        </a:stretch>
      </xdr:blipFill>
      <xdr:spPr>
        <a:xfrm>
          <a:off x="28864" y="7459806"/>
          <a:ext cx="4606636" cy="3259042"/>
        </a:xfrm>
        <a:prstGeom prst="rect">
          <a:avLst/>
        </a:prstGeom>
      </xdr:spPr>
    </xdr:pic>
    <xdr:clientData/>
  </xdr:twoCellAnchor>
  <xdr:twoCellAnchor>
    <xdr:from>
      <xdr:col>25</xdr:col>
      <xdr:colOff>483961</xdr:colOff>
      <xdr:row>44</xdr:row>
      <xdr:rowOff>101163</xdr:rowOff>
    </xdr:from>
    <xdr:to>
      <xdr:col>25</xdr:col>
      <xdr:colOff>818172</xdr:colOff>
      <xdr:row>47</xdr:row>
      <xdr:rowOff>134327</xdr:rowOff>
    </xdr:to>
    <xdr:sp macro="" textlink="">
      <xdr:nvSpPr>
        <xdr:cNvPr id="11" name="Arrow: Right 10">
          <a:extLst>
            <a:ext uri="{FF2B5EF4-FFF2-40B4-BE49-F238E27FC236}">
              <a16:creationId xmlns:a16="http://schemas.microsoft.com/office/drawing/2014/main" id="{CE98EE63-94FA-201E-26E5-42FD3601872B}"/>
            </a:ext>
          </a:extLst>
        </xdr:cNvPr>
        <xdr:cNvSpPr/>
      </xdr:nvSpPr>
      <xdr:spPr>
        <a:xfrm rot="10800000">
          <a:off x="10070019" y="7696740"/>
          <a:ext cx="334211" cy="619318"/>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155865</xdr:colOff>
      <xdr:row>0</xdr:row>
      <xdr:rowOff>69273</xdr:rowOff>
    </xdr:from>
    <xdr:to>
      <xdr:col>6</xdr:col>
      <xdr:colOff>62540</xdr:colOff>
      <xdr:row>2</xdr:row>
      <xdr:rowOff>75972</xdr:rowOff>
    </xdr:to>
    <xdr:pic>
      <xdr:nvPicPr>
        <xdr:cNvPr id="8" name="Picture 7">
          <a:extLst>
            <a:ext uri="{FF2B5EF4-FFF2-40B4-BE49-F238E27FC236}">
              <a16:creationId xmlns:a16="http://schemas.microsoft.com/office/drawing/2014/main" id="{F6669A72-6FE2-FA4E-865A-30C5E8ADE3F9}"/>
            </a:ext>
          </a:extLst>
        </xdr:cNvPr>
        <xdr:cNvPicPr>
          <a:picLocks noChangeAspect="1"/>
        </xdr:cNvPicPr>
      </xdr:nvPicPr>
      <xdr:blipFill>
        <a:blip xmlns:r="http://schemas.openxmlformats.org/officeDocument/2006/relationships" r:embed="rId6"/>
        <a:stretch>
          <a:fillRect/>
        </a:stretch>
      </xdr:blipFill>
      <xdr:spPr>
        <a:xfrm>
          <a:off x="1679865" y="69273"/>
          <a:ext cx="634039" cy="5608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14</xdr:col>
      <xdr:colOff>272676</xdr:colOff>
      <xdr:row>41</xdr:row>
      <xdr:rowOff>97678</xdr:rowOff>
    </xdr:from>
    <xdr:to>
      <xdr:col>22</xdr:col>
      <xdr:colOff>814667</xdr:colOff>
      <xdr:row>65</xdr:row>
      <xdr:rowOff>179481</xdr:rowOff>
    </xdr:to>
    <xdr:graphicFrame macro="">
      <xdr:nvGraphicFramePr>
        <xdr:cNvPr id="2" name="Chart 1">
          <a:extLst>
            <a:ext uri="{FF2B5EF4-FFF2-40B4-BE49-F238E27FC236}">
              <a16:creationId xmlns:a16="http://schemas.microsoft.com/office/drawing/2014/main" id="{B2BFADDE-7CAC-ED0B-FAE5-704595633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560417C6-0043-4CF8-BFA3-69117D975FA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FC54F50F-8FD0-4B73-955A-BE167FC424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7477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971FAFBA-8D33-4A79-91BD-7DFD04C98514}"/>
            </a:ext>
          </a:extLst>
        </xdr:cNvPr>
        <xdr:cNvGrpSpPr/>
      </xdr:nvGrpSpPr>
      <xdr:grpSpPr>
        <a:xfrm>
          <a:off x="736840" y="15993853"/>
          <a:ext cx="7152910" cy="2510798"/>
          <a:chOff x="828675" y="11311834"/>
          <a:chExt cx="7014852" cy="2639596"/>
        </a:xfrm>
      </xdr:grpSpPr>
      <xdr:sp macro="" textlink="">
        <xdr:nvSpPr>
          <xdr:cNvPr id="5" name="TextBox 4">
            <a:extLst>
              <a:ext uri="{FF2B5EF4-FFF2-40B4-BE49-F238E27FC236}">
                <a16:creationId xmlns:a16="http://schemas.microsoft.com/office/drawing/2014/main" id="{96897B6D-466F-DD3D-9028-18657944E1F1}"/>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B0FB1B86-A97E-AC8D-AC71-030BE0C9A97B}"/>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05ABEE08-A39F-43C6-1CC4-399B2A905916}"/>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0</xdr:col>
          <xdr:colOff>368272</xdr:colOff>
          <xdr:row>59</xdr:row>
          <xdr:rowOff>162934</xdr:rowOff>
        </xdr:from>
        <xdr:to>
          <xdr:col>7</xdr:col>
          <xdr:colOff>175173</xdr:colOff>
          <xdr:row>66</xdr:row>
          <xdr:rowOff>142335</xdr:rowOff>
        </xdr:to>
        <xdr:pic>
          <xdr:nvPicPr>
            <xdr:cNvPr id="9" name="Picture 8">
              <a:extLst>
                <a:ext uri="{FF2B5EF4-FFF2-40B4-BE49-F238E27FC236}">
                  <a16:creationId xmlns:a16="http://schemas.microsoft.com/office/drawing/2014/main" id="{7A59B997-93F8-4B8B-B578-CDBE88EEB8CD}"/>
                </a:ext>
              </a:extLst>
            </xdr:cNvPr>
            <xdr:cNvPicPr>
              <a:picLocks noChangeAspect="1" noChangeArrowheads="1"/>
              <a:extLst>
                <a:ext uri="{84589F7E-364E-4C9E-8A38-B11213B215E9}">
                  <a14:cameraTool cellRange="TTD_1CMPS" spid="_x0000_s340479"/>
                </a:ext>
              </a:extLst>
            </xdr:cNvPicPr>
          </xdr:nvPicPr>
          <xdr:blipFill rotWithShape="1">
            <a:blip xmlns:r="http://schemas.openxmlformats.org/officeDocument/2006/relationships" r:embed="rId2"/>
            <a:srcRect r="25804"/>
            <a:stretch>
              <a:fillRect/>
            </a:stretch>
          </xdr:blipFill>
          <xdr:spPr bwMode="auto">
            <a:xfrm>
              <a:off x="368272" y="10577533"/>
              <a:ext cx="2385840" cy="131829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39688</xdr:colOff>
          <xdr:row>59</xdr:row>
          <xdr:rowOff>169070</xdr:rowOff>
        </xdr:from>
        <xdr:to>
          <xdr:col>13</xdr:col>
          <xdr:colOff>57150</xdr:colOff>
          <xdr:row>66</xdr:row>
          <xdr:rowOff>87742</xdr:rowOff>
        </xdr:to>
        <xdr:pic>
          <xdr:nvPicPr>
            <xdr:cNvPr id="10" name="Picture 9">
              <a:extLst>
                <a:ext uri="{FF2B5EF4-FFF2-40B4-BE49-F238E27FC236}">
                  <a16:creationId xmlns:a16="http://schemas.microsoft.com/office/drawing/2014/main" id="{1998AF6F-5559-43D3-A660-55801A60C580}"/>
                </a:ext>
              </a:extLst>
            </xdr:cNvPr>
            <xdr:cNvPicPr>
              <a:picLocks noChangeAspect="1" noChangeArrowheads="1"/>
              <a:extLst>
                <a:ext uri="{84589F7E-364E-4C9E-8A38-B11213B215E9}">
                  <a14:cameraTool cellRange="TTD_2CMPS" spid="_x0000_s340480"/>
                </a:ext>
              </a:extLst>
            </xdr:cNvPicPr>
          </xdr:nvPicPr>
          <xdr:blipFill rotWithShape="1">
            <a:blip xmlns:r="http://schemas.openxmlformats.org/officeDocument/2006/relationships" r:embed="rId3"/>
            <a:srcRect l="4400" t="11335" r="21597" b="-11335"/>
            <a:stretch>
              <a:fillRect/>
            </a:stretch>
          </xdr:blipFill>
          <xdr:spPr bwMode="auto">
            <a:xfrm>
              <a:off x="2640013" y="10741820"/>
              <a:ext cx="2293937" cy="127122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329010</xdr:colOff>
          <xdr:row>59</xdr:row>
          <xdr:rowOff>126603</xdr:rowOff>
        </xdr:from>
        <xdr:to>
          <xdr:col>19</xdr:col>
          <xdr:colOff>121732</xdr:colOff>
          <xdr:row>65</xdr:row>
          <xdr:rowOff>95251</xdr:rowOff>
        </xdr:to>
        <xdr:pic>
          <xdr:nvPicPr>
            <xdr:cNvPr id="11" name="Picture 10">
              <a:extLst>
                <a:ext uri="{FF2B5EF4-FFF2-40B4-BE49-F238E27FC236}">
                  <a16:creationId xmlns:a16="http://schemas.microsoft.com/office/drawing/2014/main" id="{B012DB8E-8ADD-432C-A42D-9997994697BD}"/>
                </a:ext>
              </a:extLst>
            </xdr:cNvPr>
            <xdr:cNvPicPr>
              <a:picLocks noChangeAspect="1" noChangeArrowheads="1"/>
              <a:extLst>
                <a:ext uri="{84589F7E-364E-4C9E-8A38-B11213B215E9}">
                  <a14:cameraTool cellRange="TTD_3CMPS" spid="_x0000_s340481"/>
                </a:ext>
              </a:extLst>
            </xdr:cNvPicPr>
          </xdr:nvPicPr>
          <xdr:blipFill rotWithShape="1">
            <a:blip xmlns:r="http://schemas.openxmlformats.org/officeDocument/2006/relationships" r:embed="rId4"/>
            <a:srcRect r="25808"/>
            <a:stretch>
              <a:fillRect/>
            </a:stretch>
          </xdr:blipFill>
          <xdr:spPr bwMode="auto">
            <a:xfrm>
              <a:off x="4415235" y="10699353"/>
              <a:ext cx="2812147" cy="116879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237046</xdr:colOff>
          <xdr:row>140</xdr:row>
          <xdr:rowOff>142396</xdr:rowOff>
        </xdr:from>
        <xdr:to>
          <xdr:col>11</xdr:col>
          <xdr:colOff>40075</xdr:colOff>
          <xdr:row>145</xdr:row>
          <xdr:rowOff>116995</xdr:rowOff>
        </xdr:to>
        <xdr:pic>
          <xdr:nvPicPr>
            <xdr:cNvPr id="12" name="Picture 11">
              <a:extLst>
                <a:ext uri="{FF2B5EF4-FFF2-40B4-BE49-F238E27FC236}">
                  <a16:creationId xmlns:a16="http://schemas.microsoft.com/office/drawing/2014/main" id="{49EBBA6E-FF02-46B8-89DF-E0EB8C9CA5F2}"/>
                </a:ext>
              </a:extLst>
            </xdr:cNvPr>
            <xdr:cNvPicPr>
              <a:picLocks noChangeAspect="1" noChangeArrowheads="1"/>
              <a:extLst>
                <a:ext uri="{84589F7E-364E-4C9E-8A38-B11213B215E9}">
                  <a14:cameraTool cellRange="TTD_1CMPS" spid="_x0000_s340482"/>
                </a:ext>
              </a:extLst>
            </xdr:cNvPicPr>
          </xdr:nvPicPr>
          <xdr:blipFill rotWithShape="1">
            <a:blip xmlns:r="http://schemas.openxmlformats.org/officeDocument/2006/relationships" r:embed="rId5"/>
            <a:srcRect l="9250" r="34396"/>
            <a:stretch>
              <a:fillRect/>
            </a:stretch>
          </xdr:blipFill>
          <xdr:spPr bwMode="auto">
            <a:xfrm>
              <a:off x="2079145" y="26255273"/>
              <a:ext cx="2013548" cy="96304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272256</xdr:colOff>
          <xdr:row>140</xdr:row>
          <xdr:rowOff>96837</xdr:rowOff>
        </xdr:from>
        <xdr:to>
          <xdr:col>15</xdr:col>
          <xdr:colOff>276225</xdr:colOff>
          <xdr:row>145</xdr:row>
          <xdr:rowOff>154599</xdr:rowOff>
        </xdr:to>
        <xdr:pic>
          <xdr:nvPicPr>
            <xdr:cNvPr id="13" name="Picture 12">
              <a:extLst>
                <a:ext uri="{FF2B5EF4-FFF2-40B4-BE49-F238E27FC236}">
                  <a16:creationId xmlns:a16="http://schemas.microsoft.com/office/drawing/2014/main" id="{CF1AC4DB-A9F1-4E5F-B396-3FBE3498013A}"/>
                </a:ext>
              </a:extLst>
            </xdr:cNvPr>
            <xdr:cNvPicPr>
              <a:picLocks noChangeAspect="1" noChangeArrowheads="1"/>
              <a:extLst>
                <a:ext uri="{84589F7E-364E-4C9E-8A38-B11213B215E9}">
                  <a14:cameraTool cellRange="TTD_2CMPS" spid="_x0000_s340483"/>
                </a:ext>
              </a:extLst>
            </xdr:cNvPicPr>
          </xdr:nvPicPr>
          <xdr:blipFill rotWithShape="1">
            <a:blip xmlns:r="http://schemas.openxmlformats.org/officeDocument/2006/relationships" r:embed="rId3"/>
            <a:srcRect l="4400" t="11335" r="21597" b="-11335"/>
            <a:stretch>
              <a:fillRect/>
            </a:stretch>
          </xdr:blipFill>
          <xdr:spPr bwMode="auto">
            <a:xfrm>
              <a:off x="3987006" y="26385837"/>
              <a:ext cx="1908969" cy="105788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366198</xdr:colOff>
          <xdr:row>140</xdr:row>
          <xdr:rowOff>26598</xdr:rowOff>
        </xdr:from>
        <xdr:to>
          <xdr:col>20</xdr:col>
          <xdr:colOff>156019</xdr:colOff>
          <xdr:row>145</xdr:row>
          <xdr:rowOff>17971</xdr:rowOff>
        </xdr:to>
        <xdr:pic>
          <xdr:nvPicPr>
            <xdr:cNvPr id="14" name="Picture 13">
              <a:extLst>
                <a:ext uri="{FF2B5EF4-FFF2-40B4-BE49-F238E27FC236}">
                  <a16:creationId xmlns:a16="http://schemas.microsoft.com/office/drawing/2014/main" id="{84150E87-4632-4742-87A9-C8488E805502}"/>
                </a:ext>
              </a:extLst>
            </xdr:cNvPr>
            <xdr:cNvPicPr>
              <a:picLocks noChangeAspect="1" noChangeArrowheads="1"/>
              <a:extLst>
                <a:ext uri="{84589F7E-364E-4C9E-8A38-B11213B215E9}">
                  <a14:cameraTool cellRange="TTD_3CMPS" spid="_x0000_s340484"/>
                </a:ext>
              </a:extLst>
            </xdr:cNvPicPr>
          </xdr:nvPicPr>
          <xdr:blipFill rotWithShape="1">
            <a:blip xmlns:r="http://schemas.openxmlformats.org/officeDocument/2006/relationships" r:embed="rId6"/>
            <a:srcRect r="25808"/>
            <a:stretch>
              <a:fillRect/>
            </a:stretch>
          </xdr:blipFill>
          <xdr:spPr bwMode="auto">
            <a:xfrm>
              <a:off x="5209571" y="26139475"/>
              <a:ext cx="2368759" cy="979817"/>
            </a:xfrm>
            <a:prstGeom prst="rect">
              <a:avLst/>
            </a:prstGeom>
            <a:noFill/>
            <a:ln w="9525">
              <a:noFill/>
              <a:miter lim="800000"/>
              <a:headEnd/>
              <a:tailEnd/>
            </a:ln>
          </xdr:spPr>
        </xdr:pic>
        <xdr:clientData/>
      </xdr:twoCellAnchor>
    </mc:Choice>
    <mc:Fallback/>
  </mc:AlternateContent>
  <xdr:twoCellAnchor>
    <xdr:from>
      <xdr:col>0</xdr:col>
      <xdr:colOff>1</xdr:colOff>
      <xdr:row>42</xdr:row>
      <xdr:rowOff>1</xdr:rowOff>
    </xdr:from>
    <xdr:to>
      <xdr:col>9</xdr:col>
      <xdr:colOff>314326</xdr:colOff>
      <xdr:row>58</xdr:row>
      <xdr:rowOff>114301</xdr:rowOff>
    </xdr:to>
    <xdr:graphicFrame macro="">
      <xdr:nvGraphicFramePr>
        <xdr:cNvPr id="16" name="Chart 15">
          <a:extLst>
            <a:ext uri="{FF2B5EF4-FFF2-40B4-BE49-F238E27FC236}">
              <a16:creationId xmlns:a16="http://schemas.microsoft.com/office/drawing/2014/main" id="{31AE70C4-0923-4193-AAAA-ECC795F52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361950</xdr:colOff>
      <xdr:row>45</xdr:row>
      <xdr:rowOff>12700</xdr:rowOff>
    </xdr:from>
    <xdr:to>
      <xdr:col>23</xdr:col>
      <xdr:colOff>63500</xdr:colOff>
      <xdr:row>69</xdr:row>
      <xdr:rowOff>63500</xdr:rowOff>
    </xdr:to>
    <xdr:graphicFrame macro="">
      <xdr:nvGraphicFramePr>
        <xdr:cNvPr id="2" name="Chart 1">
          <a:extLst>
            <a:ext uri="{FF2B5EF4-FFF2-40B4-BE49-F238E27FC236}">
              <a16:creationId xmlns:a16="http://schemas.microsoft.com/office/drawing/2014/main" id="{2AD75CE5-1DA6-5C42-B341-96AF35CF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FC8F9109-1EA2-4959-8408-0009953F955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AFEB29C7-0292-46DE-81E3-1386B8E9EE2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7477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213A0FAE-9F37-4A03-8E0D-5009D4655102}"/>
            </a:ext>
          </a:extLst>
        </xdr:cNvPr>
        <xdr:cNvGrpSpPr/>
      </xdr:nvGrpSpPr>
      <xdr:grpSpPr>
        <a:xfrm>
          <a:off x="749157" y="16334911"/>
          <a:ext cx="7258823" cy="2584300"/>
          <a:chOff x="828675" y="11311834"/>
          <a:chExt cx="7014852" cy="2639596"/>
        </a:xfrm>
      </xdr:grpSpPr>
      <xdr:sp macro="" textlink="">
        <xdr:nvSpPr>
          <xdr:cNvPr id="5" name="TextBox 4">
            <a:extLst>
              <a:ext uri="{FF2B5EF4-FFF2-40B4-BE49-F238E27FC236}">
                <a16:creationId xmlns:a16="http://schemas.microsoft.com/office/drawing/2014/main" id="{BAB20587-D83E-8113-E5D6-A3CAEF00FEDD}"/>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F65FEB58-7917-20E8-D13D-CDA9C7FAA953}"/>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B53581C7-44F2-9900-B8DB-6588D12895F1}"/>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1</xdr:col>
          <xdr:colOff>156474</xdr:colOff>
          <xdr:row>59</xdr:row>
          <xdr:rowOff>189706</xdr:rowOff>
        </xdr:from>
        <xdr:to>
          <xdr:col>8</xdr:col>
          <xdr:colOff>68238</xdr:colOff>
          <xdr:row>66</xdr:row>
          <xdr:rowOff>30398</xdr:rowOff>
        </xdr:to>
        <xdr:pic>
          <xdr:nvPicPr>
            <xdr:cNvPr id="9" name="Picture 8">
              <a:extLst>
                <a:ext uri="{FF2B5EF4-FFF2-40B4-BE49-F238E27FC236}">
                  <a16:creationId xmlns:a16="http://schemas.microsoft.com/office/drawing/2014/main" id="{2966E2EE-3CE2-427C-85B2-AB1B593B3712}"/>
                </a:ext>
              </a:extLst>
            </xdr:cNvPr>
            <xdr:cNvPicPr>
              <a:picLocks noChangeAspect="1" noChangeArrowheads="1"/>
              <a:extLst>
                <a:ext uri="{84589F7E-364E-4C9E-8A38-B11213B215E9}">
                  <a14:cameraTool cellRange="TTD_1CMPM" spid="_x0000_s345599"/>
                </a:ext>
              </a:extLst>
            </xdr:cNvPicPr>
          </xdr:nvPicPr>
          <xdr:blipFill rotWithShape="1">
            <a:blip xmlns:r="http://schemas.openxmlformats.org/officeDocument/2006/relationships" r:embed="rId2"/>
            <a:srcRect r="30139"/>
            <a:stretch>
              <a:fillRect/>
            </a:stretch>
          </xdr:blipFill>
          <xdr:spPr bwMode="auto">
            <a:xfrm>
              <a:off x="531053" y="10924060"/>
              <a:ext cx="2533814" cy="12105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262334</xdr:colOff>
          <xdr:row>59</xdr:row>
          <xdr:rowOff>24209</xdr:rowOff>
        </xdr:from>
        <xdr:to>
          <xdr:col>13</xdr:col>
          <xdr:colOff>109563</xdr:colOff>
          <xdr:row>66</xdr:row>
          <xdr:rowOff>46436</xdr:rowOff>
        </xdr:to>
        <xdr:pic>
          <xdr:nvPicPr>
            <xdr:cNvPr id="10" name="Picture 9">
              <a:extLst>
                <a:ext uri="{FF2B5EF4-FFF2-40B4-BE49-F238E27FC236}">
                  <a16:creationId xmlns:a16="http://schemas.microsoft.com/office/drawing/2014/main" id="{1602406A-3D12-4B33-8C5D-24F7F678CEA5}"/>
                </a:ext>
              </a:extLst>
            </xdr:cNvPr>
            <xdr:cNvPicPr>
              <a:picLocks noChangeAspect="1" noChangeArrowheads="1"/>
              <a:extLst>
                <a:ext uri="{84589F7E-364E-4C9E-8A38-B11213B215E9}">
                  <a14:cameraTool cellRange="TTD_2CMPM" spid="_x0000_s345600"/>
                </a:ext>
              </a:extLst>
            </xdr:cNvPicPr>
          </xdr:nvPicPr>
          <xdr:blipFill rotWithShape="1">
            <a:blip xmlns:r="http://schemas.openxmlformats.org/officeDocument/2006/relationships" r:embed="rId3"/>
            <a:srcRect r="27033"/>
            <a:stretch>
              <a:fillRect/>
            </a:stretch>
          </xdr:blipFill>
          <xdr:spPr bwMode="auto">
            <a:xfrm>
              <a:off x="2509806" y="10630136"/>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250826</xdr:colOff>
          <xdr:row>59</xdr:row>
          <xdr:rowOff>82537</xdr:rowOff>
        </xdr:from>
        <xdr:to>
          <xdr:col>19</xdr:col>
          <xdr:colOff>129486</xdr:colOff>
          <xdr:row>65</xdr:row>
          <xdr:rowOff>86903</xdr:rowOff>
        </xdr:to>
        <xdr:pic>
          <xdr:nvPicPr>
            <xdr:cNvPr id="11" name="Picture 10">
              <a:extLst>
                <a:ext uri="{FF2B5EF4-FFF2-40B4-BE49-F238E27FC236}">
                  <a16:creationId xmlns:a16="http://schemas.microsoft.com/office/drawing/2014/main" id="{21E702D1-29D8-4808-8D2F-2BB9A7F496BB}"/>
                </a:ext>
              </a:extLst>
            </xdr:cNvPr>
            <xdr:cNvPicPr>
              <a:picLocks noChangeAspect="1" noChangeArrowheads="1"/>
              <a:extLst>
                <a:ext uri="{84589F7E-364E-4C9E-8A38-B11213B215E9}">
                  <a14:cameraTool cellRange="TTD_3CMPM" spid="_x0000_s345601"/>
                </a:ext>
              </a:extLst>
            </xdr:cNvPicPr>
          </xdr:nvPicPr>
          <xdr:blipFill rotWithShape="1">
            <a:blip xmlns:r="http://schemas.openxmlformats.org/officeDocument/2006/relationships" r:embed="rId4"/>
            <a:srcRect r="25808"/>
            <a:stretch>
              <a:fillRect/>
            </a:stretch>
          </xdr:blipFill>
          <xdr:spPr bwMode="auto">
            <a:xfrm>
              <a:off x="4371191" y="10688464"/>
              <a:ext cx="2918098" cy="122442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219496</xdr:colOff>
          <xdr:row>140</xdr:row>
          <xdr:rowOff>101707</xdr:rowOff>
        </xdr:from>
        <xdr:to>
          <xdr:col>11</xdr:col>
          <xdr:colOff>381949</xdr:colOff>
          <xdr:row>146</xdr:row>
          <xdr:rowOff>19158</xdr:rowOff>
        </xdr:to>
        <xdr:pic>
          <xdr:nvPicPr>
            <xdr:cNvPr id="12" name="Picture 11">
              <a:extLst>
                <a:ext uri="{FF2B5EF4-FFF2-40B4-BE49-F238E27FC236}">
                  <a16:creationId xmlns:a16="http://schemas.microsoft.com/office/drawing/2014/main" id="{9F4EF6B5-BA6B-4948-B53C-9F53CD9FE755}"/>
                </a:ext>
              </a:extLst>
            </xdr:cNvPr>
            <xdr:cNvPicPr>
              <a:picLocks noChangeAspect="1" noChangeArrowheads="1"/>
              <a:extLst>
                <a:ext uri="{84589F7E-364E-4C9E-8A38-B11213B215E9}">
                  <a14:cameraTool cellRange="TTD_1CMPM" spid="_x0000_s345602"/>
                </a:ext>
              </a:extLst>
            </xdr:cNvPicPr>
          </xdr:nvPicPr>
          <xdr:blipFill rotWithShape="1">
            <a:blip xmlns:r="http://schemas.openxmlformats.org/officeDocument/2006/relationships" r:embed="rId2"/>
            <a:srcRect r="30139"/>
            <a:stretch>
              <a:fillRect/>
            </a:stretch>
          </xdr:blipFill>
          <xdr:spPr bwMode="auto">
            <a:xfrm>
              <a:off x="2466968" y="26793111"/>
              <a:ext cx="2035346" cy="113750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57038</xdr:colOff>
          <xdr:row>139</xdr:row>
          <xdr:rowOff>67017</xdr:rowOff>
        </xdr:from>
        <xdr:to>
          <xdr:col>15</xdr:col>
          <xdr:colOff>291227</xdr:colOff>
          <xdr:row>145</xdr:row>
          <xdr:rowOff>52334</xdr:rowOff>
        </xdr:to>
        <xdr:pic>
          <xdr:nvPicPr>
            <xdr:cNvPr id="13" name="Picture 12">
              <a:extLst>
                <a:ext uri="{FF2B5EF4-FFF2-40B4-BE49-F238E27FC236}">
                  <a16:creationId xmlns:a16="http://schemas.microsoft.com/office/drawing/2014/main" id="{31BC42C7-E33C-45AA-B134-DF6A983801C5}"/>
                </a:ext>
              </a:extLst>
            </xdr:cNvPr>
            <xdr:cNvPicPr>
              <a:picLocks noChangeAspect="1" noChangeArrowheads="1"/>
              <a:extLst>
                <a:ext uri="{84589F7E-364E-4C9E-8A38-B11213B215E9}">
                  <a14:cameraTool cellRange="TTD_2CMPM" spid="_x0000_s345603"/>
                </a:ext>
              </a:extLst>
            </xdr:cNvPicPr>
          </xdr:nvPicPr>
          <xdr:blipFill rotWithShape="1">
            <a:blip xmlns:r="http://schemas.openxmlformats.org/officeDocument/2006/relationships" r:embed="rId3"/>
            <a:srcRect r="27033"/>
            <a:stretch>
              <a:fillRect/>
            </a:stretch>
          </xdr:blipFill>
          <xdr:spPr bwMode="auto">
            <a:xfrm>
              <a:off x="3802825" y="26555079"/>
              <a:ext cx="2149891" cy="120537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347662</xdr:colOff>
          <xdr:row>139</xdr:row>
          <xdr:rowOff>128587</xdr:rowOff>
        </xdr:from>
        <xdr:to>
          <xdr:col>21</xdr:col>
          <xdr:colOff>6247</xdr:colOff>
          <xdr:row>145</xdr:row>
          <xdr:rowOff>19051</xdr:rowOff>
        </xdr:to>
        <xdr:pic>
          <xdr:nvPicPr>
            <xdr:cNvPr id="14" name="Picture 13">
              <a:extLst>
                <a:ext uri="{FF2B5EF4-FFF2-40B4-BE49-F238E27FC236}">
                  <a16:creationId xmlns:a16="http://schemas.microsoft.com/office/drawing/2014/main" id="{30E4E66D-59FF-4359-A940-2599DE650E1B}"/>
                </a:ext>
              </a:extLst>
            </xdr:cNvPr>
            <xdr:cNvPicPr>
              <a:picLocks noChangeAspect="1" noChangeArrowheads="1"/>
              <a:extLst>
                <a:ext uri="{84589F7E-364E-4C9E-8A38-B11213B215E9}">
                  <a14:cameraTool cellRange="TTD_3CMPM" spid="_x0000_s345604"/>
                </a:ext>
              </a:extLst>
            </xdr:cNvPicPr>
          </xdr:nvPicPr>
          <xdr:blipFill rotWithShape="1">
            <a:blip xmlns:r="http://schemas.openxmlformats.org/officeDocument/2006/relationships" r:embed="rId4"/>
            <a:srcRect r="25808"/>
            <a:stretch>
              <a:fillRect/>
            </a:stretch>
          </xdr:blipFill>
          <xdr:spPr bwMode="auto">
            <a:xfrm>
              <a:off x="5224462" y="26217562"/>
              <a:ext cx="2624035" cy="1090614"/>
            </a:xfrm>
            <a:prstGeom prst="rect">
              <a:avLst/>
            </a:prstGeom>
            <a:noFill/>
            <a:ln w="9525">
              <a:noFill/>
              <a:miter lim="800000"/>
              <a:headEnd/>
              <a:tailEnd/>
            </a:ln>
          </xdr:spPr>
        </xdr:pic>
        <xdr:clientData/>
      </xdr:twoCellAnchor>
    </mc:Choice>
    <mc:Fallback/>
  </mc:AlternateContent>
  <xdr:twoCellAnchor>
    <xdr:from>
      <xdr:col>0</xdr:col>
      <xdr:colOff>74915</xdr:colOff>
      <xdr:row>42</xdr:row>
      <xdr:rowOff>53511</xdr:rowOff>
    </xdr:from>
    <xdr:to>
      <xdr:col>9</xdr:col>
      <xdr:colOff>288961</xdr:colOff>
      <xdr:row>57</xdr:row>
      <xdr:rowOff>139129</xdr:rowOff>
    </xdr:to>
    <xdr:graphicFrame macro="">
      <xdr:nvGraphicFramePr>
        <xdr:cNvPr id="15" name="Chart 14">
          <a:extLst>
            <a:ext uri="{FF2B5EF4-FFF2-40B4-BE49-F238E27FC236}">
              <a16:creationId xmlns:a16="http://schemas.microsoft.com/office/drawing/2014/main" id="{703D0FE8-8E97-4C74-AB72-E82A141C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8DE03F10-D1A9-4082-9710-9A21F0D84D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80D9DDA5-5704-4B48-93D2-9E4AF19ABB8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388427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2B5C0951-BBF3-4EAD-AE52-9215BDEA2D96}"/>
            </a:ext>
          </a:extLst>
        </xdr:cNvPr>
        <xdr:cNvGrpSpPr/>
      </xdr:nvGrpSpPr>
      <xdr:grpSpPr>
        <a:xfrm>
          <a:off x="762000" y="15986125"/>
          <a:ext cx="7376119" cy="2541170"/>
          <a:chOff x="828675" y="11311834"/>
          <a:chExt cx="7014852" cy="2639596"/>
        </a:xfrm>
      </xdr:grpSpPr>
      <xdr:sp macro="" textlink="">
        <xdr:nvSpPr>
          <xdr:cNvPr id="5" name="TextBox 4">
            <a:extLst>
              <a:ext uri="{FF2B5EF4-FFF2-40B4-BE49-F238E27FC236}">
                <a16:creationId xmlns:a16="http://schemas.microsoft.com/office/drawing/2014/main" id="{AF04BE3E-2A65-83D4-B497-19D18E38EBEF}"/>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19BFA2F6-B38E-0821-CFF6-22FC5C12639F}"/>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294E4C29-ED80-6C79-4D0E-B36EACDDE26B}"/>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16</xdr:col>
      <xdr:colOff>304800</xdr:colOff>
      <xdr:row>49</xdr:row>
      <xdr:rowOff>101600</xdr:rowOff>
    </xdr:from>
    <xdr:to>
      <xdr:col>25</xdr:col>
      <xdr:colOff>698500</xdr:colOff>
      <xdr:row>65</xdr:row>
      <xdr:rowOff>103311</xdr:rowOff>
    </xdr:to>
    <xdr:graphicFrame macro="">
      <xdr:nvGraphicFramePr>
        <xdr:cNvPr id="2" name="Chart 1">
          <a:extLst>
            <a:ext uri="{FF2B5EF4-FFF2-40B4-BE49-F238E27FC236}">
              <a16:creationId xmlns:a16="http://schemas.microsoft.com/office/drawing/2014/main" id="{BBE6AC9A-AFE7-064A-A775-C56C7DF61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50</xdr:row>
      <xdr:rowOff>177800</xdr:rowOff>
    </xdr:from>
    <xdr:to>
      <xdr:col>5</xdr:col>
      <xdr:colOff>419100</xdr:colOff>
      <xdr:row>51</xdr:row>
      <xdr:rowOff>100330</xdr:rowOff>
    </xdr:to>
    <xdr:grpSp>
      <xdr:nvGrpSpPr>
        <xdr:cNvPr id="5" name="Group 4">
          <a:extLst>
            <a:ext uri="{FF2B5EF4-FFF2-40B4-BE49-F238E27FC236}">
              <a16:creationId xmlns:a16="http://schemas.microsoft.com/office/drawing/2014/main" id="{79E0E312-E6AF-0B49-B6DB-FC8571498B1D}"/>
            </a:ext>
          </a:extLst>
        </xdr:cNvPr>
        <xdr:cNvGrpSpPr>
          <a:grpSpLocks/>
        </xdr:cNvGrpSpPr>
      </xdr:nvGrpSpPr>
      <xdr:grpSpPr bwMode="auto">
        <a:xfrm>
          <a:off x="6511344" y="12359068"/>
          <a:ext cx="266700" cy="164008"/>
          <a:chOff x="-66" y="-3910"/>
          <a:chExt cx="15" cy="16344"/>
        </a:xfrm>
      </xdr:grpSpPr>
      <xdr:grpSp>
        <xdr:nvGrpSpPr>
          <xdr:cNvPr id="6" name="Group 5">
            <a:extLst>
              <a:ext uri="{FF2B5EF4-FFF2-40B4-BE49-F238E27FC236}">
                <a16:creationId xmlns:a16="http://schemas.microsoft.com/office/drawing/2014/main" id="{FA5ADC8B-88DA-60AE-D1BE-B73A74C76952}"/>
              </a:ext>
            </a:extLst>
          </xdr:cNvPr>
          <xdr:cNvGrpSpPr>
            <a:grpSpLocks/>
          </xdr:cNvGrpSpPr>
        </xdr:nvGrpSpPr>
        <xdr:grpSpPr bwMode="auto">
          <a:xfrm>
            <a:off x="-64" y="-3910"/>
            <a:ext cx="13" cy="16344"/>
            <a:chOff x="5100000" y="10040000"/>
            <a:chExt cx="260000" cy="720000"/>
          </a:xfrm>
        </xdr:grpSpPr>
        <xdr:sp macro="" textlink="">
          <xdr:nvSpPr>
            <xdr:cNvPr id="8" name="Line 3">
              <a:extLst>
                <a:ext uri="{FF2B5EF4-FFF2-40B4-BE49-F238E27FC236}">
                  <a16:creationId xmlns:a16="http://schemas.microsoft.com/office/drawing/2014/main" id="{6EFA85ED-4BDB-3A6D-6EC4-1D26B6E3624B}"/>
                </a:ext>
              </a:extLst>
            </xdr:cNvPr>
            <xdr:cNvSpPr>
              <a:spLocks noChangeShapeType="1"/>
            </xdr:cNvSpPr>
          </xdr:nvSpPr>
          <xdr:spPr bwMode="auto">
            <a:xfrm flipH="1">
              <a:off x="5100000" y="10040000"/>
              <a:ext cx="100000" cy="720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4">
              <a:extLst>
                <a:ext uri="{FF2B5EF4-FFF2-40B4-BE49-F238E27FC236}">
                  <a16:creationId xmlns:a16="http://schemas.microsoft.com/office/drawing/2014/main" id="{D8313B95-3CBF-4340-0DEA-4CF46E0DB66E}"/>
                </a:ext>
              </a:extLst>
            </xdr:cNvPr>
            <xdr:cNvSpPr>
              <a:spLocks noChangeShapeType="1"/>
            </xdr:cNvSpPr>
          </xdr:nvSpPr>
          <xdr:spPr bwMode="auto">
            <a:xfrm>
              <a:off x="5200000" y="10040000"/>
              <a:ext cx="16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7" name="Line 5">
            <a:extLst>
              <a:ext uri="{FF2B5EF4-FFF2-40B4-BE49-F238E27FC236}">
                <a16:creationId xmlns:a16="http://schemas.microsoft.com/office/drawing/2014/main" id="{957121A4-2432-3737-3AE1-1F0FA5CC1EE9}"/>
              </a:ext>
            </a:extLst>
          </xdr:cNvPr>
          <xdr:cNvSpPr>
            <a:spLocks noChangeShapeType="1"/>
          </xdr:cNvSpPr>
        </xdr:nvSpPr>
        <xdr:spPr bwMode="auto">
          <a:xfrm flipH="1" flipV="1">
            <a:off x="-66" y="4716"/>
            <a:ext cx="2" cy="59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editAs="oneCell">
    <xdr:from>
      <xdr:col>7</xdr:col>
      <xdr:colOff>22860</xdr:colOff>
      <xdr:row>49</xdr:row>
      <xdr:rowOff>0</xdr:rowOff>
    </xdr:from>
    <xdr:to>
      <xdr:col>7</xdr:col>
      <xdr:colOff>91440</xdr:colOff>
      <xdr:row>49</xdr:row>
      <xdr:rowOff>189386</xdr:rowOff>
    </xdr:to>
    <xdr:sp macro="" textlink="">
      <xdr:nvSpPr>
        <xdr:cNvPr id="10" name="Text Box 6">
          <a:extLst>
            <a:ext uri="{FF2B5EF4-FFF2-40B4-BE49-F238E27FC236}">
              <a16:creationId xmlns:a16="http://schemas.microsoft.com/office/drawing/2014/main" id="{3A0EA4A4-FD98-B44A-A73D-DA0653184D70}"/>
            </a:ext>
          </a:extLst>
        </xdr:cNvPr>
        <xdr:cNvSpPr txBox="1">
          <a:spLocks noChangeArrowheads="1"/>
        </xdr:cNvSpPr>
      </xdr:nvSpPr>
      <xdr:spPr bwMode="auto">
        <a:xfrm>
          <a:off x="15250160" y="5461000"/>
          <a:ext cx="68580" cy="1893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609600</xdr:colOff>
      <xdr:row>109</xdr:row>
      <xdr:rowOff>101600</xdr:rowOff>
    </xdr:from>
    <xdr:to>
      <xdr:col>18</xdr:col>
      <xdr:colOff>469900</xdr:colOff>
      <xdr:row>121</xdr:row>
      <xdr:rowOff>139700</xdr:rowOff>
    </xdr:to>
    <xdr:graphicFrame macro="">
      <xdr:nvGraphicFramePr>
        <xdr:cNvPr id="12" name="Chart 11">
          <a:extLst>
            <a:ext uri="{FF2B5EF4-FFF2-40B4-BE49-F238E27FC236}">
              <a16:creationId xmlns:a16="http://schemas.microsoft.com/office/drawing/2014/main" id="{A4300921-415C-5046-B60C-3922260E5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368300</xdr:colOff>
      <xdr:row>144</xdr:row>
      <xdr:rowOff>50800</xdr:rowOff>
    </xdr:from>
    <xdr:to>
      <xdr:col>18</xdr:col>
      <xdr:colOff>342900</xdr:colOff>
      <xdr:row>159</xdr:row>
      <xdr:rowOff>152400</xdr:rowOff>
    </xdr:to>
    <xdr:graphicFrame macro="">
      <xdr:nvGraphicFramePr>
        <xdr:cNvPr id="13" name="Chart 12">
          <a:extLst>
            <a:ext uri="{FF2B5EF4-FFF2-40B4-BE49-F238E27FC236}">
              <a16:creationId xmlns:a16="http://schemas.microsoft.com/office/drawing/2014/main" id="{12208EEA-6D5F-2C4F-8562-515DDFA3C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170</xdr:row>
      <xdr:rowOff>177800</xdr:rowOff>
    </xdr:from>
    <xdr:to>
      <xdr:col>18</xdr:col>
      <xdr:colOff>711200</xdr:colOff>
      <xdr:row>186</xdr:row>
      <xdr:rowOff>0</xdr:rowOff>
    </xdr:to>
    <xdr:graphicFrame macro="">
      <xdr:nvGraphicFramePr>
        <xdr:cNvPr id="14" name="Chart 13">
          <a:extLst>
            <a:ext uri="{FF2B5EF4-FFF2-40B4-BE49-F238E27FC236}">
              <a16:creationId xmlns:a16="http://schemas.microsoft.com/office/drawing/2014/main" id="{0EBA9947-765A-704D-933C-4B86BBE51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469900</xdr:colOff>
      <xdr:row>192</xdr:row>
      <xdr:rowOff>38100</xdr:rowOff>
    </xdr:from>
    <xdr:to>
      <xdr:col>18</xdr:col>
      <xdr:colOff>152400</xdr:colOff>
      <xdr:row>206</xdr:row>
      <xdr:rowOff>38100</xdr:rowOff>
    </xdr:to>
    <xdr:graphicFrame macro="">
      <xdr:nvGraphicFramePr>
        <xdr:cNvPr id="15" name="Chart 14">
          <a:extLst>
            <a:ext uri="{FF2B5EF4-FFF2-40B4-BE49-F238E27FC236}">
              <a16:creationId xmlns:a16="http://schemas.microsoft.com/office/drawing/2014/main" id="{804A58D4-AB55-7F46-AF14-47BCBF57F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596900</xdr:colOff>
      <xdr:row>127</xdr:row>
      <xdr:rowOff>63500</xdr:rowOff>
    </xdr:from>
    <xdr:to>
      <xdr:col>18</xdr:col>
      <xdr:colOff>177800</xdr:colOff>
      <xdr:row>141</xdr:row>
      <xdr:rowOff>152400</xdr:rowOff>
    </xdr:to>
    <xdr:graphicFrame macro="">
      <xdr:nvGraphicFramePr>
        <xdr:cNvPr id="19" name="Chart 18">
          <a:extLst>
            <a:ext uri="{FF2B5EF4-FFF2-40B4-BE49-F238E27FC236}">
              <a16:creationId xmlns:a16="http://schemas.microsoft.com/office/drawing/2014/main" id="{E6BE863F-CB8E-4B47-887A-D7732E4A1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47</xdr:row>
      <xdr:rowOff>74735</xdr:rowOff>
    </xdr:from>
    <xdr:ext cx="166808" cy="225669"/>
    <xdr:sp macro="" textlink="">
      <xdr:nvSpPr>
        <xdr:cNvPr id="33" name="TextBox 32">
          <a:extLst>
            <a:ext uri="{FF2B5EF4-FFF2-40B4-BE49-F238E27FC236}">
              <a16:creationId xmlns:a16="http://schemas.microsoft.com/office/drawing/2014/main" id="{61AD12D5-9263-BE42-A753-F8D66876E455}"/>
            </a:ext>
          </a:extLst>
        </xdr:cNvPr>
        <xdr:cNvSpPr txBox="1"/>
      </xdr:nvSpPr>
      <xdr:spPr>
        <a:xfrm>
          <a:off x="6470407" y="5180135"/>
          <a:ext cx="166808" cy="225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p>
      </xdr:txBody>
    </xdr:sp>
    <xdr:clientData/>
  </xdr:oneCellAnchor>
  <xdr:twoCellAnchor>
    <xdr:from>
      <xdr:col>1</xdr:col>
      <xdr:colOff>920750</xdr:colOff>
      <xdr:row>266</xdr:row>
      <xdr:rowOff>38100</xdr:rowOff>
    </xdr:from>
    <xdr:to>
      <xdr:col>10</xdr:col>
      <xdr:colOff>368300</xdr:colOff>
      <xdr:row>289</xdr:row>
      <xdr:rowOff>50800</xdr:rowOff>
    </xdr:to>
    <xdr:graphicFrame macro="">
      <xdr:nvGraphicFramePr>
        <xdr:cNvPr id="17" name="Chart 16">
          <a:extLst>
            <a:ext uri="{FF2B5EF4-FFF2-40B4-BE49-F238E27FC236}">
              <a16:creationId xmlns:a16="http://schemas.microsoft.com/office/drawing/2014/main" id="{B324673B-BB9E-17C2-1CDD-0CB79A2A5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273050</xdr:colOff>
      <xdr:row>337</xdr:row>
      <xdr:rowOff>127000</xdr:rowOff>
    </xdr:from>
    <xdr:to>
      <xdr:col>14</xdr:col>
      <xdr:colOff>355600</xdr:colOff>
      <xdr:row>351</xdr:row>
      <xdr:rowOff>63500</xdr:rowOff>
    </xdr:to>
    <xdr:graphicFrame macro="">
      <xdr:nvGraphicFramePr>
        <xdr:cNvPr id="23" name="Chart 22">
          <a:extLst>
            <a:ext uri="{FF2B5EF4-FFF2-40B4-BE49-F238E27FC236}">
              <a16:creationId xmlns:a16="http://schemas.microsoft.com/office/drawing/2014/main" id="{BCBC2718-F2E7-EC69-2DDF-A29574ED9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177800</xdr:colOff>
      <xdr:row>85</xdr:row>
      <xdr:rowOff>0</xdr:rowOff>
    </xdr:from>
    <xdr:to>
      <xdr:col>18</xdr:col>
      <xdr:colOff>165100</xdr:colOff>
      <xdr:row>98</xdr:row>
      <xdr:rowOff>177800</xdr:rowOff>
    </xdr:to>
    <xdr:graphicFrame macro="">
      <xdr:nvGraphicFramePr>
        <xdr:cNvPr id="25" name="Chart 24">
          <a:extLst>
            <a:ext uri="{FF2B5EF4-FFF2-40B4-BE49-F238E27FC236}">
              <a16:creationId xmlns:a16="http://schemas.microsoft.com/office/drawing/2014/main" id="{6B63D520-B5DE-F349-A2A6-563793A53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121227</xdr:colOff>
      <xdr:row>236</xdr:row>
      <xdr:rowOff>34637</xdr:rowOff>
    </xdr:from>
    <xdr:to>
      <xdr:col>7</xdr:col>
      <xdr:colOff>606136</xdr:colOff>
      <xdr:row>238</xdr:row>
      <xdr:rowOff>17319</xdr:rowOff>
    </xdr:to>
    <xdr:sp macro="" textlink="">
      <xdr:nvSpPr>
        <xdr:cNvPr id="3" name="Arrow: Left 2">
          <a:extLst>
            <a:ext uri="{FF2B5EF4-FFF2-40B4-BE49-F238E27FC236}">
              <a16:creationId xmlns:a16="http://schemas.microsoft.com/office/drawing/2014/main" id="{958AECC0-EE5D-52E7-BDE2-8C9D4EC76F3E}"/>
            </a:ext>
          </a:extLst>
        </xdr:cNvPr>
        <xdr:cNvSpPr/>
      </xdr:nvSpPr>
      <xdr:spPr>
        <a:xfrm>
          <a:off x="6667500" y="57496364"/>
          <a:ext cx="484909" cy="467591"/>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207221</xdr:colOff>
      <xdr:row>2</xdr:row>
      <xdr:rowOff>25400</xdr:rowOff>
    </xdr:to>
    <xdr:pic>
      <xdr:nvPicPr>
        <xdr:cNvPr id="2" name="Picture 1">
          <a:extLst>
            <a:ext uri="{FF2B5EF4-FFF2-40B4-BE49-F238E27FC236}">
              <a16:creationId xmlns:a16="http://schemas.microsoft.com/office/drawing/2014/main" id="{51A8EA93-F921-4804-809B-EEBBEC45C8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181822</xdr:colOff>
      <xdr:row>79</xdr:row>
      <xdr:rowOff>228600</xdr:rowOff>
    </xdr:to>
    <xdr:pic>
      <xdr:nvPicPr>
        <xdr:cNvPr id="3" name="Picture 2">
          <a:extLst>
            <a:ext uri="{FF2B5EF4-FFF2-40B4-BE49-F238E27FC236}">
              <a16:creationId xmlns:a16="http://schemas.microsoft.com/office/drawing/2014/main" id="{86AB3F9B-E80D-4089-9B90-91B6B660E74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27150"/>
          <a:ext cx="1613747" cy="498475"/>
        </a:xfrm>
        <a:prstGeom prst="rect">
          <a:avLst/>
        </a:prstGeom>
      </xdr:spPr>
    </xdr:pic>
    <xdr:clientData/>
  </xdr:twoCellAnchor>
  <xdr:twoCellAnchor>
    <xdr:from>
      <xdr:col>5</xdr:col>
      <xdr:colOff>207275</xdr:colOff>
      <xdr:row>127</xdr:row>
      <xdr:rowOff>71963</xdr:rowOff>
    </xdr:from>
    <xdr:to>
      <xdr:col>17</xdr:col>
      <xdr:colOff>281742</xdr:colOff>
      <xdr:row>137</xdr:row>
      <xdr:rowOff>88898</xdr:rowOff>
    </xdr:to>
    <xdr:grpSp>
      <xdr:nvGrpSpPr>
        <xdr:cNvPr id="4" name="Group 3">
          <a:extLst>
            <a:ext uri="{FF2B5EF4-FFF2-40B4-BE49-F238E27FC236}">
              <a16:creationId xmlns:a16="http://schemas.microsoft.com/office/drawing/2014/main" id="{53246739-AAD6-47D9-9335-633CF7D4EEDD}"/>
            </a:ext>
          </a:extLst>
        </xdr:cNvPr>
        <xdr:cNvGrpSpPr/>
      </xdr:nvGrpSpPr>
      <xdr:grpSpPr>
        <a:xfrm>
          <a:off x="2102556" y="24078851"/>
          <a:ext cx="4623140" cy="2058006"/>
          <a:chOff x="828675" y="11297188"/>
          <a:chExt cx="4663392" cy="2362831"/>
        </a:xfrm>
      </xdr:grpSpPr>
      <xdr:sp macro="" textlink="">
        <xdr:nvSpPr>
          <xdr:cNvPr id="5" name="TextBox 4">
            <a:extLst>
              <a:ext uri="{FF2B5EF4-FFF2-40B4-BE49-F238E27FC236}">
                <a16:creationId xmlns:a16="http://schemas.microsoft.com/office/drawing/2014/main" id="{A7EEA07F-F8B7-14FE-9342-0B9D3374931E}"/>
              </a:ext>
            </a:extLst>
          </xdr:cNvPr>
          <xdr:cNvSpPr txBox="1"/>
        </xdr:nvSpPr>
        <xdr:spPr>
          <a:xfrm>
            <a:off x="828675" y="11318047"/>
            <a:ext cx="2160000" cy="23419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 / TEST PHOTOGRAPH</a:t>
            </a:r>
          </a:p>
        </xdr:txBody>
      </xdr:sp>
      <xdr:sp macro="" textlink="">
        <xdr:nvSpPr>
          <xdr:cNvPr id="6" name="TextBox 5">
            <a:extLst>
              <a:ext uri="{FF2B5EF4-FFF2-40B4-BE49-F238E27FC236}">
                <a16:creationId xmlns:a16="http://schemas.microsoft.com/office/drawing/2014/main" id="{E2D2EF4D-F082-C744-023B-0D66FD738F72}"/>
              </a:ext>
            </a:extLst>
          </xdr:cNvPr>
          <xdr:cNvSpPr txBox="1"/>
        </xdr:nvSpPr>
        <xdr:spPr>
          <a:xfrm>
            <a:off x="3332067" y="11297188"/>
            <a:ext cx="2160000" cy="2333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 / TEST PHOTOGRAPH</a:t>
            </a:r>
          </a:p>
        </xdr:txBody>
      </xdr:sp>
    </xdr:grpSp>
    <xdr:clientData/>
  </xdr:twoCellAnchor>
  <mc:AlternateContent xmlns:mc="http://schemas.openxmlformats.org/markup-compatibility/2006">
    <mc:Choice xmlns:a14="http://schemas.microsoft.com/office/drawing/2010/main" Requires="a14">
      <xdr:twoCellAnchor editAs="oneCell">
        <xdr:from>
          <xdr:col>2</xdr:col>
          <xdr:colOff>87281</xdr:colOff>
          <xdr:row>61</xdr:row>
          <xdr:rowOff>27458</xdr:rowOff>
        </xdr:from>
        <xdr:to>
          <xdr:col>7</xdr:col>
          <xdr:colOff>327979</xdr:colOff>
          <xdr:row>67</xdr:row>
          <xdr:rowOff>186449</xdr:rowOff>
        </xdr:to>
        <xdr:pic>
          <xdr:nvPicPr>
            <xdr:cNvPr id="7" name="Picture 6">
              <a:extLst>
                <a:ext uri="{FF2B5EF4-FFF2-40B4-BE49-F238E27FC236}">
                  <a16:creationId xmlns:a16="http://schemas.microsoft.com/office/drawing/2014/main" id="{4476C01B-FCE3-4844-9E1D-7406D2638993}"/>
                </a:ext>
              </a:extLst>
            </xdr:cNvPr>
            <xdr:cNvPicPr>
              <a:picLocks noChangeAspect="1" noChangeArrowheads="1"/>
              <a:extLst>
                <a:ext uri="{84589F7E-364E-4C9E-8A38-B11213B215E9}">
                  <a14:cameraTool cellRange="TTD_1CON" spid="_x0000_s383487"/>
                </a:ext>
              </a:extLst>
            </xdr:cNvPicPr>
          </xdr:nvPicPr>
          <xdr:blipFill rotWithShape="1">
            <a:blip xmlns:r="http://schemas.openxmlformats.org/officeDocument/2006/relationships" r:embed="rId2"/>
            <a:srcRect r="28022"/>
            <a:stretch>
              <a:fillRect/>
            </a:stretch>
          </xdr:blipFill>
          <xdr:spPr bwMode="auto">
            <a:xfrm>
              <a:off x="825954" y="11000647"/>
              <a:ext cx="2135979" cy="122812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296711</xdr:colOff>
          <xdr:row>140</xdr:row>
          <xdr:rowOff>86446</xdr:rowOff>
        </xdr:from>
        <xdr:to>
          <xdr:col>11</xdr:col>
          <xdr:colOff>470627</xdr:colOff>
          <xdr:row>146</xdr:row>
          <xdr:rowOff>3993</xdr:rowOff>
        </xdr:to>
        <xdr:pic>
          <xdr:nvPicPr>
            <xdr:cNvPr id="8" name="Picture 7">
              <a:extLst>
                <a:ext uri="{FF2B5EF4-FFF2-40B4-BE49-F238E27FC236}">
                  <a16:creationId xmlns:a16="http://schemas.microsoft.com/office/drawing/2014/main" id="{70551BDB-2C5C-49C9-A76A-80E3465B9EAB}"/>
                </a:ext>
              </a:extLst>
            </xdr:cNvPr>
            <xdr:cNvPicPr>
              <a:picLocks noChangeAspect="1" noChangeArrowheads="1"/>
              <a:extLst>
                <a:ext uri="{84589F7E-364E-4C9E-8A38-B11213B215E9}">
                  <a14:cameraTool cellRange="TTD_1CON" spid="_x0000_s383488"/>
                </a:ext>
              </a:extLst>
            </xdr:cNvPicPr>
          </xdr:nvPicPr>
          <xdr:blipFill rotWithShape="1">
            <a:blip xmlns:r="http://schemas.openxmlformats.org/officeDocument/2006/relationships" r:embed="rId2"/>
            <a:srcRect r="19797"/>
            <a:stretch>
              <a:fillRect/>
            </a:stretch>
          </xdr:blipFill>
          <xdr:spPr bwMode="auto">
            <a:xfrm>
              <a:off x="2561328" y="26873079"/>
              <a:ext cx="2020600" cy="114218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154603</xdr:colOff>
          <xdr:row>59</xdr:row>
          <xdr:rowOff>85919</xdr:rowOff>
        </xdr:from>
        <xdr:to>
          <xdr:col>12</xdr:col>
          <xdr:colOff>107218</xdr:colOff>
          <xdr:row>67</xdr:row>
          <xdr:rowOff>74349</xdr:rowOff>
        </xdr:to>
        <xdr:pic>
          <xdr:nvPicPr>
            <xdr:cNvPr id="9" name="Picture 8">
              <a:extLst>
                <a:ext uri="{FF2B5EF4-FFF2-40B4-BE49-F238E27FC236}">
                  <a16:creationId xmlns:a16="http://schemas.microsoft.com/office/drawing/2014/main" id="{82B282A9-6563-4EA1-ABE3-AD26F2C59D1C}"/>
                </a:ext>
              </a:extLst>
            </xdr:cNvPr>
            <xdr:cNvPicPr>
              <a:picLocks noChangeAspect="1" noChangeArrowheads="1"/>
              <a:extLst>
                <a:ext uri="{84589F7E-364E-4C9E-8A38-B11213B215E9}">
                  <a14:cameraTool cellRange="TTD_2CON" spid="_x0000_s383489"/>
                </a:ext>
              </a:extLst>
            </xdr:cNvPicPr>
          </xdr:nvPicPr>
          <xdr:blipFill rotWithShape="1">
            <a:blip xmlns:r="http://schemas.openxmlformats.org/officeDocument/2006/relationships" r:embed="rId3"/>
            <a:srcRect r="23395"/>
            <a:stretch>
              <a:fillRect/>
            </a:stretch>
          </xdr:blipFill>
          <xdr:spPr bwMode="auto">
            <a:xfrm>
              <a:off x="2419220" y="10699490"/>
              <a:ext cx="2508814" cy="14171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136358</xdr:colOff>
          <xdr:row>139</xdr:row>
          <xdr:rowOff>143711</xdr:rowOff>
        </xdr:from>
        <xdr:to>
          <xdr:col>15</xdr:col>
          <xdr:colOff>102919</xdr:colOff>
          <xdr:row>145</xdr:row>
          <xdr:rowOff>10028</xdr:rowOff>
        </xdr:to>
        <xdr:pic>
          <xdr:nvPicPr>
            <xdr:cNvPr id="10" name="Picture 9">
              <a:extLst>
                <a:ext uri="{FF2B5EF4-FFF2-40B4-BE49-F238E27FC236}">
                  <a16:creationId xmlns:a16="http://schemas.microsoft.com/office/drawing/2014/main" id="{C02532F5-0C20-4FFD-B179-D25DE4AD2074}"/>
                </a:ext>
              </a:extLst>
            </xdr:cNvPr>
            <xdr:cNvPicPr>
              <a:picLocks noChangeAspect="1" noChangeArrowheads="1"/>
              <a:extLst>
                <a:ext uri="{84589F7E-364E-4C9E-8A38-B11213B215E9}">
                  <a14:cameraTool cellRange="TTD_2CON" spid="_x0000_s383490"/>
                </a:ext>
              </a:extLst>
            </xdr:cNvPicPr>
          </xdr:nvPicPr>
          <xdr:blipFill rotWithShape="1">
            <a:blip xmlns:r="http://schemas.openxmlformats.org/officeDocument/2006/relationships" r:embed="rId3"/>
            <a:srcRect r="28718"/>
            <a:stretch>
              <a:fillRect/>
            </a:stretch>
          </xdr:blipFill>
          <xdr:spPr bwMode="auto">
            <a:xfrm>
              <a:off x="3870158" y="26623211"/>
              <a:ext cx="1917178" cy="108551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373615</xdr:colOff>
          <xdr:row>60</xdr:row>
          <xdr:rowOff>78544</xdr:rowOff>
        </xdr:from>
        <xdr:to>
          <xdr:col>19</xdr:col>
          <xdr:colOff>66111</xdr:colOff>
          <xdr:row>66</xdr:row>
          <xdr:rowOff>151325</xdr:rowOff>
        </xdr:to>
        <xdr:pic>
          <xdr:nvPicPr>
            <xdr:cNvPr id="11" name="Picture 10">
              <a:extLst>
                <a:ext uri="{FF2B5EF4-FFF2-40B4-BE49-F238E27FC236}">
                  <a16:creationId xmlns:a16="http://schemas.microsoft.com/office/drawing/2014/main" id="{CBC86150-0456-47AF-BDF9-C3E2974A3CA4}"/>
                </a:ext>
              </a:extLst>
            </xdr:cNvPr>
            <xdr:cNvPicPr>
              <a:picLocks noChangeAspect="1" noChangeArrowheads="1"/>
              <a:extLst>
                <a:ext uri="{84589F7E-364E-4C9E-8A38-B11213B215E9}">
                  <a14:cameraTool cellRange="TTD_3CON" spid="_x0000_s383491"/>
                </a:ext>
              </a:extLst>
            </xdr:cNvPicPr>
          </xdr:nvPicPr>
          <xdr:blipFill rotWithShape="1">
            <a:blip xmlns:r="http://schemas.openxmlformats.org/officeDocument/2006/relationships" r:embed="rId4"/>
            <a:srcRect r="27586"/>
            <a:stretch>
              <a:fillRect/>
            </a:stretch>
          </xdr:blipFill>
          <xdr:spPr bwMode="auto">
            <a:xfrm>
              <a:off x="4484916" y="10847626"/>
              <a:ext cx="2763823" cy="119051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356268</xdr:colOff>
          <xdr:row>140</xdr:row>
          <xdr:rowOff>56816</xdr:rowOff>
        </xdr:from>
        <xdr:to>
          <xdr:col>20</xdr:col>
          <xdr:colOff>91828</xdr:colOff>
          <xdr:row>144</xdr:row>
          <xdr:rowOff>194928</xdr:rowOff>
        </xdr:to>
        <xdr:pic>
          <xdr:nvPicPr>
            <xdr:cNvPr id="12" name="Picture 11">
              <a:extLst>
                <a:ext uri="{FF2B5EF4-FFF2-40B4-BE49-F238E27FC236}">
                  <a16:creationId xmlns:a16="http://schemas.microsoft.com/office/drawing/2014/main" id="{5EB9209E-2BCB-4FEF-B446-88C15C42FA9D}"/>
                </a:ext>
              </a:extLst>
            </xdr:cNvPr>
            <xdr:cNvPicPr>
              <a:picLocks noChangeAspect="1" noChangeArrowheads="1"/>
              <a:extLst>
                <a:ext uri="{84589F7E-364E-4C9E-8A38-B11213B215E9}">
                  <a14:cameraTool cellRange="TTD_3CON" spid="_x0000_s383492"/>
                </a:ext>
              </a:extLst>
            </xdr:cNvPicPr>
          </xdr:nvPicPr>
          <xdr:blipFill rotWithShape="1">
            <a:blip xmlns:r="http://schemas.openxmlformats.org/officeDocument/2006/relationships" r:embed="rId4"/>
            <a:srcRect l="7906" r="29568"/>
            <a:stretch>
              <a:fillRect/>
            </a:stretch>
          </xdr:blipFill>
          <xdr:spPr bwMode="auto">
            <a:xfrm>
              <a:off x="5614068" y="26739516"/>
              <a:ext cx="1945360" cy="950911"/>
            </a:xfrm>
            <a:prstGeom prst="rect">
              <a:avLst/>
            </a:prstGeom>
            <a:noFill/>
            <a:ln w="9525">
              <a:noFill/>
              <a:miter lim="800000"/>
              <a:headEnd/>
              <a:tailEnd/>
            </a:ln>
          </xdr:spPr>
        </xdr:pic>
        <xdr:clientData/>
      </xdr:twoCellAnchor>
    </mc:Choice>
    <mc:Fallback/>
  </mc:AlternateContent>
  <xdr:twoCellAnchor>
    <xdr:from>
      <xdr:col>12</xdr:col>
      <xdr:colOff>50129</xdr:colOff>
      <xdr:row>29</xdr:row>
      <xdr:rowOff>190499</xdr:rowOff>
    </xdr:from>
    <xdr:to>
      <xdr:col>23</xdr:col>
      <xdr:colOff>180473</xdr:colOff>
      <xdr:row>43</xdr:row>
      <xdr:rowOff>1</xdr:rowOff>
    </xdr:to>
    <xdr:graphicFrame macro="">
      <xdr:nvGraphicFramePr>
        <xdr:cNvPr id="21" name="Chart 20">
          <a:extLst>
            <a:ext uri="{FF2B5EF4-FFF2-40B4-BE49-F238E27FC236}">
              <a16:creationId xmlns:a16="http://schemas.microsoft.com/office/drawing/2014/main" id="{CEAA437A-24DB-40E7-98C5-C77472137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104937</xdr:colOff>
      <xdr:row>43</xdr:row>
      <xdr:rowOff>201800</xdr:rowOff>
    </xdr:from>
    <xdr:to>
      <xdr:col>23</xdr:col>
      <xdr:colOff>217945</xdr:colOff>
      <xdr:row>56</xdr:row>
      <xdr:rowOff>121081</xdr:rowOff>
    </xdr:to>
    <xdr:graphicFrame macro="">
      <xdr:nvGraphicFramePr>
        <xdr:cNvPr id="25" name="Chart 24">
          <a:extLst>
            <a:ext uri="{FF2B5EF4-FFF2-40B4-BE49-F238E27FC236}">
              <a16:creationId xmlns:a16="http://schemas.microsoft.com/office/drawing/2014/main" id="{42ED849E-9E6E-4120-8CBC-A7CD73177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89</xdr:row>
      <xdr:rowOff>0</xdr:rowOff>
    </xdr:from>
    <xdr:to>
      <xdr:col>11</xdr:col>
      <xdr:colOff>279400</xdr:colOff>
      <xdr:row>101</xdr:row>
      <xdr:rowOff>12700</xdr:rowOff>
    </xdr:to>
    <xdr:graphicFrame macro="">
      <xdr:nvGraphicFramePr>
        <xdr:cNvPr id="26" name="Chart 25">
          <a:extLst>
            <a:ext uri="{FF2B5EF4-FFF2-40B4-BE49-F238E27FC236}">
              <a16:creationId xmlns:a16="http://schemas.microsoft.com/office/drawing/2014/main" id="{1CD3443B-48B0-4A2E-8E76-21DC28A0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419100</xdr:colOff>
      <xdr:row>89</xdr:row>
      <xdr:rowOff>12701</xdr:rowOff>
    </xdr:from>
    <xdr:to>
      <xdr:col>23</xdr:col>
      <xdr:colOff>203199</xdr:colOff>
      <xdr:row>101</xdr:row>
      <xdr:rowOff>25400</xdr:rowOff>
    </xdr:to>
    <xdr:graphicFrame macro="">
      <xdr:nvGraphicFramePr>
        <xdr:cNvPr id="27" name="Chart 26">
          <a:extLst>
            <a:ext uri="{FF2B5EF4-FFF2-40B4-BE49-F238E27FC236}">
              <a16:creationId xmlns:a16="http://schemas.microsoft.com/office/drawing/2014/main" id="{51D16C49-3DF2-40B1-9167-A5906E9CC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215901</xdr:colOff>
      <xdr:row>101</xdr:row>
      <xdr:rowOff>101599</xdr:rowOff>
    </xdr:from>
    <xdr:to>
      <xdr:col>11</xdr:col>
      <xdr:colOff>304800</xdr:colOff>
      <xdr:row>113</xdr:row>
      <xdr:rowOff>165100</xdr:rowOff>
    </xdr:to>
    <xdr:graphicFrame macro="">
      <xdr:nvGraphicFramePr>
        <xdr:cNvPr id="28" name="Chart 27">
          <a:extLst>
            <a:ext uri="{FF2B5EF4-FFF2-40B4-BE49-F238E27FC236}">
              <a16:creationId xmlns:a16="http://schemas.microsoft.com/office/drawing/2014/main" id="{63F808A7-3BDE-4707-A81E-8EDE82103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444499</xdr:colOff>
      <xdr:row>101</xdr:row>
      <xdr:rowOff>101600</xdr:rowOff>
    </xdr:from>
    <xdr:to>
      <xdr:col>23</xdr:col>
      <xdr:colOff>190500</xdr:colOff>
      <xdr:row>113</xdr:row>
      <xdr:rowOff>152400</xdr:rowOff>
    </xdr:to>
    <xdr:graphicFrame macro="">
      <xdr:nvGraphicFramePr>
        <xdr:cNvPr id="29" name="Chart 28">
          <a:extLst>
            <a:ext uri="{FF2B5EF4-FFF2-40B4-BE49-F238E27FC236}">
              <a16:creationId xmlns:a16="http://schemas.microsoft.com/office/drawing/2014/main" id="{2595DB33-8FC3-44D6-AFFD-4BE37C306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215901</xdr:colOff>
      <xdr:row>114</xdr:row>
      <xdr:rowOff>38101</xdr:rowOff>
    </xdr:from>
    <xdr:to>
      <xdr:col>11</xdr:col>
      <xdr:colOff>292100</xdr:colOff>
      <xdr:row>126</xdr:row>
      <xdr:rowOff>114301</xdr:rowOff>
    </xdr:to>
    <xdr:graphicFrame macro="">
      <xdr:nvGraphicFramePr>
        <xdr:cNvPr id="30" name="Chart 29">
          <a:extLst>
            <a:ext uri="{FF2B5EF4-FFF2-40B4-BE49-F238E27FC236}">
              <a16:creationId xmlns:a16="http://schemas.microsoft.com/office/drawing/2014/main" id="{18A325F1-8E67-45AB-A9C1-EBD1127CC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87474</xdr:colOff>
      <xdr:row>60</xdr:row>
      <xdr:rowOff>97194</xdr:rowOff>
    </xdr:from>
    <xdr:to>
      <xdr:col>22</xdr:col>
      <xdr:colOff>265518</xdr:colOff>
      <xdr:row>67</xdr:row>
      <xdr:rowOff>110009</xdr:rowOff>
    </xdr:to>
    <xdr:pic>
      <xdr:nvPicPr>
        <xdr:cNvPr id="14" name="Picture 13">
          <a:extLst>
            <a:ext uri="{FF2B5EF4-FFF2-40B4-BE49-F238E27FC236}">
              <a16:creationId xmlns:a16="http://schemas.microsoft.com/office/drawing/2014/main" id="{690EFD29-C663-35E8-AAC4-83F018AD3E5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270102" y="10866276"/>
          <a:ext cx="1286054" cy="1286054"/>
        </a:xfrm>
        <a:prstGeom prst="rect">
          <a:avLst/>
        </a:prstGeom>
      </xdr:spPr>
    </xdr:pic>
    <xdr:clientData/>
  </xdr:twoCellAnchor>
  <xdr:twoCellAnchor editAs="oneCell">
    <xdr:from>
      <xdr:col>20</xdr:col>
      <xdr:colOff>87474</xdr:colOff>
      <xdr:row>139</xdr:row>
      <xdr:rowOff>174950</xdr:rowOff>
    </xdr:from>
    <xdr:to>
      <xdr:col>23</xdr:col>
      <xdr:colOff>265518</xdr:colOff>
      <xdr:row>146</xdr:row>
      <xdr:rowOff>32254</xdr:rowOff>
    </xdr:to>
    <xdr:pic>
      <xdr:nvPicPr>
        <xdr:cNvPr id="16" name="Picture 15">
          <a:extLst>
            <a:ext uri="{FF2B5EF4-FFF2-40B4-BE49-F238E27FC236}">
              <a16:creationId xmlns:a16="http://schemas.microsoft.com/office/drawing/2014/main" id="{90BA8C49-C325-886E-FD7A-D42BE663743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639438" y="26631123"/>
          <a:ext cx="1286054" cy="12860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9</xdr:col>
      <xdr:colOff>711200</xdr:colOff>
      <xdr:row>123</xdr:row>
      <xdr:rowOff>177800</xdr:rowOff>
    </xdr:from>
    <xdr:to>
      <xdr:col>17</xdr:col>
      <xdr:colOff>25400</xdr:colOff>
      <xdr:row>136</xdr:row>
      <xdr:rowOff>177800</xdr:rowOff>
    </xdr:to>
    <xdr:graphicFrame macro="">
      <xdr:nvGraphicFramePr>
        <xdr:cNvPr id="2" name="Chart 1">
          <a:extLst>
            <a:ext uri="{FF2B5EF4-FFF2-40B4-BE49-F238E27FC236}">
              <a16:creationId xmlns:a16="http://schemas.microsoft.com/office/drawing/2014/main" id="{D847BD3A-7AC2-747B-7C8A-1ABCAD4EB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40</xdr:row>
      <xdr:rowOff>101600</xdr:rowOff>
    </xdr:from>
    <xdr:to>
      <xdr:col>15</xdr:col>
      <xdr:colOff>228600</xdr:colOff>
      <xdr:row>61</xdr:row>
      <xdr:rowOff>38100</xdr:rowOff>
    </xdr:to>
    <xdr:graphicFrame macro="">
      <xdr:nvGraphicFramePr>
        <xdr:cNvPr id="3" name="Chart 2">
          <a:extLst>
            <a:ext uri="{FF2B5EF4-FFF2-40B4-BE49-F238E27FC236}">
              <a16:creationId xmlns:a16="http://schemas.microsoft.com/office/drawing/2014/main" id="{AB8A9F2D-4235-BAD9-944F-7E9A08E21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111971</xdr:colOff>
      <xdr:row>2</xdr:row>
      <xdr:rowOff>25400</xdr:rowOff>
    </xdr:to>
    <xdr:pic>
      <xdr:nvPicPr>
        <xdr:cNvPr id="2" name="Picture 1">
          <a:extLst>
            <a:ext uri="{FF2B5EF4-FFF2-40B4-BE49-F238E27FC236}">
              <a16:creationId xmlns:a16="http://schemas.microsoft.com/office/drawing/2014/main" id="{4C9327A9-32E2-8343-ABFA-9BF32CCC08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3399" y="76200"/>
          <a:ext cx="1562947" cy="495300"/>
        </a:xfrm>
        <a:prstGeom prst="rect">
          <a:avLst/>
        </a:prstGeom>
      </xdr:spPr>
    </xdr:pic>
    <xdr:clientData/>
  </xdr:twoCellAnchor>
  <xdr:twoCellAnchor editAs="oneCell">
    <xdr:from>
      <xdr:col>1</xdr:col>
      <xdr:colOff>139700</xdr:colOff>
      <xdr:row>78</xdr:row>
      <xdr:rowOff>25400</xdr:rowOff>
    </xdr:from>
    <xdr:to>
      <xdr:col>5</xdr:col>
      <xdr:colOff>86572</xdr:colOff>
      <xdr:row>79</xdr:row>
      <xdr:rowOff>228600</xdr:rowOff>
    </xdr:to>
    <xdr:pic>
      <xdr:nvPicPr>
        <xdr:cNvPr id="3" name="Picture 2">
          <a:extLst>
            <a:ext uri="{FF2B5EF4-FFF2-40B4-BE49-F238E27FC236}">
              <a16:creationId xmlns:a16="http://schemas.microsoft.com/office/drawing/2014/main" id="{CE2B8572-A41E-6947-959F-37D9D94639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4</xdr:col>
      <xdr:colOff>267890</xdr:colOff>
      <xdr:row>89</xdr:row>
      <xdr:rowOff>188120</xdr:rowOff>
    </xdr:from>
    <xdr:to>
      <xdr:col>17</xdr:col>
      <xdr:colOff>155148</xdr:colOff>
      <xdr:row>102</xdr:row>
      <xdr:rowOff>123825</xdr:rowOff>
    </xdr:to>
    <xdr:grpSp>
      <xdr:nvGrpSpPr>
        <xdr:cNvPr id="4" name="Group 3">
          <a:extLst>
            <a:ext uri="{FF2B5EF4-FFF2-40B4-BE49-F238E27FC236}">
              <a16:creationId xmlns:a16="http://schemas.microsoft.com/office/drawing/2014/main" id="{2835660F-0366-A044-BF60-6F186CD93369}"/>
            </a:ext>
          </a:extLst>
        </xdr:cNvPr>
        <xdr:cNvGrpSpPr/>
      </xdr:nvGrpSpPr>
      <xdr:grpSpPr>
        <a:xfrm>
          <a:off x="1885343" y="16120030"/>
          <a:ext cx="4730630" cy="2505658"/>
          <a:chOff x="828675" y="11311834"/>
          <a:chExt cx="4637329" cy="2634213"/>
        </a:xfrm>
      </xdr:grpSpPr>
      <xdr:sp macro="" textlink="">
        <xdr:nvSpPr>
          <xdr:cNvPr id="5" name="TextBox 4">
            <a:extLst>
              <a:ext uri="{FF2B5EF4-FFF2-40B4-BE49-F238E27FC236}">
                <a16:creationId xmlns:a16="http://schemas.microsoft.com/office/drawing/2014/main" id="{BF69685C-5335-5120-9F60-720455C3AB07}"/>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D6971E40-BE28-EA52-E99E-6CFDBB09AA2B}"/>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xdr:from>
      <xdr:col>13</xdr:col>
      <xdr:colOff>9921</xdr:colOff>
      <xdr:row>30</xdr:row>
      <xdr:rowOff>119064</xdr:rowOff>
    </xdr:from>
    <xdr:to>
      <xdr:col>23</xdr:col>
      <xdr:colOff>168672</xdr:colOff>
      <xdr:row>50</xdr:row>
      <xdr:rowOff>9923</xdr:rowOff>
    </xdr:to>
    <xdr:graphicFrame macro="">
      <xdr:nvGraphicFramePr>
        <xdr:cNvPr id="8" name="Chart 7">
          <a:extLst>
            <a:ext uri="{FF2B5EF4-FFF2-40B4-BE49-F238E27FC236}">
              <a16:creationId xmlns:a16="http://schemas.microsoft.com/office/drawing/2014/main" id="{AEB1BEB7-FE6C-014D-986F-111514D2A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122236</xdr:colOff>
          <xdr:row>58</xdr:row>
          <xdr:rowOff>178976</xdr:rowOff>
        </xdr:from>
        <xdr:to>
          <xdr:col>11</xdr:col>
          <xdr:colOff>555624</xdr:colOff>
          <xdr:row>65</xdr:row>
          <xdr:rowOff>88107</xdr:rowOff>
        </xdr:to>
        <xdr:pic>
          <xdr:nvPicPr>
            <xdr:cNvPr id="10" name="Picture 9">
              <a:extLst>
                <a:ext uri="{FF2B5EF4-FFF2-40B4-BE49-F238E27FC236}">
                  <a16:creationId xmlns:a16="http://schemas.microsoft.com/office/drawing/2014/main" id="{6870DF85-A6F6-0FE6-F5F2-BDB6F9EF1FDC}"/>
                </a:ext>
              </a:extLst>
            </xdr:cNvPr>
            <xdr:cNvPicPr>
              <a:picLocks noChangeAspect="1" noChangeArrowheads="1"/>
              <a:extLst>
                <a:ext uri="{84589F7E-364E-4C9E-8A38-B11213B215E9}">
                  <a14:cameraTool cellRange="TTD_2UCT" spid="_x0000_s36351"/>
                </a:ext>
              </a:extLst>
            </xdr:cNvPicPr>
          </xdr:nvPicPr>
          <xdr:blipFill>
            <a:blip xmlns:r="http://schemas.openxmlformats.org/officeDocument/2006/relationships" r:embed="rId3"/>
            <a:srcRect/>
            <a:stretch>
              <a:fillRect/>
            </a:stretch>
          </xdr:blipFill>
          <xdr:spPr bwMode="auto">
            <a:xfrm>
              <a:off x="3186111" y="10751726"/>
              <a:ext cx="1528763" cy="135375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59</xdr:row>
          <xdr:rowOff>118891</xdr:rowOff>
        </xdr:from>
        <xdr:to>
          <xdr:col>18</xdr:col>
          <xdr:colOff>189472</xdr:colOff>
          <xdr:row>65</xdr:row>
          <xdr:rowOff>23636</xdr:rowOff>
        </xdr:to>
        <xdr:pic>
          <xdr:nvPicPr>
            <xdr:cNvPr id="11" name="Picture 10">
              <a:extLst>
                <a:ext uri="{FF2B5EF4-FFF2-40B4-BE49-F238E27FC236}">
                  <a16:creationId xmlns:a16="http://schemas.microsoft.com/office/drawing/2014/main" id="{C9EAAABD-2BA1-D463-7789-AF8C2912CC90}"/>
                </a:ext>
              </a:extLst>
            </xdr:cNvPr>
            <xdr:cNvPicPr>
              <a:picLocks noChangeAspect="1" noChangeArrowheads="1"/>
              <a:extLst>
                <a:ext uri="{84589F7E-364E-4C9E-8A38-B11213B215E9}">
                  <a14:cameraTool cellRange="TTD_3UCT" spid="_x0000_s36352"/>
                </a:ext>
              </a:extLst>
            </xdr:cNvPicPr>
          </xdr:nvPicPr>
          <xdr:blipFill>
            <a:blip xmlns:r="http://schemas.openxmlformats.org/officeDocument/2006/relationships" r:embed="rId4"/>
            <a:srcRect/>
            <a:stretch>
              <a:fillRect/>
            </a:stretch>
          </xdr:blipFill>
          <xdr:spPr bwMode="auto">
            <a:xfrm>
              <a:off x="5048250" y="10898016"/>
              <a:ext cx="1919847" cy="114299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361823</xdr:colOff>
          <xdr:row>59</xdr:row>
          <xdr:rowOff>59307</xdr:rowOff>
        </xdr:from>
        <xdr:to>
          <xdr:col>7</xdr:col>
          <xdr:colOff>71887</xdr:colOff>
          <xdr:row>66</xdr:row>
          <xdr:rowOff>152049</xdr:rowOff>
        </xdr:to>
        <xdr:pic>
          <xdr:nvPicPr>
            <xdr:cNvPr id="12" name="TTD_1UCT">
              <a:extLst>
                <a:ext uri="{FF2B5EF4-FFF2-40B4-BE49-F238E27FC236}">
                  <a16:creationId xmlns:a16="http://schemas.microsoft.com/office/drawing/2014/main" id="{DF2E4241-4221-C969-7B18-8F5D025C230C}"/>
                </a:ext>
              </a:extLst>
            </xdr:cNvPr>
            <xdr:cNvPicPr>
              <a:picLocks noChangeAspect="1" noChangeArrowheads="1"/>
              <a:extLst>
                <a:ext uri="{84589F7E-364E-4C9E-8A38-B11213B215E9}">
                  <a14:cameraTool cellRange="TTD_1UCT" spid="_x0000_s36353"/>
                </a:ext>
              </a:extLst>
            </xdr:cNvPicPr>
          </xdr:nvPicPr>
          <xdr:blipFill>
            <a:blip xmlns:r="http://schemas.openxmlformats.org/officeDocument/2006/relationships" r:embed="rId5"/>
            <a:srcRect/>
            <a:stretch>
              <a:fillRect/>
            </a:stretch>
          </xdr:blipFill>
          <xdr:spPr bwMode="auto">
            <a:xfrm>
              <a:off x="1098663" y="10527821"/>
              <a:ext cx="1695936" cy="143163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195261</xdr:colOff>
          <xdr:row>139</xdr:row>
          <xdr:rowOff>29751</xdr:rowOff>
        </xdr:from>
        <xdr:to>
          <xdr:col>15</xdr:col>
          <xdr:colOff>200024</xdr:colOff>
          <xdr:row>145</xdr:row>
          <xdr:rowOff>145256</xdr:rowOff>
        </xdr:to>
        <xdr:pic>
          <xdr:nvPicPr>
            <xdr:cNvPr id="7" name="Picture 6">
              <a:extLst>
                <a:ext uri="{FF2B5EF4-FFF2-40B4-BE49-F238E27FC236}">
                  <a16:creationId xmlns:a16="http://schemas.microsoft.com/office/drawing/2014/main" id="{D227C679-C44D-4923-8075-EA44B49E530B}"/>
                </a:ext>
              </a:extLst>
            </xdr:cNvPr>
            <xdr:cNvPicPr>
              <a:picLocks noChangeAspect="1" noChangeArrowheads="1"/>
              <a:extLst>
                <a:ext uri="{84589F7E-364E-4C9E-8A38-B11213B215E9}">
                  <a14:cameraTool cellRange="TTD_2UCT" spid="_x0000_s36354"/>
                </a:ext>
              </a:extLst>
            </xdr:cNvPicPr>
          </xdr:nvPicPr>
          <xdr:blipFill>
            <a:blip xmlns:r="http://schemas.openxmlformats.org/officeDocument/2006/relationships" r:embed="rId3"/>
            <a:srcRect/>
            <a:stretch>
              <a:fillRect/>
            </a:stretch>
          </xdr:blipFill>
          <xdr:spPr bwMode="auto">
            <a:xfrm>
              <a:off x="4354511" y="26874376"/>
              <a:ext cx="1528763" cy="135375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88900</xdr:colOff>
          <xdr:row>139</xdr:row>
          <xdr:rowOff>191916</xdr:rowOff>
        </xdr:from>
        <xdr:to>
          <xdr:col>20</xdr:col>
          <xdr:colOff>183122</xdr:colOff>
          <xdr:row>145</xdr:row>
          <xdr:rowOff>96661</xdr:rowOff>
        </xdr:to>
        <xdr:pic>
          <xdr:nvPicPr>
            <xdr:cNvPr id="9" name="Picture 8">
              <a:extLst>
                <a:ext uri="{FF2B5EF4-FFF2-40B4-BE49-F238E27FC236}">
                  <a16:creationId xmlns:a16="http://schemas.microsoft.com/office/drawing/2014/main" id="{EBF343B4-45B3-4E5E-8A01-4DC61EA35E48}"/>
                </a:ext>
              </a:extLst>
            </xdr:cNvPr>
            <xdr:cNvPicPr>
              <a:picLocks noChangeAspect="1" noChangeArrowheads="1"/>
              <a:extLst>
                <a:ext uri="{84589F7E-364E-4C9E-8A38-B11213B215E9}">
                  <a14:cameraTool cellRange="TTD_3UCT" spid="_x0000_s36355"/>
                </a:ext>
              </a:extLst>
            </xdr:cNvPicPr>
          </xdr:nvPicPr>
          <xdr:blipFill>
            <a:blip xmlns:r="http://schemas.openxmlformats.org/officeDocument/2006/relationships" r:embed="rId4"/>
            <a:srcRect/>
            <a:stretch>
              <a:fillRect/>
            </a:stretch>
          </xdr:blipFill>
          <xdr:spPr bwMode="auto">
            <a:xfrm>
              <a:off x="5772150" y="27036541"/>
              <a:ext cx="1919847" cy="114299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344091</xdr:colOff>
          <xdr:row>140</xdr:row>
          <xdr:rowOff>120650</xdr:rowOff>
        </xdr:from>
        <xdr:to>
          <xdr:col>11</xdr:col>
          <xdr:colOff>98699</xdr:colOff>
          <xdr:row>145</xdr:row>
          <xdr:rowOff>166291</xdr:rowOff>
        </xdr:to>
        <xdr:pic>
          <xdr:nvPicPr>
            <xdr:cNvPr id="13" name="TTD_1UCT">
              <a:extLst>
                <a:ext uri="{FF2B5EF4-FFF2-40B4-BE49-F238E27FC236}">
                  <a16:creationId xmlns:a16="http://schemas.microsoft.com/office/drawing/2014/main" id="{E8387FB5-74CA-42E9-8DB5-5C5873616D04}"/>
                </a:ext>
              </a:extLst>
            </xdr:cNvPr>
            <xdr:cNvPicPr>
              <a:picLocks noChangeAspect="1" noChangeArrowheads="1"/>
              <a:extLst>
                <a:ext uri="{84589F7E-364E-4C9E-8A38-B11213B215E9}">
                  <a14:cameraTool cellRange="TTD_1UCT" spid="_x0000_s36356"/>
                </a:ext>
              </a:extLst>
            </xdr:cNvPicPr>
          </xdr:nvPicPr>
          <xdr:blipFill>
            <a:blip xmlns:r="http://schemas.openxmlformats.org/officeDocument/2006/relationships" r:embed="rId6"/>
            <a:srcRect/>
            <a:stretch>
              <a:fillRect/>
            </a:stretch>
          </xdr:blipFill>
          <xdr:spPr bwMode="auto">
            <a:xfrm>
              <a:off x="3042841" y="27171650"/>
              <a:ext cx="1215108" cy="1077516"/>
            </a:xfrm>
            <a:prstGeom prst="rect">
              <a:avLst/>
            </a:prstGeom>
            <a:noFill/>
            <a:ln w="9525">
              <a:noFill/>
              <a:miter lim="800000"/>
              <a:headEnd/>
              <a:tailEnd/>
            </a:ln>
          </xdr:spPr>
        </xdr:pic>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xdr:from>
      <xdr:col>16</xdr:col>
      <xdr:colOff>430436</xdr:colOff>
      <xdr:row>103</xdr:row>
      <xdr:rowOff>203197</xdr:rowOff>
    </xdr:from>
    <xdr:to>
      <xdr:col>20</xdr:col>
      <xdr:colOff>796415</xdr:colOff>
      <xdr:row>132</xdr:row>
      <xdr:rowOff>26354</xdr:rowOff>
    </xdr:to>
    <xdr:graphicFrame macro="">
      <xdr:nvGraphicFramePr>
        <xdr:cNvPr id="3" name="Chart 2">
          <a:extLst>
            <a:ext uri="{FF2B5EF4-FFF2-40B4-BE49-F238E27FC236}">
              <a16:creationId xmlns:a16="http://schemas.microsoft.com/office/drawing/2014/main" id="{F951767F-936E-AB91-716F-0CF199846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378372</xdr:colOff>
      <xdr:row>28</xdr:row>
      <xdr:rowOff>64182</xdr:rowOff>
    </xdr:from>
    <xdr:to>
      <xdr:col>14</xdr:col>
      <xdr:colOff>816727</xdr:colOff>
      <xdr:row>41</xdr:row>
      <xdr:rowOff>167319</xdr:rowOff>
    </xdr:to>
    <xdr:graphicFrame macro="">
      <xdr:nvGraphicFramePr>
        <xdr:cNvPr id="4" name="Chart 3">
          <a:extLst>
            <a:ext uri="{FF2B5EF4-FFF2-40B4-BE49-F238E27FC236}">
              <a16:creationId xmlns:a16="http://schemas.microsoft.com/office/drawing/2014/main" id="{E1C35FD8-CB41-5BBB-2A63-EF47BE94D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73219</xdr:colOff>
      <xdr:row>113</xdr:row>
      <xdr:rowOff>184445</xdr:rowOff>
    </xdr:from>
    <xdr:to>
      <xdr:col>13</xdr:col>
      <xdr:colOff>796983</xdr:colOff>
      <xdr:row>131</xdr:row>
      <xdr:rowOff>82565</xdr:rowOff>
    </xdr:to>
    <xdr:graphicFrame macro="">
      <xdr:nvGraphicFramePr>
        <xdr:cNvPr id="5" name="Chart 4">
          <a:extLst>
            <a:ext uri="{FF2B5EF4-FFF2-40B4-BE49-F238E27FC236}">
              <a16:creationId xmlns:a16="http://schemas.microsoft.com/office/drawing/2014/main" id="{43AC400A-CE57-7748-897F-FE26F6817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175471</xdr:colOff>
      <xdr:row>2</xdr:row>
      <xdr:rowOff>25400</xdr:rowOff>
    </xdr:to>
    <xdr:pic>
      <xdr:nvPicPr>
        <xdr:cNvPr id="2" name="Picture 1">
          <a:extLst>
            <a:ext uri="{FF2B5EF4-FFF2-40B4-BE49-F238E27FC236}">
              <a16:creationId xmlns:a16="http://schemas.microsoft.com/office/drawing/2014/main" id="{AC7C86D1-7433-40B3-8129-28821A31CB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150072</xdr:colOff>
      <xdr:row>79</xdr:row>
      <xdr:rowOff>228599</xdr:rowOff>
    </xdr:to>
    <xdr:pic>
      <xdr:nvPicPr>
        <xdr:cNvPr id="3" name="Picture 2">
          <a:extLst>
            <a:ext uri="{FF2B5EF4-FFF2-40B4-BE49-F238E27FC236}">
              <a16:creationId xmlns:a16="http://schemas.microsoft.com/office/drawing/2014/main" id="{095D3745-4D3F-4C01-B848-BF237D289A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13192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E768BBFA-D1CD-49B5-9307-66698C4929BA}"/>
            </a:ext>
          </a:extLst>
        </xdr:cNvPr>
        <xdr:cNvGrpSpPr/>
      </xdr:nvGrpSpPr>
      <xdr:grpSpPr>
        <a:xfrm>
          <a:off x="742627" y="16329832"/>
          <a:ext cx="7323489" cy="2564256"/>
          <a:chOff x="828675" y="11311834"/>
          <a:chExt cx="7014852" cy="2639596"/>
        </a:xfrm>
      </xdr:grpSpPr>
      <xdr:sp macro="" textlink="">
        <xdr:nvSpPr>
          <xdr:cNvPr id="5" name="TextBox 4">
            <a:extLst>
              <a:ext uri="{FF2B5EF4-FFF2-40B4-BE49-F238E27FC236}">
                <a16:creationId xmlns:a16="http://schemas.microsoft.com/office/drawing/2014/main" id="{0830C62E-4B66-729B-70F9-8805DF6A0E72}"/>
              </a:ext>
            </a:extLst>
          </xdr:cNvPr>
          <xdr:cNvSpPr txBox="1"/>
        </xdr:nvSpPr>
        <xdr:spPr>
          <a:xfrm>
            <a:off x="828675" y="11318047"/>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29442FBE-CBEC-6115-FDBF-0BBD14EF82B4}"/>
              </a:ext>
            </a:extLst>
          </xdr:cNvPr>
          <xdr:cNvSpPr txBox="1"/>
        </xdr:nvSpPr>
        <xdr:spPr>
          <a:xfrm>
            <a:off x="3306004" y="11311834"/>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66049445-6A48-C56B-7F2F-4D922BF26452}"/>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2</xdr:col>
          <xdr:colOff>349249</xdr:colOff>
          <xdr:row>60</xdr:row>
          <xdr:rowOff>51182</xdr:rowOff>
        </xdr:from>
        <xdr:to>
          <xdr:col>6</xdr:col>
          <xdr:colOff>174625</xdr:colOff>
          <xdr:row>66</xdr:row>
          <xdr:rowOff>88891</xdr:rowOff>
        </xdr:to>
        <xdr:pic>
          <xdr:nvPicPr>
            <xdr:cNvPr id="8" name="Picture 7">
              <a:extLst>
                <a:ext uri="{FF2B5EF4-FFF2-40B4-BE49-F238E27FC236}">
                  <a16:creationId xmlns:a16="http://schemas.microsoft.com/office/drawing/2014/main" id="{49CA63C3-F996-497E-9DBC-777311782CE1}"/>
                </a:ext>
              </a:extLst>
            </xdr:cNvPr>
            <xdr:cNvPicPr>
              <a:picLocks noChangeAspect="1" noChangeArrowheads="1"/>
              <a:extLst>
                <a:ext uri="{84589F7E-364E-4C9E-8A38-B11213B215E9}">
                  <a14:cameraTool cellRange="TTD_1DSCD" spid="_x0000_s442879"/>
                </a:ext>
              </a:extLst>
            </xdr:cNvPicPr>
          </xdr:nvPicPr>
          <xdr:blipFill rotWithShape="1">
            <a:blip xmlns:r="http://schemas.openxmlformats.org/officeDocument/2006/relationships" r:embed="rId2"/>
            <a:srcRect r="43374"/>
            <a:stretch>
              <a:fillRect/>
            </a:stretch>
          </xdr:blipFill>
          <xdr:spPr bwMode="auto">
            <a:xfrm>
              <a:off x="1079499" y="11036682"/>
              <a:ext cx="1365251" cy="122833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564659</xdr:colOff>
          <xdr:row>58</xdr:row>
          <xdr:rowOff>135132</xdr:rowOff>
        </xdr:from>
        <xdr:to>
          <xdr:col>18</xdr:col>
          <xdr:colOff>129153</xdr:colOff>
          <xdr:row>65</xdr:row>
          <xdr:rowOff>116941</xdr:rowOff>
        </xdr:to>
        <xdr:pic>
          <xdr:nvPicPr>
            <xdr:cNvPr id="9" name="Picture 8">
              <a:extLst>
                <a:ext uri="{FF2B5EF4-FFF2-40B4-BE49-F238E27FC236}">
                  <a16:creationId xmlns:a16="http://schemas.microsoft.com/office/drawing/2014/main" id="{8F21AA8C-1C06-4DE8-9076-3E17246ED30C}"/>
                </a:ext>
              </a:extLst>
            </xdr:cNvPr>
            <xdr:cNvPicPr>
              <a:picLocks noChangeAspect="1" noChangeArrowheads="1"/>
              <a:extLst>
                <a:ext uri="{84589F7E-364E-4C9E-8A38-B11213B215E9}">
                  <a14:cameraTool cellRange="TTD_3DSCD" spid="_x0000_s442880"/>
                </a:ext>
              </a:extLst>
            </xdr:cNvPicPr>
          </xdr:nvPicPr>
          <xdr:blipFill rotWithShape="1">
            <a:blip xmlns:r="http://schemas.openxmlformats.org/officeDocument/2006/relationships" r:embed="rId3"/>
            <a:srcRect r="30470"/>
            <a:stretch>
              <a:fillRect/>
            </a:stretch>
          </xdr:blipFill>
          <xdr:spPr bwMode="auto">
            <a:xfrm>
              <a:off x="4713684" y="10539984"/>
              <a:ext cx="2268626" cy="13944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127297</xdr:colOff>
          <xdr:row>59</xdr:row>
          <xdr:rowOff>16849</xdr:rowOff>
        </xdr:from>
        <xdr:to>
          <xdr:col>13</xdr:col>
          <xdr:colOff>310755</xdr:colOff>
          <xdr:row>66</xdr:row>
          <xdr:rowOff>53712</xdr:rowOff>
        </xdr:to>
        <xdr:pic>
          <xdr:nvPicPr>
            <xdr:cNvPr id="10" name="Picture 9">
              <a:extLst>
                <a:ext uri="{FF2B5EF4-FFF2-40B4-BE49-F238E27FC236}">
                  <a16:creationId xmlns:a16="http://schemas.microsoft.com/office/drawing/2014/main" id="{7EFD2034-5A4A-40A2-98C9-7BFC1D01DD03}"/>
                </a:ext>
              </a:extLst>
            </xdr:cNvPr>
            <xdr:cNvPicPr>
              <a:picLocks noChangeAspect="1" noChangeArrowheads="1"/>
              <a:extLst>
                <a:ext uri="{84589F7E-364E-4C9E-8A38-B11213B215E9}">
                  <a14:cameraTool cellRange="TTD_2DSCD" spid="_x0000_s442881"/>
                </a:ext>
              </a:extLst>
            </xdr:cNvPicPr>
          </xdr:nvPicPr>
          <xdr:blipFill>
            <a:blip xmlns:r="http://schemas.openxmlformats.org/officeDocument/2006/relationships" r:embed="rId4"/>
            <a:srcRect/>
            <a:stretch>
              <a:fillRect/>
            </a:stretch>
          </xdr:blipFill>
          <xdr:spPr bwMode="auto">
            <a:xfrm>
              <a:off x="2791068" y="10623502"/>
              <a:ext cx="2459772" cy="140103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95737</xdr:colOff>
          <xdr:row>139</xdr:row>
          <xdr:rowOff>49880</xdr:rowOff>
        </xdr:from>
        <xdr:to>
          <xdr:col>11</xdr:col>
          <xdr:colOff>98536</xdr:colOff>
          <xdr:row>145</xdr:row>
          <xdr:rowOff>39964</xdr:rowOff>
        </xdr:to>
        <xdr:pic>
          <xdr:nvPicPr>
            <xdr:cNvPr id="11" name="Picture 10">
              <a:extLst>
                <a:ext uri="{FF2B5EF4-FFF2-40B4-BE49-F238E27FC236}">
                  <a16:creationId xmlns:a16="http://schemas.microsoft.com/office/drawing/2014/main" id="{AF117D62-38AE-4C41-AECE-B76946AF83EC}"/>
                </a:ext>
              </a:extLst>
            </xdr:cNvPr>
            <xdr:cNvPicPr>
              <a:picLocks noChangeAspect="1" noChangeArrowheads="1"/>
              <a:extLst>
                <a:ext uri="{84589F7E-364E-4C9E-8A38-B11213B215E9}">
                  <a14:cameraTool cellRange="TTD_1DSCD" spid="_x0000_s442882"/>
                </a:ext>
              </a:extLst>
            </xdr:cNvPicPr>
          </xdr:nvPicPr>
          <xdr:blipFill rotWithShape="1">
            <a:blip xmlns:r="http://schemas.openxmlformats.org/officeDocument/2006/relationships" r:embed="rId2"/>
            <a:srcRect r="39154"/>
            <a:stretch>
              <a:fillRect/>
            </a:stretch>
          </xdr:blipFill>
          <xdr:spPr bwMode="auto">
            <a:xfrm>
              <a:off x="2843754" y="25975397"/>
              <a:ext cx="1535558" cy="117249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183830</xdr:colOff>
          <xdr:row>138</xdr:row>
          <xdr:rowOff>34435</xdr:rowOff>
        </xdr:from>
        <xdr:to>
          <xdr:col>19</xdr:col>
          <xdr:colOff>294529</xdr:colOff>
          <xdr:row>144</xdr:row>
          <xdr:rowOff>43793</xdr:rowOff>
        </xdr:to>
        <xdr:pic>
          <xdr:nvPicPr>
            <xdr:cNvPr id="12" name="Picture 11">
              <a:extLst>
                <a:ext uri="{FF2B5EF4-FFF2-40B4-BE49-F238E27FC236}">
                  <a16:creationId xmlns:a16="http://schemas.microsoft.com/office/drawing/2014/main" id="{358BC54C-94C5-4F30-881D-CA880B772FF8}"/>
                </a:ext>
              </a:extLst>
            </xdr:cNvPr>
            <xdr:cNvPicPr>
              <a:picLocks noChangeAspect="1" noChangeArrowheads="1"/>
              <a:extLst>
                <a:ext uri="{84589F7E-364E-4C9E-8A38-B11213B215E9}">
                  <a14:cameraTool cellRange="TTD_3DSCD" spid="_x0000_s442883"/>
                </a:ext>
              </a:extLst>
            </xdr:cNvPicPr>
          </xdr:nvPicPr>
          <xdr:blipFill rotWithShape="1">
            <a:blip xmlns:r="http://schemas.openxmlformats.org/officeDocument/2006/relationships" r:embed="rId3"/>
            <a:srcRect r="29309"/>
            <a:stretch>
              <a:fillRect/>
            </a:stretch>
          </xdr:blipFill>
          <xdr:spPr bwMode="auto">
            <a:xfrm>
              <a:off x="5647020" y="25762883"/>
              <a:ext cx="2081388" cy="119177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265093</xdr:colOff>
          <xdr:row>137</xdr:row>
          <xdr:rowOff>124383</xdr:rowOff>
        </xdr:from>
        <xdr:to>
          <xdr:col>15</xdr:col>
          <xdr:colOff>131379</xdr:colOff>
          <xdr:row>144</xdr:row>
          <xdr:rowOff>112814</xdr:rowOff>
        </xdr:to>
        <xdr:pic>
          <xdr:nvPicPr>
            <xdr:cNvPr id="13" name="Picture 12">
              <a:extLst>
                <a:ext uri="{FF2B5EF4-FFF2-40B4-BE49-F238E27FC236}">
                  <a16:creationId xmlns:a16="http://schemas.microsoft.com/office/drawing/2014/main" id="{198BCCC4-612F-4A17-8F5B-5798AF6046A9}"/>
                </a:ext>
              </a:extLst>
            </xdr:cNvPr>
            <xdr:cNvPicPr>
              <a:picLocks noChangeAspect="1" noChangeArrowheads="1"/>
              <a:extLst>
                <a:ext uri="{84589F7E-364E-4C9E-8A38-B11213B215E9}">
                  <a14:cameraTool cellRange="TTD_2DSCD" spid="_x0000_s442884"/>
                </a:ext>
              </a:extLst>
            </xdr:cNvPicPr>
          </xdr:nvPicPr>
          <xdr:blipFill rotWithShape="1">
            <a:blip xmlns:r="http://schemas.openxmlformats.org/officeDocument/2006/relationships" r:embed="rId4"/>
            <a:srcRect r="28078"/>
            <a:stretch>
              <a:fillRect/>
            </a:stretch>
          </xdr:blipFill>
          <xdr:spPr bwMode="auto">
            <a:xfrm>
              <a:off x="4162679" y="25655762"/>
              <a:ext cx="1815079" cy="1367914"/>
            </a:xfrm>
            <a:prstGeom prst="rect">
              <a:avLst/>
            </a:prstGeom>
            <a:noFill/>
            <a:ln w="9525">
              <a:noFill/>
              <a:miter lim="800000"/>
              <a:headEnd/>
              <a:tailEnd/>
            </a:ln>
          </xdr:spPr>
        </xdr:pic>
        <xdr:clientData/>
      </xdr:twoCellAnchor>
    </mc:Choice>
    <mc:Fallback/>
  </mc:AlternateContent>
  <xdr:twoCellAnchor>
    <xdr:from>
      <xdr:col>0</xdr:col>
      <xdr:colOff>111125</xdr:colOff>
      <xdr:row>41</xdr:row>
      <xdr:rowOff>0</xdr:rowOff>
    </xdr:from>
    <xdr:to>
      <xdr:col>12</xdr:col>
      <xdr:colOff>79375</xdr:colOff>
      <xdr:row>57</xdr:row>
      <xdr:rowOff>190500</xdr:rowOff>
    </xdr:to>
    <xdr:graphicFrame macro="">
      <xdr:nvGraphicFramePr>
        <xdr:cNvPr id="16" name="Chart 15">
          <a:extLst>
            <a:ext uri="{FF2B5EF4-FFF2-40B4-BE49-F238E27FC236}">
              <a16:creationId xmlns:a16="http://schemas.microsoft.com/office/drawing/2014/main" id="{AF2F22E7-4FB6-4EE6-99B3-532B888AF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31750</xdr:colOff>
      <xdr:row>41</xdr:row>
      <xdr:rowOff>31750</xdr:rowOff>
    </xdr:from>
    <xdr:to>
      <xdr:col>23</xdr:col>
      <xdr:colOff>206376</xdr:colOff>
      <xdr:row>52</xdr:row>
      <xdr:rowOff>63501</xdr:rowOff>
    </xdr:to>
    <xdr:graphicFrame macro="">
      <xdr:nvGraphicFramePr>
        <xdr:cNvPr id="17" name="Chart 16">
          <a:extLst>
            <a:ext uri="{FF2B5EF4-FFF2-40B4-BE49-F238E27FC236}">
              <a16:creationId xmlns:a16="http://schemas.microsoft.com/office/drawing/2014/main" id="{CFF13427-D0F4-4622-ACE7-19AE53232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361950</xdr:colOff>
      <xdr:row>79</xdr:row>
      <xdr:rowOff>103083</xdr:rowOff>
    </xdr:from>
    <xdr:to>
      <xdr:col>15</xdr:col>
      <xdr:colOff>176159</xdr:colOff>
      <xdr:row>98</xdr:row>
      <xdr:rowOff>91745</xdr:rowOff>
    </xdr:to>
    <xdr:graphicFrame macro="">
      <xdr:nvGraphicFramePr>
        <xdr:cNvPr id="2" name="Chart 1">
          <a:extLst>
            <a:ext uri="{FF2B5EF4-FFF2-40B4-BE49-F238E27FC236}">
              <a16:creationId xmlns:a16="http://schemas.microsoft.com/office/drawing/2014/main" id="{BDA32A1D-6250-6427-C89A-982A5B61A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279399</xdr:colOff>
      <xdr:row>59</xdr:row>
      <xdr:rowOff>165100</xdr:rowOff>
    </xdr:from>
    <xdr:to>
      <xdr:col>19</xdr:col>
      <xdr:colOff>668436</xdr:colOff>
      <xdr:row>80</xdr:row>
      <xdr:rowOff>20342</xdr:rowOff>
    </xdr:to>
    <xdr:graphicFrame macro="">
      <xdr:nvGraphicFramePr>
        <xdr:cNvPr id="4" name="Chart 3">
          <a:extLst>
            <a:ext uri="{FF2B5EF4-FFF2-40B4-BE49-F238E27FC236}">
              <a16:creationId xmlns:a16="http://schemas.microsoft.com/office/drawing/2014/main" id="{99FC5CC4-50CF-A6C6-7322-7F72CDF50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xdr:col>
      <xdr:colOff>21167</xdr:colOff>
      <xdr:row>90</xdr:row>
      <xdr:rowOff>38100</xdr:rowOff>
    </xdr:from>
    <xdr:to>
      <xdr:col>21</xdr:col>
      <xdr:colOff>120186</xdr:colOff>
      <xdr:row>102</xdr:row>
      <xdr:rowOff>182145</xdr:rowOff>
    </xdr:to>
    <xdr:grpSp>
      <xdr:nvGrpSpPr>
        <xdr:cNvPr id="2" name="Group 1">
          <a:extLst>
            <a:ext uri="{FF2B5EF4-FFF2-40B4-BE49-F238E27FC236}">
              <a16:creationId xmlns:a16="http://schemas.microsoft.com/office/drawing/2014/main" id="{107B236C-12E9-4B21-B7C4-F97034649E6A}"/>
            </a:ext>
          </a:extLst>
        </xdr:cNvPr>
        <xdr:cNvGrpSpPr/>
      </xdr:nvGrpSpPr>
      <xdr:grpSpPr>
        <a:xfrm>
          <a:off x="783167" y="16354425"/>
          <a:ext cx="7661869" cy="2544345"/>
          <a:chOff x="828675" y="11311834"/>
          <a:chExt cx="7014852" cy="2639596"/>
        </a:xfrm>
      </xdr:grpSpPr>
      <xdr:sp macro="" textlink="">
        <xdr:nvSpPr>
          <xdr:cNvPr id="3" name="TextBox 2">
            <a:extLst>
              <a:ext uri="{FF2B5EF4-FFF2-40B4-BE49-F238E27FC236}">
                <a16:creationId xmlns:a16="http://schemas.microsoft.com/office/drawing/2014/main" id="{8F0C98BD-A16D-CEF0-CC51-C4358F4D977F}"/>
              </a:ext>
            </a:extLst>
          </xdr:cNvPr>
          <xdr:cNvSpPr txBox="1"/>
        </xdr:nvSpPr>
        <xdr:spPr>
          <a:xfrm>
            <a:off x="828675" y="11318047"/>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4" name="TextBox 3">
            <a:extLst>
              <a:ext uri="{FF2B5EF4-FFF2-40B4-BE49-F238E27FC236}">
                <a16:creationId xmlns:a16="http://schemas.microsoft.com/office/drawing/2014/main" id="{201B9610-27D4-91F2-470A-156C2FA17C43}"/>
              </a:ext>
            </a:extLst>
          </xdr:cNvPr>
          <xdr:cNvSpPr txBox="1"/>
        </xdr:nvSpPr>
        <xdr:spPr>
          <a:xfrm>
            <a:off x="3306004" y="11311834"/>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5" name="TextBox 4">
            <a:extLst>
              <a:ext uri="{FF2B5EF4-FFF2-40B4-BE49-F238E27FC236}">
                <a16:creationId xmlns:a16="http://schemas.microsoft.com/office/drawing/2014/main" id="{EADDDA7A-47CB-74EA-5A9C-2CE9E05A2C4A}"/>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editAs="oneCell">
    <xdr:from>
      <xdr:col>1</xdr:col>
      <xdr:colOff>165100</xdr:colOff>
      <xdr:row>0</xdr:row>
      <xdr:rowOff>76200</xdr:rowOff>
    </xdr:from>
    <xdr:to>
      <xdr:col>5</xdr:col>
      <xdr:colOff>57997</xdr:colOff>
      <xdr:row>2</xdr:row>
      <xdr:rowOff>25400</xdr:rowOff>
    </xdr:to>
    <xdr:pic>
      <xdr:nvPicPr>
        <xdr:cNvPr id="6" name="Picture 5">
          <a:extLst>
            <a:ext uri="{FF2B5EF4-FFF2-40B4-BE49-F238E27FC236}">
              <a16:creationId xmlns:a16="http://schemas.microsoft.com/office/drawing/2014/main" id="{D87F3113-819F-4D75-8B71-5E3E8C4B49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100" y="76200"/>
          <a:ext cx="1607397" cy="501650"/>
        </a:xfrm>
        <a:prstGeom prst="rect">
          <a:avLst/>
        </a:prstGeom>
      </xdr:spPr>
    </xdr:pic>
    <xdr:clientData/>
  </xdr:twoCellAnchor>
  <xdr:twoCellAnchor editAs="oneCell">
    <xdr:from>
      <xdr:col>1</xdr:col>
      <xdr:colOff>254000</xdr:colOff>
      <xdr:row>77</xdr:row>
      <xdr:rowOff>50800</xdr:rowOff>
    </xdr:from>
    <xdr:to>
      <xdr:col>5</xdr:col>
      <xdr:colOff>146897</xdr:colOff>
      <xdr:row>79</xdr:row>
      <xdr:rowOff>822</xdr:rowOff>
    </xdr:to>
    <xdr:pic>
      <xdr:nvPicPr>
        <xdr:cNvPr id="7" name="Picture 6">
          <a:extLst>
            <a:ext uri="{FF2B5EF4-FFF2-40B4-BE49-F238E27FC236}">
              <a16:creationId xmlns:a16="http://schemas.microsoft.com/office/drawing/2014/main" id="{EB4A425A-16F7-4765-BD12-98345AC0E2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635000" y="13957300"/>
          <a:ext cx="1607397" cy="50247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301625</xdr:colOff>
          <xdr:row>59</xdr:row>
          <xdr:rowOff>203200</xdr:rowOff>
        </xdr:from>
        <xdr:to>
          <xdr:col>5</xdr:col>
          <xdr:colOff>254000</xdr:colOff>
          <xdr:row>66</xdr:row>
          <xdr:rowOff>43892</xdr:rowOff>
        </xdr:to>
        <xdr:pic>
          <xdr:nvPicPr>
            <xdr:cNvPr id="8" name="Picture 7">
              <a:extLst>
                <a:ext uri="{FF2B5EF4-FFF2-40B4-BE49-F238E27FC236}">
                  <a16:creationId xmlns:a16="http://schemas.microsoft.com/office/drawing/2014/main" id="{98A9AFC6-F858-4EF7-A8E5-5804A4F9DE8A}"/>
                </a:ext>
              </a:extLst>
            </xdr:cNvPr>
            <xdr:cNvPicPr>
              <a:picLocks noChangeAspect="1" noChangeArrowheads="1"/>
              <a:extLst>
                <a:ext uri="{84589F7E-364E-4C9E-8A38-B11213B215E9}">
                  <a14:cameraTool cellRange="TTD_1DSUU" spid="_x0000_s443903"/>
                </a:ext>
              </a:extLst>
            </xdr:cNvPicPr>
          </xdr:nvPicPr>
          <xdr:blipFill rotWithShape="1">
            <a:blip xmlns:r="http://schemas.openxmlformats.org/officeDocument/2006/relationships" r:embed="rId2"/>
            <a:srcRect r="33658"/>
            <a:stretch>
              <a:fillRect/>
            </a:stretch>
          </xdr:blipFill>
          <xdr:spPr bwMode="auto">
            <a:xfrm>
              <a:off x="666750" y="10982325"/>
              <a:ext cx="1603375" cy="123769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212725</xdr:colOff>
          <xdr:row>58</xdr:row>
          <xdr:rowOff>187326</xdr:rowOff>
        </xdr:from>
        <xdr:to>
          <xdr:col>11</xdr:col>
          <xdr:colOff>603250</xdr:colOff>
          <xdr:row>66</xdr:row>
          <xdr:rowOff>26866</xdr:rowOff>
        </xdr:to>
        <xdr:pic>
          <xdr:nvPicPr>
            <xdr:cNvPr id="9" name="Picture 8">
              <a:extLst>
                <a:ext uri="{FF2B5EF4-FFF2-40B4-BE49-F238E27FC236}">
                  <a16:creationId xmlns:a16="http://schemas.microsoft.com/office/drawing/2014/main" id="{100DC21B-F819-4498-AF69-C941D51EAB08}"/>
                </a:ext>
              </a:extLst>
            </xdr:cNvPr>
            <xdr:cNvPicPr>
              <a:picLocks noChangeAspect="1" noChangeArrowheads="1"/>
              <a:extLst>
                <a:ext uri="{84589F7E-364E-4C9E-8A38-B11213B215E9}">
                  <a14:cameraTool cellRange="TTD_2DSUU" spid="_x0000_s443904"/>
                </a:ext>
              </a:extLst>
            </xdr:cNvPicPr>
          </xdr:nvPicPr>
          <xdr:blipFill rotWithShape="1">
            <a:blip xmlns:r="http://schemas.openxmlformats.org/officeDocument/2006/relationships" r:embed="rId3"/>
            <a:srcRect r="23712"/>
            <a:stretch>
              <a:fillRect/>
            </a:stretch>
          </xdr:blipFill>
          <xdr:spPr bwMode="auto">
            <a:xfrm>
              <a:off x="2959100" y="10760076"/>
              <a:ext cx="1851025" cy="14429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447565</xdr:colOff>
          <xdr:row>59</xdr:row>
          <xdr:rowOff>149226</xdr:rowOff>
        </xdr:from>
        <xdr:to>
          <xdr:col>18</xdr:col>
          <xdr:colOff>200504</xdr:colOff>
          <xdr:row>65</xdr:row>
          <xdr:rowOff>15876</xdr:rowOff>
        </xdr:to>
        <xdr:pic>
          <xdr:nvPicPr>
            <xdr:cNvPr id="10" name="TTD_AKTIF1">
              <a:extLst>
                <a:ext uri="{FF2B5EF4-FFF2-40B4-BE49-F238E27FC236}">
                  <a16:creationId xmlns:a16="http://schemas.microsoft.com/office/drawing/2014/main" id="{4F6B4F32-DDED-45C5-A38D-CCFC22D40BFA}"/>
                </a:ext>
              </a:extLst>
            </xdr:cNvPr>
            <xdr:cNvPicPr>
              <a:picLocks noChangeAspect="1" noChangeArrowheads="1"/>
              <a:extLst>
                <a:ext uri="{84589F7E-364E-4C9E-8A38-B11213B215E9}">
                  <a14:cameraTool cellRange="TTD_3DSUU" spid="_x0000_s443905"/>
                </a:ext>
              </a:extLst>
            </xdr:cNvPicPr>
          </xdr:nvPicPr>
          <xdr:blipFill rotWithShape="1">
            <a:blip xmlns:r="http://schemas.openxmlformats.org/officeDocument/2006/relationships" r:embed="rId4"/>
            <a:srcRect r="26762"/>
            <a:stretch>
              <a:fillRect/>
            </a:stretch>
          </xdr:blipFill>
          <xdr:spPr bwMode="auto">
            <a:xfrm>
              <a:off x="4654440" y="10928351"/>
              <a:ext cx="2467564" cy="11049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41275</xdr:colOff>
          <xdr:row>139</xdr:row>
          <xdr:rowOff>41274</xdr:rowOff>
        </xdr:from>
        <xdr:to>
          <xdr:col>11</xdr:col>
          <xdr:colOff>15875</xdr:colOff>
          <xdr:row>145</xdr:row>
          <xdr:rowOff>34366</xdr:rowOff>
        </xdr:to>
        <xdr:pic>
          <xdr:nvPicPr>
            <xdr:cNvPr id="13" name="Picture 12">
              <a:extLst>
                <a:ext uri="{FF2B5EF4-FFF2-40B4-BE49-F238E27FC236}">
                  <a16:creationId xmlns:a16="http://schemas.microsoft.com/office/drawing/2014/main" id="{673B1DF6-F0E1-4100-8891-599FE789FA03}"/>
                </a:ext>
              </a:extLst>
            </xdr:cNvPr>
            <xdr:cNvPicPr>
              <a:picLocks noChangeAspect="1" noChangeArrowheads="1"/>
              <a:extLst>
                <a:ext uri="{84589F7E-364E-4C9E-8A38-B11213B215E9}">
                  <a14:cameraTool cellRange="TTD_1DSUU" spid="_x0000_s443906"/>
                </a:ext>
              </a:extLst>
            </xdr:cNvPicPr>
          </xdr:nvPicPr>
          <xdr:blipFill rotWithShape="1">
            <a:blip xmlns:r="http://schemas.openxmlformats.org/officeDocument/2006/relationships" r:embed="rId2"/>
            <a:srcRect r="41238"/>
            <a:stretch>
              <a:fillRect/>
            </a:stretch>
          </xdr:blipFill>
          <xdr:spPr bwMode="auto">
            <a:xfrm>
              <a:off x="2787650" y="26933524"/>
              <a:ext cx="1435100" cy="12313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137</xdr:row>
          <xdr:rowOff>180975</xdr:rowOff>
        </xdr:from>
        <xdr:to>
          <xdr:col>15</xdr:col>
          <xdr:colOff>222250</xdr:colOff>
          <xdr:row>144</xdr:row>
          <xdr:rowOff>172915</xdr:rowOff>
        </xdr:to>
        <xdr:pic>
          <xdr:nvPicPr>
            <xdr:cNvPr id="14" name="Picture 13">
              <a:extLst>
                <a:ext uri="{FF2B5EF4-FFF2-40B4-BE49-F238E27FC236}">
                  <a16:creationId xmlns:a16="http://schemas.microsoft.com/office/drawing/2014/main" id="{9345FCD9-E314-455F-AB17-9D06BFDFD465}"/>
                </a:ext>
              </a:extLst>
            </xdr:cNvPr>
            <xdr:cNvPicPr>
              <a:picLocks noChangeAspect="1" noChangeArrowheads="1"/>
              <a:extLst>
                <a:ext uri="{84589F7E-364E-4C9E-8A38-B11213B215E9}">
                  <a14:cameraTool cellRange="TTD_2DSUU" spid="_x0000_s443907"/>
                </a:ext>
              </a:extLst>
            </xdr:cNvPicPr>
          </xdr:nvPicPr>
          <xdr:blipFill rotWithShape="1">
            <a:blip xmlns:r="http://schemas.openxmlformats.org/officeDocument/2006/relationships" r:embed="rId3"/>
            <a:srcRect r="22648"/>
            <a:stretch>
              <a:fillRect/>
            </a:stretch>
          </xdr:blipFill>
          <xdr:spPr bwMode="auto">
            <a:xfrm>
              <a:off x="4064000" y="26660475"/>
              <a:ext cx="1889125" cy="14365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69739</xdr:colOff>
          <xdr:row>138</xdr:row>
          <xdr:rowOff>142875</xdr:rowOff>
        </xdr:from>
        <xdr:to>
          <xdr:col>20</xdr:col>
          <xdr:colOff>228742</xdr:colOff>
          <xdr:row>144</xdr:row>
          <xdr:rowOff>1</xdr:rowOff>
        </xdr:to>
        <xdr:pic>
          <xdr:nvPicPr>
            <xdr:cNvPr id="15" name="TTD_AKTIF1">
              <a:extLst>
                <a:ext uri="{FF2B5EF4-FFF2-40B4-BE49-F238E27FC236}">
                  <a16:creationId xmlns:a16="http://schemas.microsoft.com/office/drawing/2014/main" id="{AFFE57B1-B880-49D8-91AA-11D776520203}"/>
                </a:ext>
              </a:extLst>
            </xdr:cNvPr>
            <xdr:cNvPicPr>
              <a:picLocks noChangeAspect="1" noChangeArrowheads="1"/>
              <a:extLst>
                <a:ext uri="{84589F7E-364E-4C9E-8A38-B11213B215E9}">
                  <a14:cameraTool cellRange="TTD_3DSUU" spid="_x0000_s443908"/>
                </a:ext>
              </a:extLst>
            </xdr:cNvPicPr>
          </xdr:nvPicPr>
          <xdr:blipFill rotWithShape="1">
            <a:blip xmlns:r="http://schemas.openxmlformats.org/officeDocument/2006/relationships" r:embed="rId4"/>
            <a:srcRect r="26762"/>
            <a:stretch>
              <a:fillRect/>
            </a:stretch>
          </xdr:blipFill>
          <xdr:spPr bwMode="auto">
            <a:xfrm>
              <a:off x="5435489" y="26828750"/>
              <a:ext cx="2445003" cy="1095376"/>
            </a:xfrm>
            <a:prstGeom prst="rect">
              <a:avLst/>
            </a:prstGeom>
            <a:noFill/>
            <a:ln w="9525">
              <a:noFill/>
              <a:miter lim="800000"/>
              <a:headEnd/>
              <a:tailEnd/>
            </a:ln>
          </xdr:spPr>
        </xdr:pic>
        <xdr:clientData/>
      </xdr:twoCellAnchor>
    </mc:Choice>
    <mc:Fallback/>
  </mc:AlternateContent>
  <xdr:twoCellAnchor>
    <xdr:from>
      <xdr:col>0</xdr:col>
      <xdr:colOff>0</xdr:colOff>
      <xdr:row>41</xdr:row>
      <xdr:rowOff>47626</xdr:rowOff>
    </xdr:from>
    <xdr:to>
      <xdr:col>10</xdr:col>
      <xdr:colOff>0</xdr:colOff>
      <xdr:row>53</xdr:row>
      <xdr:rowOff>79376</xdr:rowOff>
    </xdr:to>
    <xdr:graphicFrame macro="">
      <xdr:nvGraphicFramePr>
        <xdr:cNvPr id="16" name="Chart 15">
          <a:extLst>
            <a:ext uri="{FF2B5EF4-FFF2-40B4-BE49-F238E27FC236}">
              <a16:creationId xmlns:a16="http://schemas.microsoft.com/office/drawing/2014/main" id="{05BA8A70-CCD5-4C81-BA92-65A0FA945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222251</xdr:colOff>
      <xdr:row>41</xdr:row>
      <xdr:rowOff>15875</xdr:rowOff>
    </xdr:from>
    <xdr:to>
      <xdr:col>23</xdr:col>
      <xdr:colOff>206376</xdr:colOff>
      <xdr:row>53</xdr:row>
      <xdr:rowOff>15875</xdr:rowOff>
    </xdr:to>
    <xdr:graphicFrame macro="">
      <xdr:nvGraphicFramePr>
        <xdr:cNvPr id="17" name="Chart 16">
          <a:extLst>
            <a:ext uri="{FF2B5EF4-FFF2-40B4-BE49-F238E27FC236}">
              <a16:creationId xmlns:a16="http://schemas.microsoft.com/office/drawing/2014/main" id="{B20290E6-4AE0-462C-AA3F-B7A0A5DFF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293858</xdr:colOff>
      <xdr:row>44</xdr:row>
      <xdr:rowOff>59409</xdr:rowOff>
    </xdr:from>
    <xdr:to>
      <xdr:col>19</xdr:col>
      <xdr:colOff>338681</xdr:colOff>
      <xdr:row>58</xdr:row>
      <xdr:rowOff>153194</xdr:rowOff>
    </xdr:to>
    <xdr:graphicFrame macro="">
      <xdr:nvGraphicFramePr>
        <xdr:cNvPr id="2" name="Chart 1">
          <a:extLst>
            <a:ext uri="{FF2B5EF4-FFF2-40B4-BE49-F238E27FC236}">
              <a16:creationId xmlns:a16="http://schemas.microsoft.com/office/drawing/2014/main" id="{047D83CE-A6BC-654D-BE7B-11249926C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673667</xdr:colOff>
      <xdr:row>65</xdr:row>
      <xdr:rowOff>68564</xdr:rowOff>
    </xdr:from>
    <xdr:to>
      <xdr:col>11</xdr:col>
      <xdr:colOff>359903</xdr:colOff>
      <xdr:row>77</xdr:row>
      <xdr:rowOff>168477</xdr:rowOff>
    </xdr:to>
    <xdr:graphicFrame macro="">
      <xdr:nvGraphicFramePr>
        <xdr:cNvPr id="3" name="Chart 2">
          <a:extLst>
            <a:ext uri="{FF2B5EF4-FFF2-40B4-BE49-F238E27FC236}">
              <a16:creationId xmlns:a16="http://schemas.microsoft.com/office/drawing/2014/main" id="{C3F6520B-0591-5642-BD84-076E0EEB3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816031</xdr:colOff>
      <xdr:row>64</xdr:row>
      <xdr:rowOff>57557</xdr:rowOff>
    </xdr:from>
    <xdr:to>
      <xdr:col>22</xdr:col>
      <xdr:colOff>133683</xdr:colOff>
      <xdr:row>75</xdr:row>
      <xdr:rowOff>69509</xdr:rowOff>
    </xdr:to>
    <xdr:graphicFrame macro="">
      <xdr:nvGraphicFramePr>
        <xdr:cNvPr id="4" name="Chart 3">
          <a:extLst>
            <a:ext uri="{FF2B5EF4-FFF2-40B4-BE49-F238E27FC236}">
              <a16:creationId xmlns:a16="http://schemas.microsoft.com/office/drawing/2014/main" id="{220E22B6-E04D-734C-86A4-00F4A035E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247279</xdr:colOff>
      <xdr:row>121</xdr:row>
      <xdr:rowOff>6724</xdr:rowOff>
    </xdr:from>
    <xdr:to>
      <xdr:col>21</xdr:col>
      <xdr:colOff>396691</xdr:colOff>
      <xdr:row>134</xdr:row>
      <xdr:rowOff>78441</xdr:rowOff>
    </xdr:to>
    <xdr:graphicFrame macro="">
      <xdr:nvGraphicFramePr>
        <xdr:cNvPr id="5" name="Chart 4">
          <a:extLst>
            <a:ext uri="{FF2B5EF4-FFF2-40B4-BE49-F238E27FC236}">
              <a16:creationId xmlns:a16="http://schemas.microsoft.com/office/drawing/2014/main" id="{1BD71BB4-B22A-4843-A02E-2DF130077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609600</xdr:colOff>
      <xdr:row>127</xdr:row>
      <xdr:rowOff>152401</xdr:rowOff>
    </xdr:from>
    <xdr:to>
      <xdr:col>11</xdr:col>
      <xdr:colOff>723900</xdr:colOff>
      <xdr:row>140</xdr:row>
      <xdr:rowOff>109819</xdr:rowOff>
    </xdr:to>
    <xdr:graphicFrame macro="">
      <xdr:nvGraphicFramePr>
        <xdr:cNvPr id="6" name="Chart 5">
          <a:extLst>
            <a:ext uri="{FF2B5EF4-FFF2-40B4-BE49-F238E27FC236}">
              <a16:creationId xmlns:a16="http://schemas.microsoft.com/office/drawing/2014/main" id="{2333D44D-C97F-014B-8734-21938D8A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407150</xdr:colOff>
      <xdr:row>181</xdr:row>
      <xdr:rowOff>179292</xdr:rowOff>
    </xdr:from>
    <xdr:to>
      <xdr:col>19</xdr:col>
      <xdr:colOff>556561</xdr:colOff>
      <xdr:row>194</xdr:row>
      <xdr:rowOff>191244</xdr:rowOff>
    </xdr:to>
    <xdr:graphicFrame macro="">
      <xdr:nvGraphicFramePr>
        <xdr:cNvPr id="7" name="Chart 6">
          <a:extLst>
            <a:ext uri="{FF2B5EF4-FFF2-40B4-BE49-F238E27FC236}">
              <a16:creationId xmlns:a16="http://schemas.microsoft.com/office/drawing/2014/main" id="{E652C5B3-1446-5740-8601-941AF1EBB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555065</xdr:colOff>
      <xdr:row>185</xdr:row>
      <xdr:rowOff>60510</xdr:rowOff>
    </xdr:from>
    <xdr:to>
      <xdr:col>10</xdr:col>
      <xdr:colOff>570006</xdr:colOff>
      <xdr:row>201</xdr:row>
      <xdr:rowOff>19424</xdr:rowOff>
    </xdr:to>
    <xdr:graphicFrame macro="">
      <xdr:nvGraphicFramePr>
        <xdr:cNvPr id="8" name="Chart 7">
          <a:extLst>
            <a:ext uri="{FF2B5EF4-FFF2-40B4-BE49-F238E27FC236}">
              <a16:creationId xmlns:a16="http://schemas.microsoft.com/office/drawing/2014/main" id="{CEF5D003-713E-714A-A674-E3FFFB34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183359</xdr:colOff>
      <xdr:row>262</xdr:row>
      <xdr:rowOff>38100</xdr:rowOff>
    </xdr:from>
    <xdr:to>
      <xdr:col>7</xdr:col>
      <xdr:colOff>190500</xdr:colOff>
      <xdr:row>280</xdr:row>
      <xdr:rowOff>88899</xdr:rowOff>
    </xdr:to>
    <xdr:graphicFrame macro="">
      <xdr:nvGraphicFramePr>
        <xdr:cNvPr id="9" name="Chart 8">
          <a:extLst>
            <a:ext uri="{FF2B5EF4-FFF2-40B4-BE49-F238E27FC236}">
              <a16:creationId xmlns:a16="http://schemas.microsoft.com/office/drawing/2014/main" id="{B2D537F9-EB6C-824F-A832-22F20F974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A7DA450F-956A-4A04-A758-936679E99BE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77</xdr:row>
      <xdr:rowOff>25400</xdr:rowOff>
    </xdr:from>
    <xdr:to>
      <xdr:col>5</xdr:col>
      <xdr:colOff>229447</xdr:colOff>
      <xdr:row>78</xdr:row>
      <xdr:rowOff>228601</xdr:rowOff>
    </xdr:to>
    <xdr:pic>
      <xdr:nvPicPr>
        <xdr:cNvPr id="3" name="Picture 2">
          <a:extLst>
            <a:ext uri="{FF2B5EF4-FFF2-40B4-BE49-F238E27FC236}">
              <a16:creationId xmlns:a16="http://schemas.microsoft.com/office/drawing/2014/main" id="{EF1B6677-CB38-4E3D-B227-5C77262AE4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3931900"/>
          <a:ext cx="1613747" cy="498475"/>
        </a:xfrm>
        <a:prstGeom prst="rect">
          <a:avLst/>
        </a:prstGeom>
      </xdr:spPr>
    </xdr:pic>
    <xdr:clientData/>
  </xdr:twoCellAnchor>
  <xdr:twoCellAnchor>
    <xdr:from>
      <xdr:col>2</xdr:col>
      <xdr:colOff>13804</xdr:colOff>
      <xdr:row>191</xdr:row>
      <xdr:rowOff>160131</xdr:rowOff>
    </xdr:from>
    <xdr:to>
      <xdr:col>21</xdr:col>
      <xdr:colOff>112823</xdr:colOff>
      <xdr:row>204</xdr:row>
      <xdr:rowOff>100976</xdr:rowOff>
    </xdr:to>
    <xdr:grpSp>
      <xdr:nvGrpSpPr>
        <xdr:cNvPr id="4" name="Group 3">
          <a:extLst>
            <a:ext uri="{FF2B5EF4-FFF2-40B4-BE49-F238E27FC236}">
              <a16:creationId xmlns:a16="http://schemas.microsoft.com/office/drawing/2014/main" id="{4A4A54FC-6378-4671-B79D-08B03A070B69}"/>
            </a:ext>
          </a:extLst>
        </xdr:cNvPr>
        <xdr:cNvGrpSpPr/>
      </xdr:nvGrpSpPr>
      <xdr:grpSpPr>
        <a:xfrm>
          <a:off x="786847" y="35513066"/>
          <a:ext cx="7580976" cy="2453236"/>
          <a:chOff x="828675" y="11311834"/>
          <a:chExt cx="7014852" cy="2639596"/>
        </a:xfrm>
      </xdr:grpSpPr>
      <xdr:sp macro="" textlink="">
        <xdr:nvSpPr>
          <xdr:cNvPr id="5" name="TextBox 4">
            <a:extLst>
              <a:ext uri="{FF2B5EF4-FFF2-40B4-BE49-F238E27FC236}">
                <a16:creationId xmlns:a16="http://schemas.microsoft.com/office/drawing/2014/main" id="{2C246B28-5CE7-671F-FD1F-8AAEC8DAA64A}"/>
              </a:ext>
            </a:extLst>
          </xdr:cNvPr>
          <xdr:cNvSpPr txBox="1"/>
        </xdr:nvSpPr>
        <xdr:spPr>
          <a:xfrm>
            <a:off x="828675" y="11318047"/>
            <a:ext cx="2160000" cy="262800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DA112E2A-41E4-30EB-E0BA-E33F1B87F53C}"/>
              </a:ext>
            </a:extLst>
          </xdr:cNvPr>
          <xdr:cNvSpPr txBox="1"/>
        </xdr:nvSpPr>
        <xdr:spPr>
          <a:xfrm>
            <a:off x="3306004" y="11311834"/>
            <a:ext cx="2160000" cy="262800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86FF4FC0-D9E2-436D-2D21-10DCC3245F2A}"/>
              </a:ext>
            </a:extLst>
          </xdr:cNvPr>
          <xdr:cNvSpPr txBox="1"/>
        </xdr:nvSpPr>
        <xdr:spPr>
          <a:xfrm>
            <a:off x="5683527" y="11323430"/>
            <a:ext cx="2160000" cy="262800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139700</xdr:colOff>
      <xdr:row>148</xdr:row>
      <xdr:rowOff>25400</xdr:rowOff>
    </xdr:from>
    <xdr:ext cx="1562947" cy="495300"/>
    <xdr:pic>
      <xdr:nvPicPr>
        <xdr:cNvPr id="8" name="Picture 7">
          <a:extLst>
            <a:ext uri="{FF2B5EF4-FFF2-40B4-BE49-F238E27FC236}">
              <a16:creationId xmlns:a16="http://schemas.microsoft.com/office/drawing/2014/main" id="{E11C8971-D333-4CD1-9430-F9B29F2B32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27819350"/>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288925</xdr:colOff>
          <xdr:row>60</xdr:row>
          <xdr:rowOff>101600</xdr:rowOff>
        </xdr:from>
        <xdr:to>
          <xdr:col>8</xdr:col>
          <xdr:colOff>245138</xdr:colOff>
          <xdr:row>66</xdr:row>
          <xdr:rowOff>104217</xdr:rowOff>
        </xdr:to>
        <xdr:pic>
          <xdr:nvPicPr>
            <xdr:cNvPr id="9" name="TTD_2CDR">
              <a:extLst>
                <a:ext uri="{FF2B5EF4-FFF2-40B4-BE49-F238E27FC236}">
                  <a16:creationId xmlns:a16="http://schemas.microsoft.com/office/drawing/2014/main" id="{B4966714-D85C-4D98-9EFB-6A40A031E2C0}"/>
                </a:ext>
              </a:extLst>
            </xdr:cNvPr>
            <xdr:cNvPicPr>
              <a:picLocks noChangeAspect="1" noChangeArrowheads="1"/>
              <a:extLst>
                <a:ext uri="{84589F7E-364E-4C9E-8A38-B11213B215E9}">
                  <a14:cameraTool cellRange="TTD_1CDR" spid="_x0000_s769261"/>
                </a:ext>
              </a:extLst>
            </xdr:cNvPicPr>
          </xdr:nvPicPr>
          <xdr:blipFill rotWithShape="1">
            <a:blip xmlns:r="http://schemas.openxmlformats.org/officeDocument/2006/relationships" r:embed="rId2"/>
            <a:srcRect r="26020"/>
            <a:stretch>
              <a:fillRect/>
            </a:stretch>
          </xdr:blipFill>
          <xdr:spPr bwMode="auto">
            <a:xfrm>
              <a:off x="669925" y="10807700"/>
              <a:ext cx="2623213" cy="11551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58</xdr:row>
          <xdr:rowOff>130175</xdr:rowOff>
        </xdr:from>
        <xdr:to>
          <xdr:col>13</xdr:col>
          <xdr:colOff>349913</xdr:colOff>
          <xdr:row>65</xdr:row>
          <xdr:rowOff>77665</xdr:rowOff>
        </xdr:to>
        <xdr:pic>
          <xdr:nvPicPr>
            <xdr:cNvPr id="10" name="Picture 9">
              <a:extLst>
                <a:ext uri="{FF2B5EF4-FFF2-40B4-BE49-F238E27FC236}">
                  <a16:creationId xmlns:a16="http://schemas.microsoft.com/office/drawing/2014/main" id="{FABFD4FF-7A07-42A0-8567-CDCCCF0D986B}"/>
                </a:ext>
              </a:extLst>
            </xdr:cNvPr>
            <xdr:cNvPicPr>
              <a:picLocks noChangeAspect="1" noChangeArrowheads="1"/>
              <a:extLst>
                <a:ext uri="{84589F7E-364E-4C9E-8A38-B11213B215E9}">
                  <a14:cameraTool cellRange="TTD_2CDR" spid="_x0000_s769262"/>
                </a:ext>
              </a:extLst>
            </xdr:cNvPicPr>
          </xdr:nvPicPr>
          <xdr:blipFill rotWithShape="1">
            <a:blip xmlns:r="http://schemas.openxmlformats.org/officeDocument/2006/relationships" r:embed="rId3"/>
            <a:srcRect r="23469"/>
            <a:stretch>
              <a:fillRect/>
            </a:stretch>
          </xdr:blipFill>
          <xdr:spPr bwMode="auto">
            <a:xfrm>
              <a:off x="2743200" y="10436225"/>
              <a:ext cx="2597813" cy="13476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637607</xdr:colOff>
          <xdr:row>60</xdr:row>
          <xdr:rowOff>3402</xdr:rowOff>
        </xdr:from>
        <xdr:to>
          <xdr:col>18</xdr:col>
          <xdr:colOff>119063</xdr:colOff>
          <xdr:row>65</xdr:row>
          <xdr:rowOff>85318</xdr:rowOff>
        </xdr:to>
        <xdr:pic>
          <xdr:nvPicPr>
            <xdr:cNvPr id="11" name="Picture 10">
              <a:extLst>
                <a:ext uri="{FF2B5EF4-FFF2-40B4-BE49-F238E27FC236}">
                  <a16:creationId xmlns:a16="http://schemas.microsoft.com/office/drawing/2014/main" id="{4711D1EB-BC4C-4835-9625-8BC1A64FF44E}"/>
                </a:ext>
              </a:extLst>
            </xdr:cNvPr>
            <xdr:cNvPicPr>
              <a:picLocks noChangeAspect="1" noChangeArrowheads="1"/>
              <a:extLst>
                <a:ext uri="{84589F7E-364E-4C9E-8A38-B11213B215E9}">
                  <a14:cameraTool cellRange="TTD_3CDR" spid="_x0000_s769263"/>
                </a:ext>
              </a:extLst>
            </xdr:cNvPicPr>
          </xdr:nvPicPr>
          <xdr:blipFill rotWithShape="1">
            <a:blip xmlns:r="http://schemas.openxmlformats.org/officeDocument/2006/relationships" r:embed="rId4"/>
            <a:srcRect l="3053" t="16883" r="30293" b="9091"/>
            <a:stretch>
              <a:fillRect/>
            </a:stretch>
          </xdr:blipFill>
          <xdr:spPr bwMode="auto">
            <a:xfrm>
              <a:off x="4753768" y="10863603"/>
              <a:ext cx="2253911" cy="110245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215900</xdr:colOff>
          <xdr:row>131</xdr:row>
          <xdr:rowOff>79375</xdr:rowOff>
        </xdr:from>
        <xdr:to>
          <xdr:col>8</xdr:col>
          <xdr:colOff>172113</xdr:colOff>
          <xdr:row>137</xdr:row>
          <xdr:rowOff>34367</xdr:rowOff>
        </xdr:to>
        <xdr:pic>
          <xdr:nvPicPr>
            <xdr:cNvPr id="12" name="Picture 11">
              <a:extLst>
                <a:ext uri="{FF2B5EF4-FFF2-40B4-BE49-F238E27FC236}">
                  <a16:creationId xmlns:a16="http://schemas.microsoft.com/office/drawing/2014/main" id="{95D46005-BC0D-4FB9-A88B-BD2F9436D033}"/>
                </a:ext>
              </a:extLst>
            </xdr:cNvPr>
            <xdr:cNvPicPr>
              <a:picLocks noChangeAspect="1" noChangeArrowheads="1"/>
              <a:extLst>
                <a:ext uri="{84589F7E-364E-4C9E-8A38-B11213B215E9}">
                  <a14:cameraTool cellRange="TTD_1CDR" spid="_x0000_s769264"/>
                </a:ext>
              </a:extLst>
            </xdr:cNvPicPr>
          </xdr:nvPicPr>
          <xdr:blipFill rotWithShape="1">
            <a:blip xmlns:r="http://schemas.openxmlformats.org/officeDocument/2006/relationships" r:embed="rId2"/>
            <a:srcRect r="26020"/>
            <a:stretch>
              <a:fillRect/>
            </a:stretch>
          </xdr:blipFill>
          <xdr:spPr bwMode="auto">
            <a:xfrm>
              <a:off x="596900" y="24625300"/>
              <a:ext cx="2623213" cy="11551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155575</xdr:colOff>
          <xdr:row>130</xdr:row>
          <xdr:rowOff>34925</xdr:rowOff>
        </xdr:from>
        <xdr:to>
          <xdr:col>13</xdr:col>
          <xdr:colOff>48288</xdr:colOff>
          <xdr:row>136</xdr:row>
          <xdr:rowOff>182440</xdr:rowOff>
        </xdr:to>
        <xdr:pic>
          <xdr:nvPicPr>
            <xdr:cNvPr id="13" name="Picture 12">
              <a:extLst>
                <a:ext uri="{FF2B5EF4-FFF2-40B4-BE49-F238E27FC236}">
                  <a16:creationId xmlns:a16="http://schemas.microsoft.com/office/drawing/2014/main" id="{42D71717-029D-4A9A-853E-5D256654280B}"/>
                </a:ext>
              </a:extLst>
            </xdr:cNvPr>
            <xdr:cNvPicPr>
              <a:picLocks noChangeAspect="1" noChangeArrowheads="1"/>
              <a:extLst>
                <a:ext uri="{84589F7E-364E-4C9E-8A38-B11213B215E9}">
                  <a14:cameraTool cellRange="TTD_2CDR" spid="_x0000_s769265"/>
                </a:ext>
              </a:extLst>
            </xdr:cNvPicPr>
          </xdr:nvPicPr>
          <xdr:blipFill rotWithShape="1">
            <a:blip xmlns:r="http://schemas.openxmlformats.org/officeDocument/2006/relationships" r:embed="rId3"/>
            <a:srcRect r="23469"/>
            <a:stretch>
              <a:fillRect/>
            </a:stretch>
          </xdr:blipFill>
          <xdr:spPr bwMode="auto">
            <a:xfrm>
              <a:off x="2441575" y="24380825"/>
              <a:ext cx="2597813" cy="13476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457199</xdr:colOff>
          <xdr:row>130</xdr:row>
          <xdr:rowOff>158750</xdr:rowOff>
        </xdr:from>
        <xdr:to>
          <xdr:col>18</xdr:col>
          <xdr:colOff>173969</xdr:colOff>
          <xdr:row>136</xdr:row>
          <xdr:rowOff>142875</xdr:rowOff>
        </xdr:to>
        <xdr:pic>
          <xdr:nvPicPr>
            <xdr:cNvPr id="14" name="Picture 13">
              <a:extLst>
                <a:ext uri="{FF2B5EF4-FFF2-40B4-BE49-F238E27FC236}">
                  <a16:creationId xmlns:a16="http://schemas.microsoft.com/office/drawing/2014/main" id="{D83B0B4D-4A65-460E-9AF1-5E17F2E96335}"/>
                </a:ext>
              </a:extLst>
            </xdr:cNvPr>
            <xdr:cNvPicPr>
              <a:picLocks noChangeAspect="1" noChangeArrowheads="1"/>
              <a:extLst>
                <a:ext uri="{84589F7E-364E-4C9E-8A38-B11213B215E9}">
                  <a14:cameraTool cellRange="TTD_3CDR" spid="_x0000_s769266"/>
                </a:ext>
              </a:extLst>
            </xdr:cNvPicPr>
          </xdr:nvPicPr>
          <xdr:blipFill rotWithShape="1">
            <a:blip xmlns:r="http://schemas.openxmlformats.org/officeDocument/2006/relationships" r:embed="rId4"/>
            <a:srcRect l="3054" t="16883" r="29832" b="9091"/>
            <a:stretch>
              <a:fillRect/>
            </a:stretch>
          </xdr:blipFill>
          <xdr:spPr bwMode="auto">
            <a:xfrm>
              <a:off x="4648199" y="24504650"/>
              <a:ext cx="2536170" cy="118427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208</xdr:row>
          <xdr:rowOff>92075</xdr:rowOff>
        </xdr:from>
        <xdr:to>
          <xdr:col>13</xdr:col>
          <xdr:colOff>54638</xdr:colOff>
          <xdr:row>214</xdr:row>
          <xdr:rowOff>47067</xdr:rowOff>
        </xdr:to>
        <xdr:pic>
          <xdr:nvPicPr>
            <xdr:cNvPr id="15" name="Picture 14">
              <a:extLst>
                <a:ext uri="{FF2B5EF4-FFF2-40B4-BE49-F238E27FC236}">
                  <a16:creationId xmlns:a16="http://schemas.microsoft.com/office/drawing/2014/main" id="{B742C2D4-4267-46A1-A7AC-5AA64DCD1F4E}"/>
                </a:ext>
              </a:extLst>
            </xdr:cNvPr>
            <xdr:cNvPicPr>
              <a:picLocks noChangeAspect="1" noChangeArrowheads="1"/>
              <a:extLst>
                <a:ext uri="{84589F7E-364E-4C9E-8A38-B11213B215E9}">
                  <a14:cameraTool cellRange="TTD_1CDR" spid="_x0000_s769267"/>
                </a:ext>
              </a:extLst>
            </xdr:cNvPicPr>
          </xdr:nvPicPr>
          <xdr:blipFill rotWithShape="1">
            <a:blip xmlns:r="http://schemas.openxmlformats.org/officeDocument/2006/relationships" r:embed="rId2"/>
            <a:srcRect r="26020"/>
            <a:stretch>
              <a:fillRect/>
            </a:stretch>
          </xdr:blipFill>
          <xdr:spPr bwMode="auto">
            <a:xfrm>
              <a:off x="2447925" y="40020875"/>
              <a:ext cx="2597813" cy="11551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136525</xdr:colOff>
          <xdr:row>207</xdr:row>
          <xdr:rowOff>146051</xdr:rowOff>
        </xdr:from>
        <xdr:to>
          <xdr:col>15</xdr:col>
          <xdr:colOff>288920</xdr:colOff>
          <xdr:row>213</xdr:row>
          <xdr:rowOff>38101</xdr:rowOff>
        </xdr:to>
        <xdr:pic>
          <xdr:nvPicPr>
            <xdr:cNvPr id="16" name="Picture 15">
              <a:extLst>
                <a:ext uri="{FF2B5EF4-FFF2-40B4-BE49-F238E27FC236}">
                  <a16:creationId xmlns:a16="http://schemas.microsoft.com/office/drawing/2014/main" id="{BFB72B4D-B137-41D6-938E-0B4A2E130037}"/>
                </a:ext>
              </a:extLst>
            </xdr:cNvPr>
            <xdr:cNvPicPr>
              <a:picLocks noChangeAspect="1" noChangeArrowheads="1"/>
              <a:extLst>
                <a:ext uri="{84589F7E-364E-4C9E-8A38-B11213B215E9}">
                  <a14:cameraTool cellRange="TTD_2CDR" spid="_x0000_s769268"/>
                </a:ext>
              </a:extLst>
            </xdr:cNvPicPr>
          </xdr:nvPicPr>
          <xdr:blipFill rotWithShape="1">
            <a:blip xmlns:r="http://schemas.openxmlformats.org/officeDocument/2006/relationships" r:embed="rId3"/>
            <a:srcRect r="23469"/>
            <a:stretch>
              <a:fillRect/>
            </a:stretch>
          </xdr:blipFill>
          <xdr:spPr bwMode="auto">
            <a:xfrm>
              <a:off x="3946525" y="39874826"/>
              <a:ext cx="2095495" cy="10922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273049</xdr:colOff>
          <xdr:row>208</xdr:row>
          <xdr:rowOff>66676</xdr:rowOff>
        </xdr:from>
        <xdr:to>
          <xdr:col>20</xdr:col>
          <xdr:colOff>173966</xdr:colOff>
          <xdr:row>212</xdr:row>
          <xdr:rowOff>161926</xdr:rowOff>
        </xdr:to>
        <xdr:pic>
          <xdr:nvPicPr>
            <xdr:cNvPr id="17" name="Picture 16">
              <a:extLst>
                <a:ext uri="{FF2B5EF4-FFF2-40B4-BE49-F238E27FC236}">
                  <a16:creationId xmlns:a16="http://schemas.microsoft.com/office/drawing/2014/main" id="{4D8A98F2-F0FB-44F3-85AD-0EBCAD7EC027}"/>
                </a:ext>
              </a:extLst>
            </xdr:cNvPr>
            <xdr:cNvPicPr>
              <a:picLocks noChangeAspect="1" noChangeArrowheads="1"/>
              <a:extLst>
                <a:ext uri="{84589F7E-364E-4C9E-8A38-B11213B215E9}">
                  <a14:cameraTool cellRange="TTD_3CDR" spid="_x0000_s769269"/>
                </a:ext>
              </a:extLst>
            </xdr:cNvPicPr>
          </xdr:nvPicPr>
          <xdr:blipFill rotWithShape="1">
            <a:blip xmlns:r="http://schemas.openxmlformats.org/officeDocument/2006/relationships" r:embed="rId4"/>
            <a:srcRect l="3054" t="16883" r="27523" b="9091"/>
            <a:stretch>
              <a:fillRect/>
            </a:stretch>
          </xdr:blipFill>
          <xdr:spPr bwMode="auto">
            <a:xfrm>
              <a:off x="5645149" y="39995476"/>
              <a:ext cx="2301217" cy="895350"/>
            </a:xfrm>
            <a:prstGeom prst="rect">
              <a:avLst/>
            </a:prstGeom>
            <a:noFill/>
            <a:ln w="9525">
              <a:noFill/>
              <a:miter lim="800000"/>
              <a:headEnd/>
              <a:tailEnd/>
            </a:ln>
          </xdr:spPr>
        </xdr:pic>
        <xdr:clientData/>
      </xdr:twoCellAnchor>
    </mc:Choice>
    <mc:Fallback/>
  </mc:AlternateContent>
  <xdr:twoCellAnchor editAs="oneCell">
    <xdr:from>
      <xdr:col>19</xdr:col>
      <xdr:colOff>50800</xdr:colOff>
      <xdr:row>130</xdr:row>
      <xdr:rowOff>165100</xdr:rowOff>
    </xdr:from>
    <xdr:to>
      <xdr:col>22</xdr:col>
      <xdr:colOff>342900</xdr:colOff>
      <xdr:row>137</xdr:row>
      <xdr:rowOff>139700</xdr:rowOff>
    </xdr:to>
    <xdr:pic>
      <xdr:nvPicPr>
        <xdr:cNvPr id="27" name="Picture 26">
          <a:extLst>
            <a:ext uri="{FF2B5EF4-FFF2-40B4-BE49-F238E27FC236}">
              <a16:creationId xmlns:a16="http://schemas.microsoft.com/office/drawing/2014/main" id="{D0C75936-892A-43CC-8A95-558227FA09D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42200" y="24511000"/>
          <a:ext cx="1435100" cy="1374775"/>
        </a:xfrm>
        <a:prstGeom prst="rect">
          <a:avLst/>
        </a:prstGeom>
      </xdr:spPr>
    </xdr:pic>
    <xdr:clientData/>
  </xdr:twoCellAnchor>
  <xdr:twoCellAnchor>
    <xdr:from>
      <xdr:col>0</xdr:col>
      <xdr:colOff>0</xdr:colOff>
      <xdr:row>44</xdr:row>
      <xdr:rowOff>204106</xdr:rowOff>
    </xdr:from>
    <xdr:to>
      <xdr:col>11</xdr:col>
      <xdr:colOff>229620</xdr:colOff>
      <xdr:row>57</xdr:row>
      <xdr:rowOff>93549</xdr:rowOff>
    </xdr:to>
    <xdr:graphicFrame macro="">
      <xdr:nvGraphicFramePr>
        <xdr:cNvPr id="29" name="Chart 28">
          <a:extLst>
            <a:ext uri="{FF2B5EF4-FFF2-40B4-BE49-F238E27FC236}">
              <a16:creationId xmlns:a16="http://schemas.microsoft.com/office/drawing/2014/main" id="{ADBB20B8-9152-4C7B-A890-EB9C69C37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357187</xdr:colOff>
      <xdr:row>45</xdr:row>
      <xdr:rowOff>8504</xdr:rowOff>
    </xdr:from>
    <xdr:to>
      <xdr:col>22</xdr:col>
      <xdr:colOff>119062</xdr:colOff>
      <xdr:row>57</xdr:row>
      <xdr:rowOff>93550</xdr:rowOff>
    </xdr:to>
    <xdr:graphicFrame macro="">
      <xdr:nvGraphicFramePr>
        <xdr:cNvPr id="30" name="Chart 29">
          <a:extLst>
            <a:ext uri="{FF2B5EF4-FFF2-40B4-BE49-F238E27FC236}">
              <a16:creationId xmlns:a16="http://schemas.microsoft.com/office/drawing/2014/main" id="{D2623F18-99EB-4686-9472-78405CC6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90</xdr:row>
      <xdr:rowOff>0</xdr:rowOff>
    </xdr:from>
    <xdr:to>
      <xdr:col>11</xdr:col>
      <xdr:colOff>263638</xdr:colOff>
      <xdr:row>102</xdr:row>
      <xdr:rowOff>93549</xdr:rowOff>
    </xdr:to>
    <xdr:graphicFrame macro="">
      <xdr:nvGraphicFramePr>
        <xdr:cNvPr id="31" name="Chart 30">
          <a:extLst>
            <a:ext uri="{FF2B5EF4-FFF2-40B4-BE49-F238E27FC236}">
              <a16:creationId xmlns:a16="http://schemas.microsoft.com/office/drawing/2014/main" id="{5A8869CA-3F87-4669-AAAB-68847CC71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442232</xdr:colOff>
      <xdr:row>90</xdr:row>
      <xdr:rowOff>34018</xdr:rowOff>
    </xdr:from>
    <xdr:to>
      <xdr:col>23</xdr:col>
      <xdr:colOff>238125</xdr:colOff>
      <xdr:row>102</xdr:row>
      <xdr:rowOff>85045</xdr:rowOff>
    </xdr:to>
    <xdr:graphicFrame macro="">
      <xdr:nvGraphicFramePr>
        <xdr:cNvPr id="32" name="Chart 31">
          <a:extLst>
            <a:ext uri="{FF2B5EF4-FFF2-40B4-BE49-F238E27FC236}">
              <a16:creationId xmlns:a16="http://schemas.microsoft.com/office/drawing/2014/main" id="{6E72C967-0541-47FA-9179-C90601536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8505</xdr:colOff>
      <xdr:row>160</xdr:row>
      <xdr:rowOff>25514</xdr:rowOff>
    </xdr:from>
    <xdr:to>
      <xdr:col>23</xdr:col>
      <xdr:colOff>289153</xdr:colOff>
      <xdr:row>171</xdr:row>
      <xdr:rowOff>76541</xdr:rowOff>
    </xdr:to>
    <xdr:graphicFrame macro="">
      <xdr:nvGraphicFramePr>
        <xdr:cNvPr id="34" name="Chart 33">
          <a:extLst>
            <a:ext uri="{FF2B5EF4-FFF2-40B4-BE49-F238E27FC236}">
              <a16:creationId xmlns:a16="http://schemas.microsoft.com/office/drawing/2014/main" id="{22258688-82F8-4EFC-8BA2-81963050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159</xdr:row>
      <xdr:rowOff>204106</xdr:rowOff>
    </xdr:from>
    <xdr:to>
      <xdr:col>11</xdr:col>
      <xdr:colOff>442232</xdr:colOff>
      <xdr:row>169</xdr:row>
      <xdr:rowOff>51026</xdr:rowOff>
    </xdr:to>
    <xdr:graphicFrame macro="">
      <xdr:nvGraphicFramePr>
        <xdr:cNvPr id="35" name="Chart 34">
          <a:extLst>
            <a:ext uri="{FF2B5EF4-FFF2-40B4-BE49-F238E27FC236}">
              <a16:creationId xmlns:a16="http://schemas.microsoft.com/office/drawing/2014/main" id="{8FE2354A-A795-4221-9AA7-890F8B5F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169</xdr:row>
      <xdr:rowOff>178595</xdr:rowOff>
    </xdr:from>
    <xdr:to>
      <xdr:col>11</xdr:col>
      <xdr:colOff>433727</xdr:colOff>
      <xdr:row>179</xdr:row>
      <xdr:rowOff>85045</xdr:rowOff>
    </xdr:to>
    <xdr:graphicFrame macro="">
      <xdr:nvGraphicFramePr>
        <xdr:cNvPr id="36" name="Chart 35">
          <a:extLst>
            <a:ext uri="{FF2B5EF4-FFF2-40B4-BE49-F238E27FC236}">
              <a16:creationId xmlns:a16="http://schemas.microsoft.com/office/drawing/2014/main" id="{BAC19403-5304-4C22-BAAD-156C0A941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180</xdr:row>
      <xdr:rowOff>1</xdr:rowOff>
    </xdr:from>
    <xdr:to>
      <xdr:col>11</xdr:col>
      <xdr:colOff>442232</xdr:colOff>
      <xdr:row>190</xdr:row>
      <xdr:rowOff>161586</xdr:rowOff>
    </xdr:to>
    <xdr:graphicFrame macro="">
      <xdr:nvGraphicFramePr>
        <xdr:cNvPr id="37" name="Chart 36">
          <a:extLst>
            <a:ext uri="{FF2B5EF4-FFF2-40B4-BE49-F238E27FC236}">
              <a16:creationId xmlns:a16="http://schemas.microsoft.com/office/drawing/2014/main" id="{584D1830-B4FE-4E0C-B7DD-AB050AA87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xdr:col>
      <xdr:colOff>381000</xdr:colOff>
      <xdr:row>131</xdr:row>
      <xdr:rowOff>177800</xdr:rowOff>
    </xdr:from>
    <xdr:to>
      <xdr:col>9</xdr:col>
      <xdr:colOff>190500</xdr:colOff>
      <xdr:row>143</xdr:row>
      <xdr:rowOff>12700</xdr:rowOff>
    </xdr:to>
    <xdr:graphicFrame macro="">
      <xdr:nvGraphicFramePr>
        <xdr:cNvPr id="3" name="Chart 2">
          <a:extLst>
            <a:ext uri="{FF2B5EF4-FFF2-40B4-BE49-F238E27FC236}">
              <a16:creationId xmlns:a16="http://schemas.microsoft.com/office/drawing/2014/main" id="{4386C87B-51DD-7AB9-6417-91A965513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508000</xdr:colOff>
      <xdr:row>40</xdr:row>
      <xdr:rowOff>0</xdr:rowOff>
    </xdr:from>
    <xdr:to>
      <xdr:col>23</xdr:col>
      <xdr:colOff>508000</xdr:colOff>
      <xdr:row>61</xdr:row>
      <xdr:rowOff>177800</xdr:rowOff>
    </xdr:to>
    <xdr:graphicFrame macro="">
      <xdr:nvGraphicFramePr>
        <xdr:cNvPr id="4" name="Chart 3">
          <a:extLst>
            <a:ext uri="{FF2B5EF4-FFF2-40B4-BE49-F238E27FC236}">
              <a16:creationId xmlns:a16="http://schemas.microsoft.com/office/drawing/2014/main" id="{5762F820-65D1-2248-2D05-99A00EFEB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82E9D297-327D-AF4B-8C31-447FD82652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3399" y="76200"/>
          <a:ext cx="1562947" cy="49530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6254DEE6-D68E-4843-BC5C-BBCCEB9CFC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62100"/>
          <a:ext cx="1562947" cy="495300"/>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F0C130EB-3D9A-5441-8566-C0BC20BF54CB}"/>
            </a:ext>
          </a:extLst>
        </xdr:cNvPr>
        <xdr:cNvGrpSpPr/>
      </xdr:nvGrpSpPr>
      <xdr:grpSpPr>
        <a:xfrm>
          <a:off x="736840" y="16227485"/>
          <a:ext cx="7152910" cy="2510798"/>
          <a:chOff x="828675" y="11311834"/>
          <a:chExt cx="7014852" cy="2639596"/>
        </a:xfrm>
      </xdr:grpSpPr>
      <xdr:sp macro="" textlink="">
        <xdr:nvSpPr>
          <xdr:cNvPr id="5" name="TextBox 4">
            <a:extLst>
              <a:ext uri="{FF2B5EF4-FFF2-40B4-BE49-F238E27FC236}">
                <a16:creationId xmlns:a16="http://schemas.microsoft.com/office/drawing/2014/main" id="{90180E72-8840-5568-AA46-0A6A61C18A0E}"/>
              </a:ext>
            </a:extLst>
          </xdr:cNvPr>
          <xdr:cNvSpPr txBox="1"/>
        </xdr:nvSpPr>
        <xdr:spPr>
          <a:xfrm>
            <a:off x="828675" y="11318047"/>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C403D54F-AF1D-73E8-3544-77EE99031CD5}"/>
              </a:ext>
            </a:extLst>
          </xdr:cNvPr>
          <xdr:cNvSpPr txBox="1"/>
        </xdr:nvSpPr>
        <xdr:spPr>
          <a:xfrm>
            <a:off x="3306004" y="11311834"/>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835D81E5-01AC-3403-8235-019083A2442B}"/>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xdr:from>
      <xdr:col>0</xdr:col>
      <xdr:colOff>0</xdr:colOff>
      <xdr:row>44</xdr:row>
      <xdr:rowOff>0</xdr:rowOff>
    </xdr:from>
    <xdr:to>
      <xdr:col>6</xdr:col>
      <xdr:colOff>206674</xdr:colOff>
      <xdr:row>58</xdr:row>
      <xdr:rowOff>17972</xdr:rowOff>
    </xdr:to>
    <xdr:graphicFrame macro="">
      <xdr:nvGraphicFramePr>
        <xdr:cNvPr id="8" name="Chart 7">
          <a:extLst>
            <a:ext uri="{FF2B5EF4-FFF2-40B4-BE49-F238E27FC236}">
              <a16:creationId xmlns:a16="http://schemas.microsoft.com/office/drawing/2014/main" id="{C5929210-B7B7-45D3-A279-FF1AE2B8D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260590</xdr:colOff>
      <xdr:row>43</xdr:row>
      <xdr:rowOff>188703</xdr:rowOff>
    </xdr:from>
    <xdr:to>
      <xdr:col>23</xdr:col>
      <xdr:colOff>287546</xdr:colOff>
      <xdr:row>53</xdr:row>
      <xdr:rowOff>44930</xdr:rowOff>
    </xdr:to>
    <xdr:graphicFrame macro="">
      <xdr:nvGraphicFramePr>
        <xdr:cNvPr id="9" name="Chart 8">
          <a:extLst>
            <a:ext uri="{FF2B5EF4-FFF2-40B4-BE49-F238E27FC236}">
              <a16:creationId xmlns:a16="http://schemas.microsoft.com/office/drawing/2014/main" id="{4B8DB685-B8D5-4291-A9C6-38C6B0A71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363927</xdr:colOff>
          <xdr:row>59</xdr:row>
          <xdr:rowOff>131193</xdr:rowOff>
        </xdr:from>
        <xdr:to>
          <xdr:col>6</xdr:col>
          <xdr:colOff>359434</xdr:colOff>
          <xdr:row>65</xdr:row>
          <xdr:rowOff>147009</xdr:rowOff>
        </xdr:to>
        <xdr:pic>
          <xdr:nvPicPr>
            <xdr:cNvPr id="12" name="Picture 11">
              <a:extLst>
                <a:ext uri="{FF2B5EF4-FFF2-40B4-BE49-F238E27FC236}">
                  <a16:creationId xmlns:a16="http://schemas.microsoft.com/office/drawing/2014/main" id="{9C77DF12-6543-99F2-ECEA-A97E815BAFA6}"/>
                </a:ext>
              </a:extLst>
            </xdr:cNvPr>
            <xdr:cNvPicPr>
              <a:picLocks noChangeAspect="1" noChangeArrowheads="1"/>
              <a:extLst>
                <a:ext uri="{84589F7E-364E-4C9E-8A38-B11213B215E9}">
                  <a14:cameraTool cellRange="TTD_1TUU" spid="_x0000_s410979"/>
                </a:ext>
              </a:extLst>
            </xdr:cNvPicPr>
          </xdr:nvPicPr>
          <xdr:blipFill rotWithShape="1">
            <a:blip xmlns:r="http://schemas.openxmlformats.org/officeDocument/2006/relationships" r:embed="rId4"/>
            <a:srcRect r="26576"/>
            <a:stretch>
              <a:fillRect/>
            </a:stretch>
          </xdr:blipFill>
          <xdr:spPr bwMode="auto">
            <a:xfrm>
              <a:off x="732347" y="10788410"/>
              <a:ext cx="1837606" cy="120194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60</xdr:row>
          <xdr:rowOff>17970</xdr:rowOff>
        </xdr:from>
        <xdr:to>
          <xdr:col>11</xdr:col>
          <xdr:colOff>637995</xdr:colOff>
          <xdr:row>66</xdr:row>
          <xdr:rowOff>11680</xdr:rowOff>
        </xdr:to>
        <xdr:pic>
          <xdr:nvPicPr>
            <xdr:cNvPr id="13" name="Picture 12">
              <a:extLst>
                <a:ext uri="{FF2B5EF4-FFF2-40B4-BE49-F238E27FC236}">
                  <a16:creationId xmlns:a16="http://schemas.microsoft.com/office/drawing/2014/main" id="{8B111787-A377-43F4-83DC-A4B98B46173D}"/>
                </a:ext>
              </a:extLst>
            </xdr:cNvPr>
            <xdr:cNvPicPr>
              <a:picLocks noChangeAspect="1" noChangeArrowheads="1"/>
              <a:extLst>
                <a:ext uri="{84589F7E-364E-4C9E-8A38-B11213B215E9}">
                  <a14:cameraTool cellRange="TTD_2TUU" spid="_x0000_s410980"/>
                </a:ext>
              </a:extLst>
            </xdr:cNvPicPr>
          </xdr:nvPicPr>
          <xdr:blipFill rotWithShape="1">
            <a:blip xmlns:r="http://schemas.openxmlformats.org/officeDocument/2006/relationships" r:embed="rId5"/>
            <a:srcRect l="-7592" t="18914" r="23429"/>
            <a:stretch>
              <a:fillRect/>
            </a:stretch>
          </xdr:blipFill>
          <xdr:spPr bwMode="auto">
            <a:xfrm>
              <a:off x="2578939" y="10872876"/>
              <a:ext cx="2111674" cy="113491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646980</xdr:colOff>
          <xdr:row>59</xdr:row>
          <xdr:rowOff>105853</xdr:rowOff>
        </xdr:from>
        <xdr:to>
          <xdr:col>18</xdr:col>
          <xdr:colOff>152758</xdr:colOff>
          <xdr:row>66</xdr:row>
          <xdr:rowOff>166597</xdr:rowOff>
        </xdr:to>
        <xdr:pic>
          <xdr:nvPicPr>
            <xdr:cNvPr id="14" name="Picture 13">
              <a:extLst>
                <a:ext uri="{FF2B5EF4-FFF2-40B4-BE49-F238E27FC236}">
                  <a16:creationId xmlns:a16="http://schemas.microsoft.com/office/drawing/2014/main" id="{E1A210DB-1301-9DB3-CEC0-B97055BB29F3}"/>
                </a:ext>
              </a:extLst>
            </xdr:cNvPr>
            <xdr:cNvPicPr>
              <a:picLocks noChangeAspect="1" noChangeArrowheads="1"/>
              <a:extLst>
                <a:ext uri="{84589F7E-364E-4C9E-8A38-B11213B215E9}">
                  <a14:cameraTool cellRange="TTD_3TUU" spid="_x0000_s410981"/>
                </a:ext>
              </a:extLst>
            </xdr:cNvPicPr>
          </xdr:nvPicPr>
          <xdr:blipFill rotWithShape="1">
            <a:blip xmlns:r="http://schemas.openxmlformats.org/officeDocument/2006/relationships" r:embed="rId6"/>
            <a:srcRect l="7929" t="4494" r="28017" b="-4494"/>
            <a:stretch>
              <a:fillRect/>
            </a:stretch>
          </xdr:blipFill>
          <xdr:spPr bwMode="auto">
            <a:xfrm>
              <a:off x="4699598" y="10763070"/>
              <a:ext cx="2138632" cy="139963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332474</xdr:colOff>
          <xdr:row>139</xdr:row>
          <xdr:rowOff>84738</xdr:rowOff>
        </xdr:from>
        <xdr:to>
          <xdr:col>11</xdr:col>
          <xdr:colOff>44837</xdr:colOff>
          <xdr:row>144</xdr:row>
          <xdr:rowOff>113043</xdr:rowOff>
        </xdr:to>
        <xdr:pic>
          <xdr:nvPicPr>
            <xdr:cNvPr id="15" name="Picture 14">
              <a:extLst>
                <a:ext uri="{FF2B5EF4-FFF2-40B4-BE49-F238E27FC236}">
                  <a16:creationId xmlns:a16="http://schemas.microsoft.com/office/drawing/2014/main" id="{019536DF-CD94-42D6-A4BA-A1D6B3A636DC}"/>
                </a:ext>
              </a:extLst>
            </xdr:cNvPr>
            <xdr:cNvPicPr>
              <a:picLocks noChangeAspect="1" noChangeArrowheads="1"/>
              <a:extLst>
                <a:ext uri="{84589F7E-364E-4C9E-8A38-B11213B215E9}">
                  <a14:cameraTool cellRange="TTD_1TUU" spid="_x0000_s410982"/>
                </a:ext>
              </a:extLst>
            </xdr:cNvPicPr>
          </xdr:nvPicPr>
          <xdr:blipFill rotWithShape="1">
            <a:blip xmlns:r="http://schemas.openxmlformats.org/officeDocument/2006/relationships" r:embed="rId4"/>
            <a:srcRect r="26576"/>
            <a:stretch>
              <a:fillRect/>
            </a:stretch>
          </xdr:blipFill>
          <xdr:spPr bwMode="auto">
            <a:xfrm>
              <a:off x="2542993" y="26233559"/>
              <a:ext cx="1554462" cy="101674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247108</xdr:colOff>
          <xdr:row>139</xdr:row>
          <xdr:rowOff>86988</xdr:rowOff>
        </xdr:from>
        <xdr:to>
          <xdr:col>15</xdr:col>
          <xdr:colOff>137395</xdr:colOff>
          <xdr:row>144</xdr:row>
          <xdr:rowOff>58587</xdr:rowOff>
        </xdr:to>
        <xdr:pic>
          <xdr:nvPicPr>
            <xdr:cNvPr id="16" name="Picture 15">
              <a:extLst>
                <a:ext uri="{FF2B5EF4-FFF2-40B4-BE49-F238E27FC236}">
                  <a16:creationId xmlns:a16="http://schemas.microsoft.com/office/drawing/2014/main" id="{F5FB9AB1-9423-417C-B5BC-DC9106BBCD40}"/>
                </a:ext>
              </a:extLst>
            </xdr:cNvPr>
            <xdr:cNvPicPr>
              <a:picLocks noChangeAspect="1" noChangeArrowheads="1"/>
              <a:extLst>
                <a:ext uri="{84589F7E-364E-4C9E-8A38-B11213B215E9}">
                  <a14:cameraTool cellRange="TTD_2TUU" spid="_x0000_s410983"/>
                </a:ext>
              </a:extLst>
            </xdr:cNvPicPr>
          </xdr:nvPicPr>
          <xdr:blipFill rotWithShape="1">
            <a:blip xmlns:r="http://schemas.openxmlformats.org/officeDocument/2006/relationships" r:embed="rId5"/>
            <a:srcRect l="-7592" t="18914" r="23429"/>
            <a:stretch>
              <a:fillRect/>
            </a:stretch>
          </xdr:blipFill>
          <xdr:spPr bwMode="auto">
            <a:xfrm>
              <a:off x="3931306" y="26235809"/>
              <a:ext cx="1786301" cy="9600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40433</xdr:colOff>
          <xdr:row>138</xdr:row>
          <xdr:rowOff>161745</xdr:rowOff>
        </xdr:from>
        <xdr:to>
          <xdr:col>20</xdr:col>
          <xdr:colOff>7439</xdr:colOff>
          <xdr:row>144</xdr:row>
          <xdr:rowOff>159589</xdr:rowOff>
        </xdr:to>
        <xdr:pic>
          <xdr:nvPicPr>
            <xdr:cNvPr id="17" name="Picture 16">
              <a:extLst>
                <a:ext uri="{FF2B5EF4-FFF2-40B4-BE49-F238E27FC236}">
                  <a16:creationId xmlns:a16="http://schemas.microsoft.com/office/drawing/2014/main" id="{CAD31301-D49C-4828-875C-3DBE10B2C07B}"/>
                </a:ext>
              </a:extLst>
            </xdr:cNvPr>
            <xdr:cNvPicPr>
              <a:picLocks noChangeAspect="1" noChangeArrowheads="1"/>
              <a:extLst>
                <a:ext uri="{84589F7E-364E-4C9E-8A38-B11213B215E9}">
                  <a14:cameraTool cellRange="TTD_3TUU" spid="_x0000_s410984"/>
                </a:ext>
              </a:extLst>
            </xdr:cNvPicPr>
          </xdr:nvPicPr>
          <xdr:blipFill rotWithShape="1">
            <a:blip xmlns:r="http://schemas.openxmlformats.org/officeDocument/2006/relationships" r:embed="rId6"/>
            <a:srcRect l="7929" t="4494" r="28017" b="-4494"/>
            <a:stretch>
              <a:fillRect/>
            </a:stretch>
          </xdr:blipFill>
          <xdr:spPr bwMode="auto">
            <a:xfrm>
              <a:off x="5620645" y="26112877"/>
              <a:ext cx="1809105" cy="1183976"/>
            </a:xfrm>
            <a:prstGeom prst="rect">
              <a:avLst/>
            </a:prstGeom>
            <a:noFill/>
            <a:ln w="9525">
              <a:noFill/>
              <a:miter lim="800000"/>
              <a:headEnd/>
              <a:tailEnd/>
            </a:ln>
          </xdr:spPr>
        </xdr:pic>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4</xdr:col>
      <xdr:colOff>167640</xdr:colOff>
      <xdr:row>86</xdr:row>
      <xdr:rowOff>30480</xdr:rowOff>
    </xdr:from>
    <xdr:to>
      <xdr:col>4</xdr:col>
      <xdr:colOff>411480</xdr:colOff>
      <xdr:row>86</xdr:row>
      <xdr:rowOff>190500</xdr:rowOff>
    </xdr:to>
    <xdr:grpSp>
      <xdr:nvGrpSpPr>
        <xdr:cNvPr id="2" name="Group 39">
          <a:extLst>
            <a:ext uri="{FF2B5EF4-FFF2-40B4-BE49-F238E27FC236}">
              <a16:creationId xmlns:a16="http://schemas.microsoft.com/office/drawing/2014/main" id="{F37E4EAC-D5A7-664B-B63B-A63B7832BBEB}"/>
            </a:ext>
          </a:extLst>
        </xdr:cNvPr>
        <xdr:cNvGrpSpPr>
          <a:grpSpLocks/>
        </xdr:cNvGrpSpPr>
      </xdr:nvGrpSpPr>
      <xdr:grpSpPr bwMode="auto">
        <a:xfrm>
          <a:off x="3837566" y="18394120"/>
          <a:ext cx="243840" cy="160020"/>
          <a:chOff x="334" y="483"/>
          <a:chExt cx="25" cy="17"/>
        </a:xfrm>
      </xdr:grpSpPr>
      <xdr:sp macro="" textlink="">
        <xdr:nvSpPr>
          <xdr:cNvPr id="3" name="Line 13">
            <a:extLst>
              <a:ext uri="{FF2B5EF4-FFF2-40B4-BE49-F238E27FC236}">
                <a16:creationId xmlns:a16="http://schemas.microsoft.com/office/drawing/2014/main" id="{E107D0AC-F3AF-CFC3-3DBC-7E90F7BA0B72}"/>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Line 14">
            <a:extLst>
              <a:ext uri="{FF2B5EF4-FFF2-40B4-BE49-F238E27FC236}">
                <a16:creationId xmlns:a16="http://schemas.microsoft.com/office/drawing/2014/main" id="{667E4C06-14CE-294F-514F-C7B6209F4BD9}"/>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Line 15">
            <a:extLst>
              <a:ext uri="{FF2B5EF4-FFF2-40B4-BE49-F238E27FC236}">
                <a16:creationId xmlns:a16="http://schemas.microsoft.com/office/drawing/2014/main" id="{112EA959-0118-57AB-BC1C-0373B4948DEA}"/>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167640</xdr:colOff>
      <xdr:row>86</xdr:row>
      <xdr:rowOff>30480</xdr:rowOff>
    </xdr:from>
    <xdr:to>
      <xdr:col>14</xdr:col>
      <xdr:colOff>411480</xdr:colOff>
      <xdr:row>86</xdr:row>
      <xdr:rowOff>190500</xdr:rowOff>
    </xdr:to>
    <xdr:grpSp>
      <xdr:nvGrpSpPr>
        <xdr:cNvPr id="6" name="Group 39">
          <a:extLst>
            <a:ext uri="{FF2B5EF4-FFF2-40B4-BE49-F238E27FC236}">
              <a16:creationId xmlns:a16="http://schemas.microsoft.com/office/drawing/2014/main" id="{1338B4DC-60A2-B344-810C-487830A2347F}"/>
            </a:ext>
          </a:extLst>
        </xdr:cNvPr>
        <xdr:cNvGrpSpPr>
          <a:grpSpLocks/>
        </xdr:cNvGrpSpPr>
      </xdr:nvGrpSpPr>
      <xdr:grpSpPr bwMode="auto">
        <a:xfrm>
          <a:off x="12438081" y="18394120"/>
          <a:ext cx="243840" cy="160020"/>
          <a:chOff x="334" y="483"/>
          <a:chExt cx="25" cy="17"/>
        </a:xfrm>
      </xdr:grpSpPr>
      <xdr:sp macro="" textlink="">
        <xdr:nvSpPr>
          <xdr:cNvPr id="7" name="Line 13">
            <a:extLst>
              <a:ext uri="{FF2B5EF4-FFF2-40B4-BE49-F238E27FC236}">
                <a16:creationId xmlns:a16="http://schemas.microsoft.com/office/drawing/2014/main" id="{2359A6CA-91EB-9C8D-D7E9-72780C09574A}"/>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 name="Line 14">
            <a:extLst>
              <a:ext uri="{FF2B5EF4-FFF2-40B4-BE49-F238E27FC236}">
                <a16:creationId xmlns:a16="http://schemas.microsoft.com/office/drawing/2014/main" id="{4D88107C-3EBA-D450-9762-6CCC209B5EA4}"/>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5">
            <a:extLst>
              <a:ext uri="{FF2B5EF4-FFF2-40B4-BE49-F238E27FC236}">
                <a16:creationId xmlns:a16="http://schemas.microsoft.com/office/drawing/2014/main" id="{3912D157-E33A-5E93-93B3-8CA0FE2740D3}"/>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167640</xdr:colOff>
      <xdr:row>86</xdr:row>
      <xdr:rowOff>30480</xdr:rowOff>
    </xdr:from>
    <xdr:to>
      <xdr:col>14</xdr:col>
      <xdr:colOff>411480</xdr:colOff>
      <xdr:row>86</xdr:row>
      <xdr:rowOff>190500</xdr:rowOff>
    </xdr:to>
    <xdr:grpSp>
      <xdr:nvGrpSpPr>
        <xdr:cNvPr id="10" name="Group 41">
          <a:extLst>
            <a:ext uri="{FF2B5EF4-FFF2-40B4-BE49-F238E27FC236}">
              <a16:creationId xmlns:a16="http://schemas.microsoft.com/office/drawing/2014/main" id="{B4894620-2881-6747-B0A6-59FDA14D0FEA}"/>
            </a:ext>
          </a:extLst>
        </xdr:cNvPr>
        <xdr:cNvGrpSpPr>
          <a:grpSpLocks/>
        </xdr:cNvGrpSpPr>
      </xdr:nvGrpSpPr>
      <xdr:grpSpPr bwMode="auto">
        <a:xfrm>
          <a:off x="12438081" y="18394120"/>
          <a:ext cx="243840" cy="160020"/>
          <a:chOff x="334" y="483"/>
          <a:chExt cx="25" cy="17"/>
        </a:xfrm>
      </xdr:grpSpPr>
      <xdr:sp macro="" textlink="">
        <xdr:nvSpPr>
          <xdr:cNvPr id="11" name="Line 42">
            <a:extLst>
              <a:ext uri="{FF2B5EF4-FFF2-40B4-BE49-F238E27FC236}">
                <a16:creationId xmlns:a16="http://schemas.microsoft.com/office/drawing/2014/main" id="{9C7FAFAC-8D9E-4BDE-F72F-866CF6874C69}"/>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43">
            <a:extLst>
              <a:ext uri="{FF2B5EF4-FFF2-40B4-BE49-F238E27FC236}">
                <a16:creationId xmlns:a16="http://schemas.microsoft.com/office/drawing/2014/main" id="{33C290B6-EFE5-1B47-44A0-121523101858}"/>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44">
            <a:extLst>
              <a:ext uri="{FF2B5EF4-FFF2-40B4-BE49-F238E27FC236}">
                <a16:creationId xmlns:a16="http://schemas.microsoft.com/office/drawing/2014/main" id="{5DD310E5-E0B1-E85F-A9D1-DE00BD01921E}"/>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24</xdr:col>
      <xdr:colOff>167640</xdr:colOff>
      <xdr:row>86</xdr:row>
      <xdr:rowOff>30480</xdr:rowOff>
    </xdr:from>
    <xdr:to>
      <xdr:col>24</xdr:col>
      <xdr:colOff>411480</xdr:colOff>
      <xdr:row>86</xdr:row>
      <xdr:rowOff>190500</xdr:rowOff>
    </xdr:to>
    <xdr:grpSp>
      <xdr:nvGrpSpPr>
        <xdr:cNvPr id="14" name="Group 50">
          <a:extLst>
            <a:ext uri="{FF2B5EF4-FFF2-40B4-BE49-F238E27FC236}">
              <a16:creationId xmlns:a16="http://schemas.microsoft.com/office/drawing/2014/main" id="{253E8ACA-B7B5-5B40-AEFA-F09AD2A7D4BE}"/>
            </a:ext>
          </a:extLst>
        </xdr:cNvPr>
        <xdr:cNvGrpSpPr>
          <a:grpSpLocks/>
        </xdr:cNvGrpSpPr>
      </xdr:nvGrpSpPr>
      <xdr:grpSpPr bwMode="auto">
        <a:xfrm>
          <a:off x="20884515" y="18394120"/>
          <a:ext cx="243840" cy="160020"/>
          <a:chOff x="334" y="483"/>
          <a:chExt cx="25" cy="17"/>
        </a:xfrm>
      </xdr:grpSpPr>
      <xdr:sp macro="" textlink="">
        <xdr:nvSpPr>
          <xdr:cNvPr id="15" name="Line 51">
            <a:extLst>
              <a:ext uri="{FF2B5EF4-FFF2-40B4-BE49-F238E27FC236}">
                <a16:creationId xmlns:a16="http://schemas.microsoft.com/office/drawing/2014/main" id="{F84845E4-AA42-F55A-3AC4-8F78C7C6013B}"/>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52">
            <a:extLst>
              <a:ext uri="{FF2B5EF4-FFF2-40B4-BE49-F238E27FC236}">
                <a16:creationId xmlns:a16="http://schemas.microsoft.com/office/drawing/2014/main" id="{1B5A4FFB-438C-69BC-6090-49E743773C23}"/>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 name="Line 53">
            <a:extLst>
              <a:ext uri="{FF2B5EF4-FFF2-40B4-BE49-F238E27FC236}">
                <a16:creationId xmlns:a16="http://schemas.microsoft.com/office/drawing/2014/main" id="{A26BE770-1903-DCAA-06EB-5680EBE95F56}"/>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620117</xdr:colOff>
      <xdr:row>58</xdr:row>
      <xdr:rowOff>14882</xdr:rowOff>
    </xdr:from>
    <xdr:to>
      <xdr:col>18</xdr:col>
      <xdr:colOff>684609</xdr:colOff>
      <xdr:row>76</xdr:row>
      <xdr:rowOff>110330</xdr:rowOff>
    </xdr:to>
    <xdr:graphicFrame macro="">
      <xdr:nvGraphicFramePr>
        <xdr:cNvPr id="18" name="Chart 17">
          <a:extLst>
            <a:ext uri="{FF2B5EF4-FFF2-40B4-BE49-F238E27FC236}">
              <a16:creationId xmlns:a16="http://schemas.microsoft.com/office/drawing/2014/main" id="{6A84E02E-EF3B-0EC1-BFFA-C4EFBAD3F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317500</xdr:colOff>
      <xdr:row>227</xdr:row>
      <xdr:rowOff>202169</xdr:rowOff>
    </xdr:from>
    <xdr:to>
      <xdr:col>11</xdr:col>
      <xdr:colOff>246943</xdr:colOff>
      <xdr:row>253</xdr:row>
      <xdr:rowOff>35278</xdr:rowOff>
    </xdr:to>
    <xdr:graphicFrame macro="">
      <xdr:nvGraphicFramePr>
        <xdr:cNvPr id="22" name="Chart 21">
          <a:extLst>
            <a:ext uri="{FF2B5EF4-FFF2-40B4-BE49-F238E27FC236}">
              <a16:creationId xmlns:a16="http://schemas.microsoft.com/office/drawing/2014/main" id="{5FFDB476-C375-B420-C238-60E822B44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590128</xdr:colOff>
      <xdr:row>308</xdr:row>
      <xdr:rowOff>89899</xdr:rowOff>
    </xdr:from>
    <xdr:to>
      <xdr:col>15</xdr:col>
      <xdr:colOff>10806</xdr:colOff>
      <xdr:row>321</xdr:row>
      <xdr:rowOff>189591</xdr:rowOff>
    </xdr:to>
    <xdr:graphicFrame macro="">
      <xdr:nvGraphicFramePr>
        <xdr:cNvPr id="23" name="Chart 22">
          <a:extLst>
            <a:ext uri="{FF2B5EF4-FFF2-40B4-BE49-F238E27FC236}">
              <a16:creationId xmlns:a16="http://schemas.microsoft.com/office/drawing/2014/main" id="{F0CF32AA-7C7A-F01D-DCA8-D21E84991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64134</xdr:colOff>
      <xdr:row>286</xdr:row>
      <xdr:rowOff>50115</xdr:rowOff>
    </xdr:from>
    <xdr:to>
      <xdr:col>23</xdr:col>
      <xdr:colOff>160138</xdr:colOff>
      <xdr:row>304</xdr:row>
      <xdr:rowOff>84826</xdr:rowOff>
    </xdr:to>
    <xdr:graphicFrame macro="">
      <xdr:nvGraphicFramePr>
        <xdr:cNvPr id="24" name="Chart 23">
          <a:extLst>
            <a:ext uri="{FF2B5EF4-FFF2-40B4-BE49-F238E27FC236}">
              <a16:creationId xmlns:a16="http://schemas.microsoft.com/office/drawing/2014/main" id="{8CA723B9-5B96-794B-CC29-0790AE39B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194027</xdr:colOff>
      <xdr:row>256</xdr:row>
      <xdr:rowOff>176390</xdr:rowOff>
    </xdr:from>
    <xdr:to>
      <xdr:col>11</xdr:col>
      <xdr:colOff>335139</xdr:colOff>
      <xdr:row>278</xdr:row>
      <xdr:rowOff>123473</xdr:rowOff>
    </xdr:to>
    <xdr:graphicFrame macro="">
      <xdr:nvGraphicFramePr>
        <xdr:cNvPr id="25" name="Chart 24">
          <a:extLst>
            <a:ext uri="{FF2B5EF4-FFF2-40B4-BE49-F238E27FC236}">
              <a16:creationId xmlns:a16="http://schemas.microsoft.com/office/drawing/2014/main" id="{6102D940-CDD8-D04F-8203-A8971C8A9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AD676E99-8ED0-4E32-8698-12090CA0F6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105984</xdr:colOff>
      <xdr:row>148</xdr:row>
      <xdr:rowOff>149027</xdr:rowOff>
    </xdr:from>
    <xdr:to>
      <xdr:col>5</xdr:col>
      <xdr:colOff>195731</xdr:colOff>
      <xdr:row>150</xdr:row>
      <xdr:rowOff>93731</xdr:rowOff>
    </xdr:to>
    <xdr:pic>
      <xdr:nvPicPr>
        <xdr:cNvPr id="3" name="Picture 2">
          <a:extLst>
            <a:ext uri="{FF2B5EF4-FFF2-40B4-BE49-F238E27FC236}">
              <a16:creationId xmlns:a16="http://schemas.microsoft.com/office/drawing/2014/main" id="{B3B91093-3C27-4057-B176-4214A65A8A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486984" y="27819152"/>
          <a:ext cx="1613747" cy="497155"/>
        </a:xfrm>
        <a:prstGeom prst="rect">
          <a:avLst/>
        </a:prstGeom>
      </xdr:spPr>
    </xdr:pic>
    <xdr:clientData/>
  </xdr:twoCellAnchor>
  <xdr:twoCellAnchor>
    <xdr:from>
      <xdr:col>2</xdr:col>
      <xdr:colOff>76043</xdr:colOff>
      <xdr:row>180</xdr:row>
      <xdr:rowOff>174269</xdr:rowOff>
    </xdr:from>
    <xdr:to>
      <xdr:col>21</xdr:col>
      <xdr:colOff>168964</xdr:colOff>
      <xdr:row>193</xdr:row>
      <xdr:rowOff>115113</xdr:rowOff>
    </xdr:to>
    <xdr:grpSp>
      <xdr:nvGrpSpPr>
        <xdr:cNvPr id="4" name="Group 3">
          <a:extLst>
            <a:ext uri="{FF2B5EF4-FFF2-40B4-BE49-F238E27FC236}">
              <a16:creationId xmlns:a16="http://schemas.microsoft.com/office/drawing/2014/main" id="{E745D61F-26F8-458C-AC6D-7EA8A4D39332}"/>
            </a:ext>
          </a:extLst>
        </xdr:cNvPr>
        <xdr:cNvGrpSpPr/>
      </xdr:nvGrpSpPr>
      <xdr:grpSpPr>
        <a:xfrm>
          <a:off x="846149" y="34342673"/>
          <a:ext cx="7439331" cy="2575419"/>
          <a:chOff x="828675" y="11311834"/>
          <a:chExt cx="7014852" cy="2639596"/>
        </a:xfrm>
      </xdr:grpSpPr>
      <xdr:sp macro="" textlink="">
        <xdr:nvSpPr>
          <xdr:cNvPr id="5" name="TextBox 4">
            <a:extLst>
              <a:ext uri="{FF2B5EF4-FFF2-40B4-BE49-F238E27FC236}">
                <a16:creationId xmlns:a16="http://schemas.microsoft.com/office/drawing/2014/main" id="{F4EFAB45-1CFA-7129-8FDD-7BBBC8106064}"/>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A5371FD2-BE52-3E48-899E-1FABC9B59AE3}"/>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EB03A43B-13A2-0606-B547-AC75A0B5C2E3}"/>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165099</xdr:colOff>
      <xdr:row>77</xdr:row>
      <xdr:rowOff>76200</xdr:rowOff>
    </xdr:from>
    <xdr:ext cx="1562947" cy="495300"/>
    <xdr:pic>
      <xdr:nvPicPr>
        <xdr:cNvPr id="8" name="Picture 7">
          <a:extLst>
            <a:ext uri="{FF2B5EF4-FFF2-40B4-BE49-F238E27FC236}">
              <a16:creationId xmlns:a16="http://schemas.microsoft.com/office/drawing/2014/main" id="{88A02667-CB58-45B0-9C4E-189165E763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13982700"/>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176096</xdr:colOff>
          <xdr:row>58</xdr:row>
          <xdr:rowOff>180148</xdr:rowOff>
        </xdr:from>
        <xdr:to>
          <xdr:col>8</xdr:col>
          <xdr:colOff>127316</xdr:colOff>
          <xdr:row>65</xdr:row>
          <xdr:rowOff>35720</xdr:rowOff>
        </xdr:to>
        <xdr:pic>
          <xdr:nvPicPr>
            <xdr:cNvPr id="13" name="Picture 12">
              <a:extLst>
                <a:ext uri="{FF2B5EF4-FFF2-40B4-BE49-F238E27FC236}">
                  <a16:creationId xmlns:a16="http://schemas.microsoft.com/office/drawing/2014/main" id="{D0099F38-FBCA-40D3-8962-1CED7A9ACDD9}"/>
                </a:ext>
              </a:extLst>
            </xdr:cNvPr>
            <xdr:cNvPicPr>
              <a:picLocks noChangeAspect="1" noChangeArrowheads="1"/>
              <a:extLst>
                <a:ext uri="{84589F7E-364E-4C9E-8A38-B11213B215E9}">
                  <a14:cameraTool cellRange="TTD_1TCUM" spid="_x0000_s789579"/>
                </a:ext>
              </a:extLst>
            </xdr:cNvPicPr>
          </xdr:nvPicPr>
          <xdr:blipFill rotWithShape="1">
            <a:blip xmlns:r="http://schemas.openxmlformats.org/officeDocument/2006/relationships" r:embed="rId2"/>
            <a:srcRect r="22793"/>
            <a:stretch>
              <a:fillRect/>
            </a:stretch>
          </xdr:blipFill>
          <xdr:spPr bwMode="auto">
            <a:xfrm>
              <a:off x="914284" y="10621929"/>
              <a:ext cx="2165782" cy="122479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526038</xdr:colOff>
          <xdr:row>58</xdr:row>
          <xdr:rowOff>137538</xdr:rowOff>
        </xdr:from>
        <xdr:to>
          <xdr:col>19</xdr:col>
          <xdr:colOff>177861</xdr:colOff>
          <xdr:row>64</xdr:row>
          <xdr:rowOff>47625</xdr:rowOff>
        </xdr:to>
        <xdr:pic>
          <xdr:nvPicPr>
            <xdr:cNvPr id="14" name="Picture 13">
              <a:extLst>
                <a:ext uri="{FF2B5EF4-FFF2-40B4-BE49-F238E27FC236}">
                  <a16:creationId xmlns:a16="http://schemas.microsoft.com/office/drawing/2014/main" id="{852A98A5-5857-4B6B-B771-7E25102BAF8E}"/>
                </a:ext>
              </a:extLst>
            </xdr:cNvPr>
            <xdr:cNvPicPr>
              <a:picLocks noChangeAspect="1" noChangeArrowheads="1"/>
              <a:extLst>
                <a:ext uri="{84589F7E-364E-4C9E-8A38-B11213B215E9}">
                  <a14:cameraTool cellRange="TTD_3TCUM" spid="_x0000_s789580"/>
                </a:ext>
              </a:extLst>
            </xdr:cNvPicPr>
          </xdr:nvPicPr>
          <xdr:blipFill rotWithShape="1">
            <a:blip xmlns:r="http://schemas.openxmlformats.org/officeDocument/2006/relationships" r:embed="rId3"/>
            <a:srcRect r="22160"/>
            <a:stretch>
              <a:fillRect/>
            </a:stretch>
          </xdr:blipFill>
          <xdr:spPr bwMode="auto">
            <a:xfrm>
              <a:off x="4612263" y="10453113"/>
              <a:ext cx="2671248" cy="111023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137269</xdr:colOff>
          <xdr:row>57</xdr:row>
          <xdr:rowOff>141322</xdr:rowOff>
        </xdr:from>
        <xdr:to>
          <xdr:col>13</xdr:col>
          <xdr:colOff>308639</xdr:colOff>
          <xdr:row>64</xdr:row>
          <xdr:rowOff>114820</xdr:rowOff>
        </xdr:to>
        <xdr:pic>
          <xdr:nvPicPr>
            <xdr:cNvPr id="15" name="Picture 14">
              <a:extLst>
                <a:ext uri="{FF2B5EF4-FFF2-40B4-BE49-F238E27FC236}">
                  <a16:creationId xmlns:a16="http://schemas.microsoft.com/office/drawing/2014/main" id="{C4759273-A694-48CB-A0F1-E0CCD98F651E}"/>
                </a:ext>
              </a:extLst>
            </xdr:cNvPr>
            <xdr:cNvPicPr>
              <a:picLocks noChangeAspect="1" noChangeArrowheads="1"/>
              <a:extLst>
                <a:ext uri="{84589F7E-364E-4C9E-8A38-B11213B215E9}">
                  <a14:cameraTool cellRange="TTD_2TCUM" spid="_x0000_s789581"/>
                </a:ext>
              </a:extLst>
            </xdr:cNvPicPr>
          </xdr:nvPicPr>
          <xdr:blipFill rotWithShape="1">
            <a:blip xmlns:r="http://schemas.openxmlformats.org/officeDocument/2006/relationships" r:embed="rId4"/>
            <a:srcRect r="28370"/>
            <a:stretch>
              <a:fillRect/>
            </a:stretch>
          </xdr:blipFill>
          <xdr:spPr bwMode="auto">
            <a:xfrm>
              <a:off x="2832641" y="10314833"/>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297440</xdr:colOff>
          <xdr:row>131</xdr:row>
          <xdr:rowOff>26818</xdr:rowOff>
        </xdr:from>
        <xdr:to>
          <xdr:col>8</xdr:col>
          <xdr:colOff>209203</xdr:colOff>
          <xdr:row>137</xdr:row>
          <xdr:rowOff>19910</xdr:rowOff>
        </xdr:to>
        <xdr:pic>
          <xdr:nvPicPr>
            <xdr:cNvPr id="16" name="Picture 15">
              <a:extLst>
                <a:ext uri="{FF2B5EF4-FFF2-40B4-BE49-F238E27FC236}">
                  <a16:creationId xmlns:a16="http://schemas.microsoft.com/office/drawing/2014/main" id="{1B4AECB0-4093-4648-9C47-FBE58FC1B7E2}"/>
                </a:ext>
              </a:extLst>
            </xdr:cNvPr>
            <xdr:cNvPicPr>
              <a:picLocks noChangeAspect="1" noChangeArrowheads="1"/>
              <a:extLst>
                <a:ext uri="{84589F7E-364E-4C9E-8A38-B11213B215E9}">
                  <a14:cameraTool cellRange="TTD_1TCUM" spid="_x0000_s789582"/>
                </a:ext>
              </a:extLst>
            </xdr:cNvPicPr>
          </xdr:nvPicPr>
          <xdr:blipFill rotWithShape="1">
            <a:blip xmlns:r="http://schemas.openxmlformats.org/officeDocument/2006/relationships" r:embed="rId2"/>
            <a:srcRect r="22793"/>
            <a:stretch>
              <a:fillRect/>
            </a:stretch>
          </xdr:blipFill>
          <xdr:spPr bwMode="auto">
            <a:xfrm>
              <a:off x="668915" y="24277468"/>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338238</xdr:colOff>
          <xdr:row>130</xdr:row>
          <xdr:rowOff>85726</xdr:rowOff>
        </xdr:from>
        <xdr:to>
          <xdr:col>12</xdr:col>
          <xdr:colOff>67600</xdr:colOff>
          <xdr:row>136</xdr:row>
          <xdr:rowOff>123825</xdr:rowOff>
        </xdr:to>
        <xdr:pic>
          <xdr:nvPicPr>
            <xdr:cNvPr id="17" name="Picture 16">
              <a:extLst>
                <a:ext uri="{FF2B5EF4-FFF2-40B4-BE49-F238E27FC236}">
                  <a16:creationId xmlns:a16="http://schemas.microsoft.com/office/drawing/2014/main" id="{AD8AF823-A746-45BF-9855-D04A06B5A435}"/>
                </a:ext>
              </a:extLst>
            </xdr:cNvPr>
            <xdr:cNvPicPr>
              <a:picLocks noChangeAspect="1" noChangeArrowheads="1"/>
              <a:extLst>
                <a:ext uri="{84589F7E-364E-4C9E-8A38-B11213B215E9}">
                  <a14:cameraTool cellRange="TTD_2TCUM" spid="_x0000_s789583"/>
                </a:ext>
              </a:extLst>
            </xdr:cNvPicPr>
          </xdr:nvPicPr>
          <xdr:blipFill rotWithShape="1">
            <a:blip xmlns:r="http://schemas.openxmlformats.org/officeDocument/2006/relationships" r:embed="rId4"/>
            <a:srcRect r="28370"/>
            <a:stretch>
              <a:fillRect/>
            </a:stretch>
          </xdr:blipFill>
          <xdr:spPr bwMode="auto">
            <a:xfrm>
              <a:off x="2567088" y="24136351"/>
              <a:ext cx="2234437" cy="12382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285682</xdr:colOff>
          <xdr:row>130</xdr:row>
          <xdr:rowOff>30332</xdr:rowOff>
        </xdr:from>
        <xdr:to>
          <xdr:col>19</xdr:col>
          <xdr:colOff>149612</xdr:colOff>
          <xdr:row>136</xdr:row>
          <xdr:rowOff>28575</xdr:rowOff>
        </xdr:to>
        <xdr:pic>
          <xdr:nvPicPr>
            <xdr:cNvPr id="18" name="Picture 17">
              <a:extLst>
                <a:ext uri="{FF2B5EF4-FFF2-40B4-BE49-F238E27FC236}">
                  <a16:creationId xmlns:a16="http://schemas.microsoft.com/office/drawing/2014/main" id="{9FC204D4-98DC-40B5-97AE-977DE8E18F6D}"/>
                </a:ext>
              </a:extLst>
            </xdr:cNvPr>
            <xdr:cNvPicPr>
              <a:picLocks noChangeAspect="1" noChangeArrowheads="1"/>
              <a:extLst>
                <a:ext uri="{84589F7E-364E-4C9E-8A38-B11213B215E9}">
                  <a14:cameraTool cellRange="TTD_3TCUM" spid="_x0000_s789584"/>
                </a:ext>
              </a:extLst>
            </xdr:cNvPicPr>
          </xdr:nvPicPr>
          <xdr:blipFill rotWithShape="1">
            <a:blip xmlns:r="http://schemas.openxmlformats.org/officeDocument/2006/relationships" r:embed="rId3"/>
            <a:srcRect r="22160"/>
            <a:stretch>
              <a:fillRect/>
            </a:stretch>
          </xdr:blipFill>
          <xdr:spPr bwMode="auto">
            <a:xfrm>
              <a:off x="4371907" y="24080957"/>
              <a:ext cx="2883355" cy="119839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41412</xdr:colOff>
          <xdr:row>208</xdr:row>
          <xdr:rowOff>117611</xdr:rowOff>
        </xdr:from>
        <xdr:to>
          <xdr:col>20</xdr:col>
          <xdr:colOff>233831</xdr:colOff>
          <xdr:row>213</xdr:row>
          <xdr:rowOff>123826</xdr:rowOff>
        </xdr:to>
        <xdr:pic>
          <xdr:nvPicPr>
            <xdr:cNvPr id="19" name="Picture 18">
              <a:extLst>
                <a:ext uri="{FF2B5EF4-FFF2-40B4-BE49-F238E27FC236}">
                  <a16:creationId xmlns:a16="http://schemas.microsoft.com/office/drawing/2014/main" id="{6649750A-6D8E-40BD-946B-F77381E6CFF3}"/>
                </a:ext>
              </a:extLst>
            </xdr:cNvPr>
            <xdr:cNvPicPr>
              <a:picLocks noChangeAspect="1" noChangeArrowheads="1"/>
              <a:extLst>
                <a:ext uri="{84589F7E-364E-4C9E-8A38-B11213B215E9}">
                  <a14:cameraTool cellRange="TTD_3TCUM" spid="_x0000_s789585"/>
                </a:ext>
              </a:extLst>
            </xdr:cNvPicPr>
          </xdr:nvPicPr>
          <xdr:blipFill rotWithShape="1">
            <a:blip xmlns:r="http://schemas.openxmlformats.org/officeDocument/2006/relationships" r:embed="rId3"/>
            <a:srcRect r="22160"/>
            <a:stretch>
              <a:fillRect/>
            </a:stretch>
          </xdr:blipFill>
          <xdr:spPr bwMode="auto">
            <a:xfrm>
              <a:off x="5289687" y="39608261"/>
              <a:ext cx="2421269" cy="10063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81267</xdr:colOff>
          <xdr:row>208</xdr:row>
          <xdr:rowOff>169898</xdr:rowOff>
        </xdr:from>
        <xdr:to>
          <xdr:col>15</xdr:col>
          <xdr:colOff>155684</xdr:colOff>
          <xdr:row>214</xdr:row>
          <xdr:rowOff>66675</xdr:rowOff>
        </xdr:to>
        <xdr:pic>
          <xdr:nvPicPr>
            <xdr:cNvPr id="20" name="Picture 19">
              <a:extLst>
                <a:ext uri="{FF2B5EF4-FFF2-40B4-BE49-F238E27FC236}">
                  <a16:creationId xmlns:a16="http://schemas.microsoft.com/office/drawing/2014/main" id="{F4D9F504-F06D-45BF-8504-111138E32C54}"/>
                </a:ext>
              </a:extLst>
            </xdr:cNvPr>
            <xdr:cNvPicPr>
              <a:picLocks noChangeAspect="1" noChangeArrowheads="1"/>
              <a:extLst>
                <a:ext uri="{84589F7E-364E-4C9E-8A38-B11213B215E9}">
                  <a14:cameraTool cellRange="TTD_2TCUM" spid="_x0000_s789586"/>
                </a:ext>
              </a:extLst>
            </xdr:cNvPicPr>
          </xdr:nvPicPr>
          <xdr:blipFill rotWithShape="1">
            <a:blip xmlns:r="http://schemas.openxmlformats.org/officeDocument/2006/relationships" r:embed="rId4"/>
            <a:srcRect r="28370"/>
            <a:stretch>
              <a:fillRect/>
            </a:stretch>
          </xdr:blipFill>
          <xdr:spPr bwMode="auto">
            <a:xfrm>
              <a:off x="3796017" y="39660548"/>
              <a:ext cx="1979417" cy="109692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328446</xdr:colOff>
          <xdr:row>209</xdr:row>
          <xdr:rowOff>110787</xdr:rowOff>
        </xdr:from>
        <xdr:to>
          <xdr:col>11</xdr:col>
          <xdr:colOff>552450</xdr:colOff>
          <xdr:row>214</xdr:row>
          <xdr:rowOff>99317</xdr:rowOff>
        </xdr:to>
        <xdr:pic>
          <xdr:nvPicPr>
            <xdr:cNvPr id="21" name="Picture 20">
              <a:extLst>
                <a:ext uri="{FF2B5EF4-FFF2-40B4-BE49-F238E27FC236}">
                  <a16:creationId xmlns:a16="http://schemas.microsoft.com/office/drawing/2014/main" id="{3B19F160-371B-4982-AFBA-CBD17BF9EF51}"/>
                </a:ext>
              </a:extLst>
            </xdr:cNvPr>
            <xdr:cNvPicPr>
              <a:picLocks noChangeAspect="1" noChangeArrowheads="1"/>
              <a:extLst>
                <a:ext uri="{84589F7E-364E-4C9E-8A38-B11213B215E9}">
                  <a14:cameraTool cellRange="TTD_1TCUM" spid="_x0000_s789587"/>
                </a:ext>
              </a:extLst>
            </xdr:cNvPicPr>
          </xdr:nvPicPr>
          <xdr:blipFill rotWithShape="1">
            <a:blip xmlns:r="http://schemas.openxmlformats.org/officeDocument/2006/relationships" r:embed="rId2"/>
            <a:srcRect r="22793"/>
            <a:stretch>
              <a:fillRect/>
            </a:stretch>
          </xdr:blipFill>
          <xdr:spPr bwMode="auto">
            <a:xfrm>
              <a:off x="2557296" y="39801462"/>
              <a:ext cx="2081379" cy="988655"/>
            </a:xfrm>
            <a:prstGeom prst="rect">
              <a:avLst/>
            </a:prstGeom>
            <a:noFill/>
            <a:ln w="9525">
              <a:noFill/>
              <a:miter lim="800000"/>
              <a:headEnd/>
              <a:tailEnd/>
            </a:ln>
          </xdr:spPr>
        </xdr:pic>
        <xdr:clientData/>
      </xdr:twoCellAnchor>
    </mc:Choice>
    <mc:Fallback/>
  </mc:AlternateContent>
  <xdr:twoCellAnchor>
    <xdr:from>
      <xdr:col>1</xdr:col>
      <xdr:colOff>114302</xdr:colOff>
      <xdr:row>104</xdr:row>
      <xdr:rowOff>104775</xdr:rowOff>
    </xdr:from>
    <xdr:to>
      <xdr:col>19</xdr:col>
      <xdr:colOff>133351</xdr:colOff>
      <xdr:row>120</xdr:row>
      <xdr:rowOff>104775</xdr:rowOff>
    </xdr:to>
    <xdr:graphicFrame macro="">
      <xdr:nvGraphicFramePr>
        <xdr:cNvPr id="23" name="Chart 22">
          <a:extLst>
            <a:ext uri="{FF2B5EF4-FFF2-40B4-BE49-F238E27FC236}">
              <a16:creationId xmlns:a16="http://schemas.microsoft.com/office/drawing/2014/main" id="{07794A9D-0D5C-408B-A8B6-C63BF5CC8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90</xdr:row>
      <xdr:rowOff>1</xdr:rowOff>
    </xdr:from>
    <xdr:to>
      <xdr:col>11</xdr:col>
      <xdr:colOff>76200</xdr:colOff>
      <xdr:row>101</xdr:row>
      <xdr:rowOff>180975</xdr:rowOff>
    </xdr:to>
    <xdr:graphicFrame macro="">
      <xdr:nvGraphicFramePr>
        <xdr:cNvPr id="24" name="Chart 23">
          <a:extLst>
            <a:ext uri="{FF2B5EF4-FFF2-40B4-BE49-F238E27FC236}">
              <a16:creationId xmlns:a16="http://schemas.microsoft.com/office/drawing/2014/main" id="{402E202C-4621-4CF5-B369-077DAA48C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266700</xdr:colOff>
      <xdr:row>90</xdr:row>
      <xdr:rowOff>1</xdr:rowOff>
    </xdr:from>
    <xdr:to>
      <xdr:col>23</xdr:col>
      <xdr:colOff>190500</xdr:colOff>
      <xdr:row>101</xdr:row>
      <xdr:rowOff>190500</xdr:rowOff>
    </xdr:to>
    <xdr:graphicFrame macro="">
      <xdr:nvGraphicFramePr>
        <xdr:cNvPr id="25" name="Chart 24">
          <a:extLst>
            <a:ext uri="{FF2B5EF4-FFF2-40B4-BE49-F238E27FC236}">
              <a16:creationId xmlns:a16="http://schemas.microsoft.com/office/drawing/2014/main" id="{D8232FB4-19E1-495B-806D-504E7E4D8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xdr:colOff>
      <xdr:row>161</xdr:row>
      <xdr:rowOff>152400</xdr:rowOff>
    </xdr:from>
    <xdr:to>
      <xdr:col>20</xdr:col>
      <xdr:colOff>295275</xdr:colOff>
      <xdr:row>175</xdr:row>
      <xdr:rowOff>123825</xdr:rowOff>
    </xdr:to>
    <xdr:graphicFrame macro="">
      <xdr:nvGraphicFramePr>
        <xdr:cNvPr id="26" name="Chart 25">
          <a:extLst>
            <a:ext uri="{FF2B5EF4-FFF2-40B4-BE49-F238E27FC236}">
              <a16:creationId xmlns:a16="http://schemas.microsoft.com/office/drawing/2014/main" id="{DA788D7C-7A20-4A51-A958-9CE332D9E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167640</xdr:colOff>
      <xdr:row>96</xdr:row>
      <xdr:rowOff>30480</xdr:rowOff>
    </xdr:from>
    <xdr:to>
      <xdr:col>4</xdr:col>
      <xdr:colOff>411480</xdr:colOff>
      <xdr:row>96</xdr:row>
      <xdr:rowOff>190500</xdr:rowOff>
    </xdr:to>
    <xdr:grpSp>
      <xdr:nvGrpSpPr>
        <xdr:cNvPr id="2" name="Group 39">
          <a:extLst>
            <a:ext uri="{FF2B5EF4-FFF2-40B4-BE49-F238E27FC236}">
              <a16:creationId xmlns:a16="http://schemas.microsoft.com/office/drawing/2014/main" id="{C8DEC7BB-E5F9-CE42-B5AF-58049A0049EF}"/>
            </a:ext>
          </a:extLst>
        </xdr:cNvPr>
        <xdr:cNvGrpSpPr>
          <a:grpSpLocks/>
        </xdr:cNvGrpSpPr>
      </xdr:nvGrpSpPr>
      <xdr:grpSpPr bwMode="auto">
        <a:xfrm>
          <a:off x="3822859" y="20806886"/>
          <a:ext cx="243840" cy="160020"/>
          <a:chOff x="334" y="483"/>
          <a:chExt cx="25" cy="17"/>
        </a:xfrm>
      </xdr:grpSpPr>
      <xdr:sp macro="" textlink="">
        <xdr:nvSpPr>
          <xdr:cNvPr id="3" name="Line 13">
            <a:extLst>
              <a:ext uri="{FF2B5EF4-FFF2-40B4-BE49-F238E27FC236}">
                <a16:creationId xmlns:a16="http://schemas.microsoft.com/office/drawing/2014/main" id="{EA436FE5-2D19-F3B6-6DCA-4F0B700B2880}"/>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Line 14">
            <a:extLst>
              <a:ext uri="{FF2B5EF4-FFF2-40B4-BE49-F238E27FC236}">
                <a16:creationId xmlns:a16="http://schemas.microsoft.com/office/drawing/2014/main" id="{0C471CB9-F332-D4C4-CDBD-7A0EA2F19C6C}"/>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Line 15">
            <a:extLst>
              <a:ext uri="{FF2B5EF4-FFF2-40B4-BE49-F238E27FC236}">
                <a16:creationId xmlns:a16="http://schemas.microsoft.com/office/drawing/2014/main" id="{CE0FDC4D-DD1B-178F-6A5C-71A3DD80ECCC}"/>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6" name="Group 39">
          <a:extLst>
            <a:ext uri="{FF2B5EF4-FFF2-40B4-BE49-F238E27FC236}">
              <a16:creationId xmlns:a16="http://schemas.microsoft.com/office/drawing/2014/main" id="{AB2EDCAC-85A1-4F4B-BE9B-9BC1728A0271}"/>
            </a:ext>
          </a:extLst>
        </xdr:cNvPr>
        <xdr:cNvGrpSpPr>
          <a:grpSpLocks/>
        </xdr:cNvGrpSpPr>
      </xdr:nvGrpSpPr>
      <xdr:grpSpPr bwMode="auto">
        <a:xfrm>
          <a:off x="17205484" y="21009293"/>
          <a:ext cx="243840" cy="160020"/>
          <a:chOff x="334" y="483"/>
          <a:chExt cx="25" cy="17"/>
        </a:xfrm>
      </xdr:grpSpPr>
      <xdr:sp macro="" textlink="">
        <xdr:nvSpPr>
          <xdr:cNvPr id="7" name="Line 13">
            <a:extLst>
              <a:ext uri="{FF2B5EF4-FFF2-40B4-BE49-F238E27FC236}">
                <a16:creationId xmlns:a16="http://schemas.microsoft.com/office/drawing/2014/main" id="{2572406D-3E5C-85DB-BC16-0A7DC667DE91}"/>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 name="Line 14">
            <a:extLst>
              <a:ext uri="{FF2B5EF4-FFF2-40B4-BE49-F238E27FC236}">
                <a16:creationId xmlns:a16="http://schemas.microsoft.com/office/drawing/2014/main" id="{7B134A60-B1C9-28C5-7719-C6040E67AD34}"/>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5">
            <a:extLst>
              <a:ext uri="{FF2B5EF4-FFF2-40B4-BE49-F238E27FC236}">
                <a16:creationId xmlns:a16="http://schemas.microsoft.com/office/drawing/2014/main" id="{09C54644-8723-D6C7-7574-1ECD07355002}"/>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10" name="Group 41">
          <a:extLst>
            <a:ext uri="{FF2B5EF4-FFF2-40B4-BE49-F238E27FC236}">
              <a16:creationId xmlns:a16="http://schemas.microsoft.com/office/drawing/2014/main" id="{D3635C89-340A-1249-BA13-7919CDFE3BE0}"/>
            </a:ext>
          </a:extLst>
        </xdr:cNvPr>
        <xdr:cNvGrpSpPr>
          <a:grpSpLocks/>
        </xdr:cNvGrpSpPr>
      </xdr:nvGrpSpPr>
      <xdr:grpSpPr bwMode="auto">
        <a:xfrm>
          <a:off x="17205484" y="21009293"/>
          <a:ext cx="243840" cy="160020"/>
          <a:chOff x="334" y="483"/>
          <a:chExt cx="25" cy="17"/>
        </a:xfrm>
      </xdr:grpSpPr>
      <xdr:sp macro="" textlink="">
        <xdr:nvSpPr>
          <xdr:cNvPr id="11" name="Line 42">
            <a:extLst>
              <a:ext uri="{FF2B5EF4-FFF2-40B4-BE49-F238E27FC236}">
                <a16:creationId xmlns:a16="http://schemas.microsoft.com/office/drawing/2014/main" id="{741372BE-D798-367A-1F20-DF1B4BB9AB3E}"/>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43">
            <a:extLst>
              <a:ext uri="{FF2B5EF4-FFF2-40B4-BE49-F238E27FC236}">
                <a16:creationId xmlns:a16="http://schemas.microsoft.com/office/drawing/2014/main" id="{216EE1AA-8E19-DC8A-C60B-20DF281054C2}"/>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44">
            <a:extLst>
              <a:ext uri="{FF2B5EF4-FFF2-40B4-BE49-F238E27FC236}">
                <a16:creationId xmlns:a16="http://schemas.microsoft.com/office/drawing/2014/main" id="{FF4C1DBA-97CF-D0B1-D5F1-BB1914A0E10D}"/>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167640</xdr:colOff>
      <xdr:row>97</xdr:row>
      <xdr:rowOff>30480</xdr:rowOff>
    </xdr:from>
    <xdr:to>
      <xdr:col>37</xdr:col>
      <xdr:colOff>411480</xdr:colOff>
      <xdr:row>97</xdr:row>
      <xdr:rowOff>190500</xdr:rowOff>
    </xdr:to>
    <xdr:grpSp>
      <xdr:nvGrpSpPr>
        <xdr:cNvPr id="14" name="Group 50">
          <a:extLst>
            <a:ext uri="{FF2B5EF4-FFF2-40B4-BE49-F238E27FC236}">
              <a16:creationId xmlns:a16="http://schemas.microsoft.com/office/drawing/2014/main" id="{C8E837D5-8440-3448-8D17-D0812B2299AC}"/>
            </a:ext>
          </a:extLst>
        </xdr:cNvPr>
        <xdr:cNvGrpSpPr>
          <a:grpSpLocks/>
        </xdr:cNvGrpSpPr>
      </xdr:nvGrpSpPr>
      <xdr:grpSpPr bwMode="auto">
        <a:xfrm>
          <a:off x="31623953" y="21009293"/>
          <a:ext cx="243840" cy="160020"/>
          <a:chOff x="334" y="483"/>
          <a:chExt cx="25" cy="17"/>
        </a:xfrm>
      </xdr:grpSpPr>
      <xdr:sp macro="" textlink="">
        <xdr:nvSpPr>
          <xdr:cNvPr id="15" name="Line 51">
            <a:extLst>
              <a:ext uri="{FF2B5EF4-FFF2-40B4-BE49-F238E27FC236}">
                <a16:creationId xmlns:a16="http://schemas.microsoft.com/office/drawing/2014/main" id="{3C54F677-E184-8940-0A61-1D5F02B4FEE6}"/>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52">
            <a:extLst>
              <a:ext uri="{FF2B5EF4-FFF2-40B4-BE49-F238E27FC236}">
                <a16:creationId xmlns:a16="http://schemas.microsoft.com/office/drawing/2014/main" id="{FF47013F-7923-40DC-4DB1-B5A61D76F7ED}"/>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 name="Line 53">
            <a:extLst>
              <a:ext uri="{FF2B5EF4-FFF2-40B4-BE49-F238E27FC236}">
                <a16:creationId xmlns:a16="http://schemas.microsoft.com/office/drawing/2014/main" id="{9EB7A91C-802E-02A0-8ADD-6789610BA701}"/>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263663</xdr:colOff>
      <xdr:row>68</xdr:row>
      <xdr:rowOff>76201</xdr:rowOff>
    </xdr:from>
    <xdr:to>
      <xdr:col>12</xdr:col>
      <xdr:colOff>41413</xdr:colOff>
      <xdr:row>85</xdr:row>
      <xdr:rowOff>152401</xdr:rowOff>
    </xdr:to>
    <xdr:graphicFrame macro="">
      <xdr:nvGraphicFramePr>
        <xdr:cNvPr id="18" name="Chart 17">
          <a:extLst>
            <a:ext uri="{FF2B5EF4-FFF2-40B4-BE49-F238E27FC236}">
              <a16:creationId xmlns:a16="http://schemas.microsoft.com/office/drawing/2014/main" id="{4479944A-76BB-ED4F-9EEC-6194D8DD6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355600</xdr:colOff>
      <xdr:row>254</xdr:row>
      <xdr:rowOff>1</xdr:rowOff>
    </xdr:from>
    <xdr:to>
      <xdr:col>9</xdr:col>
      <xdr:colOff>650487</xdr:colOff>
      <xdr:row>275</xdr:row>
      <xdr:rowOff>0</xdr:rowOff>
    </xdr:to>
    <xdr:graphicFrame macro="">
      <xdr:nvGraphicFramePr>
        <xdr:cNvPr id="22" name="Chart 21">
          <a:extLst>
            <a:ext uri="{FF2B5EF4-FFF2-40B4-BE49-F238E27FC236}">
              <a16:creationId xmlns:a16="http://schemas.microsoft.com/office/drawing/2014/main" id="{2B0583C6-01C2-1A41-B9E9-F1B463601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68</xdr:row>
      <xdr:rowOff>96630</xdr:rowOff>
    </xdr:from>
    <xdr:to>
      <xdr:col>27</xdr:col>
      <xdr:colOff>387350</xdr:colOff>
      <xdr:row>85</xdr:row>
      <xdr:rowOff>172830</xdr:rowOff>
    </xdr:to>
    <xdr:graphicFrame macro="">
      <xdr:nvGraphicFramePr>
        <xdr:cNvPr id="23" name="Chart 22">
          <a:extLst>
            <a:ext uri="{FF2B5EF4-FFF2-40B4-BE49-F238E27FC236}">
              <a16:creationId xmlns:a16="http://schemas.microsoft.com/office/drawing/2014/main" id="{83E86263-AB87-3740-91C9-6484BD1AF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867465</xdr:colOff>
      <xdr:row>68</xdr:row>
      <xdr:rowOff>106018</xdr:rowOff>
    </xdr:from>
    <xdr:to>
      <xdr:col>44</xdr:col>
      <xdr:colOff>587236</xdr:colOff>
      <xdr:row>85</xdr:row>
      <xdr:rowOff>182218</xdr:rowOff>
    </xdr:to>
    <xdr:graphicFrame macro="">
      <xdr:nvGraphicFramePr>
        <xdr:cNvPr id="24" name="Chart 23">
          <a:extLst>
            <a:ext uri="{FF2B5EF4-FFF2-40B4-BE49-F238E27FC236}">
              <a16:creationId xmlns:a16="http://schemas.microsoft.com/office/drawing/2014/main" id="{8C8CC1F1-522F-724F-87E1-1A6A4151E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294268</xdr:colOff>
      <xdr:row>278</xdr:row>
      <xdr:rowOff>108417</xdr:rowOff>
    </xdr:from>
    <xdr:to>
      <xdr:col>10</xdr:col>
      <xdr:colOff>573049</xdr:colOff>
      <xdr:row>297</xdr:row>
      <xdr:rowOff>0</xdr:rowOff>
    </xdr:to>
    <xdr:graphicFrame macro="">
      <xdr:nvGraphicFramePr>
        <xdr:cNvPr id="27" name="Chart 26">
          <a:extLst>
            <a:ext uri="{FF2B5EF4-FFF2-40B4-BE49-F238E27FC236}">
              <a16:creationId xmlns:a16="http://schemas.microsoft.com/office/drawing/2014/main" id="{270602B2-0F8A-584A-854A-EC3F07B0C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382739</xdr:colOff>
      <xdr:row>289</xdr:row>
      <xdr:rowOff>173973</xdr:rowOff>
    </xdr:from>
    <xdr:to>
      <xdr:col>22</xdr:col>
      <xdr:colOff>142848</xdr:colOff>
      <xdr:row>306</xdr:row>
      <xdr:rowOff>65002</xdr:rowOff>
    </xdr:to>
    <xdr:graphicFrame macro="">
      <xdr:nvGraphicFramePr>
        <xdr:cNvPr id="28" name="Chart 27">
          <a:extLst>
            <a:ext uri="{FF2B5EF4-FFF2-40B4-BE49-F238E27FC236}">
              <a16:creationId xmlns:a16="http://schemas.microsoft.com/office/drawing/2014/main" id="{25C6234D-D073-C1A1-720A-9F28E2FDE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257404</xdr:colOff>
      <xdr:row>277</xdr:row>
      <xdr:rowOff>50436</xdr:rowOff>
    </xdr:from>
    <xdr:to>
      <xdr:col>32</xdr:col>
      <xdr:colOff>741046</xdr:colOff>
      <xdr:row>290</xdr:row>
      <xdr:rowOff>79663</xdr:rowOff>
    </xdr:to>
    <xdr:graphicFrame macro="">
      <xdr:nvGraphicFramePr>
        <xdr:cNvPr id="29" name="Chart 28">
          <a:extLst>
            <a:ext uri="{FF2B5EF4-FFF2-40B4-BE49-F238E27FC236}">
              <a16:creationId xmlns:a16="http://schemas.microsoft.com/office/drawing/2014/main" id="{519C4FDA-8115-DB23-E9C6-F869B1304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FE8A2B4D-5D89-44F5-8950-49CA103A2A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76200"/>
          <a:ext cx="1575647" cy="501650"/>
        </a:xfrm>
        <a:prstGeom prst="rect">
          <a:avLst/>
        </a:prstGeom>
      </xdr:spPr>
    </xdr:pic>
    <xdr:clientData/>
  </xdr:twoCellAnchor>
  <xdr:twoCellAnchor editAs="oneCell">
    <xdr:from>
      <xdr:col>1</xdr:col>
      <xdr:colOff>105984</xdr:colOff>
      <xdr:row>150</xdr:row>
      <xdr:rowOff>149027</xdr:rowOff>
    </xdr:from>
    <xdr:to>
      <xdr:col>5</xdr:col>
      <xdr:colOff>195731</xdr:colOff>
      <xdr:row>152</xdr:row>
      <xdr:rowOff>93733</xdr:rowOff>
    </xdr:to>
    <xdr:pic>
      <xdr:nvPicPr>
        <xdr:cNvPr id="3" name="Picture 2">
          <a:extLst>
            <a:ext uri="{FF2B5EF4-FFF2-40B4-BE49-F238E27FC236}">
              <a16:creationId xmlns:a16="http://schemas.microsoft.com/office/drawing/2014/main" id="{F2D07BA8-9270-469D-8525-47AA4F420C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477459" y="28276352"/>
          <a:ext cx="1575647" cy="497156"/>
        </a:xfrm>
        <a:prstGeom prst="rect">
          <a:avLst/>
        </a:prstGeom>
      </xdr:spPr>
    </xdr:pic>
    <xdr:clientData/>
  </xdr:twoCellAnchor>
  <xdr:twoCellAnchor>
    <xdr:from>
      <xdr:col>1</xdr:col>
      <xdr:colOff>244588</xdr:colOff>
      <xdr:row>178</xdr:row>
      <xdr:rowOff>137790</xdr:rowOff>
    </xdr:from>
    <xdr:to>
      <xdr:col>20</xdr:col>
      <xdr:colOff>337847</xdr:colOff>
      <xdr:row>191</xdr:row>
      <xdr:rowOff>78635</xdr:rowOff>
    </xdr:to>
    <xdr:grpSp>
      <xdr:nvGrpSpPr>
        <xdr:cNvPr id="4" name="Group 3">
          <a:extLst>
            <a:ext uri="{FF2B5EF4-FFF2-40B4-BE49-F238E27FC236}">
              <a16:creationId xmlns:a16="http://schemas.microsoft.com/office/drawing/2014/main" id="{A686AC1B-139A-4B47-B768-85C2B5F022AC}"/>
            </a:ext>
          </a:extLst>
        </xdr:cNvPr>
        <xdr:cNvGrpSpPr/>
      </xdr:nvGrpSpPr>
      <xdr:grpSpPr>
        <a:xfrm>
          <a:off x="616063" y="33646740"/>
          <a:ext cx="7198909" cy="2541170"/>
          <a:chOff x="828675" y="11311834"/>
          <a:chExt cx="7014852" cy="2639596"/>
        </a:xfrm>
      </xdr:grpSpPr>
      <xdr:sp macro="" textlink="">
        <xdr:nvSpPr>
          <xdr:cNvPr id="5" name="TextBox 4">
            <a:extLst>
              <a:ext uri="{FF2B5EF4-FFF2-40B4-BE49-F238E27FC236}">
                <a16:creationId xmlns:a16="http://schemas.microsoft.com/office/drawing/2014/main" id="{10623292-AD26-7249-4CE7-0FB5543E4174}"/>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70EFBEBD-676B-DEC4-7CA6-3EE6753B3144}"/>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D04452FF-8902-199E-9ECB-10911B3EF10A}"/>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165099</xdr:colOff>
      <xdr:row>77</xdr:row>
      <xdr:rowOff>76200</xdr:rowOff>
    </xdr:from>
    <xdr:ext cx="1562947" cy="495300"/>
    <xdr:pic>
      <xdr:nvPicPr>
        <xdr:cNvPr id="8" name="Picture 7">
          <a:extLst>
            <a:ext uri="{FF2B5EF4-FFF2-40B4-BE49-F238E27FC236}">
              <a16:creationId xmlns:a16="http://schemas.microsoft.com/office/drawing/2014/main" id="{6E9D3A91-0493-454D-B017-1FD4E6BC30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14268450"/>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183680</xdr:colOff>
          <xdr:row>59</xdr:row>
          <xdr:rowOff>117828</xdr:rowOff>
        </xdr:from>
        <xdr:to>
          <xdr:col>7</xdr:col>
          <xdr:colOff>263983</xdr:colOff>
          <xdr:row>64</xdr:row>
          <xdr:rowOff>38100</xdr:rowOff>
        </xdr:to>
        <xdr:pic>
          <xdr:nvPicPr>
            <xdr:cNvPr id="13" name="Picture 12">
              <a:extLst>
                <a:ext uri="{FF2B5EF4-FFF2-40B4-BE49-F238E27FC236}">
                  <a16:creationId xmlns:a16="http://schemas.microsoft.com/office/drawing/2014/main" id="{FFFF5F19-46F4-4410-8FC2-D6CF39066BE8}"/>
                </a:ext>
              </a:extLst>
            </xdr:cNvPr>
            <xdr:cNvPicPr>
              <a:picLocks noChangeAspect="1" noChangeArrowheads="1"/>
              <a:extLst>
                <a:ext uri="{84589F7E-364E-4C9E-8A38-B11213B215E9}">
                  <a14:cameraTool cellRange="TTD_1TCUN" spid="_x0000_s404222"/>
                </a:ext>
              </a:extLst>
            </xdr:cNvPicPr>
          </xdr:nvPicPr>
          <xdr:blipFill rotWithShape="1">
            <a:blip xmlns:r="http://schemas.openxmlformats.org/officeDocument/2006/relationships" r:embed="rId2"/>
            <a:srcRect l="7831" r="33442"/>
            <a:stretch>
              <a:fillRect/>
            </a:stretch>
          </xdr:blipFill>
          <xdr:spPr bwMode="auto">
            <a:xfrm>
              <a:off x="926630" y="10919178"/>
              <a:ext cx="1937678" cy="92039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146521</xdr:colOff>
          <xdr:row>58</xdr:row>
          <xdr:rowOff>128530</xdr:rowOff>
        </xdr:from>
        <xdr:to>
          <xdr:col>11</xdr:col>
          <xdr:colOff>611562</xdr:colOff>
          <xdr:row>64</xdr:row>
          <xdr:rowOff>9526</xdr:rowOff>
        </xdr:to>
        <xdr:pic>
          <xdr:nvPicPr>
            <xdr:cNvPr id="14" name="Picture 13">
              <a:extLst>
                <a:ext uri="{FF2B5EF4-FFF2-40B4-BE49-F238E27FC236}">
                  <a16:creationId xmlns:a16="http://schemas.microsoft.com/office/drawing/2014/main" id="{3DBC995E-8896-4286-B2A2-6511B3679D77}"/>
                </a:ext>
              </a:extLst>
            </xdr:cNvPr>
            <xdr:cNvPicPr>
              <a:picLocks noChangeAspect="1" noChangeArrowheads="1"/>
              <a:extLst>
                <a:ext uri="{84589F7E-364E-4C9E-8A38-B11213B215E9}">
                  <a14:cameraTool cellRange="TTD_2TCUN" spid="_x0000_s404223"/>
                </a:ext>
              </a:extLst>
            </xdr:cNvPicPr>
          </xdr:nvPicPr>
          <xdr:blipFill rotWithShape="1">
            <a:blip xmlns:r="http://schemas.openxmlformats.org/officeDocument/2006/relationships" r:embed="rId3"/>
            <a:srcRect r="26994"/>
            <a:stretch>
              <a:fillRect/>
            </a:stretch>
          </xdr:blipFill>
          <xdr:spPr bwMode="auto">
            <a:xfrm>
              <a:off x="2746846" y="10729855"/>
              <a:ext cx="1950941" cy="108114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357366</xdr:colOff>
          <xdr:row>58</xdr:row>
          <xdr:rowOff>182996</xdr:rowOff>
        </xdr:from>
        <xdr:to>
          <xdr:col>18</xdr:col>
          <xdr:colOff>179622</xdr:colOff>
          <xdr:row>64</xdr:row>
          <xdr:rowOff>9525</xdr:rowOff>
        </xdr:to>
        <xdr:pic>
          <xdr:nvPicPr>
            <xdr:cNvPr id="15" name="Picture 14">
              <a:extLst>
                <a:ext uri="{FF2B5EF4-FFF2-40B4-BE49-F238E27FC236}">
                  <a16:creationId xmlns:a16="http://schemas.microsoft.com/office/drawing/2014/main" id="{D4A3AEA2-C4F4-40D1-98E7-3963B500A772}"/>
                </a:ext>
              </a:extLst>
            </xdr:cNvPr>
            <xdr:cNvPicPr>
              <a:picLocks noChangeAspect="1" noChangeArrowheads="1"/>
              <a:extLst>
                <a:ext uri="{84589F7E-364E-4C9E-8A38-B11213B215E9}">
                  <a14:cameraTool cellRange="TTD_3TCUN" spid="_x0000_s404224"/>
                </a:ext>
              </a:extLst>
            </xdr:cNvPicPr>
          </xdr:nvPicPr>
          <xdr:blipFill rotWithShape="1">
            <a:blip xmlns:r="http://schemas.openxmlformats.org/officeDocument/2006/relationships" r:embed="rId4"/>
            <a:srcRect r="26169"/>
            <a:stretch>
              <a:fillRect/>
            </a:stretch>
          </xdr:blipFill>
          <xdr:spPr bwMode="auto">
            <a:xfrm>
              <a:off x="4443591" y="10784321"/>
              <a:ext cx="2470206" cy="102667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160632</xdr:colOff>
          <xdr:row>131</xdr:row>
          <xdr:rowOff>196615</xdr:rowOff>
        </xdr:from>
        <xdr:to>
          <xdr:col>7</xdr:col>
          <xdr:colOff>85725</xdr:colOff>
          <xdr:row>137</xdr:row>
          <xdr:rowOff>190108</xdr:rowOff>
        </xdr:to>
        <xdr:pic>
          <xdr:nvPicPr>
            <xdr:cNvPr id="16" name="Picture 15">
              <a:extLst>
                <a:ext uri="{FF2B5EF4-FFF2-40B4-BE49-F238E27FC236}">
                  <a16:creationId xmlns:a16="http://schemas.microsoft.com/office/drawing/2014/main" id="{973E818B-28D8-4543-8499-5FEAD8258A87}"/>
                </a:ext>
              </a:extLst>
            </xdr:cNvPr>
            <xdr:cNvPicPr>
              <a:picLocks noChangeAspect="1" noChangeArrowheads="1"/>
              <a:extLst>
                <a:ext uri="{84589F7E-364E-4C9E-8A38-B11213B215E9}">
                  <a14:cameraTool cellRange="TTD_1TCUN" spid="_x0000_s404225"/>
                </a:ext>
              </a:extLst>
            </xdr:cNvPicPr>
          </xdr:nvPicPr>
          <xdr:blipFill rotWithShape="1">
            <a:blip xmlns:r="http://schemas.openxmlformats.org/officeDocument/2006/relationships" r:embed="rId5"/>
            <a:srcRect l="7831" r="33442"/>
            <a:stretch>
              <a:fillRect/>
            </a:stretch>
          </xdr:blipFill>
          <xdr:spPr bwMode="auto">
            <a:xfrm>
              <a:off x="532107" y="24713965"/>
              <a:ext cx="2153943" cy="119364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218723</xdr:colOff>
          <xdr:row>130</xdr:row>
          <xdr:rowOff>188148</xdr:rowOff>
        </xdr:from>
        <xdr:to>
          <xdr:col>14</xdr:col>
          <xdr:colOff>82861</xdr:colOff>
          <xdr:row>137</xdr:row>
          <xdr:rowOff>180088</xdr:rowOff>
        </xdr:to>
        <xdr:pic>
          <xdr:nvPicPr>
            <xdr:cNvPr id="17" name="Picture 16">
              <a:extLst>
                <a:ext uri="{FF2B5EF4-FFF2-40B4-BE49-F238E27FC236}">
                  <a16:creationId xmlns:a16="http://schemas.microsoft.com/office/drawing/2014/main" id="{04D5686B-8717-45F3-8EF4-1A5AFB2ED3BB}"/>
                </a:ext>
              </a:extLst>
            </xdr:cNvPr>
            <xdr:cNvPicPr>
              <a:picLocks noChangeAspect="1" noChangeArrowheads="1"/>
              <a:extLst>
                <a:ext uri="{84589F7E-364E-4C9E-8A38-B11213B215E9}">
                  <a14:cameraTool cellRange="TTD_2TCUN" spid="_x0000_s404226"/>
                </a:ext>
              </a:extLst>
            </xdr:cNvPicPr>
          </xdr:nvPicPr>
          <xdr:blipFill rotWithShape="1">
            <a:blip xmlns:r="http://schemas.openxmlformats.org/officeDocument/2006/relationships" r:embed="rId3"/>
            <a:srcRect r="26994"/>
            <a:stretch>
              <a:fillRect/>
            </a:stretch>
          </xdr:blipFill>
          <xdr:spPr bwMode="auto">
            <a:xfrm>
              <a:off x="2819048" y="24381648"/>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306683</xdr:colOff>
          <xdr:row>131</xdr:row>
          <xdr:rowOff>80690</xdr:rowOff>
        </xdr:from>
        <xdr:to>
          <xdr:col>19</xdr:col>
          <xdr:colOff>186952</xdr:colOff>
          <xdr:row>137</xdr:row>
          <xdr:rowOff>85725</xdr:rowOff>
        </xdr:to>
        <xdr:pic>
          <xdr:nvPicPr>
            <xdr:cNvPr id="18" name="Picture 17">
              <a:extLst>
                <a:ext uri="{FF2B5EF4-FFF2-40B4-BE49-F238E27FC236}">
                  <a16:creationId xmlns:a16="http://schemas.microsoft.com/office/drawing/2014/main" id="{C195B270-1FEF-4862-AD1D-2543DF93CAEE}"/>
                </a:ext>
              </a:extLst>
            </xdr:cNvPr>
            <xdr:cNvPicPr>
              <a:picLocks noChangeAspect="1" noChangeArrowheads="1"/>
              <a:extLst>
                <a:ext uri="{84589F7E-364E-4C9E-8A38-B11213B215E9}">
                  <a14:cameraTool cellRange="TTD_3TCUN" spid="_x0000_s404227"/>
                </a:ext>
              </a:extLst>
            </xdr:cNvPicPr>
          </xdr:nvPicPr>
          <xdr:blipFill rotWithShape="1">
            <a:blip xmlns:r="http://schemas.openxmlformats.org/officeDocument/2006/relationships" r:embed="rId4"/>
            <a:srcRect r="26169"/>
            <a:stretch>
              <a:fillRect/>
            </a:stretch>
          </xdr:blipFill>
          <xdr:spPr bwMode="auto">
            <a:xfrm>
              <a:off x="4392908" y="24598040"/>
              <a:ext cx="2899694" cy="120518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336081</xdr:colOff>
          <xdr:row>210</xdr:row>
          <xdr:rowOff>35866</xdr:rowOff>
        </xdr:from>
        <xdr:to>
          <xdr:col>11</xdr:col>
          <xdr:colOff>122257</xdr:colOff>
          <xdr:row>215</xdr:row>
          <xdr:rowOff>152401</xdr:rowOff>
        </xdr:to>
        <xdr:pic>
          <xdr:nvPicPr>
            <xdr:cNvPr id="19" name="Picture 18">
              <a:extLst>
                <a:ext uri="{FF2B5EF4-FFF2-40B4-BE49-F238E27FC236}">
                  <a16:creationId xmlns:a16="http://schemas.microsoft.com/office/drawing/2014/main" id="{975447E3-7CD7-477A-852E-B710800E7C49}"/>
                </a:ext>
              </a:extLst>
            </xdr:cNvPr>
            <xdr:cNvPicPr>
              <a:picLocks noChangeAspect="1" noChangeArrowheads="1"/>
              <a:extLst>
                <a:ext uri="{84589F7E-364E-4C9E-8A38-B11213B215E9}">
                  <a14:cameraTool cellRange="TTD_1TCUN" spid="_x0000_s404228"/>
                </a:ext>
              </a:extLst>
            </xdr:cNvPicPr>
          </xdr:nvPicPr>
          <xdr:blipFill rotWithShape="1">
            <a:blip xmlns:r="http://schemas.openxmlformats.org/officeDocument/2006/relationships" r:embed="rId5"/>
            <a:srcRect l="7831" r="33442"/>
            <a:stretch>
              <a:fillRect/>
            </a:stretch>
          </xdr:blipFill>
          <xdr:spPr bwMode="auto">
            <a:xfrm>
              <a:off x="2193456" y="40069441"/>
              <a:ext cx="2015026" cy="1116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352191</xdr:colOff>
          <xdr:row>209</xdr:row>
          <xdr:rowOff>23047</xdr:rowOff>
        </xdr:from>
        <xdr:to>
          <xdr:col>17</xdr:col>
          <xdr:colOff>216329</xdr:colOff>
          <xdr:row>216</xdr:row>
          <xdr:rowOff>14987</xdr:rowOff>
        </xdr:to>
        <xdr:pic>
          <xdr:nvPicPr>
            <xdr:cNvPr id="20" name="Picture 19">
              <a:extLst>
                <a:ext uri="{FF2B5EF4-FFF2-40B4-BE49-F238E27FC236}">
                  <a16:creationId xmlns:a16="http://schemas.microsoft.com/office/drawing/2014/main" id="{B6451B36-679D-46CC-9C04-A6753DDD7643}"/>
                </a:ext>
              </a:extLst>
            </xdr:cNvPr>
            <xdr:cNvPicPr>
              <a:picLocks noChangeAspect="1" noChangeArrowheads="1"/>
              <a:extLst>
                <a:ext uri="{84589F7E-364E-4C9E-8A38-B11213B215E9}">
                  <a14:cameraTool cellRange="TTD_2TCUN" spid="_x0000_s404229"/>
                </a:ext>
              </a:extLst>
            </xdr:cNvPicPr>
          </xdr:nvPicPr>
          <xdr:blipFill rotWithShape="1">
            <a:blip xmlns:r="http://schemas.openxmlformats.org/officeDocument/2006/relationships" r:embed="rId3"/>
            <a:srcRect r="26994"/>
            <a:stretch>
              <a:fillRect/>
            </a:stretch>
          </xdr:blipFill>
          <xdr:spPr bwMode="auto">
            <a:xfrm>
              <a:off x="4066941" y="39732772"/>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77613</xdr:colOff>
          <xdr:row>209</xdr:row>
          <xdr:rowOff>188993</xdr:rowOff>
        </xdr:from>
        <xdr:to>
          <xdr:col>20</xdr:col>
          <xdr:colOff>189956</xdr:colOff>
          <xdr:row>214</xdr:row>
          <xdr:rowOff>161926</xdr:rowOff>
        </xdr:to>
        <xdr:pic>
          <xdr:nvPicPr>
            <xdr:cNvPr id="21" name="Picture 20">
              <a:extLst>
                <a:ext uri="{FF2B5EF4-FFF2-40B4-BE49-F238E27FC236}">
                  <a16:creationId xmlns:a16="http://schemas.microsoft.com/office/drawing/2014/main" id="{9892F364-4B9B-4C25-9953-533C8C2A3490}"/>
                </a:ext>
              </a:extLst>
            </xdr:cNvPr>
            <xdr:cNvPicPr>
              <a:picLocks noChangeAspect="1" noChangeArrowheads="1"/>
              <a:extLst>
                <a:ext uri="{84589F7E-364E-4C9E-8A38-B11213B215E9}">
                  <a14:cameraTool cellRange="TTD_3TCUN" spid="_x0000_s404230"/>
                </a:ext>
              </a:extLst>
            </xdr:cNvPicPr>
          </xdr:nvPicPr>
          <xdr:blipFill rotWithShape="1">
            <a:blip xmlns:r="http://schemas.openxmlformats.org/officeDocument/2006/relationships" r:embed="rId4"/>
            <a:srcRect r="26169"/>
            <a:stretch>
              <a:fillRect/>
            </a:stretch>
          </xdr:blipFill>
          <xdr:spPr bwMode="auto">
            <a:xfrm>
              <a:off x="5325888" y="40022543"/>
              <a:ext cx="2341193" cy="973058"/>
            </a:xfrm>
            <a:prstGeom prst="rect">
              <a:avLst/>
            </a:prstGeom>
            <a:noFill/>
            <a:ln w="9525">
              <a:noFill/>
              <a:miter lim="800000"/>
              <a:headEnd/>
              <a:tailEnd/>
            </a:ln>
          </xdr:spPr>
        </xdr:pic>
        <xdr:clientData/>
      </xdr:twoCellAnchor>
    </mc:Choice>
    <mc:Fallback/>
  </mc:AlternateContent>
  <xdr:twoCellAnchor>
    <xdr:from>
      <xdr:col>0</xdr:col>
      <xdr:colOff>1</xdr:colOff>
      <xdr:row>91</xdr:row>
      <xdr:rowOff>0</xdr:rowOff>
    </xdr:from>
    <xdr:to>
      <xdr:col>11</xdr:col>
      <xdr:colOff>228600</xdr:colOff>
      <xdr:row>102</xdr:row>
      <xdr:rowOff>95250</xdr:rowOff>
    </xdr:to>
    <xdr:graphicFrame macro="">
      <xdr:nvGraphicFramePr>
        <xdr:cNvPr id="22" name="Chart 21">
          <a:extLst>
            <a:ext uri="{FF2B5EF4-FFF2-40B4-BE49-F238E27FC236}">
              <a16:creationId xmlns:a16="http://schemas.microsoft.com/office/drawing/2014/main" id="{BE82E8D6-F8C9-427D-8600-62A3723C8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504825</xdr:colOff>
      <xdr:row>90</xdr:row>
      <xdr:rowOff>190499</xdr:rowOff>
    </xdr:from>
    <xdr:to>
      <xdr:col>23</xdr:col>
      <xdr:colOff>200025</xdr:colOff>
      <xdr:row>102</xdr:row>
      <xdr:rowOff>95250</xdr:rowOff>
    </xdr:to>
    <xdr:graphicFrame macro="">
      <xdr:nvGraphicFramePr>
        <xdr:cNvPr id="23" name="Chart 22">
          <a:extLst>
            <a:ext uri="{FF2B5EF4-FFF2-40B4-BE49-F238E27FC236}">
              <a16:creationId xmlns:a16="http://schemas.microsoft.com/office/drawing/2014/main" id="{5835A902-1406-4855-83EF-2142470B8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161927</xdr:colOff>
      <xdr:row>105</xdr:row>
      <xdr:rowOff>104774</xdr:rowOff>
    </xdr:from>
    <xdr:to>
      <xdr:col>20</xdr:col>
      <xdr:colOff>247651</xdr:colOff>
      <xdr:row>119</xdr:row>
      <xdr:rowOff>133349</xdr:rowOff>
    </xdr:to>
    <xdr:graphicFrame macro="">
      <xdr:nvGraphicFramePr>
        <xdr:cNvPr id="24" name="Chart 23">
          <a:extLst>
            <a:ext uri="{FF2B5EF4-FFF2-40B4-BE49-F238E27FC236}">
              <a16:creationId xmlns:a16="http://schemas.microsoft.com/office/drawing/2014/main" id="{438865F3-56C7-4219-BC48-CF3A21C72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361950</xdr:colOff>
      <xdr:row>163</xdr:row>
      <xdr:rowOff>180975</xdr:rowOff>
    </xdr:from>
    <xdr:to>
      <xdr:col>20</xdr:col>
      <xdr:colOff>285750</xdr:colOff>
      <xdr:row>176</xdr:row>
      <xdr:rowOff>28575</xdr:rowOff>
    </xdr:to>
    <xdr:graphicFrame macro="">
      <xdr:nvGraphicFramePr>
        <xdr:cNvPr id="25" name="Chart 24">
          <a:extLst>
            <a:ext uri="{FF2B5EF4-FFF2-40B4-BE49-F238E27FC236}">
              <a16:creationId xmlns:a16="http://schemas.microsoft.com/office/drawing/2014/main" id="{C2C63F01-F0AB-4750-BC54-866CA25D7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4</xdr:col>
      <xdr:colOff>167640</xdr:colOff>
      <xdr:row>96</xdr:row>
      <xdr:rowOff>30480</xdr:rowOff>
    </xdr:from>
    <xdr:to>
      <xdr:col>4</xdr:col>
      <xdr:colOff>411480</xdr:colOff>
      <xdr:row>96</xdr:row>
      <xdr:rowOff>190500</xdr:rowOff>
    </xdr:to>
    <xdr:grpSp>
      <xdr:nvGrpSpPr>
        <xdr:cNvPr id="2" name="Group 39">
          <a:extLst>
            <a:ext uri="{FF2B5EF4-FFF2-40B4-BE49-F238E27FC236}">
              <a16:creationId xmlns:a16="http://schemas.microsoft.com/office/drawing/2014/main" id="{AE7D7471-24EC-4484-923D-A159C9E8D337}"/>
            </a:ext>
          </a:extLst>
        </xdr:cNvPr>
        <xdr:cNvGrpSpPr>
          <a:grpSpLocks/>
        </xdr:cNvGrpSpPr>
      </xdr:nvGrpSpPr>
      <xdr:grpSpPr bwMode="auto">
        <a:xfrm>
          <a:off x="3831102" y="19190384"/>
          <a:ext cx="243840" cy="160020"/>
          <a:chOff x="334" y="483"/>
          <a:chExt cx="25" cy="17"/>
        </a:xfrm>
      </xdr:grpSpPr>
      <xdr:sp macro="" textlink="">
        <xdr:nvSpPr>
          <xdr:cNvPr id="3" name="Line 13">
            <a:extLst>
              <a:ext uri="{FF2B5EF4-FFF2-40B4-BE49-F238E27FC236}">
                <a16:creationId xmlns:a16="http://schemas.microsoft.com/office/drawing/2014/main" id="{78465C69-B468-A5D5-1713-99B85A2695AB}"/>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Line 14">
            <a:extLst>
              <a:ext uri="{FF2B5EF4-FFF2-40B4-BE49-F238E27FC236}">
                <a16:creationId xmlns:a16="http://schemas.microsoft.com/office/drawing/2014/main" id="{08203941-36FA-DDDB-D0D0-150D454C1298}"/>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Line 15">
            <a:extLst>
              <a:ext uri="{FF2B5EF4-FFF2-40B4-BE49-F238E27FC236}">
                <a16:creationId xmlns:a16="http://schemas.microsoft.com/office/drawing/2014/main" id="{5F23BF95-2762-FA33-99FA-91149234885C}"/>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6" name="Group 39">
          <a:extLst>
            <a:ext uri="{FF2B5EF4-FFF2-40B4-BE49-F238E27FC236}">
              <a16:creationId xmlns:a16="http://schemas.microsoft.com/office/drawing/2014/main" id="{D9C27161-E238-4AEF-BFF7-A782F29C62C6}"/>
            </a:ext>
          </a:extLst>
        </xdr:cNvPr>
        <xdr:cNvGrpSpPr>
          <a:grpSpLocks/>
        </xdr:cNvGrpSpPr>
      </xdr:nvGrpSpPr>
      <xdr:grpSpPr bwMode="auto">
        <a:xfrm>
          <a:off x="17349275" y="19373557"/>
          <a:ext cx="243840" cy="160020"/>
          <a:chOff x="334" y="483"/>
          <a:chExt cx="25" cy="17"/>
        </a:xfrm>
      </xdr:grpSpPr>
      <xdr:sp macro="" textlink="">
        <xdr:nvSpPr>
          <xdr:cNvPr id="7" name="Line 13">
            <a:extLst>
              <a:ext uri="{FF2B5EF4-FFF2-40B4-BE49-F238E27FC236}">
                <a16:creationId xmlns:a16="http://schemas.microsoft.com/office/drawing/2014/main" id="{B9318021-3B1D-210A-CDE2-C44017E801B0}"/>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 name="Line 14">
            <a:extLst>
              <a:ext uri="{FF2B5EF4-FFF2-40B4-BE49-F238E27FC236}">
                <a16:creationId xmlns:a16="http://schemas.microsoft.com/office/drawing/2014/main" id="{19517054-9D5B-D97D-7B00-1634D6C2CD30}"/>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5">
            <a:extLst>
              <a:ext uri="{FF2B5EF4-FFF2-40B4-BE49-F238E27FC236}">
                <a16:creationId xmlns:a16="http://schemas.microsoft.com/office/drawing/2014/main" id="{4E34B1F0-60CA-16FA-208F-558D35F84850}"/>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10" name="Group 41">
          <a:extLst>
            <a:ext uri="{FF2B5EF4-FFF2-40B4-BE49-F238E27FC236}">
              <a16:creationId xmlns:a16="http://schemas.microsoft.com/office/drawing/2014/main" id="{6FBB573F-11D5-4D74-8B38-6045D0AA43E0}"/>
            </a:ext>
          </a:extLst>
        </xdr:cNvPr>
        <xdr:cNvGrpSpPr>
          <a:grpSpLocks/>
        </xdr:cNvGrpSpPr>
      </xdr:nvGrpSpPr>
      <xdr:grpSpPr bwMode="auto">
        <a:xfrm>
          <a:off x="17349275" y="19373557"/>
          <a:ext cx="243840" cy="160020"/>
          <a:chOff x="334" y="483"/>
          <a:chExt cx="25" cy="17"/>
        </a:xfrm>
      </xdr:grpSpPr>
      <xdr:sp macro="" textlink="">
        <xdr:nvSpPr>
          <xdr:cNvPr id="11" name="Line 42">
            <a:extLst>
              <a:ext uri="{FF2B5EF4-FFF2-40B4-BE49-F238E27FC236}">
                <a16:creationId xmlns:a16="http://schemas.microsoft.com/office/drawing/2014/main" id="{0C3EB06A-CBCC-0C75-FD99-E32DD85CAB82}"/>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43">
            <a:extLst>
              <a:ext uri="{FF2B5EF4-FFF2-40B4-BE49-F238E27FC236}">
                <a16:creationId xmlns:a16="http://schemas.microsoft.com/office/drawing/2014/main" id="{7A3C526A-0066-2A91-5C18-681CEF12CE3C}"/>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44">
            <a:extLst>
              <a:ext uri="{FF2B5EF4-FFF2-40B4-BE49-F238E27FC236}">
                <a16:creationId xmlns:a16="http://schemas.microsoft.com/office/drawing/2014/main" id="{EFCE7167-81C1-61EF-19F3-9F80BFF74029}"/>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167640</xdr:colOff>
      <xdr:row>97</xdr:row>
      <xdr:rowOff>30480</xdr:rowOff>
    </xdr:from>
    <xdr:to>
      <xdr:col>37</xdr:col>
      <xdr:colOff>411480</xdr:colOff>
      <xdr:row>97</xdr:row>
      <xdr:rowOff>190500</xdr:rowOff>
    </xdr:to>
    <xdr:grpSp>
      <xdr:nvGrpSpPr>
        <xdr:cNvPr id="14" name="Group 50">
          <a:extLst>
            <a:ext uri="{FF2B5EF4-FFF2-40B4-BE49-F238E27FC236}">
              <a16:creationId xmlns:a16="http://schemas.microsoft.com/office/drawing/2014/main" id="{A54694FB-7B36-4FB0-8E3E-70E0336ED689}"/>
            </a:ext>
          </a:extLst>
        </xdr:cNvPr>
        <xdr:cNvGrpSpPr>
          <a:grpSpLocks/>
        </xdr:cNvGrpSpPr>
      </xdr:nvGrpSpPr>
      <xdr:grpSpPr bwMode="auto">
        <a:xfrm>
          <a:off x="31893217" y="19373557"/>
          <a:ext cx="243840" cy="160020"/>
          <a:chOff x="334" y="483"/>
          <a:chExt cx="25" cy="17"/>
        </a:xfrm>
      </xdr:grpSpPr>
      <xdr:sp macro="" textlink="">
        <xdr:nvSpPr>
          <xdr:cNvPr id="15" name="Line 51">
            <a:extLst>
              <a:ext uri="{FF2B5EF4-FFF2-40B4-BE49-F238E27FC236}">
                <a16:creationId xmlns:a16="http://schemas.microsoft.com/office/drawing/2014/main" id="{3998C863-0C3B-8189-0FC1-8B4941FDD1E5}"/>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52">
            <a:extLst>
              <a:ext uri="{FF2B5EF4-FFF2-40B4-BE49-F238E27FC236}">
                <a16:creationId xmlns:a16="http://schemas.microsoft.com/office/drawing/2014/main" id="{6FCB4A62-3B6E-DF37-E9AF-CF7689F8D23B}"/>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 name="Line 53">
            <a:extLst>
              <a:ext uri="{FF2B5EF4-FFF2-40B4-BE49-F238E27FC236}">
                <a16:creationId xmlns:a16="http://schemas.microsoft.com/office/drawing/2014/main" id="{AC68E496-C4C1-065A-047A-B567C80600BE}"/>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263663</xdr:colOff>
      <xdr:row>68</xdr:row>
      <xdr:rowOff>76201</xdr:rowOff>
    </xdr:from>
    <xdr:to>
      <xdr:col>12</xdr:col>
      <xdr:colOff>41413</xdr:colOff>
      <xdr:row>85</xdr:row>
      <xdr:rowOff>152401</xdr:rowOff>
    </xdr:to>
    <xdr:graphicFrame macro="">
      <xdr:nvGraphicFramePr>
        <xdr:cNvPr id="18" name="Chart 17">
          <a:extLst>
            <a:ext uri="{FF2B5EF4-FFF2-40B4-BE49-F238E27FC236}">
              <a16:creationId xmlns:a16="http://schemas.microsoft.com/office/drawing/2014/main" id="{67C276B1-F397-4E65-916C-AABC2512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355600</xdr:colOff>
      <xdr:row>254</xdr:row>
      <xdr:rowOff>1</xdr:rowOff>
    </xdr:from>
    <xdr:to>
      <xdr:col>9</xdr:col>
      <xdr:colOff>650487</xdr:colOff>
      <xdr:row>275</xdr:row>
      <xdr:rowOff>0</xdr:rowOff>
    </xdr:to>
    <xdr:graphicFrame macro="">
      <xdr:nvGraphicFramePr>
        <xdr:cNvPr id="19" name="Chart 18">
          <a:extLst>
            <a:ext uri="{FF2B5EF4-FFF2-40B4-BE49-F238E27FC236}">
              <a16:creationId xmlns:a16="http://schemas.microsoft.com/office/drawing/2014/main" id="{8D96C2B2-0F90-459C-861B-F66AC9207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68</xdr:row>
      <xdr:rowOff>96630</xdr:rowOff>
    </xdr:from>
    <xdr:to>
      <xdr:col>27</xdr:col>
      <xdr:colOff>387350</xdr:colOff>
      <xdr:row>85</xdr:row>
      <xdr:rowOff>172830</xdr:rowOff>
    </xdr:to>
    <xdr:graphicFrame macro="">
      <xdr:nvGraphicFramePr>
        <xdr:cNvPr id="20" name="Chart 19">
          <a:extLst>
            <a:ext uri="{FF2B5EF4-FFF2-40B4-BE49-F238E27FC236}">
              <a16:creationId xmlns:a16="http://schemas.microsoft.com/office/drawing/2014/main" id="{1DBF630F-B79F-443C-A817-AC5E09FB0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867465</xdr:colOff>
      <xdr:row>68</xdr:row>
      <xdr:rowOff>106018</xdr:rowOff>
    </xdr:from>
    <xdr:to>
      <xdr:col>44</xdr:col>
      <xdr:colOff>587236</xdr:colOff>
      <xdr:row>85</xdr:row>
      <xdr:rowOff>182218</xdr:rowOff>
    </xdr:to>
    <xdr:graphicFrame macro="">
      <xdr:nvGraphicFramePr>
        <xdr:cNvPr id="21" name="Chart 20">
          <a:extLst>
            <a:ext uri="{FF2B5EF4-FFF2-40B4-BE49-F238E27FC236}">
              <a16:creationId xmlns:a16="http://schemas.microsoft.com/office/drawing/2014/main" id="{9891F187-3C80-4684-9B68-C0C7A48C1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294268</xdr:colOff>
      <xdr:row>278</xdr:row>
      <xdr:rowOff>108417</xdr:rowOff>
    </xdr:from>
    <xdr:to>
      <xdr:col>10</xdr:col>
      <xdr:colOff>573049</xdr:colOff>
      <xdr:row>297</xdr:row>
      <xdr:rowOff>0</xdr:rowOff>
    </xdr:to>
    <xdr:graphicFrame macro="">
      <xdr:nvGraphicFramePr>
        <xdr:cNvPr id="22" name="Chart 21">
          <a:extLst>
            <a:ext uri="{FF2B5EF4-FFF2-40B4-BE49-F238E27FC236}">
              <a16:creationId xmlns:a16="http://schemas.microsoft.com/office/drawing/2014/main" id="{B0F13DBB-EA67-41CE-8D38-0B4ABA6F9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382739</xdr:colOff>
      <xdr:row>289</xdr:row>
      <xdr:rowOff>173973</xdr:rowOff>
    </xdr:from>
    <xdr:to>
      <xdr:col>22</xdr:col>
      <xdr:colOff>142848</xdr:colOff>
      <xdr:row>306</xdr:row>
      <xdr:rowOff>65002</xdr:rowOff>
    </xdr:to>
    <xdr:graphicFrame macro="">
      <xdr:nvGraphicFramePr>
        <xdr:cNvPr id="23" name="Chart 22">
          <a:extLst>
            <a:ext uri="{FF2B5EF4-FFF2-40B4-BE49-F238E27FC236}">
              <a16:creationId xmlns:a16="http://schemas.microsoft.com/office/drawing/2014/main" id="{BE3B8590-DB82-4020-A539-B6B114ECB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257404</xdr:colOff>
      <xdr:row>277</xdr:row>
      <xdr:rowOff>50436</xdr:rowOff>
    </xdr:from>
    <xdr:to>
      <xdr:col>32</xdr:col>
      <xdr:colOff>741046</xdr:colOff>
      <xdr:row>290</xdr:row>
      <xdr:rowOff>79663</xdr:rowOff>
    </xdr:to>
    <xdr:graphicFrame macro="">
      <xdr:nvGraphicFramePr>
        <xdr:cNvPr id="24" name="Chart 23">
          <a:extLst>
            <a:ext uri="{FF2B5EF4-FFF2-40B4-BE49-F238E27FC236}">
              <a16:creationId xmlns:a16="http://schemas.microsoft.com/office/drawing/2014/main" id="{C2DE2933-7F95-4097-B1F3-271F05643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560C152C-821B-4000-BED1-20871891F1F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76200"/>
          <a:ext cx="1575647" cy="501650"/>
        </a:xfrm>
        <a:prstGeom prst="rect">
          <a:avLst/>
        </a:prstGeom>
      </xdr:spPr>
    </xdr:pic>
    <xdr:clientData/>
  </xdr:twoCellAnchor>
  <xdr:twoCellAnchor editAs="oneCell">
    <xdr:from>
      <xdr:col>1</xdr:col>
      <xdr:colOff>105984</xdr:colOff>
      <xdr:row>150</xdr:row>
      <xdr:rowOff>149027</xdr:rowOff>
    </xdr:from>
    <xdr:to>
      <xdr:col>5</xdr:col>
      <xdr:colOff>195731</xdr:colOff>
      <xdr:row>152</xdr:row>
      <xdr:rowOff>93733</xdr:rowOff>
    </xdr:to>
    <xdr:pic>
      <xdr:nvPicPr>
        <xdr:cNvPr id="3" name="Picture 2">
          <a:extLst>
            <a:ext uri="{FF2B5EF4-FFF2-40B4-BE49-F238E27FC236}">
              <a16:creationId xmlns:a16="http://schemas.microsoft.com/office/drawing/2014/main" id="{7DADB28D-2E58-4A95-BFD8-BF465265DCA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477459" y="28152527"/>
          <a:ext cx="1575647" cy="497156"/>
        </a:xfrm>
        <a:prstGeom prst="rect">
          <a:avLst/>
        </a:prstGeom>
      </xdr:spPr>
    </xdr:pic>
    <xdr:clientData/>
  </xdr:twoCellAnchor>
  <xdr:twoCellAnchor>
    <xdr:from>
      <xdr:col>1</xdr:col>
      <xdr:colOff>244588</xdr:colOff>
      <xdr:row>178</xdr:row>
      <xdr:rowOff>137790</xdr:rowOff>
    </xdr:from>
    <xdr:to>
      <xdr:col>20</xdr:col>
      <xdr:colOff>337847</xdr:colOff>
      <xdr:row>191</xdr:row>
      <xdr:rowOff>78635</xdr:rowOff>
    </xdr:to>
    <xdr:grpSp>
      <xdr:nvGrpSpPr>
        <xdr:cNvPr id="4" name="Group 3">
          <a:extLst>
            <a:ext uri="{FF2B5EF4-FFF2-40B4-BE49-F238E27FC236}">
              <a16:creationId xmlns:a16="http://schemas.microsoft.com/office/drawing/2014/main" id="{FD054155-69A9-41C9-99CA-7104AC480194}"/>
            </a:ext>
          </a:extLst>
        </xdr:cNvPr>
        <xdr:cNvGrpSpPr/>
      </xdr:nvGrpSpPr>
      <xdr:grpSpPr>
        <a:xfrm>
          <a:off x="616063" y="33646740"/>
          <a:ext cx="7198909" cy="2541170"/>
          <a:chOff x="828675" y="11311834"/>
          <a:chExt cx="7014852" cy="2639596"/>
        </a:xfrm>
      </xdr:grpSpPr>
      <xdr:sp macro="" textlink="">
        <xdr:nvSpPr>
          <xdr:cNvPr id="5" name="TextBox 4">
            <a:extLst>
              <a:ext uri="{FF2B5EF4-FFF2-40B4-BE49-F238E27FC236}">
                <a16:creationId xmlns:a16="http://schemas.microsoft.com/office/drawing/2014/main" id="{FAFC414A-DC02-C6F7-85DE-3AC4B9F0BA6D}"/>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87DA807E-FEA4-E034-EA27-B4E918394664}"/>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564545AA-A433-F354-C246-72C8FA0343BF}"/>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165099</xdr:colOff>
      <xdr:row>77</xdr:row>
      <xdr:rowOff>76200</xdr:rowOff>
    </xdr:from>
    <xdr:ext cx="1562947" cy="495300"/>
    <xdr:pic>
      <xdr:nvPicPr>
        <xdr:cNvPr id="8" name="Picture 7">
          <a:extLst>
            <a:ext uri="{FF2B5EF4-FFF2-40B4-BE49-F238E27FC236}">
              <a16:creationId xmlns:a16="http://schemas.microsoft.com/office/drawing/2014/main" id="{31F48FA0-6502-4AC4-9AA5-275CC6BD2E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14144625"/>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183680</xdr:colOff>
          <xdr:row>59</xdr:row>
          <xdr:rowOff>117828</xdr:rowOff>
        </xdr:from>
        <xdr:to>
          <xdr:col>9</xdr:col>
          <xdr:colOff>95443</xdr:colOff>
          <xdr:row>65</xdr:row>
          <xdr:rowOff>158545</xdr:rowOff>
        </xdr:to>
        <xdr:pic>
          <xdr:nvPicPr>
            <xdr:cNvPr id="9" name="Picture 8">
              <a:extLst>
                <a:ext uri="{FF2B5EF4-FFF2-40B4-BE49-F238E27FC236}">
                  <a16:creationId xmlns:a16="http://schemas.microsoft.com/office/drawing/2014/main" id="{FE1BE5AD-DC50-480A-8C43-4F6630832439}"/>
                </a:ext>
              </a:extLst>
            </xdr:cNvPr>
            <xdr:cNvPicPr>
              <a:picLocks noChangeAspect="1" noChangeArrowheads="1"/>
              <a:extLst>
                <a:ext uri="{84589F7E-364E-4C9E-8A38-B11213B215E9}">
                  <a14:cameraTool cellRange="TTD_1TCUN" spid="_x0000_s716497"/>
                </a:ext>
              </a:extLst>
            </xdr:cNvPicPr>
          </xdr:nvPicPr>
          <xdr:blipFill rotWithShape="1">
            <a:blip xmlns:r="http://schemas.openxmlformats.org/officeDocument/2006/relationships" r:embed="rId2"/>
            <a:srcRect l="7831" r="33442"/>
            <a:stretch>
              <a:fillRect/>
            </a:stretch>
          </xdr:blipFill>
          <xdr:spPr bwMode="auto">
            <a:xfrm>
              <a:off x="926630" y="10795353"/>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146521</xdr:colOff>
          <xdr:row>58</xdr:row>
          <xdr:rowOff>128530</xdr:rowOff>
        </xdr:from>
        <xdr:to>
          <xdr:col>14</xdr:col>
          <xdr:colOff>10659</xdr:colOff>
          <xdr:row>65</xdr:row>
          <xdr:rowOff>168095</xdr:rowOff>
        </xdr:to>
        <xdr:pic>
          <xdr:nvPicPr>
            <xdr:cNvPr id="10" name="Picture 9">
              <a:extLst>
                <a:ext uri="{FF2B5EF4-FFF2-40B4-BE49-F238E27FC236}">
                  <a16:creationId xmlns:a16="http://schemas.microsoft.com/office/drawing/2014/main" id="{868216C9-0879-4844-8EDC-22098F0443CB}"/>
                </a:ext>
              </a:extLst>
            </xdr:cNvPr>
            <xdr:cNvPicPr>
              <a:picLocks noChangeAspect="1" noChangeArrowheads="1"/>
              <a:extLst>
                <a:ext uri="{84589F7E-364E-4C9E-8A38-B11213B215E9}">
                  <a14:cameraTool cellRange="TTD_2TCUN" spid="_x0000_s716498"/>
                </a:ext>
              </a:extLst>
            </xdr:cNvPicPr>
          </xdr:nvPicPr>
          <xdr:blipFill rotWithShape="1">
            <a:blip xmlns:r="http://schemas.openxmlformats.org/officeDocument/2006/relationships" r:embed="rId3"/>
            <a:srcRect r="26994"/>
            <a:stretch>
              <a:fillRect/>
            </a:stretch>
          </xdr:blipFill>
          <xdr:spPr bwMode="auto">
            <a:xfrm>
              <a:off x="2746846" y="10606030"/>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357366</xdr:colOff>
          <xdr:row>58</xdr:row>
          <xdr:rowOff>182996</xdr:rowOff>
        </xdr:from>
        <xdr:to>
          <xdr:col>20</xdr:col>
          <xdr:colOff>315917</xdr:colOff>
          <xdr:row>66</xdr:row>
          <xdr:rowOff>22536</xdr:rowOff>
        </xdr:to>
        <xdr:pic>
          <xdr:nvPicPr>
            <xdr:cNvPr id="11" name="Picture 10">
              <a:extLst>
                <a:ext uri="{FF2B5EF4-FFF2-40B4-BE49-F238E27FC236}">
                  <a16:creationId xmlns:a16="http://schemas.microsoft.com/office/drawing/2014/main" id="{11174489-9EFC-44E9-BC5B-37606D6875BA}"/>
                </a:ext>
              </a:extLst>
            </xdr:cNvPr>
            <xdr:cNvPicPr>
              <a:picLocks noChangeAspect="1" noChangeArrowheads="1"/>
              <a:extLst>
                <a:ext uri="{84589F7E-364E-4C9E-8A38-B11213B215E9}">
                  <a14:cameraTool cellRange="TTD_3TCUN" spid="_x0000_s716499"/>
                </a:ext>
              </a:extLst>
            </xdr:cNvPicPr>
          </xdr:nvPicPr>
          <xdr:blipFill rotWithShape="1">
            <a:blip xmlns:r="http://schemas.openxmlformats.org/officeDocument/2006/relationships" r:embed="rId4"/>
            <a:srcRect r="26169"/>
            <a:stretch>
              <a:fillRect/>
            </a:stretch>
          </xdr:blipFill>
          <xdr:spPr bwMode="auto">
            <a:xfrm>
              <a:off x="4443591" y="10660496"/>
              <a:ext cx="3349451"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160632</xdr:colOff>
          <xdr:row>131</xdr:row>
          <xdr:rowOff>196615</xdr:rowOff>
        </xdr:from>
        <xdr:to>
          <xdr:col>8</xdr:col>
          <xdr:colOff>72395</xdr:colOff>
          <xdr:row>137</xdr:row>
          <xdr:rowOff>189707</xdr:rowOff>
        </xdr:to>
        <xdr:pic>
          <xdr:nvPicPr>
            <xdr:cNvPr id="12" name="Picture 11">
              <a:extLst>
                <a:ext uri="{FF2B5EF4-FFF2-40B4-BE49-F238E27FC236}">
                  <a16:creationId xmlns:a16="http://schemas.microsoft.com/office/drawing/2014/main" id="{1E64D179-B0F2-480B-ADF9-B7A0A0390989}"/>
                </a:ext>
              </a:extLst>
            </xdr:cNvPr>
            <xdr:cNvPicPr>
              <a:picLocks noChangeAspect="1" noChangeArrowheads="1"/>
              <a:extLst>
                <a:ext uri="{84589F7E-364E-4C9E-8A38-B11213B215E9}">
                  <a14:cameraTool cellRange="TTD_1TCUN" spid="_x0000_s716500"/>
                </a:ext>
              </a:extLst>
            </xdr:cNvPicPr>
          </xdr:nvPicPr>
          <xdr:blipFill rotWithShape="1">
            <a:blip xmlns:r="http://schemas.openxmlformats.org/officeDocument/2006/relationships" r:embed="rId5"/>
            <a:srcRect l="7831" r="33442"/>
            <a:stretch>
              <a:fillRect/>
            </a:stretch>
          </xdr:blipFill>
          <xdr:spPr bwMode="auto">
            <a:xfrm>
              <a:off x="532107" y="24590140"/>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218723</xdr:colOff>
          <xdr:row>130</xdr:row>
          <xdr:rowOff>188148</xdr:rowOff>
        </xdr:from>
        <xdr:to>
          <xdr:col>14</xdr:col>
          <xdr:colOff>82861</xdr:colOff>
          <xdr:row>137</xdr:row>
          <xdr:rowOff>180088</xdr:rowOff>
        </xdr:to>
        <xdr:pic>
          <xdr:nvPicPr>
            <xdr:cNvPr id="13" name="Picture 12">
              <a:extLst>
                <a:ext uri="{FF2B5EF4-FFF2-40B4-BE49-F238E27FC236}">
                  <a16:creationId xmlns:a16="http://schemas.microsoft.com/office/drawing/2014/main" id="{EB94BCA8-719F-47A2-BC88-B5BBB8CAA035}"/>
                </a:ext>
              </a:extLst>
            </xdr:cNvPr>
            <xdr:cNvPicPr>
              <a:picLocks noChangeAspect="1" noChangeArrowheads="1"/>
              <a:extLst>
                <a:ext uri="{84589F7E-364E-4C9E-8A38-B11213B215E9}">
                  <a14:cameraTool cellRange="TTD_2TCUN" spid="_x0000_s716501"/>
                </a:ext>
              </a:extLst>
            </xdr:cNvPicPr>
          </xdr:nvPicPr>
          <xdr:blipFill rotWithShape="1">
            <a:blip xmlns:r="http://schemas.openxmlformats.org/officeDocument/2006/relationships" r:embed="rId3"/>
            <a:srcRect r="26994"/>
            <a:stretch>
              <a:fillRect/>
            </a:stretch>
          </xdr:blipFill>
          <xdr:spPr bwMode="auto">
            <a:xfrm>
              <a:off x="2819048" y="24381648"/>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306683</xdr:colOff>
          <xdr:row>131</xdr:row>
          <xdr:rowOff>80690</xdr:rowOff>
        </xdr:from>
        <xdr:to>
          <xdr:col>20</xdr:col>
          <xdr:colOff>265234</xdr:colOff>
          <xdr:row>138</xdr:row>
          <xdr:rowOff>72630</xdr:rowOff>
        </xdr:to>
        <xdr:pic>
          <xdr:nvPicPr>
            <xdr:cNvPr id="14" name="Picture 13">
              <a:extLst>
                <a:ext uri="{FF2B5EF4-FFF2-40B4-BE49-F238E27FC236}">
                  <a16:creationId xmlns:a16="http://schemas.microsoft.com/office/drawing/2014/main" id="{03E1780E-6F31-4F8C-94C1-3558EFD7E545}"/>
                </a:ext>
              </a:extLst>
            </xdr:cNvPr>
            <xdr:cNvPicPr>
              <a:picLocks noChangeAspect="1" noChangeArrowheads="1"/>
              <a:extLst>
                <a:ext uri="{84589F7E-364E-4C9E-8A38-B11213B215E9}">
                  <a14:cameraTool cellRange="TTD_3TCUN" spid="_x0000_s716502"/>
                </a:ext>
              </a:extLst>
            </xdr:cNvPicPr>
          </xdr:nvPicPr>
          <xdr:blipFill rotWithShape="1">
            <a:blip xmlns:r="http://schemas.openxmlformats.org/officeDocument/2006/relationships" r:embed="rId4"/>
            <a:srcRect r="26169"/>
            <a:stretch>
              <a:fillRect/>
            </a:stretch>
          </xdr:blipFill>
          <xdr:spPr bwMode="auto">
            <a:xfrm>
              <a:off x="4392908" y="24474215"/>
              <a:ext cx="3349451"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336081</xdr:colOff>
          <xdr:row>210</xdr:row>
          <xdr:rowOff>35866</xdr:rowOff>
        </xdr:from>
        <xdr:to>
          <xdr:col>11</xdr:col>
          <xdr:colOff>619319</xdr:colOff>
          <xdr:row>216</xdr:row>
          <xdr:rowOff>28958</xdr:rowOff>
        </xdr:to>
        <xdr:pic>
          <xdr:nvPicPr>
            <xdr:cNvPr id="15" name="Picture 14">
              <a:extLst>
                <a:ext uri="{FF2B5EF4-FFF2-40B4-BE49-F238E27FC236}">
                  <a16:creationId xmlns:a16="http://schemas.microsoft.com/office/drawing/2014/main" id="{432BAE92-0835-4115-AC90-3A0B9CC3FD72}"/>
                </a:ext>
              </a:extLst>
            </xdr:cNvPr>
            <xdr:cNvPicPr>
              <a:picLocks noChangeAspect="1" noChangeArrowheads="1"/>
              <a:extLst>
                <a:ext uri="{84589F7E-364E-4C9E-8A38-B11213B215E9}">
                  <a14:cameraTool cellRange="TTD_1TCUN" spid="_x0000_s716503"/>
                </a:ext>
              </a:extLst>
            </xdr:cNvPicPr>
          </xdr:nvPicPr>
          <xdr:blipFill rotWithShape="1">
            <a:blip xmlns:r="http://schemas.openxmlformats.org/officeDocument/2006/relationships" r:embed="rId5"/>
            <a:srcRect l="7831" r="33442"/>
            <a:stretch>
              <a:fillRect/>
            </a:stretch>
          </xdr:blipFill>
          <xdr:spPr bwMode="auto">
            <a:xfrm>
              <a:off x="2193456" y="39945616"/>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352191</xdr:colOff>
          <xdr:row>209</xdr:row>
          <xdr:rowOff>23047</xdr:rowOff>
        </xdr:from>
        <xdr:to>
          <xdr:col>17</xdr:col>
          <xdr:colOff>216329</xdr:colOff>
          <xdr:row>216</xdr:row>
          <xdr:rowOff>14987</xdr:rowOff>
        </xdr:to>
        <xdr:pic>
          <xdr:nvPicPr>
            <xdr:cNvPr id="16" name="Picture 15">
              <a:extLst>
                <a:ext uri="{FF2B5EF4-FFF2-40B4-BE49-F238E27FC236}">
                  <a16:creationId xmlns:a16="http://schemas.microsoft.com/office/drawing/2014/main" id="{C78AA494-5950-45D5-AE75-E2BA80E1A653}"/>
                </a:ext>
              </a:extLst>
            </xdr:cNvPr>
            <xdr:cNvPicPr>
              <a:picLocks noChangeAspect="1" noChangeArrowheads="1"/>
              <a:extLst>
                <a:ext uri="{84589F7E-364E-4C9E-8A38-B11213B215E9}">
                  <a14:cameraTool cellRange="TTD_2TCUN" spid="_x0000_s716504"/>
                </a:ext>
              </a:extLst>
            </xdr:cNvPicPr>
          </xdr:nvPicPr>
          <xdr:blipFill rotWithShape="1">
            <a:blip xmlns:r="http://schemas.openxmlformats.org/officeDocument/2006/relationships" r:embed="rId3"/>
            <a:srcRect r="26994"/>
            <a:stretch>
              <a:fillRect/>
            </a:stretch>
          </xdr:blipFill>
          <xdr:spPr bwMode="auto">
            <a:xfrm>
              <a:off x="4066941" y="39732772"/>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77613</xdr:colOff>
          <xdr:row>209</xdr:row>
          <xdr:rowOff>188993</xdr:rowOff>
        </xdr:from>
        <xdr:to>
          <xdr:col>23</xdr:col>
          <xdr:colOff>36164</xdr:colOff>
          <xdr:row>216</xdr:row>
          <xdr:rowOff>180933</xdr:rowOff>
        </xdr:to>
        <xdr:pic>
          <xdr:nvPicPr>
            <xdr:cNvPr id="17" name="Picture 16">
              <a:extLst>
                <a:ext uri="{FF2B5EF4-FFF2-40B4-BE49-F238E27FC236}">
                  <a16:creationId xmlns:a16="http://schemas.microsoft.com/office/drawing/2014/main" id="{2A820FF8-B1BA-4B4E-AB9E-CECE9190E66B}"/>
                </a:ext>
              </a:extLst>
            </xdr:cNvPr>
            <xdr:cNvPicPr>
              <a:picLocks noChangeAspect="1" noChangeArrowheads="1"/>
              <a:extLst>
                <a:ext uri="{84589F7E-364E-4C9E-8A38-B11213B215E9}">
                  <a14:cameraTool cellRange="TTD_3TCUN" spid="_x0000_s716505"/>
                </a:ext>
              </a:extLst>
            </xdr:cNvPicPr>
          </xdr:nvPicPr>
          <xdr:blipFill rotWithShape="1">
            <a:blip xmlns:r="http://schemas.openxmlformats.org/officeDocument/2006/relationships" r:embed="rId4"/>
            <a:srcRect r="26169"/>
            <a:stretch>
              <a:fillRect/>
            </a:stretch>
          </xdr:blipFill>
          <xdr:spPr bwMode="auto">
            <a:xfrm>
              <a:off x="5325888" y="39898718"/>
              <a:ext cx="3349451" cy="1392115"/>
            </a:xfrm>
            <a:prstGeom prst="rect">
              <a:avLst/>
            </a:prstGeom>
            <a:noFill/>
            <a:ln w="9525">
              <a:noFill/>
              <a:miter lim="800000"/>
              <a:headEnd/>
              <a:tailEnd/>
            </a:ln>
          </xdr:spPr>
        </xdr:pic>
        <xdr:clientData/>
      </xdr:twoCellAnchor>
    </mc:Choice>
    <mc:Fallback/>
  </mc:AlternateContent>
  <xdr:twoCellAnchor>
    <xdr:from>
      <xdr:col>0</xdr:col>
      <xdr:colOff>1</xdr:colOff>
      <xdr:row>91</xdr:row>
      <xdr:rowOff>0</xdr:rowOff>
    </xdr:from>
    <xdr:to>
      <xdr:col>11</xdr:col>
      <xdr:colOff>228600</xdr:colOff>
      <xdr:row>102</xdr:row>
      <xdr:rowOff>95250</xdr:rowOff>
    </xdr:to>
    <xdr:graphicFrame macro="">
      <xdr:nvGraphicFramePr>
        <xdr:cNvPr id="18" name="Chart 17">
          <a:extLst>
            <a:ext uri="{FF2B5EF4-FFF2-40B4-BE49-F238E27FC236}">
              <a16:creationId xmlns:a16="http://schemas.microsoft.com/office/drawing/2014/main" id="{C02872B5-BA00-4C39-A9EA-B61DE3DFA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504825</xdr:colOff>
      <xdr:row>90</xdr:row>
      <xdr:rowOff>190499</xdr:rowOff>
    </xdr:from>
    <xdr:to>
      <xdr:col>23</xdr:col>
      <xdr:colOff>200025</xdr:colOff>
      <xdr:row>102</xdr:row>
      <xdr:rowOff>95250</xdr:rowOff>
    </xdr:to>
    <xdr:graphicFrame macro="">
      <xdr:nvGraphicFramePr>
        <xdr:cNvPr id="19" name="Chart 18">
          <a:extLst>
            <a:ext uri="{FF2B5EF4-FFF2-40B4-BE49-F238E27FC236}">
              <a16:creationId xmlns:a16="http://schemas.microsoft.com/office/drawing/2014/main" id="{0B999DF2-9339-4B9A-A7BA-28B10D8A1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161927</xdr:colOff>
      <xdr:row>105</xdr:row>
      <xdr:rowOff>104774</xdr:rowOff>
    </xdr:from>
    <xdr:to>
      <xdr:col>20</xdr:col>
      <xdr:colOff>247651</xdr:colOff>
      <xdr:row>119</xdr:row>
      <xdr:rowOff>133349</xdr:rowOff>
    </xdr:to>
    <xdr:graphicFrame macro="">
      <xdr:nvGraphicFramePr>
        <xdr:cNvPr id="20" name="Chart 19">
          <a:extLst>
            <a:ext uri="{FF2B5EF4-FFF2-40B4-BE49-F238E27FC236}">
              <a16:creationId xmlns:a16="http://schemas.microsoft.com/office/drawing/2014/main" id="{FA815EC0-DA22-497C-B9AB-861420A1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361950</xdr:colOff>
      <xdr:row>163</xdr:row>
      <xdr:rowOff>180975</xdr:rowOff>
    </xdr:from>
    <xdr:to>
      <xdr:col>20</xdr:col>
      <xdr:colOff>285750</xdr:colOff>
      <xdr:row>176</xdr:row>
      <xdr:rowOff>28575</xdr:rowOff>
    </xdr:to>
    <xdr:graphicFrame macro="">
      <xdr:nvGraphicFramePr>
        <xdr:cNvPr id="21" name="Chart 20">
          <a:extLst>
            <a:ext uri="{FF2B5EF4-FFF2-40B4-BE49-F238E27FC236}">
              <a16:creationId xmlns:a16="http://schemas.microsoft.com/office/drawing/2014/main" id="{B06380BB-E7FE-4974-A7FE-AD21D3852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2</xdr:col>
      <xdr:colOff>31750</xdr:colOff>
      <xdr:row>85</xdr:row>
      <xdr:rowOff>11076</xdr:rowOff>
    </xdr:from>
    <xdr:to>
      <xdr:col>13</xdr:col>
      <xdr:colOff>698648</xdr:colOff>
      <xdr:row>104</xdr:row>
      <xdr:rowOff>0</xdr:rowOff>
    </xdr:to>
    <xdr:grpSp>
      <xdr:nvGrpSpPr>
        <xdr:cNvPr id="6" name="Group 5">
          <a:extLst>
            <a:ext uri="{FF2B5EF4-FFF2-40B4-BE49-F238E27FC236}">
              <a16:creationId xmlns:a16="http://schemas.microsoft.com/office/drawing/2014/main" id="{46E9C00A-DF8F-2B4F-2B6F-362DFB1217F4}"/>
            </a:ext>
          </a:extLst>
        </xdr:cNvPr>
        <xdr:cNvGrpSpPr/>
      </xdr:nvGrpSpPr>
      <xdr:grpSpPr>
        <a:xfrm>
          <a:off x="1721090" y="17048246"/>
          <a:ext cx="9958266" cy="3745009"/>
          <a:chOff x="1715238" y="17200378"/>
          <a:chExt cx="9926084" cy="3776773"/>
        </a:xfrm>
      </xdr:grpSpPr>
      <xdr:graphicFrame macro="">
        <xdr:nvGraphicFramePr>
          <xdr:cNvPr id="2" name="Chart 1">
            <a:extLst>
              <a:ext uri="{FF2B5EF4-FFF2-40B4-BE49-F238E27FC236}">
                <a16:creationId xmlns:a16="http://schemas.microsoft.com/office/drawing/2014/main" id="{5024E5F9-A178-11E2-314B-E6317F02A0EE}"/>
              </a:ext>
            </a:extLst>
          </xdr:cNvPr>
          <xdr:cNvGraphicFramePr/>
        </xdr:nvGraphicFramePr>
        <xdr:xfrm>
          <a:off x="1715238" y="17208352"/>
          <a:ext cx="3224471" cy="37687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9603996-2325-2C49-9D44-7F1CDA7ADDFE}"/>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75160A4-141A-FC48-B6D7-15B6B6674F42}"/>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123296</xdr:colOff>
      <xdr:row>127</xdr:row>
      <xdr:rowOff>187325</xdr:rowOff>
    </xdr:from>
    <xdr:to>
      <xdr:col>17</xdr:col>
      <xdr:colOff>567796</xdr:colOff>
      <xdr:row>141</xdr:row>
      <xdr:rowOff>85725</xdr:rowOff>
    </xdr:to>
    <xdr:graphicFrame macro="">
      <xdr:nvGraphicFramePr>
        <xdr:cNvPr id="8" name="Chart 7">
          <a:extLst>
            <a:ext uri="{FF2B5EF4-FFF2-40B4-BE49-F238E27FC236}">
              <a16:creationId xmlns:a16="http://schemas.microsoft.com/office/drawing/2014/main" id="{5ADCA31F-60A3-3E49-A806-CE93D165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571500</xdr:colOff>
      <xdr:row>142</xdr:row>
      <xdr:rowOff>30691</xdr:rowOff>
    </xdr:from>
    <xdr:to>
      <xdr:col>23</xdr:col>
      <xdr:colOff>222250</xdr:colOff>
      <xdr:row>155</xdr:row>
      <xdr:rowOff>194204</xdr:rowOff>
    </xdr:to>
    <xdr:graphicFrame macro="">
      <xdr:nvGraphicFramePr>
        <xdr:cNvPr id="5" name="Chart 4">
          <a:extLst>
            <a:ext uri="{FF2B5EF4-FFF2-40B4-BE49-F238E27FC236}">
              <a16:creationId xmlns:a16="http://schemas.microsoft.com/office/drawing/2014/main" id="{5973644E-B318-E90A-03E1-3388E6A6E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05C34397-203B-4126-ABDE-4A77C143C4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F986A1B4-CCF2-4380-BD41-BCED465C9C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08100"/>
          <a:ext cx="1613747" cy="498475"/>
        </a:xfrm>
        <a:prstGeom prst="rect">
          <a:avLst/>
        </a:prstGeom>
      </xdr:spPr>
    </xdr:pic>
    <xdr:clientData/>
  </xdr:twoCellAnchor>
  <xdr:oneCellAnchor>
    <xdr:from>
      <xdr:col>1</xdr:col>
      <xdr:colOff>139700</xdr:colOff>
      <xdr:row>149</xdr:row>
      <xdr:rowOff>25400</xdr:rowOff>
    </xdr:from>
    <xdr:ext cx="1558185" cy="490935"/>
    <xdr:pic>
      <xdr:nvPicPr>
        <xdr:cNvPr id="4" name="Picture 3">
          <a:extLst>
            <a:ext uri="{FF2B5EF4-FFF2-40B4-BE49-F238E27FC236}">
              <a16:creationId xmlns:a16="http://schemas.microsoft.com/office/drawing/2014/main" id="{028001BE-FBA3-4DFB-8336-939B055173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27962225"/>
          <a:ext cx="1558185" cy="490935"/>
        </a:xfrm>
        <a:prstGeom prst="rect">
          <a:avLst/>
        </a:prstGeom>
      </xdr:spPr>
    </xdr:pic>
    <xdr:clientData/>
  </xdr:oneCellAnchor>
  <xdr:twoCellAnchor>
    <xdr:from>
      <xdr:col>1</xdr:col>
      <xdr:colOff>39688</xdr:colOff>
      <xdr:row>163</xdr:row>
      <xdr:rowOff>128587</xdr:rowOff>
    </xdr:from>
    <xdr:to>
      <xdr:col>20</xdr:col>
      <xdr:colOff>138706</xdr:colOff>
      <xdr:row>176</xdr:row>
      <xdr:rowOff>69433</xdr:rowOff>
    </xdr:to>
    <xdr:grpSp>
      <xdr:nvGrpSpPr>
        <xdr:cNvPr id="5" name="Group 4">
          <a:extLst>
            <a:ext uri="{FF2B5EF4-FFF2-40B4-BE49-F238E27FC236}">
              <a16:creationId xmlns:a16="http://schemas.microsoft.com/office/drawing/2014/main" id="{8BD81144-650D-4C2A-AE5A-FFB2506F0CFE}"/>
            </a:ext>
          </a:extLst>
        </xdr:cNvPr>
        <xdr:cNvGrpSpPr/>
      </xdr:nvGrpSpPr>
      <xdr:grpSpPr>
        <a:xfrm>
          <a:off x="417887" y="30118330"/>
          <a:ext cx="7312804" cy="2490184"/>
          <a:chOff x="828675" y="11311834"/>
          <a:chExt cx="7014852" cy="2639596"/>
        </a:xfrm>
      </xdr:grpSpPr>
      <xdr:sp macro="" textlink="">
        <xdr:nvSpPr>
          <xdr:cNvPr id="6" name="TextBox 5">
            <a:extLst>
              <a:ext uri="{FF2B5EF4-FFF2-40B4-BE49-F238E27FC236}">
                <a16:creationId xmlns:a16="http://schemas.microsoft.com/office/drawing/2014/main" id="{9814857F-E42C-B8E6-62C7-F74FE9264E1C}"/>
              </a:ext>
            </a:extLst>
          </xdr:cNvPr>
          <xdr:cNvSpPr txBox="1"/>
        </xdr:nvSpPr>
        <xdr:spPr>
          <a:xfrm>
            <a:off x="828675" y="11318047"/>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79527F22-6A57-D92F-64B3-3B6DDD366D88}"/>
              </a:ext>
            </a:extLst>
          </xdr:cNvPr>
          <xdr:cNvSpPr txBox="1"/>
        </xdr:nvSpPr>
        <xdr:spPr>
          <a:xfrm>
            <a:off x="3306004" y="11311834"/>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8" name="TextBox 7">
            <a:extLst>
              <a:ext uri="{FF2B5EF4-FFF2-40B4-BE49-F238E27FC236}">
                <a16:creationId xmlns:a16="http://schemas.microsoft.com/office/drawing/2014/main" id="{5EA2B934-757F-7E5C-3A68-2ADA4A5AB5D8}"/>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6</xdr:col>
          <xdr:colOff>113541</xdr:colOff>
          <xdr:row>141</xdr:row>
          <xdr:rowOff>8732</xdr:rowOff>
        </xdr:from>
        <xdr:to>
          <xdr:col>11</xdr:col>
          <xdr:colOff>9525</xdr:colOff>
          <xdr:row>145</xdr:row>
          <xdr:rowOff>41478</xdr:rowOff>
        </xdr:to>
        <xdr:pic>
          <xdr:nvPicPr>
            <xdr:cNvPr id="14" name="Picture 13">
              <a:extLst>
                <a:ext uri="{FF2B5EF4-FFF2-40B4-BE49-F238E27FC236}">
                  <a16:creationId xmlns:a16="http://schemas.microsoft.com/office/drawing/2014/main" id="{7B4361EB-89C3-4068-9BB1-33724F85B85E}"/>
                </a:ext>
              </a:extLst>
            </xdr:cNvPr>
            <xdr:cNvPicPr>
              <a:picLocks noChangeAspect="1" noChangeArrowheads="1"/>
              <a:extLst>
                <a:ext uri="{84589F7E-364E-4C9E-8A38-B11213B215E9}">
                  <a14:cameraTool cellRange="TTD_1CBRU" spid="_x0000_s292516"/>
                </a:ext>
              </a:extLst>
            </xdr:cNvPicPr>
          </xdr:nvPicPr>
          <xdr:blipFill rotWithShape="1">
            <a:blip xmlns:r="http://schemas.openxmlformats.org/officeDocument/2006/relationships" r:embed="rId2"/>
            <a:srcRect l="9588" t="825" r="30793" b="-825"/>
            <a:stretch>
              <a:fillRect/>
            </a:stretch>
          </xdr:blipFill>
          <xdr:spPr bwMode="auto">
            <a:xfrm>
              <a:off x="2342391" y="26421557"/>
              <a:ext cx="1753359" cy="83284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363141</xdr:colOff>
          <xdr:row>140</xdr:row>
          <xdr:rowOff>138113</xdr:rowOff>
        </xdr:from>
        <xdr:to>
          <xdr:col>14</xdr:col>
          <xdr:colOff>276225</xdr:colOff>
          <xdr:row>144</xdr:row>
          <xdr:rowOff>139675</xdr:rowOff>
        </xdr:to>
        <xdr:pic>
          <xdr:nvPicPr>
            <xdr:cNvPr id="15" name="Picture 14">
              <a:extLst>
                <a:ext uri="{FF2B5EF4-FFF2-40B4-BE49-F238E27FC236}">
                  <a16:creationId xmlns:a16="http://schemas.microsoft.com/office/drawing/2014/main" id="{435CA82E-FD8C-42C6-A6D8-D44EDCE5AF7C}"/>
                </a:ext>
              </a:extLst>
            </xdr:cNvPr>
            <xdr:cNvPicPr>
              <a:picLocks noChangeAspect="1" noChangeArrowheads="1"/>
              <a:extLst>
                <a:ext uri="{84589F7E-364E-4C9E-8A38-B11213B215E9}">
                  <a14:cameraTool cellRange="TTD_2CBRU" spid="_x0000_s292517"/>
                </a:ext>
              </a:extLst>
            </xdr:cNvPicPr>
          </xdr:nvPicPr>
          <xdr:blipFill rotWithShape="1">
            <a:blip xmlns:r="http://schemas.openxmlformats.org/officeDocument/2006/relationships" r:embed="rId3"/>
            <a:srcRect l="5252" t="10942" r="29929" b="4947"/>
            <a:stretch>
              <a:fillRect/>
            </a:stretch>
          </xdr:blipFill>
          <xdr:spPr bwMode="auto">
            <a:xfrm>
              <a:off x="4077891" y="26350913"/>
              <a:ext cx="1446609" cy="80166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82154</xdr:colOff>
          <xdr:row>140</xdr:row>
          <xdr:rowOff>12700</xdr:rowOff>
        </xdr:from>
        <xdr:to>
          <xdr:col>19</xdr:col>
          <xdr:colOff>371366</xdr:colOff>
          <xdr:row>144</xdr:row>
          <xdr:rowOff>104775</xdr:rowOff>
        </xdr:to>
        <xdr:pic>
          <xdr:nvPicPr>
            <xdr:cNvPr id="16" name="Picture 15">
              <a:extLst>
                <a:ext uri="{FF2B5EF4-FFF2-40B4-BE49-F238E27FC236}">
                  <a16:creationId xmlns:a16="http://schemas.microsoft.com/office/drawing/2014/main" id="{C0CC2F1F-13C2-420D-BBF5-B99945C012F8}"/>
                </a:ext>
              </a:extLst>
            </xdr:cNvPr>
            <xdr:cNvPicPr>
              <a:picLocks noChangeAspect="1" noChangeArrowheads="1"/>
              <a:extLst>
                <a:ext uri="{84589F7E-364E-4C9E-8A38-B11213B215E9}">
                  <a14:cameraTool cellRange="TTD_3CBRU" spid="_x0000_s292518"/>
                </a:ext>
              </a:extLst>
            </xdr:cNvPicPr>
          </xdr:nvPicPr>
          <xdr:blipFill rotWithShape="1">
            <a:blip xmlns:r="http://schemas.openxmlformats.org/officeDocument/2006/relationships" r:embed="rId4"/>
            <a:srcRect r="27340"/>
            <a:stretch>
              <a:fillRect/>
            </a:stretch>
          </xdr:blipFill>
          <xdr:spPr bwMode="auto">
            <a:xfrm>
              <a:off x="5330429" y="26225500"/>
              <a:ext cx="2146587" cy="89217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335661</xdr:colOff>
          <xdr:row>210</xdr:row>
          <xdr:rowOff>85725</xdr:rowOff>
        </xdr:from>
        <xdr:to>
          <xdr:col>11</xdr:col>
          <xdr:colOff>89562</xdr:colOff>
          <xdr:row>215</xdr:row>
          <xdr:rowOff>5396</xdr:rowOff>
        </xdr:to>
        <xdr:pic>
          <xdr:nvPicPr>
            <xdr:cNvPr id="17" name="Picture 16">
              <a:extLst>
                <a:ext uri="{FF2B5EF4-FFF2-40B4-BE49-F238E27FC236}">
                  <a16:creationId xmlns:a16="http://schemas.microsoft.com/office/drawing/2014/main" id="{CA1D4032-3079-40CE-9F79-391873A9CD25}"/>
                </a:ext>
              </a:extLst>
            </xdr:cNvPr>
            <xdr:cNvPicPr>
              <a:picLocks noChangeAspect="1" noChangeArrowheads="1"/>
              <a:extLst>
                <a:ext uri="{84589F7E-364E-4C9E-8A38-B11213B215E9}">
                  <a14:cameraTool cellRange="TTD_1CBRU" spid="_x0000_s292519"/>
                </a:ext>
              </a:extLst>
            </xdr:cNvPicPr>
          </xdr:nvPicPr>
          <xdr:blipFill rotWithShape="1">
            <a:blip xmlns:r="http://schemas.openxmlformats.org/officeDocument/2006/relationships" r:embed="rId2"/>
            <a:srcRect l="9588" t="825" r="30793" b="-825"/>
            <a:stretch>
              <a:fillRect/>
            </a:stretch>
          </xdr:blipFill>
          <xdr:spPr bwMode="auto">
            <a:xfrm>
              <a:off x="2193036" y="40052625"/>
              <a:ext cx="1982751" cy="91979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334966</xdr:colOff>
          <xdr:row>209</xdr:row>
          <xdr:rowOff>194073</xdr:rowOff>
        </xdr:from>
        <xdr:to>
          <xdr:col>15</xdr:col>
          <xdr:colOff>145939</xdr:colOff>
          <xdr:row>214</xdr:row>
          <xdr:rowOff>123825</xdr:rowOff>
        </xdr:to>
        <xdr:pic>
          <xdr:nvPicPr>
            <xdr:cNvPr id="18" name="Picture 17">
              <a:extLst>
                <a:ext uri="{FF2B5EF4-FFF2-40B4-BE49-F238E27FC236}">
                  <a16:creationId xmlns:a16="http://schemas.microsoft.com/office/drawing/2014/main" id="{FBABEFE4-8F0B-49C6-9CBA-30846E8A42A1}"/>
                </a:ext>
              </a:extLst>
            </xdr:cNvPr>
            <xdr:cNvPicPr>
              <a:picLocks noChangeAspect="1" noChangeArrowheads="1"/>
              <a:extLst>
                <a:ext uri="{84589F7E-364E-4C9E-8A38-B11213B215E9}">
                  <a14:cameraTool cellRange="TTD_2CBRU" spid="_x0000_s292520"/>
                </a:ext>
              </a:extLst>
            </xdr:cNvPicPr>
          </xdr:nvPicPr>
          <xdr:blipFill rotWithShape="1">
            <a:blip xmlns:r="http://schemas.openxmlformats.org/officeDocument/2006/relationships" r:embed="rId3"/>
            <a:srcRect l="5252" t="10942" r="29929" b="4947"/>
            <a:stretch>
              <a:fillRect/>
            </a:stretch>
          </xdr:blipFill>
          <xdr:spPr bwMode="auto">
            <a:xfrm>
              <a:off x="4049716" y="39960948"/>
              <a:ext cx="1715973" cy="92987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130177</xdr:colOff>
          <xdr:row>210</xdr:row>
          <xdr:rowOff>11510</xdr:rowOff>
        </xdr:from>
        <xdr:to>
          <xdr:col>20</xdr:col>
          <xdr:colOff>151260</xdr:colOff>
          <xdr:row>214</xdr:row>
          <xdr:rowOff>123825</xdr:rowOff>
        </xdr:to>
        <xdr:pic>
          <xdr:nvPicPr>
            <xdr:cNvPr id="19" name="Picture 18">
              <a:extLst>
                <a:ext uri="{FF2B5EF4-FFF2-40B4-BE49-F238E27FC236}">
                  <a16:creationId xmlns:a16="http://schemas.microsoft.com/office/drawing/2014/main" id="{6DC9C04E-27A8-4B91-96BE-BC6FD2CBC8D7}"/>
                </a:ext>
              </a:extLst>
            </xdr:cNvPr>
            <xdr:cNvPicPr>
              <a:picLocks noChangeAspect="1" noChangeArrowheads="1"/>
              <a:extLst>
                <a:ext uri="{84589F7E-364E-4C9E-8A38-B11213B215E9}">
                  <a14:cameraTool cellRange="TTD_3CBRU" spid="_x0000_s292521"/>
                </a:ext>
              </a:extLst>
            </xdr:cNvPicPr>
          </xdr:nvPicPr>
          <xdr:blipFill rotWithShape="1">
            <a:blip xmlns:r="http://schemas.openxmlformats.org/officeDocument/2006/relationships" r:embed="rId4"/>
            <a:srcRect r="27340"/>
            <a:stretch>
              <a:fillRect/>
            </a:stretch>
          </xdr:blipFill>
          <xdr:spPr bwMode="auto">
            <a:xfrm>
              <a:off x="5378452" y="39978410"/>
              <a:ext cx="2249933" cy="9124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296068</xdr:colOff>
          <xdr:row>60</xdr:row>
          <xdr:rowOff>125810</xdr:rowOff>
        </xdr:from>
        <xdr:to>
          <xdr:col>7</xdr:col>
          <xdr:colOff>19050</xdr:colOff>
          <xdr:row>65</xdr:row>
          <xdr:rowOff>95250</xdr:rowOff>
        </xdr:to>
        <xdr:pic>
          <xdr:nvPicPr>
            <xdr:cNvPr id="20" name="Picture 19">
              <a:extLst>
                <a:ext uri="{FF2B5EF4-FFF2-40B4-BE49-F238E27FC236}">
                  <a16:creationId xmlns:a16="http://schemas.microsoft.com/office/drawing/2014/main" id="{E0BA3C68-0350-4831-B86A-3562824BDC79}"/>
                </a:ext>
              </a:extLst>
            </xdr:cNvPr>
            <xdr:cNvPicPr>
              <a:picLocks noChangeAspect="1" noChangeArrowheads="1"/>
              <a:extLst>
                <a:ext uri="{84589F7E-364E-4C9E-8A38-B11213B215E9}">
                  <a14:cameraTool cellRange="TTD_1CBRU" spid="_x0000_s292522"/>
                </a:ext>
              </a:extLst>
            </xdr:cNvPicPr>
          </xdr:nvPicPr>
          <xdr:blipFill rotWithShape="1">
            <a:blip xmlns:r="http://schemas.openxmlformats.org/officeDocument/2006/relationships" r:embed="rId2"/>
            <a:srcRect l="9588" t="825" r="34655" b="-825"/>
            <a:stretch>
              <a:fillRect/>
            </a:stretch>
          </xdr:blipFill>
          <xdr:spPr bwMode="auto">
            <a:xfrm>
              <a:off x="667543" y="10831910"/>
              <a:ext cx="1951832" cy="9695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235744</xdr:colOff>
          <xdr:row>60</xdr:row>
          <xdr:rowOff>23812</xdr:rowOff>
        </xdr:from>
        <xdr:to>
          <xdr:col>11</xdr:col>
          <xdr:colOff>409575</xdr:colOff>
          <xdr:row>64</xdr:row>
          <xdr:rowOff>143479</xdr:rowOff>
        </xdr:to>
        <xdr:pic>
          <xdr:nvPicPr>
            <xdr:cNvPr id="21" name="Picture 20">
              <a:extLst>
                <a:ext uri="{FF2B5EF4-FFF2-40B4-BE49-F238E27FC236}">
                  <a16:creationId xmlns:a16="http://schemas.microsoft.com/office/drawing/2014/main" id="{45ED74E0-A6D5-4921-9E8F-2A73A51F5793}"/>
                </a:ext>
              </a:extLst>
            </xdr:cNvPr>
            <xdr:cNvPicPr>
              <a:picLocks noChangeAspect="1" noChangeArrowheads="1"/>
              <a:extLst>
                <a:ext uri="{84589F7E-364E-4C9E-8A38-B11213B215E9}">
                  <a14:cameraTool cellRange="TTD_2CBRU" spid="_x0000_s292523"/>
                </a:ext>
              </a:extLst>
            </xdr:cNvPicPr>
          </xdr:nvPicPr>
          <xdr:blipFill rotWithShape="1">
            <a:blip xmlns:r="http://schemas.openxmlformats.org/officeDocument/2006/relationships" r:embed="rId3"/>
            <a:srcRect l="5252" t="10942" r="29929" b="4947"/>
            <a:stretch>
              <a:fillRect/>
            </a:stretch>
          </xdr:blipFill>
          <xdr:spPr bwMode="auto">
            <a:xfrm>
              <a:off x="2836069" y="10729912"/>
              <a:ext cx="1659731" cy="91976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483792</xdr:colOff>
          <xdr:row>59</xdr:row>
          <xdr:rowOff>195263</xdr:rowOff>
        </xdr:from>
        <xdr:to>
          <xdr:col>18</xdr:col>
          <xdr:colOff>76200</xdr:colOff>
          <xdr:row>64</xdr:row>
          <xdr:rowOff>126286</xdr:rowOff>
        </xdr:to>
        <xdr:pic>
          <xdr:nvPicPr>
            <xdr:cNvPr id="22" name="Picture 21">
              <a:extLst>
                <a:ext uri="{FF2B5EF4-FFF2-40B4-BE49-F238E27FC236}">
                  <a16:creationId xmlns:a16="http://schemas.microsoft.com/office/drawing/2014/main" id="{5E76B0B5-B4A4-46B6-B784-0A821709CEF7}"/>
                </a:ext>
              </a:extLst>
            </xdr:cNvPr>
            <xdr:cNvPicPr>
              <a:picLocks noChangeAspect="1" noChangeArrowheads="1"/>
              <a:extLst>
                <a:ext uri="{84589F7E-364E-4C9E-8A38-B11213B215E9}">
                  <a14:cameraTool cellRange="TTD_3CBRU" spid="_x0000_s292524"/>
                </a:ext>
              </a:extLst>
            </xdr:cNvPicPr>
          </xdr:nvPicPr>
          <xdr:blipFill rotWithShape="1">
            <a:blip xmlns:r="http://schemas.openxmlformats.org/officeDocument/2006/relationships" r:embed="rId4"/>
            <a:srcRect r="27340"/>
            <a:stretch>
              <a:fillRect/>
            </a:stretch>
          </xdr:blipFill>
          <xdr:spPr bwMode="auto">
            <a:xfrm>
              <a:off x="4570017" y="10701338"/>
              <a:ext cx="2240358" cy="931148"/>
            </a:xfrm>
            <a:prstGeom prst="rect">
              <a:avLst/>
            </a:prstGeom>
            <a:noFill/>
            <a:ln w="9525">
              <a:noFill/>
              <a:miter lim="800000"/>
              <a:headEnd/>
              <a:tailEnd/>
            </a:ln>
          </xdr:spPr>
        </xdr:pic>
        <xdr:clientData/>
      </xdr:twoCellAnchor>
    </mc:Choice>
    <mc:Fallback/>
  </mc:AlternateContent>
  <xdr:twoCellAnchor>
    <xdr:from>
      <xdr:col>0</xdr:col>
      <xdr:colOff>238125</xdr:colOff>
      <xdr:row>110</xdr:row>
      <xdr:rowOff>177800</xdr:rowOff>
    </xdr:from>
    <xdr:to>
      <xdr:col>21</xdr:col>
      <xdr:colOff>63500</xdr:colOff>
      <xdr:row>127</xdr:row>
      <xdr:rowOff>12700</xdr:rowOff>
    </xdr:to>
    <xdr:grpSp>
      <xdr:nvGrpSpPr>
        <xdr:cNvPr id="24" name="Group 23">
          <a:extLst>
            <a:ext uri="{FF2B5EF4-FFF2-40B4-BE49-F238E27FC236}">
              <a16:creationId xmlns:a16="http://schemas.microsoft.com/office/drawing/2014/main" id="{380EE83A-D0A0-4C7A-AC79-C41C381F268A}"/>
            </a:ext>
          </a:extLst>
        </xdr:cNvPr>
        <xdr:cNvGrpSpPr/>
      </xdr:nvGrpSpPr>
      <xdr:grpSpPr>
        <a:xfrm>
          <a:off x="238125" y="20096256"/>
          <a:ext cx="7795559" cy="3168650"/>
          <a:chOff x="1715238" y="17200378"/>
          <a:chExt cx="9926084" cy="3790950"/>
        </a:xfrm>
      </xdr:grpSpPr>
      <xdr:graphicFrame macro="">
        <xdr:nvGraphicFramePr>
          <xdr:cNvPr id="25" name="Chart 24">
            <a:extLst>
              <a:ext uri="{FF2B5EF4-FFF2-40B4-BE49-F238E27FC236}">
                <a16:creationId xmlns:a16="http://schemas.microsoft.com/office/drawing/2014/main" id="{10253D09-3CAA-A60E-B2CB-0026184568D6}"/>
              </a:ext>
            </a:extLst>
          </xdr:cNvPr>
          <xdr:cNvGraphicFramePr/>
        </xdr:nvGraphicFramePr>
        <xdr:xfrm>
          <a:off x="1715238" y="17208352"/>
          <a:ext cx="3224471" cy="37829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7FDDA6BB-7C4F-032D-8F0C-72E0F9892EB3}"/>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7" name="Chart 26">
            <a:extLst>
              <a:ext uri="{FF2B5EF4-FFF2-40B4-BE49-F238E27FC236}">
                <a16:creationId xmlns:a16="http://schemas.microsoft.com/office/drawing/2014/main" id="{BF5D671D-DF4A-FC90-F3A9-CD9A065F21CB}"/>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127000</xdr:colOff>
      <xdr:row>92</xdr:row>
      <xdr:rowOff>63500</xdr:rowOff>
    </xdr:from>
    <xdr:to>
      <xdr:col>23</xdr:col>
      <xdr:colOff>76200</xdr:colOff>
      <xdr:row>107</xdr:row>
      <xdr:rowOff>190500</xdr:rowOff>
    </xdr:to>
    <xdr:graphicFrame macro="">
      <xdr:nvGraphicFramePr>
        <xdr:cNvPr id="28" name="Chart 27">
          <a:extLst>
            <a:ext uri="{FF2B5EF4-FFF2-40B4-BE49-F238E27FC236}">
              <a16:creationId xmlns:a16="http://schemas.microsoft.com/office/drawing/2014/main" id="{7CEC2842-E74E-42F6-AD72-9B307A9D8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2</xdr:col>
      <xdr:colOff>31750</xdr:colOff>
      <xdr:row>85</xdr:row>
      <xdr:rowOff>11076</xdr:rowOff>
    </xdr:from>
    <xdr:to>
      <xdr:col>13</xdr:col>
      <xdr:colOff>698648</xdr:colOff>
      <xdr:row>104</xdr:row>
      <xdr:rowOff>0</xdr:rowOff>
    </xdr:to>
    <xdr:grpSp>
      <xdr:nvGrpSpPr>
        <xdr:cNvPr id="2" name="Group 1">
          <a:extLst>
            <a:ext uri="{FF2B5EF4-FFF2-40B4-BE49-F238E27FC236}">
              <a16:creationId xmlns:a16="http://schemas.microsoft.com/office/drawing/2014/main" id="{79337FEC-4B01-43A8-8FBF-209EB68CB43D}"/>
            </a:ext>
          </a:extLst>
        </xdr:cNvPr>
        <xdr:cNvGrpSpPr/>
      </xdr:nvGrpSpPr>
      <xdr:grpSpPr>
        <a:xfrm>
          <a:off x="1721669" y="17217528"/>
          <a:ext cx="9961455" cy="3783561"/>
          <a:chOff x="1715238" y="17200378"/>
          <a:chExt cx="9926084" cy="3776773"/>
        </a:xfrm>
      </xdr:grpSpPr>
      <xdr:graphicFrame macro="">
        <xdr:nvGraphicFramePr>
          <xdr:cNvPr id="3" name="Chart 2">
            <a:extLst>
              <a:ext uri="{FF2B5EF4-FFF2-40B4-BE49-F238E27FC236}">
                <a16:creationId xmlns:a16="http://schemas.microsoft.com/office/drawing/2014/main" id="{1715774D-BC09-E704-EEB3-D4BC2650E9A2}"/>
              </a:ext>
            </a:extLst>
          </xdr:cNvPr>
          <xdr:cNvGraphicFramePr/>
        </xdr:nvGraphicFramePr>
        <xdr:xfrm>
          <a:off x="1715238" y="17208352"/>
          <a:ext cx="3224471" cy="37687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EC4A1578-D279-D294-C56A-8BA4D5679D5F}"/>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59F03472-8EA8-37BC-A91F-960EB3125A4B}"/>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17</xdr:col>
      <xdr:colOff>571500</xdr:colOff>
      <xdr:row>142</xdr:row>
      <xdr:rowOff>30691</xdr:rowOff>
    </xdr:from>
    <xdr:to>
      <xdr:col>23</xdr:col>
      <xdr:colOff>222250</xdr:colOff>
      <xdr:row>155</xdr:row>
      <xdr:rowOff>194204</xdr:rowOff>
    </xdr:to>
    <xdr:graphicFrame macro="">
      <xdr:nvGraphicFramePr>
        <xdr:cNvPr id="7" name="Chart 6">
          <a:extLst>
            <a:ext uri="{FF2B5EF4-FFF2-40B4-BE49-F238E27FC236}">
              <a16:creationId xmlns:a16="http://schemas.microsoft.com/office/drawing/2014/main" id="{CF9686D0-083C-4D0A-99C3-6572F7AF2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5CEA0433-5284-42F3-B52C-54CE5DD4B3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76200"/>
          <a:ext cx="1575647" cy="501650"/>
        </a:xfrm>
        <a:prstGeom prst="rect">
          <a:avLst/>
        </a:prstGeom>
      </xdr:spPr>
    </xdr:pic>
    <xdr:clientData/>
  </xdr:twoCellAnchor>
  <xdr:twoCellAnchor editAs="oneCell">
    <xdr:from>
      <xdr:col>1</xdr:col>
      <xdr:colOff>139700</xdr:colOff>
      <xdr:row>79</xdr:row>
      <xdr:rowOff>25400</xdr:rowOff>
    </xdr:from>
    <xdr:to>
      <xdr:col>5</xdr:col>
      <xdr:colOff>229447</xdr:colOff>
      <xdr:row>80</xdr:row>
      <xdr:rowOff>228600</xdr:rowOff>
    </xdr:to>
    <xdr:pic>
      <xdr:nvPicPr>
        <xdr:cNvPr id="3" name="Picture 2">
          <a:extLst>
            <a:ext uri="{FF2B5EF4-FFF2-40B4-BE49-F238E27FC236}">
              <a16:creationId xmlns:a16="http://schemas.microsoft.com/office/drawing/2014/main" id="{534189B8-07AC-4632-99B9-AF3AE374C4F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11175" y="14008100"/>
          <a:ext cx="1575647" cy="498475"/>
        </a:xfrm>
        <a:prstGeom prst="rect">
          <a:avLst/>
        </a:prstGeom>
      </xdr:spPr>
    </xdr:pic>
    <xdr:clientData/>
  </xdr:twoCellAnchor>
  <xdr:oneCellAnchor>
    <xdr:from>
      <xdr:col>1</xdr:col>
      <xdr:colOff>139700</xdr:colOff>
      <xdr:row>150</xdr:row>
      <xdr:rowOff>25400</xdr:rowOff>
    </xdr:from>
    <xdr:ext cx="1558185" cy="490935"/>
    <xdr:pic>
      <xdr:nvPicPr>
        <xdr:cNvPr id="4" name="Picture 3">
          <a:extLst>
            <a:ext uri="{FF2B5EF4-FFF2-40B4-BE49-F238E27FC236}">
              <a16:creationId xmlns:a16="http://schemas.microsoft.com/office/drawing/2014/main" id="{0B6A7B0D-F16B-48F7-9800-942491F0F4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11175" y="27962225"/>
          <a:ext cx="1558185" cy="490935"/>
        </a:xfrm>
        <a:prstGeom prst="rect">
          <a:avLst/>
        </a:prstGeom>
      </xdr:spPr>
    </xdr:pic>
    <xdr:clientData/>
  </xdr:oneCellAnchor>
  <xdr:twoCellAnchor>
    <xdr:from>
      <xdr:col>1</xdr:col>
      <xdr:colOff>39688</xdr:colOff>
      <xdr:row>164</xdr:row>
      <xdr:rowOff>128587</xdr:rowOff>
    </xdr:from>
    <xdr:to>
      <xdr:col>20</xdr:col>
      <xdr:colOff>138706</xdr:colOff>
      <xdr:row>177</xdr:row>
      <xdr:rowOff>69433</xdr:rowOff>
    </xdr:to>
    <xdr:grpSp>
      <xdr:nvGrpSpPr>
        <xdr:cNvPr id="5" name="Group 4">
          <a:extLst>
            <a:ext uri="{FF2B5EF4-FFF2-40B4-BE49-F238E27FC236}">
              <a16:creationId xmlns:a16="http://schemas.microsoft.com/office/drawing/2014/main" id="{12E03D2D-9B79-4FF6-A319-DFAC975437DF}"/>
            </a:ext>
          </a:extLst>
        </xdr:cNvPr>
        <xdr:cNvGrpSpPr/>
      </xdr:nvGrpSpPr>
      <xdr:grpSpPr>
        <a:xfrm>
          <a:off x="414267" y="31218615"/>
          <a:ext cx="7258821" cy="2584301"/>
          <a:chOff x="828675" y="11311834"/>
          <a:chExt cx="7014852" cy="2639596"/>
        </a:xfrm>
      </xdr:grpSpPr>
      <xdr:sp macro="" textlink="">
        <xdr:nvSpPr>
          <xdr:cNvPr id="6" name="TextBox 5">
            <a:extLst>
              <a:ext uri="{FF2B5EF4-FFF2-40B4-BE49-F238E27FC236}">
                <a16:creationId xmlns:a16="http://schemas.microsoft.com/office/drawing/2014/main" id="{0B4105E9-E43C-52D2-B198-753793608CCA}"/>
              </a:ext>
            </a:extLst>
          </xdr:cNvPr>
          <xdr:cNvSpPr txBox="1"/>
        </xdr:nvSpPr>
        <xdr:spPr>
          <a:xfrm>
            <a:off x="828675" y="11318047"/>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662D5324-873B-DB36-51D6-4E52E3DBEE7E}"/>
              </a:ext>
            </a:extLst>
          </xdr:cNvPr>
          <xdr:cNvSpPr txBox="1"/>
        </xdr:nvSpPr>
        <xdr:spPr>
          <a:xfrm>
            <a:off x="3306004" y="11311834"/>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8" name="TextBox 7">
            <a:extLst>
              <a:ext uri="{FF2B5EF4-FFF2-40B4-BE49-F238E27FC236}">
                <a16:creationId xmlns:a16="http://schemas.microsoft.com/office/drawing/2014/main" id="{72065F59-745E-25A6-3F67-CD6C5AC680CA}"/>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6</xdr:col>
          <xdr:colOff>189741</xdr:colOff>
          <xdr:row>141</xdr:row>
          <xdr:rowOff>78581</xdr:rowOff>
        </xdr:from>
        <xdr:to>
          <xdr:col>13</xdr:col>
          <xdr:colOff>82454</xdr:colOff>
          <xdr:row>148</xdr:row>
          <xdr:rowOff>26071</xdr:rowOff>
        </xdr:to>
        <xdr:pic>
          <xdr:nvPicPr>
            <xdr:cNvPr id="9" name="Picture 8">
              <a:extLst>
                <a:ext uri="{FF2B5EF4-FFF2-40B4-BE49-F238E27FC236}">
                  <a16:creationId xmlns:a16="http://schemas.microsoft.com/office/drawing/2014/main" id="{DF3A8544-0E4D-4537-ACF7-F998A2C9C67A}"/>
                </a:ext>
              </a:extLst>
            </xdr:cNvPr>
            <xdr:cNvPicPr>
              <a:picLocks noChangeAspect="1" noChangeArrowheads="1"/>
              <a:extLst>
                <a:ext uri="{84589F7E-364E-4C9E-8A38-B11213B215E9}">
                  <a14:cameraTool cellRange="TTD_1CBRS" spid="_x0000_s761230"/>
                </a:ext>
              </a:extLst>
            </xdr:cNvPicPr>
          </xdr:nvPicPr>
          <xdr:blipFill rotWithShape="1">
            <a:blip xmlns:r="http://schemas.openxmlformats.org/officeDocument/2006/relationships" r:embed="rId2"/>
            <a:srcRect l="9588" t="825" r="30793" b="-825"/>
            <a:stretch>
              <a:fillRect/>
            </a:stretch>
          </xdr:blipFill>
          <xdr:spPr bwMode="auto">
            <a:xfrm>
              <a:off x="2380491" y="27066081"/>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172641</xdr:colOff>
          <xdr:row>140</xdr:row>
          <xdr:rowOff>128588</xdr:rowOff>
        </xdr:from>
        <xdr:to>
          <xdr:col>16</xdr:col>
          <xdr:colOff>64024</xdr:colOff>
          <xdr:row>146</xdr:row>
          <xdr:rowOff>79376</xdr:rowOff>
        </xdr:to>
        <xdr:pic>
          <xdr:nvPicPr>
            <xdr:cNvPr id="10" name="Picture 9">
              <a:extLst>
                <a:ext uri="{FF2B5EF4-FFF2-40B4-BE49-F238E27FC236}">
                  <a16:creationId xmlns:a16="http://schemas.microsoft.com/office/drawing/2014/main" id="{76201192-A0AD-4E20-83E6-71AB9CECEAF1}"/>
                </a:ext>
              </a:extLst>
            </xdr:cNvPr>
            <xdr:cNvPicPr>
              <a:picLocks noChangeAspect="1" noChangeArrowheads="1"/>
              <a:extLst>
                <a:ext uri="{84589F7E-364E-4C9E-8A38-B11213B215E9}">
                  <a14:cameraTool cellRange="TTD_2CBRS" spid="_x0000_s761231"/>
                </a:ext>
              </a:extLst>
            </xdr:cNvPicPr>
          </xdr:nvPicPr>
          <xdr:blipFill rotWithShape="1">
            <a:blip xmlns:r="http://schemas.openxmlformats.org/officeDocument/2006/relationships" r:embed="rId3"/>
            <a:srcRect l="5252" t="10942" r="29929" b="4947"/>
            <a:stretch>
              <a:fillRect/>
            </a:stretch>
          </xdr:blipFill>
          <xdr:spPr bwMode="auto">
            <a:xfrm>
              <a:off x="3823891" y="26909713"/>
              <a:ext cx="2145633" cy="118903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272654</xdr:colOff>
          <xdr:row>141</xdr:row>
          <xdr:rowOff>41276</xdr:rowOff>
        </xdr:from>
        <xdr:to>
          <xdr:col>20</xdr:col>
          <xdr:colOff>329352</xdr:colOff>
          <xdr:row>146</xdr:row>
          <xdr:rowOff>95251</xdr:rowOff>
        </xdr:to>
        <xdr:pic>
          <xdr:nvPicPr>
            <xdr:cNvPr id="11" name="Picture 10">
              <a:extLst>
                <a:ext uri="{FF2B5EF4-FFF2-40B4-BE49-F238E27FC236}">
                  <a16:creationId xmlns:a16="http://schemas.microsoft.com/office/drawing/2014/main" id="{F7F0AD48-B4B2-4492-BAE5-B62A4E80ACB5}"/>
                </a:ext>
              </a:extLst>
            </xdr:cNvPr>
            <xdr:cNvPicPr>
              <a:picLocks noChangeAspect="1" noChangeArrowheads="1"/>
              <a:extLst>
                <a:ext uri="{84589F7E-364E-4C9E-8A38-B11213B215E9}">
                  <a14:cameraTool cellRange="TTD_3CBRS" spid="_x0000_s761232"/>
                </a:ext>
              </a:extLst>
            </xdr:cNvPicPr>
          </xdr:nvPicPr>
          <xdr:blipFill rotWithShape="1">
            <a:blip xmlns:r="http://schemas.openxmlformats.org/officeDocument/2006/relationships" r:embed="rId4"/>
            <a:srcRect r="27340"/>
            <a:stretch>
              <a:fillRect/>
            </a:stretch>
          </xdr:blipFill>
          <xdr:spPr bwMode="auto">
            <a:xfrm>
              <a:off x="5082779" y="27028776"/>
              <a:ext cx="2612573" cy="10858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269875</xdr:colOff>
          <xdr:row>211</xdr:row>
          <xdr:rowOff>9129</xdr:rowOff>
        </xdr:from>
        <xdr:to>
          <xdr:col>13</xdr:col>
          <xdr:colOff>162588</xdr:colOff>
          <xdr:row>217</xdr:row>
          <xdr:rowOff>162994</xdr:rowOff>
        </xdr:to>
        <xdr:pic>
          <xdr:nvPicPr>
            <xdr:cNvPr id="12" name="Picture 11">
              <a:extLst>
                <a:ext uri="{FF2B5EF4-FFF2-40B4-BE49-F238E27FC236}">
                  <a16:creationId xmlns:a16="http://schemas.microsoft.com/office/drawing/2014/main" id="{9791D84B-C6B9-4C53-AE45-250B5AED80C4}"/>
                </a:ext>
              </a:extLst>
            </xdr:cNvPr>
            <xdr:cNvPicPr>
              <a:picLocks noChangeAspect="1" noChangeArrowheads="1"/>
              <a:extLst>
                <a:ext uri="{84589F7E-364E-4C9E-8A38-B11213B215E9}">
                  <a14:cameraTool cellRange="TTD_1CBRS" spid="_x0000_s761233"/>
                </a:ext>
              </a:extLst>
            </xdr:cNvPicPr>
          </xdr:nvPicPr>
          <xdr:blipFill rotWithShape="1">
            <a:blip xmlns:r="http://schemas.openxmlformats.org/officeDocument/2006/relationships" r:embed="rId2"/>
            <a:srcRect l="9588" t="825" r="30793" b="-825"/>
            <a:stretch>
              <a:fillRect/>
            </a:stretch>
          </xdr:blipFill>
          <xdr:spPr bwMode="auto">
            <a:xfrm>
              <a:off x="2460625" y="41141254"/>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71440</xdr:colOff>
          <xdr:row>209</xdr:row>
          <xdr:rowOff>184548</xdr:rowOff>
        </xdr:from>
        <xdr:to>
          <xdr:col>16</xdr:col>
          <xdr:colOff>293248</xdr:colOff>
          <xdr:row>216</xdr:row>
          <xdr:rowOff>153264</xdr:rowOff>
        </xdr:to>
        <xdr:pic>
          <xdr:nvPicPr>
            <xdr:cNvPr id="13" name="Picture 12">
              <a:extLst>
                <a:ext uri="{FF2B5EF4-FFF2-40B4-BE49-F238E27FC236}">
                  <a16:creationId xmlns:a16="http://schemas.microsoft.com/office/drawing/2014/main" id="{2592DE62-A3A2-4079-B46F-344292CF8102}"/>
                </a:ext>
              </a:extLst>
            </xdr:cNvPr>
            <xdr:cNvPicPr>
              <a:picLocks noChangeAspect="1" noChangeArrowheads="1"/>
              <a:extLst>
                <a:ext uri="{84589F7E-364E-4C9E-8A38-B11213B215E9}">
                  <a14:cameraTool cellRange="TTD_2CBRS" spid="_x0000_s761234"/>
                </a:ext>
              </a:extLst>
            </xdr:cNvPicPr>
          </xdr:nvPicPr>
          <xdr:blipFill rotWithShape="1">
            <a:blip xmlns:r="http://schemas.openxmlformats.org/officeDocument/2006/relationships" r:embed="rId3"/>
            <a:srcRect l="5252" t="10942" r="29929" b="4947"/>
            <a:stretch>
              <a:fillRect/>
            </a:stretch>
          </xdr:blipFill>
          <xdr:spPr bwMode="auto">
            <a:xfrm>
              <a:off x="3817227" y="40424997"/>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174627</xdr:colOff>
          <xdr:row>211</xdr:row>
          <xdr:rowOff>1986</xdr:rowOff>
        </xdr:from>
        <xdr:to>
          <xdr:col>20</xdr:col>
          <xdr:colOff>325857</xdr:colOff>
          <xdr:row>216</xdr:row>
          <xdr:rowOff>95251</xdr:rowOff>
        </xdr:to>
        <xdr:pic>
          <xdr:nvPicPr>
            <xdr:cNvPr id="14" name="Picture 13">
              <a:extLst>
                <a:ext uri="{FF2B5EF4-FFF2-40B4-BE49-F238E27FC236}">
                  <a16:creationId xmlns:a16="http://schemas.microsoft.com/office/drawing/2014/main" id="{314FFB86-778F-4DB9-B719-DA748D1CDC62}"/>
                </a:ext>
              </a:extLst>
            </xdr:cNvPr>
            <xdr:cNvPicPr>
              <a:picLocks noChangeAspect="1" noChangeArrowheads="1"/>
              <a:extLst>
                <a:ext uri="{84589F7E-364E-4C9E-8A38-B11213B215E9}">
                  <a14:cameraTool cellRange="TTD_3CBRS" spid="_x0000_s761235"/>
                </a:ext>
              </a:extLst>
            </xdr:cNvPicPr>
          </xdr:nvPicPr>
          <xdr:blipFill rotWithShape="1">
            <a:blip xmlns:r="http://schemas.openxmlformats.org/officeDocument/2006/relationships" r:embed="rId4"/>
            <a:srcRect r="27340"/>
            <a:stretch>
              <a:fillRect/>
            </a:stretch>
          </xdr:blipFill>
          <xdr:spPr bwMode="auto">
            <a:xfrm>
              <a:off x="4984752" y="41134111"/>
              <a:ext cx="2707105" cy="11251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30799</xdr:colOff>
          <xdr:row>60</xdr:row>
          <xdr:rowOff>125407</xdr:rowOff>
        </xdr:from>
        <xdr:to>
          <xdr:col>7</xdr:col>
          <xdr:colOff>352136</xdr:colOff>
          <xdr:row>67</xdr:row>
          <xdr:rowOff>120522</xdr:rowOff>
        </xdr:to>
        <xdr:pic>
          <xdr:nvPicPr>
            <xdr:cNvPr id="15" name="Picture 14">
              <a:extLst>
                <a:ext uri="{FF2B5EF4-FFF2-40B4-BE49-F238E27FC236}">
                  <a16:creationId xmlns:a16="http://schemas.microsoft.com/office/drawing/2014/main" id="{0AAAD04D-D809-45AF-BE7E-79D3A74C4962}"/>
                </a:ext>
              </a:extLst>
            </xdr:cNvPr>
            <xdr:cNvPicPr>
              <a:picLocks noChangeAspect="1" noChangeArrowheads="1"/>
              <a:extLst>
                <a:ext uri="{84589F7E-364E-4C9E-8A38-B11213B215E9}">
                  <a14:cameraTool cellRange="TTD_1CBRS" spid="_x0000_s761236"/>
                </a:ext>
              </a:extLst>
            </xdr:cNvPicPr>
          </xdr:nvPicPr>
          <xdr:blipFill rotWithShape="1">
            <a:blip xmlns:r="http://schemas.openxmlformats.org/officeDocument/2006/relationships" r:embed="rId2"/>
            <a:srcRect l="9588" t="825" r="30793" b="-825"/>
            <a:stretch>
              <a:fillRect/>
            </a:stretch>
          </xdr:blipFill>
          <xdr:spPr bwMode="auto">
            <a:xfrm>
              <a:off x="406433" y="10656569"/>
              <a:ext cx="2575140" cy="13500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24986</xdr:colOff>
          <xdr:row>59</xdr:row>
          <xdr:rowOff>199957</xdr:rowOff>
        </xdr:from>
        <xdr:to>
          <xdr:col>13</xdr:col>
          <xdr:colOff>246794</xdr:colOff>
          <xdr:row>67</xdr:row>
          <xdr:rowOff>18842</xdr:rowOff>
        </xdr:to>
        <xdr:pic>
          <xdr:nvPicPr>
            <xdr:cNvPr id="16" name="Picture 15">
              <a:extLst>
                <a:ext uri="{FF2B5EF4-FFF2-40B4-BE49-F238E27FC236}">
                  <a16:creationId xmlns:a16="http://schemas.microsoft.com/office/drawing/2014/main" id="{811436AA-6E79-4B57-84EC-980C80A9E20C}"/>
                </a:ext>
              </a:extLst>
            </xdr:cNvPr>
            <xdr:cNvPicPr>
              <a:picLocks noChangeAspect="1" noChangeArrowheads="1"/>
              <a:extLst>
                <a:ext uri="{84589F7E-364E-4C9E-8A38-B11213B215E9}">
                  <a14:cameraTool cellRange="TTD_2CBRS" spid="_x0000_s761237"/>
                </a:ext>
              </a:extLst>
            </xdr:cNvPicPr>
          </xdr:nvPicPr>
          <xdr:blipFill rotWithShape="1">
            <a:blip xmlns:r="http://schemas.openxmlformats.org/officeDocument/2006/relationships" r:embed="rId3"/>
            <a:srcRect l="5252" t="10942" r="29929" b="4947"/>
            <a:stretch>
              <a:fillRect/>
            </a:stretch>
          </xdr:blipFill>
          <xdr:spPr bwMode="auto">
            <a:xfrm>
              <a:off x="2647037" y="10666755"/>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258277</xdr:colOff>
          <xdr:row>59</xdr:row>
          <xdr:rowOff>187883</xdr:rowOff>
        </xdr:from>
        <xdr:to>
          <xdr:col>20</xdr:col>
          <xdr:colOff>193711</xdr:colOff>
          <xdr:row>67</xdr:row>
          <xdr:rowOff>6768</xdr:rowOff>
        </xdr:to>
        <xdr:pic>
          <xdr:nvPicPr>
            <xdr:cNvPr id="17" name="Picture 16">
              <a:extLst>
                <a:ext uri="{FF2B5EF4-FFF2-40B4-BE49-F238E27FC236}">
                  <a16:creationId xmlns:a16="http://schemas.microsoft.com/office/drawing/2014/main" id="{C75C45EA-D328-438E-B778-5BF368FADF79}"/>
                </a:ext>
              </a:extLst>
            </xdr:cNvPr>
            <xdr:cNvPicPr>
              <a:picLocks noChangeAspect="1" noChangeArrowheads="1"/>
              <a:extLst>
                <a:ext uri="{84589F7E-364E-4C9E-8A38-B11213B215E9}">
                  <a14:cameraTool cellRange="TTD_3CBRS" spid="_x0000_s761238"/>
                </a:ext>
              </a:extLst>
            </xdr:cNvPicPr>
          </xdr:nvPicPr>
          <xdr:blipFill rotWithShape="1">
            <a:blip xmlns:r="http://schemas.openxmlformats.org/officeDocument/2006/relationships" r:embed="rId4"/>
            <a:srcRect r="27340"/>
            <a:stretch>
              <a:fillRect/>
            </a:stretch>
          </xdr:blipFill>
          <xdr:spPr bwMode="auto">
            <a:xfrm>
              <a:off x="4378642" y="10654681"/>
              <a:ext cx="3349451" cy="1392115"/>
            </a:xfrm>
            <a:prstGeom prst="rect">
              <a:avLst/>
            </a:prstGeom>
            <a:noFill/>
            <a:ln w="9525">
              <a:noFill/>
              <a:miter lim="800000"/>
              <a:headEnd/>
              <a:tailEnd/>
            </a:ln>
          </xdr:spPr>
        </xdr:pic>
        <xdr:clientData/>
      </xdr:twoCellAnchor>
    </mc:Choice>
    <mc:Fallback/>
  </mc:AlternateContent>
  <xdr:twoCellAnchor>
    <xdr:from>
      <xdr:col>9</xdr:col>
      <xdr:colOff>333375</xdr:colOff>
      <xdr:row>93</xdr:row>
      <xdr:rowOff>158750</xdr:rowOff>
    </xdr:from>
    <xdr:to>
      <xdr:col>23</xdr:col>
      <xdr:colOff>95250</xdr:colOff>
      <xdr:row>108</xdr:row>
      <xdr:rowOff>158750</xdr:rowOff>
    </xdr:to>
    <xdr:graphicFrame macro="">
      <xdr:nvGraphicFramePr>
        <xdr:cNvPr id="23" name="Chart 22">
          <a:extLst>
            <a:ext uri="{FF2B5EF4-FFF2-40B4-BE49-F238E27FC236}">
              <a16:creationId xmlns:a16="http://schemas.microsoft.com/office/drawing/2014/main" id="{081E76E3-5548-41C8-BE92-D90152CD7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112</xdr:row>
      <xdr:rowOff>174625</xdr:rowOff>
    </xdr:from>
    <xdr:to>
      <xdr:col>20</xdr:col>
      <xdr:colOff>317500</xdr:colOff>
      <xdr:row>129</xdr:row>
      <xdr:rowOff>158750</xdr:rowOff>
    </xdr:to>
    <xdr:grpSp>
      <xdr:nvGrpSpPr>
        <xdr:cNvPr id="24" name="Group 23">
          <a:extLst>
            <a:ext uri="{FF2B5EF4-FFF2-40B4-BE49-F238E27FC236}">
              <a16:creationId xmlns:a16="http://schemas.microsoft.com/office/drawing/2014/main" id="{98246609-E12A-4F85-9233-CBF4475ACA3B}"/>
            </a:ext>
          </a:extLst>
        </xdr:cNvPr>
        <xdr:cNvGrpSpPr/>
      </xdr:nvGrpSpPr>
      <xdr:grpSpPr>
        <a:xfrm>
          <a:off x="0" y="21044007"/>
          <a:ext cx="7851882" cy="3440951"/>
          <a:chOff x="1715238" y="17200378"/>
          <a:chExt cx="9926084" cy="3776773"/>
        </a:xfrm>
      </xdr:grpSpPr>
      <xdr:graphicFrame macro="">
        <xdr:nvGraphicFramePr>
          <xdr:cNvPr id="25" name="Chart 24">
            <a:extLst>
              <a:ext uri="{FF2B5EF4-FFF2-40B4-BE49-F238E27FC236}">
                <a16:creationId xmlns:a16="http://schemas.microsoft.com/office/drawing/2014/main" id="{A42F9347-1115-31E8-30E3-AF81DB50AE14}"/>
              </a:ext>
            </a:extLst>
          </xdr:cNvPr>
          <xdr:cNvGraphicFramePr/>
        </xdr:nvGraphicFramePr>
        <xdr:xfrm>
          <a:off x="1715238" y="17208352"/>
          <a:ext cx="3224471" cy="376879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6" name="Chart 25">
            <a:extLst>
              <a:ext uri="{FF2B5EF4-FFF2-40B4-BE49-F238E27FC236}">
                <a16:creationId xmlns:a16="http://schemas.microsoft.com/office/drawing/2014/main" id="{48605902-70CE-A4A1-4D60-EB1895C329C1}"/>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7" name="Chart 26">
            <a:extLst>
              <a:ext uri="{FF2B5EF4-FFF2-40B4-BE49-F238E27FC236}">
                <a16:creationId xmlns:a16="http://schemas.microsoft.com/office/drawing/2014/main" id="{1CBB2BC2-C985-EEB2-339F-856BC4F3A7FC}"/>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6B9EA8-A4EE-EF43-8B77-CAAD790328A0}">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5.x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9.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3.xml"/><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35.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A341-AF80-8441-9051-047840C5B825}">
  <sheetPr>
    <tabColor rgb="FFFF0000"/>
  </sheetPr>
  <dimension ref="B12:G37"/>
  <sheetViews>
    <sheetView showGridLines="0" topLeftCell="A16" zoomScale="182" zoomScaleNormal="182" workbookViewId="0">
      <selection activeCell="B9" sqref="B9"/>
    </sheetView>
  </sheetViews>
  <sheetFormatPr defaultColWidth="11" defaultRowHeight="15.75"/>
  <sheetData>
    <row r="12" spans="2:7">
      <c r="B12" s="359"/>
      <c r="C12" s="359"/>
      <c r="D12" s="359"/>
    </row>
    <row r="14" spans="2:7">
      <c r="G14" s="335" t="s">
        <v>766</v>
      </c>
    </row>
    <row r="20" spans="7:7">
      <c r="G20" s="335" t="s">
        <v>1053</v>
      </c>
    </row>
    <row r="30" spans="7:7">
      <c r="G30" s="335" t="s">
        <v>717</v>
      </c>
    </row>
    <row r="37" spans="7:7">
      <c r="G37" s="335" t="s">
        <v>1052</v>
      </c>
    </row>
  </sheetData>
  <pageMargins left="0.7" right="0.7" top="0.75" bottom="0.75" header="0.3" footer="0.3"/>
  <pageSetup paperSize="1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0125-E0E8-D04A-B796-07FF4073D62A}">
  <sheetPr>
    <tabColor rgb="FFFF0000"/>
  </sheetPr>
  <dimension ref="A1:AA151"/>
  <sheetViews>
    <sheetView view="pageLayout" topLeftCell="A66" zoomScaleNormal="100" zoomScaleSheetLayoutView="69" workbookViewId="0">
      <selection activeCell="A69" sqref="A69:X73"/>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303</v>
      </c>
      <c r="G2" s="1682"/>
      <c r="H2" s="1682"/>
      <c r="I2" s="1682"/>
      <c r="J2" s="1682"/>
      <c r="K2" s="1682"/>
      <c r="L2" s="1682"/>
      <c r="M2" s="1682"/>
      <c r="N2" s="1682"/>
      <c r="O2" s="1682"/>
      <c r="P2" s="1682"/>
      <c r="Q2" s="1682"/>
      <c r="R2" s="1682"/>
      <c r="S2" s="1682"/>
      <c r="T2" s="1682"/>
    </row>
    <row r="3" spans="1:25">
      <c r="A3" s="897"/>
      <c r="B3" s="897"/>
      <c r="C3" s="897"/>
      <c r="D3" s="897"/>
      <c r="E3" s="897"/>
      <c r="F3" s="1700" t="s">
        <v>304</v>
      </c>
      <c r="G3" s="1700"/>
      <c r="H3" s="1700"/>
      <c r="I3" s="1700"/>
      <c r="J3" s="1700"/>
      <c r="K3" s="1700"/>
      <c r="L3" s="1700"/>
      <c r="M3" s="1700"/>
      <c r="N3" s="1700"/>
      <c r="O3" s="1700"/>
      <c r="P3" s="1700"/>
      <c r="Q3" s="1700"/>
      <c r="R3" s="1700"/>
      <c r="S3" s="1700"/>
      <c r="T3" s="1700"/>
      <c r="U3" s="897"/>
      <c r="V3" s="897"/>
      <c r="W3" s="897"/>
      <c r="X3" s="897"/>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x"</f>
        <v>:  1 dari x</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IF('WS-PP'!D7="","",'WS-PP'!D7)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e">
        <f>":  "&amp;IF('WS-PP'!D9="","",'WS-PP'!D9)</f>
        <v>#N/A</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"&amp;IF('WS-PP'!D10="","",'WS-PP'!D10)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"&amp;IF('WS-PP'!D11="","",'WS-PP'!D11)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"&amp;IF('WS-PP'!D12="","",'WS-PP'!D12)</f>
        <v>:  Lempung / Clay</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"&amp;IF('WS-PP'!D13="","",'WS-PP'!D13)</f>
        <v>:  Coklat Kekuningan / Yellowish Brown</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"&amp;IF('WS-PP'!T12="","",TEXT('WS-PP'!T12,"dd mmmm yyyy"))</f>
        <v>:  05 January 2026</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'WS-PP'!A2</f>
        <v>UJI SIFAT FISIK TANAH</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c r="W26" s="1704"/>
      <c r="X26" s="1704"/>
    </row>
    <row r="27" spans="1:24">
      <c r="A27" s="1650" t="str">
        <f>'WS-PP'!A3</f>
        <v>SOIL PHYSICAL PROPERTIES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335"/>
      <c r="B29" s="335"/>
      <c r="C29" s="335"/>
      <c r="D29" s="335"/>
      <c r="E29" s="335"/>
      <c r="F29" s="335"/>
      <c r="G29" s="335"/>
      <c r="H29" s="335"/>
      <c r="I29" s="338"/>
      <c r="J29" s="335"/>
      <c r="K29" s="335"/>
      <c r="L29" s="335"/>
      <c r="M29" s="335"/>
      <c r="N29" s="335"/>
      <c r="O29" s="335"/>
      <c r="P29" s="335"/>
      <c r="Q29" s="335"/>
      <c r="R29" s="335"/>
      <c r="S29" s="335"/>
      <c r="T29" s="335"/>
      <c r="U29" s="335"/>
      <c r="V29" s="335"/>
      <c r="W29" s="335"/>
      <c r="X29" s="335"/>
    </row>
    <row r="30" spans="1:24">
      <c r="A30" s="335"/>
      <c r="B30" s="335"/>
      <c r="C30" s="335"/>
      <c r="D30" s="335"/>
      <c r="E30" s="335"/>
      <c r="F30" s="335"/>
      <c r="G30" s="335"/>
      <c r="H30" s="335"/>
      <c r="I30" s="338"/>
      <c r="J30" s="335"/>
      <c r="K30" s="335"/>
      <c r="L30" s="335"/>
      <c r="M30" s="335"/>
      <c r="N30" s="335"/>
      <c r="O30" s="335"/>
      <c r="P30" s="335"/>
      <c r="Q30" s="335"/>
      <c r="R30" s="335"/>
      <c r="S30" s="335"/>
      <c r="T30" s="335"/>
      <c r="U30" s="335"/>
      <c r="V30" s="335"/>
      <c r="W30" s="335"/>
      <c r="X30" s="335"/>
    </row>
    <row r="31" spans="1:24">
      <c r="A31" s="335"/>
      <c r="B31" s="335"/>
      <c r="C31" s="335"/>
      <c r="D31" s="335"/>
      <c r="E31" s="335"/>
      <c r="F31" s="335"/>
      <c r="G31" s="335"/>
      <c r="H31" s="335"/>
      <c r="I31" s="338"/>
      <c r="J31" s="335"/>
      <c r="K31" s="335"/>
      <c r="L31" s="335"/>
      <c r="M31" s="335"/>
      <c r="N31" s="335"/>
      <c r="O31" s="335"/>
      <c r="P31" s="335"/>
      <c r="Q31" s="335"/>
      <c r="R31" s="335"/>
      <c r="S31" s="335"/>
      <c r="T31" s="335"/>
      <c r="U31" s="335"/>
      <c r="V31" s="335"/>
      <c r="W31" s="335"/>
      <c r="X31" s="335"/>
    </row>
    <row r="32" spans="1:24">
      <c r="A32" s="335"/>
      <c r="B32" s="335"/>
      <c r="C32" s="335"/>
      <c r="D32" s="335"/>
      <c r="E32" s="335"/>
      <c r="F32" s="335"/>
      <c r="G32" s="335"/>
      <c r="H32" s="335"/>
      <c r="I32" s="338"/>
      <c r="J32" s="335"/>
      <c r="K32" s="335"/>
      <c r="L32" s="335"/>
      <c r="M32" s="335"/>
      <c r="N32" s="335"/>
      <c r="O32" s="335"/>
      <c r="P32" s="335"/>
      <c r="Q32" s="335"/>
      <c r="R32" s="335"/>
      <c r="S32" s="335"/>
      <c r="T32" s="335"/>
      <c r="U32" s="335"/>
      <c r="V32" s="335"/>
      <c r="W32" s="335"/>
      <c r="X32" s="335"/>
    </row>
    <row r="33" spans="1:24">
      <c r="A33" s="335"/>
      <c r="B33" s="335"/>
      <c r="C33" s="335"/>
      <c r="D33" s="335"/>
      <c r="E33" s="335"/>
      <c r="F33" s="335"/>
      <c r="G33" s="335"/>
      <c r="H33" s="335"/>
      <c r="I33" s="338"/>
      <c r="J33" s="335"/>
      <c r="K33" s="335"/>
      <c r="L33" s="335"/>
      <c r="M33" s="335"/>
      <c r="N33" s="335"/>
      <c r="O33" s="335"/>
      <c r="P33" s="335"/>
      <c r="Q33" s="335"/>
      <c r="R33" s="335"/>
      <c r="S33" s="335"/>
      <c r="T33" s="335"/>
      <c r="U33" s="335"/>
      <c r="V33" s="335"/>
      <c r="W33" s="335"/>
      <c r="X33" s="335"/>
    </row>
    <row r="34" spans="1:24">
      <c r="A34" s="335"/>
      <c r="B34" s="335"/>
      <c r="C34" s="335"/>
      <c r="D34" s="335"/>
      <c r="E34" s="335"/>
      <c r="F34" s="335"/>
      <c r="G34" s="335"/>
      <c r="H34" s="335"/>
      <c r="I34" s="338"/>
      <c r="J34" s="335"/>
      <c r="K34" s="335"/>
      <c r="L34" s="335"/>
      <c r="M34" s="335"/>
      <c r="N34" s="335"/>
      <c r="O34" s="335"/>
      <c r="P34" s="335"/>
      <c r="Q34" s="335"/>
      <c r="R34" s="335"/>
      <c r="S34" s="335"/>
      <c r="T34" s="335"/>
      <c r="U34" s="335"/>
      <c r="V34" s="335"/>
      <c r="W34" s="335"/>
      <c r="X34" s="335"/>
    </row>
    <row r="35" spans="1:24">
      <c r="A35" s="335"/>
      <c r="B35" s="335"/>
      <c r="C35" s="335"/>
      <c r="D35" s="335"/>
      <c r="E35" s="335"/>
      <c r="F35" s="335"/>
      <c r="G35" s="335"/>
      <c r="H35" s="335"/>
      <c r="I35" s="338"/>
      <c r="J35" s="335"/>
      <c r="K35" s="335"/>
      <c r="L35" s="335"/>
      <c r="M35" s="335"/>
      <c r="N35" s="335"/>
      <c r="O35" s="335"/>
      <c r="P35" s="335"/>
      <c r="Q35" s="335"/>
      <c r="R35" s="335"/>
      <c r="S35" s="335"/>
      <c r="T35" s="335"/>
      <c r="U35" s="335"/>
      <c r="V35" s="335"/>
      <c r="W35" s="335"/>
      <c r="X35" s="335"/>
    </row>
    <row r="36" spans="1:24">
      <c r="A36" s="335"/>
      <c r="B36" s="335"/>
      <c r="C36" s="335"/>
      <c r="D36" s="335"/>
      <c r="E36" s="335"/>
      <c r="F36" s="335"/>
      <c r="G36" s="335"/>
      <c r="H36" s="335"/>
      <c r="I36" s="338"/>
      <c r="J36" s="335"/>
      <c r="K36" s="335"/>
      <c r="L36" s="335"/>
      <c r="M36" s="335"/>
      <c r="N36" s="335"/>
      <c r="O36" s="335"/>
      <c r="P36" s="335"/>
      <c r="Q36" s="335"/>
      <c r="R36" s="335"/>
      <c r="S36" s="335"/>
      <c r="T36" s="335"/>
      <c r="U36" s="335"/>
      <c r="V36" s="335"/>
      <c r="W36" s="335"/>
      <c r="X36" s="335"/>
    </row>
    <row r="60" spans="3:23">
      <c r="C60" s="1661" t="s">
        <v>623</v>
      </c>
      <c r="D60" s="1662"/>
      <c r="E60" s="1662"/>
      <c r="F60" s="1662"/>
      <c r="G60" s="1663"/>
      <c r="H60" s="1661" t="s">
        <v>292</v>
      </c>
      <c r="I60" s="1662"/>
      <c r="J60" s="1662"/>
      <c r="K60" s="1662"/>
      <c r="L60" s="1663"/>
      <c r="M60" s="1661" t="s">
        <v>294</v>
      </c>
      <c r="N60" s="1662"/>
      <c r="O60" s="1662"/>
      <c r="P60" s="1662"/>
      <c r="Q60" s="1662"/>
      <c r="R60" s="1663"/>
      <c r="T60" s="1285"/>
      <c r="U60" s="1286"/>
      <c r="V60" s="1286"/>
      <c r="W60" s="1287"/>
    </row>
    <row r="61" spans="3:23" ht="15.95" customHeight="1">
      <c r="C61" s="1645" t="s">
        <v>624</v>
      </c>
      <c r="D61" s="1646"/>
      <c r="E61" s="1646"/>
      <c r="F61" s="1646"/>
      <c r="G61" s="1647"/>
      <c r="H61" s="1651" t="s">
        <v>293</v>
      </c>
      <c r="I61" s="1652"/>
      <c r="J61" s="1652"/>
      <c r="K61" s="1652"/>
      <c r="L61" s="1653"/>
      <c r="M61" s="1651" t="s">
        <v>295</v>
      </c>
      <c r="N61" s="1652"/>
      <c r="O61" s="1652"/>
      <c r="P61" s="1652"/>
      <c r="Q61" s="1652"/>
      <c r="R61" s="1653"/>
      <c r="T61" s="1284"/>
      <c r="W61" s="1283"/>
    </row>
    <row r="62" spans="3:23" ht="15.95" customHeight="1">
      <c r="C62" s="1284"/>
      <c r="D62" s="359"/>
      <c r="E62" s="359"/>
      <c r="F62" s="359"/>
      <c r="G62" s="1299"/>
      <c r="H62" s="1284"/>
      <c r="I62"/>
      <c r="K62" s="4"/>
      <c r="L62" s="1283"/>
      <c r="M62" s="1284"/>
      <c r="R62" s="1283"/>
      <c r="T62" s="1284"/>
      <c r="W62" s="1283"/>
    </row>
    <row r="63" spans="3:23">
      <c r="C63" s="1284"/>
      <c r="G63" s="1283"/>
      <c r="H63" s="1284"/>
      <c r="I63"/>
      <c r="K63" s="4"/>
      <c r="L63" s="1283"/>
      <c r="M63" s="1284"/>
      <c r="R63" s="1283"/>
      <c r="T63" s="1284"/>
      <c r="W63" s="1283"/>
    </row>
    <row r="64" spans="3:23">
      <c r="C64" s="1284"/>
      <c r="G64" s="1283"/>
      <c r="H64" s="1284"/>
      <c r="I64"/>
      <c r="K64" s="4"/>
      <c r="L64" s="1283"/>
      <c r="M64" s="1284"/>
      <c r="R64" s="1283"/>
      <c r="T64" s="1284"/>
      <c r="W64" s="1283"/>
    </row>
    <row r="65" spans="1:24">
      <c r="C65" s="1631"/>
      <c r="D65" s="1632"/>
      <c r="E65" s="1632"/>
      <c r="F65" s="1632"/>
      <c r="G65" s="1633"/>
      <c r="H65" s="1631"/>
      <c r="I65" s="1632"/>
      <c r="J65" s="1632"/>
      <c r="K65" s="1632"/>
      <c r="L65" s="1633"/>
      <c r="M65" s="1631"/>
      <c r="N65" s="1632"/>
      <c r="O65" s="1632"/>
      <c r="P65" s="1632"/>
      <c r="Q65" s="1632"/>
      <c r="R65" s="1633"/>
      <c r="T65" s="1284"/>
      <c r="W65" s="1283"/>
    </row>
    <row r="66" spans="1:24" s="15" customFormat="1" ht="12">
      <c r="C66" s="1684" t="s">
        <v>299</v>
      </c>
      <c r="D66" s="1685"/>
      <c r="E66" s="1685"/>
      <c r="F66" s="1685"/>
      <c r="G66" s="1686"/>
      <c r="H66" s="1684" t="s">
        <v>305</v>
      </c>
      <c r="I66" s="1685"/>
      <c r="J66" s="1685"/>
      <c r="K66" s="1685"/>
      <c r="L66" s="1686"/>
      <c r="M66" s="1684" t="s">
        <v>298</v>
      </c>
      <c r="N66" s="1685"/>
      <c r="O66" s="1685"/>
      <c r="P66" s="1685"/>
      <c r="Q66" s="1685"/>
      <c r="R66" s="1686"/>
      <c r="S66" s="364"/>
      <c r="T66" s="1288"/>
      <c r="U66" s="364"/>
      <c r="V66" s="364"/>
      <c r="W66" s="1289"/>
      <c r="X66" s="364"/>
    </row>
    <row r="67" spans="1:24" ht="15.95" customHeight="1">
      <c r="C67" s="1687" t="s">
        <v>291</v>
      </c>
      <c r="D67" s="1688"/>
      <c r="E67" s="1710" t="e">
        <f>IF($M$7="","",$M$7-1)</f>
        <v>#VALUE!</v>
      </c>
      <c r="F67" s="1710"/>
      <c r="G67" s="1711"/>
      <c r="H67" s="1689" t="s">
        <v>291</v>
      </c>
      <c r="I67" s="1690"/>
      <c r="J67" s="1677" t="e">
        <f>IF($M$7="","",$M$7-1)</f>
        <v>#VALUE!</v>
      </c>
      <c r="K67" s="1677"/>
      <c r="L67" s="1678"/>
      <c r="M67" s="1689" t="s">
        <v>291</v>
      </c>
      <c r="N67" s="1690"/>
      <c r="O67" s="1690"/>
      <c r="P67" s="1677" t="e">
        <f>IF($M$7="","",$M$7-1)</f>
        <v>#VALUE!</v>
      </c>
      <c r="Q67" s="1677"/>
      <c r="R67" s="1678"/>
      <c r="T67" s="1290"/>
      <c r="U67" s="1282"/>
      <c r="V67" s="1282"/>
      <c r="W67" s="1291"/>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ht="15.95" customHeight="1">
      <c r="A71" s="1694"/>
      <c r="B71" s="1695"/>
      <c r="C71" s="1696"/>
      <c r="D71" s="966" t="s">
        <v>1395</v>
      </c>
      <c r="E71" s="923"/>
      <c r="F71" s="923"/>
      <c r="G71" s="923"/>
      <c r="H71" s="923"/>
      <c r="I71" s="923"/>
      <c r="J71" s="923"/>
      <c r="K71" s="923"/>
      <c r="L71" s="924"/>
      <c r="M71" s="953"/>
      <c r="N71" s="926" t="s">
        <v>1396</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943" t="str">
        <f>'DATA INDUK'!$BT$44</f>
        <v>23-MINEARTH-RM-LHU-DS-CD-R0</v>
      </c>
    </row>
    <row r="75" spans="1:24" s="326" customFormat="1" ht="15" customHeight="1">
      <c r="A75" s="361" t="s">
        <v>892</v>
      </c>
      <c r="B75" s="893"/>
      <c r="C75" s="893"/>
      <c r="D75" s="893"/>
      <c r="E75" s="893"/>
      <c r="F75" s="893"/>
      <c r="G75" s="893"/>
      <c r="H75" s="893"/>
      <c r="I75" s="894"/>
      <c r="J75" s="893"/>
      <c r="K75" s="361" t="s">
        <v>284</v>
      </c>
      <c r="L75" s="893"/>
      <c r="M75" s="893"/>
      <c r="N75" s="893"/>
      <c r="O75" s="893"/>
      <c r="P75" s="893"/>
      <c r="Q75" s="893"/>
      <c r="R75" s="893"/>
      <c r="S75" s="361" t="s">
        <v>285</v>
      </c>
      <c r="T75" s="893"/>
      <c r="U75" s="895"/>
      <c r="V75" s="893"/>
      <c r="W75" s="893"/>
      <c r="X75" s="893"/>
    </row>
    <row r="76" spans="1:24"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303</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c r="A83" s="329"/>
      <c r="B83" s="329"/>
      <c r="C83" s="329"/>
      <c r="D83" s="329"/>
      <c r="E83" s="329"/>
      <c r="F83" s="329"/>
      <c r="G83" s="329"/>
      <c r="H83" s="329"/>
      <c r="I83" s="654"/>
      <c r="J83" s="329"/>
      <c r="K83" s="329"/>
      <c r="L83" s="329"/>
      <c r="M83" s="329"/>
      <c r="N83" s="329"/>
      <c r="O83" s="329"/>
      <c r="P83" s="329"/>
      <c r="Q83" s="329"/>
      <c r="R83" s="329"/>
      <c r="S83" s="329"/>
      <c r="T83" s="329"/>
      <c r="U83" s="329"/>
      <c r="V83" s="329"/>
      <c r="W83" s="329"/>
      <c r="X83" s="329"/>
    </row>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1 dari 2"</f>
        <v>:  1 dari 2</v>
      </c>
      <c r="X85" s="1635"/>
    </row>
    <row r="86" spans="1:24" ht="8.1" customHeight="1"/>
    <row r="87" spans="1:24">
      <c r="A87" s="1679" t="s">
        <v>288</v>
      </c>
      <c r="B87" s="1679"/>
      <c r="C87" s="1679"/>
      <c r="D87" s="1679"/>
      <c r="E87" s="1679"/>
      <c r="F87" s="1679"/>
      <c r="G87" s="1679"/>
      <c r="H87" s="1679"/>
      <c r="I87" s="1679"/>
      <c r="J87" s="1679"/>
      <c r="K87" s="1679"/>
      <c r="L87" s="1679"/>
      <c r="M87" s="1679"/>
      <c r="N87" s="1679"/>
      <c r="O87" s="1679"/>
      <c r="P87" s="1679"/>
      <c r="Q87" s="1679"/>
      <c r="R87" s="1679"/>
      <c r="S87" s="1679"/>
      <c r="T87" s="1679"/>
      <c r="U87" s="1679"/>
      <c r="V87" s="1679"/>
      <c r="W87" s="1679"/>
      <c r="X87" s="1679"/>
    </row>
    <row r="140" spans="1:24">
      <c r="A140" s="700" t="s">
        <v>297</v>
      </c>
      <c r="B140" s="338"/>
      <c r="C140" s="338"/>
      <c r="D140" s="4"/>
      <c r="E140" s="4"/>
      <c r="F140" s="4"/>
      <c r="G140" s="4"/>
      <c r="H140" s="1661" t="s">
        <v>623</v>
      </c>
      <c r="I140" s="1662"/>
      <c r="J140" s="1662"/>
      <c r="K140" s="1663"/>
      <c r="L140" s="1661" t="s">
        <v>292</v>
      </c>
      <c r="M140" s="1662"/>
      <c r="N140" s="1662"/>
      <c r="O140" s="1663"/>
      <c r="P140" s="1661" t="s">
        <v>294</v>
      </c>
      <c r="Q140" s="1662"/>
      <c r="R140" s="1662"/>
      <c r="S140" s="1663"/>
      <c r="U140" s="1285"/>
      <c r="V140" s="1286"/>
      <c r="W140" s="1286"/>
      <c r="X140" s="1287"/>
    </row>
    <row r="141" spans="1:24" ht="15.95" customHeight="1">
      <c r="H141" s="1674" t="s">
        <v>624</v>
      </c>
      <c r="I141" s="1675"/>
      <c r="J141" s="1675"/>
      <c r="K141" s="1676"/>
      <c r="L141" s="1674" t="s">
        <v>293</v>
      </c>
      <c r="M141" s="1675"/>
      <c r="N141" s="1675"/>
      <c r="O141" s="1676"/>
      <c r="P141" s="1674" t="s">
        <v>295</v>
      </c>
      <c r="Q141" s="1675"/>
      <c r="R141" s="1675"/>
      <c r="S141" s="1676"/>
      <c r="U141" s="1284"/>
      <c r="X141" s="1283"/>
    </row>
    <row r="142" spans="1:24">
      <c r="H142" s="1664">
        <f>C65</f>
        <v>0</v>
      </c>
      <c r="I142" s="1665"/>
      <c r="J142" s="1665"/>
      <c r="K142" s="1666"/>
      <c r="L142" s="1284"/>
      <c r="O142" s="1294"/>
      <c r="P142" s="1284"/>
      <c r="S142" s="1283"/>
      <c r="U142" s="1284"/>
      <c r="X142" s="1283"/>
    </row>
    <row r="143" spans="1:24">
      <c r="H143" s="1664"/>
      <c r="I143" s="1665"/>
      <c r="J143" s="1665"/>
      <c r="K143" s="1666"/>
      <c r="L143" s="1284"/>
      <c r="O143" s="1294"/>
      <c r="P143" s="1284"/>
      <c r="S143" s="1283"/>
      <c r="U143" s="1284"/>
      <c r="X143" s="1283"/>
    </row>
    <row r="144" spans="1:24">
      <c r="H144" s="1664"/>
      <c r="I144" s="1665"/>
      <c r="J144" s="1665"/>
      <c r="K144" s="1666"/>
      <c r="L144" s="1284"/>
      <c r="O144" s="1294"/>
      <c r="P144" s="1284"/>
      <c r="S144" s="1283"/>
      <c r="U144" s="1284"/>
      <c r="X144" s="1283"/>
    </row>
    <row r="145" spans="1:27">
      <c r="H145" s="1664"/>
      <c r="I145" s="1665"/>
      <c r="J145" s="1665"/>
      <c r="K145" s="1666"/>
      <c r="L145" s="1664">
        <f>H65</f>
        <v>0</v>
      </c>
      <c r="M145" s="1665"/>
      <c r="N145" s="1665"/>
      <c r="O145" s="1666"/>
      <c r="P145" s="1664">
        <f>M65</f>
        <v>0</v>
      </c>
      <c r="Q145" s="1665"/>
      <c r="R145" s="1665"/>
      <c r="S145" s="1666"/>
      <c r="U145" s="1284"/>
      <c r="X145" s="1283"/>
    </row>
    <row r="146" spans="1:27">
      <c r="H146" s="1667" t="str">
        <f>C66</f>
        <v>Teknisi/Analis</v>
      </c>
      <c r="I146" s="1668"/>
      <c r="J146" s="1668"/>
      <c r="K146" s="1669"/>
      <c r="L146" s="1667" t="str">
        <f>H66</f>
        <v>Koordinator Teknis</v>
      </c>
      <c r="M146" s="1668"/>
      <c r="N146" s="1668"/>
      <c r="O146" s="1669"/>
      <c r="P146" s="1667" t="str">
        <f>M66</f>
        <v>Kepala Laboratorium</v>
      </c>
      <c r="Q146" s="1668"/>
      <c r="R146" s="1668"/>
      <c r="S146" s="1669"/>
      <c r="U146" s="1295"/>
      <c r="V146" s="358"/>
      <c r="W146" s="358"/>
      <c r="X146" s="1296"/>
      <c r="Y146" s="358"/>
      <c r="Z146" s="358"/>
      <c r="AA146" s="358"/>
    </row>
    <row r="147" spans="1:27" ht="15.95" customHeight="1">
      <c r="H147" s="1672" t="s">
        <v>291</v>
      </c>
      <c r="I147" s="1673"/>
      <c r="J147" s="1670" t="e">
        <f>E67</f>
        <v>#VALUE!</v>
      </c>
      <c r="K147" s="1671"/>
      <c r="L147" s="1659" t="s">
        <v>300</v>
      </c>
      <c r="M147" s="1660"/>
      <c r="N147" s="1657" t="e">
        <f>J67</f>
        <v>#VALUE!</v>
      </c>
      <c r="O147" s="1658"/>
      <c r="P147" s="1672" t="s">
        <v>301</v>
      </c>
      <c r="Q147" s="1673"/>
      <c r="R147" s="1677" t="e">
        <f>P67</f>
        <v>#VALUE!</v>
      </c>
      <c r="S147" s="1678"/>
      <c r="U147" s="1297"/>
      <c r="V147" s="1293"/>
      <c r="W147" s="1293"/>
      <c r="X147" s="1298"/>
    </row>
    <row r="148" spans="1:27" ht="8.1" customHeight="1"/>
    <row r="149" spans="1:27" ht="18" customHeight="1">
      <c r="B149" s="356"/>
      <c r="C149" s="356"/>
      <c r="D149" s="356"/>
      <c r="E149" s="356"/>
      <c r="T149" s="684" t="e">
        <f>#REF!</f>
        <v>#REF!</v>
      </c>
      <c r="U149" s="367"/>
      <c r="V149" s="367"/>
      <c r="W149" s="367"/>
      <c r="X149" s="367"/>
    </row>
    <row r="150" spans="1:27" ht="18" customHeight="1">
      <c r="A150" s="362"/>
      <c r="B150" s="362"/>
      <c r="C150" s="362"/>
      <c r="D150" s="362"/>
      <c r="E150" s="362"/>
    </row>
    <row r="151" spans="1:27" ht="8.1" customHeight="1"/>
  </sheetData>
  <mergeCells count="84">
    <mergeCell ref="A69:C73"/>
    <mergeCell ref="M85:Q85"/>
    <mergeCell ref="F1:T1"/>
    <mergeCell ref="F2:T2"/>
    <mergeCell ref="F3:T3"/>
    <mergeCell ref="N12:X12"/>
    <mergeCell ref="M60:R60"/>
    <mergeCell ref="H60:L60"/>
    <mergeCell ref="C60:G60"/>
    <mergeCell ref="V26:X27"/>
    <mergeCell ref="U26:U27"/>
    <mergeCell ref="A26:T26"/>
    <mergeCell ref="A6:D6"/>
    <mergeCell ref="A9:L9"/>
    <mergeCell ref="A12:L12"/>
    <mergeCell ref="E67:G67"/>
    <mergeCell ref="J67:L67"/>
    <mergeCell ref="M66:R66"/>
    <mergeCell ref="C66:G66"/>
    <mergeCell ref="H66:L66"/>
    <mergeCell ref="P67:R67"/>
    <mergeCell ref="C67:D67"/>
    <mergeCell ref="H67:I67"/>
    <mergeCell ref="M67:O67"/>
    <mergeCell ref="A84:D84"/>
    <mergeCell ref="A85:D85"/>
    <mergeCell ref="F79:T79"/>
    <mergeCell ref="F80:T80"/>
    <mergeCell ref="F81:T81"/>
    <mergeCell ref="A87:X87"/>
    <mergeCell ref="H140:K140"/>
    <mergeCell ref="T85:V85"/>
    <mergeCell ref="W85:X85"/>
    <mergeCell ref="H141:K141"/>
    <mergeCell ref="P147:Q147"/>
    <mergeCell ref="R147:S147"/>
    <mergeCell ref="P140:S140"/>
    <mergeCell ref="P141:S141"/>
    <mergeCell ref="P145:S145"/>
    <mergeCell ref="P146:S146"/>
    <mergeCell ref="N147:O147"/>
    <mergeCell ref="L147:M147"/>
    <mergeCell ref="L140:O140"/>
    <mergeCell ref="H142:K145"/>
    <mergeCell ref="H146:K146"/>
    <mergeCell ref="J147:K147"/>
    <mergeCell ref="H147:I147"/>
    <mergeCell ref="L141:O141"/>
    <mergeCell ref="L145:O145"/>
    <mergeCell ref="L146:O146"/>
    <mergeCell ref="T7:V7"/>
    <mergeCell ref="W7:X7"/>
    <mergeCell ref="S15:X16"/>
    <mergeCell ref="A27:T27"/>
    <mergeCell ref="H61:L61"/>
    <mergeCell ref="M61:R61"/>
    <mergeCell ref="A7:D7"/>
    <mergeCell ref="S14:X14"/>
    <mergeCell ref="S17:X17"/>
    <mergeCell ref="A17:L17"/>
    <mergeCell ref="E19:L20"/>
    <mergeCell ref="C65:G65"/>
    <mergeCell ref="A13:D13"/>
    <mergeCell ref="C61:G61"/>
    <mergeCell ref="A14:D14"/>
    <mergeCell ref="E14:L14"/>
    <mergeCell ref="E13:L13"/>
    <mergeCell ref="H65:L65"/>
    <mergeCell ref="M65:R65"/>
    <mergeCell ref="A21:D22"/>
    <mergeCell ref="A19:D20"/>
    <mergeCell ref="M7:Q7"/>
    <mergeCell ref="S18:X19"/>
    <mergeCell ref="S20:X21"/>
    <mergeCell ref="E21:L22"/>
    <mergeCell ref="N13:R13"/>
    <mergeCell ref="N14:R14"/>
    <mergeCell ref="N17:R17"/>
    <mergeCell ref="N18:R19"/>
    <mergeCell ref="N20:R21"/>
    <mergeCell ref="N22:R23"/>
    <mergeCell ref="N15:R16"/>
    <mergeCell ref="S22:X23"/>
    <mergeCell ref="S13:X13"/>
  </mergeCells>
  <pageMargins left="0.72" right="0.47" top="0.59" bottom="0.51" header="0.28000000000000003" footer="0.28000000000000003"/>
  <pageSetup paperSize="9" scale="69" orientation="portrait" r:id="rId1"/>
  <rowBreaks count="1" manualBreakCount="1">
    <brk id="78" max="2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E1CD-B645-C040-AAE5-C8F6C4C7E831}">
  <sheetPr>
    <tabColor rgb="FFFF0000"/>
  </sheetPr>
  <dimension ref="A1:BT304"/>
  <sheetViews>
    <sheetView tabSelected="1" topLeftCell="BF42" zoomScale="53" zoomScaleNormal="53" workbookViewId="0">
      <selection activeCell="BS54" sqref="BS54"/>
    </sheetView>
  </sheetViews>
  <sheetFormatPr defaultColWidth="11" defaultRowHeight="14.25"/>
  <cols>
    <col min="1" max="2" width="11" style="591"/>
    <col min="3" max="3" width="15.625" style="591" customWidth="1"/>
    <col min="4" max="4" width="21.375" style="591" customWidth="1"/>
    <col min="5" max="5" width="15.625" style="591" customWidth="1"/>
    <col min="6" max="6" width="13.5" style="591" customWidth="1"/>
    <col min="7" max="7" width="11" style="591"/>
    <col min="8" max="9" width="24.625" style="591" customWidth="1"/>
    <col min="10" max="10" width="14.375" style="591" customWidth="1"/>
    <col min="11" max="12" width="11" style="591"/>
    <col min="13" max="13" width="33.625" style="591" customWidth="1"/>
    <col min="14" max="37" width="6.875" style="591" customWidth="1"/>
    <col min="38" max="39" width="11" style="591"/>
    <col min="40" max="63" width="5.875" style="591" customWidth="1"/>
    <col min="64" max="68" width="11" style="591"/>
    <col min="69" max="69" width="14.125" style="591" customWidth="1"/>
    <col min="70" max="70" width="23.375" style="591" customWidth="1"/>
    <col min="71" max="71" width="20.375" style="591" customWidth="1"/>
    <col min="72" max="72" width="31.375" style="591" bestFit="1" customWidth="1"/>
    <col min="73" max="16384" width="11" style="591"/>
  </cols>
  <sheetData>
    <row r="1" spans="2:24" ht="35.1" customHeight="1"/>
    <row r="2" spans="2:24" ht="35.1" customHeight="1">
      <c r="B2" s="1716" t="s">
        <v>695</v>
      </c>
      <c r="C2" s="1716"/>
      <c r="D2" s="1716"/>
      <c r="E2" s="1716"/>
      <c r="F2" s="1716"/>
      <c r="G2" s="1716"/>
      <c r="H2" s="592" t="s">
        <v>1179</v>
      </c>
      <c r="I2" s="592"/>
      <c r="J2" s="592"/>
      <c r="K2" s="592"/>
      <c r="L2" s="592"/>
      <c r="M2" s="592"/>
      <c r="N2" s="592"/>
      <c r="O2" s="592"/>
    </row>
    <row r="3" spans="2:24" ht="35.1" customHeight="1">
      <c r="B3" s="1716" t="s">
        <v>691</v>
      </c>
      <c r="C3" s="1716"/>
      <c r="D3" s="1716"/>
      <c r="E3" s="1716"/>
      <c r="F3" s="1716"/>
      <c r="G3" s="1716"/>
      <c r="H3" s="592" t="s">
        <v>1178</v>
      </c>
      <c r="I3" s="592"/>
      <c r="J3" s="592"/>
      <c r="K3" s="592"/>
      <c r="L3" s="592"/>
      <c r="M3" s="592"/>
      <c r="N3" s="592"/>
      <c r="O3" s="592"/>
    </row>
    <row r="4" spans="2:24" ht="35.1" customHeight="1">
      <c r="B4" s="1716" t="s">
        <v>682</v>
      </c>
      <c r="C4" s="1716"/>
      <c r="D4" s="1716"/>
      <c r="E4" s="1716"/>
      <c r="F4" s="1716"/>
      <c r="G4" s="1716"/>
      <c r="H4" s="592" t="s">
        <v>1180</v>
      </c>
      <c r="I4" s="592"/>
      <c r="J4" s="592"/>
      <c r="K4" s="592"/>
      <c r="L4" s="592"/>
      <c r="M4" s="592"/>
      <c r="N4" s="592"/>
      <c r="O4" s="592"/>
    </row>
    <row r="5" spans="2:24" ht="35.1" customHeight="1">
      <c r="B5" s="1716" t="s">
        <v>569</v>
      </c>
      <c r="C5" s="1716"/>
      <c r="D5" s="1716"/>
      <c r="E5" s="1716"/>
      <c r="F5" s="1716" t="s">
        <v>683</v>
      </c>
      <c r="G5" s="1716"/>
      <c r="H5" s="592"/>
      <c r="I5" s="592"/>
      <c r="J5" s="592"/>
      <c r="K5" s="592"/>
      <c r="L5" s="592"/>
      <c r="M5" s="592"/>
      <c r="N5" s="592"/>
      <c r="O5" s="592"/>
    </row>
    <row r="6" spans="2:24" ht="35.1" customHeight="1">
      <c r="B6" s="1213"/>
      <c r="C6" s="1213"/>
      <c r="D6" s="1213"/>
      <c r="E6" s="1213"/>
      <c r="F6" s="1727" t="s">
        <v>696</v>
      </c>
      <c r="G6" s="1727"/>
      <c r="H6" s="592" t="s">
        <v>1181</v>
      </c>
      <c r="I6" s="592"/>
      <c r="J6" s="592"/>
      <c r="K6" s="592"/>
      <c r="L6" s="592"/>
      <c r="M6" s="592"/>
      <c r="N6" s="592"/>
      <c r="O6" s="592"/>
    </row>
    <row r="7" spans="2:24" ht="35.1" customHeight="1">
      <c r="B7" s="1716" t="s">
        <v>692</v>
      </c>
      <c r="C7" s="1716"/>
      <c r="D7" s="1716"/>
      <c r="E7" s="1716"/>
      <c r="F7" s="1716"/>
      <c r="G7" s="1716"/>
      <c r="H7" s="592"/>
      <c r="I7" s="592"/>
      <c r="J7" s="592"/>
      <c r="K7" s="592"/>
      <c r="L7" s="592"/>
      <c r="M7" s="592"/>
      <c r="N7" s="592"/>
      <c r="O7" s="592"/>
    </row>
    <row r="8" spans="2:24" ht="35.1" customHeight="1">
      <c r="B8" s="1716" t="s">
        <v>693</v>
      </c>
      <c r="C8" s="1716"/>
      <c r="D8" s="1716"/>
      <c r="E8" s="1716"/>
      <c r="F8" s="1716"/>
      <c r="G8" s="1716"/>
      <c r="H8" s="592"/>
      <c r="I8" s="592"/>
      <c r="J8" s="592"/>
      <c r="K8" s="592"/>
      <c r="L8" s="592"/>
      <c r="M8" s="592"/>
      <c r="N8" s="592"/>
      <c r="O8" s="592"/>
    </row>
    <row r="9" spans="2:24" ht="35.1" customHeight="1">
      <c r="B9" s="1716" t="s">
        <v>684</v>
      </c>
      <c r="C9" s="1716"/>
      <c r="D9" s="1716"/>
      <c r="E9" s="1716"/>
      <c r="F9" s="1716"/>
      <c r="G9" s="1716"/>
      <c r="H9" s="1211" t="s">
        <v>1182</v>
      </c>
      <c r="I9" s="1211"/>
      <c r="J9" s="592"/>
      <c r="K9" s="592"/>
      <c r="L9" s="592"/>
      <c r="M9" s="592"/>
      <c r="N9" s="592"/>
      <c r="O9" s="592"/>
      <c r="W9" s="116"/>
      <c r="X9" s="116"/>
    </row>
    <row r="10" spans="2:24" ht="35.1" customHeight="1">
      <c r="B10" s="1716" t="s">
        <v>685</v>
      </c>
      <c r="C10" s="1716"/>
      <c r="D10" s="1716"/>
      <c r="E10" s="1716"/>
      <c r="F10" s="1716"/>
      <c r="G10" s="1716"/>
      <c r="H10" s="592"/>
      <c r="I10" s="592"/>
      <c r="J10" s="592"/>
      <c r="K10" s="592"/>
      <c r="L10" s="592"/>
      <c r="M10" s="592"/>
      <c r="N10" s="592"/>
      <c r="O10" s="592"/>
      <c r="W10"/>
      <c r="X10"/>
    </row>
    <row r="11" spans="2:24" ht="35.1" customHeight="1">
      <c r="B11" s="1716" t="s">
        <v>1171</v>
      </c>
      <c r="C11" s="1716"/>
      <c r="D11" s="1716"/>
      <c r="E11" s="1716"/>
      <c r="F11" s="1716"/>
      <c r="G11" s="1716"/>
      <c r="H11" s="1211">
        <v>1</v>
      </c>
      <c r="I11" s="1211"/>
      <c r="J11" s="592"/>
      <c r="K11" s="592"/>
      <c r="L11" s="592"/>
      <c r="M11" s="592"/>
      <c r="N11" s="592"/>
      <c r="O11" s="592"/>
      <c r="W11"/>
      <c r="X11"/>
    </row>
    <row r="12" spans="2:24" ht="35.1" customHeight="1">
      <c r="B12" s="1728" t="s">
        <v>1172</v>
      </c>
      <c r="C12" s="1728"/>
      <c r="D12" s="1728"/>
      <c r="E12" s="1728"/>
      <c r="F12" s="1728"/>
      <c r="G12" s="1728"/>
      <c r="H12" s="1211">
        <v>2026</v>
      </c>
      <c r="I12" s="1211"/>
      <c r="J12" s="592"/>
      <c r="K12" s="592"/>
      <c r="L12" s="592"/>
      <c r="M12" s="592"/>
      <c r="N12" s="592"/>
      <c r="O12" s="592"/>
      <c r="W12"/>
      <c r="X12"/>
    </row>
    <row r="13" spans="2:24" ht="35.1" customHeight="1">
      <c r="B13" s="1716" t="s">
        <v>686</v>
      </c>
      <c r="C13" s="1716"/>
      <c r="D13" s="1716"/>
      <c r="E13" s="1716"/>
      <c r="F13" s="1716"/>
      <c r="G13" s="1716"/>
      <c r="H13" s="1212">
        <v>46027</v>
      </c>
      <c r="I13" s="1212"/>
      <c r="J13" s="592"/>
      <c r="K13" s="592"/>
      <c r="L13" s="592"/>
      <c r="M13" s="592"/>
      <c r="N13" s="592"/>
      <c r="O13" s="592"/>
      <c r="W13"/>
      <c r="X13"/>
    </row>
    <row r="14" spans="2:24" ht="35.1" customHeight="1">
      <c r="B14" s="1716" t="s">
        <v>688</v>
      </c>
      <c r="C14" s="1716"/>
      <c r="D14" s="1716"/>
      <c r="E14" s="1716"/>
      <c r="F14" s="1716"/>
      <c r="G14" s="1716"/>
      <c r="H14" s="592"/>
      <c r="I14" s="592"/>
      <c r="J14" s="592"/>
      <c r="K14" s="592"/>
      <c r="L14" s="592"/>
      <c r="M14" s="592"/>
      <c r="N14" s="592"/>
      <c r="O14" s="592"/>
    </row>
    <row r="15" spans="2:24" ht="9.9499999999999993" customHeight="1">
      <c r="B15" s="1214"/>
      <c r="C15" s="1213"/>
      <c r="D15" s="1213"/>
      <c r="E15" s="1213"/>
      <c r="F15" s="1214"/>
      <c r="G15" s="1213"/>
      <c r="H15" s="592"/>
      <c r="I15" s="592"/>
      <c r="J15" s="592"/>
      <c r="K15" s="592"/>
      <c r="L15" s="592"/>
      <c r="M15" s="592"/>
      <c r="N15" s="592"/>
      <c r="O15" s="592"/>
    </row>
    <row r="16" spans="2:24" ht="35.1" customHeight="1">
      <c r="B16" s="1723" t="s">
        <v>689</v>
      </c>
      <c r="C16" s="1723"/>
      <c r="D16" s="1723"/>
      <c r="E16" s="1723"/>
      <c r="F16" s="1723"/>
      <c r="G16" s="1723"/>
      <c r="H16" s="592"/>
      <c r="I16" s="592"/>
      <c r="J16" s="592"/>
      <c r="K16" s="592"/>
      <c r="L16" s="592"/>
      <c r="M16" s="592"/>
      <c r="N16" s="592"/>
      <c r="O16" s="592"/>
    </row>
    <row r="17" spans="1:72" ht="35.1" customHeight="1">
      <c r="B17" s="1726" t="s">
        <v>690</v>
      </c>
      <c r="C17" s="1726"/>
      <c r="D17" s="1726"/>
      <c r="E17" s="1726"/>
      <c r="F17" s="1726"/>
      <c r="G17" s="1726"/>
      <c r="H17" s="592" t="s">
        <v>1195</v>
      </c>
      <c r="I17" s="592"/>
      <c r="J17" s="592"/>
      <c r="K17" s="592"/>
      <c r="L17" s="592"/>
      <c r="M17" s="592"/>
      <c r="N17" s="592"/>
      <c r="O17" s="592"/>
    </row>
    <row r="18" spans="1:72" ht="35.1" customHeight="1">
      <c r="B18" s="1726" t="s">
        <v>702</v>
      </c>
      <c r="C18" s="1726"/>
      <c r="D18" s="1726"/>
      <c r="E18" s="1726"/>
      <c r="F18" s="1726"/>
      <c r="G18" s="1726"/>
      <c r="H18" s="592" t="s">
        <v>472</v>
      </c>
      <c r="I18" s="592"/>
      <c r="J18" s="592"/>
      <c r="K18" s="592"/>
      <c r="L18" s="592"/>
      <c r="M18" s="592"/>
      <c r="N18" s="592"/>
      <c r="O18" s="592"/>
    </row>
    <row r="19" spans="1:72" ht="35.1" customHeight="1">
      <c r="B19" s="1726" t="s">
        <v>570</v>
      </c>
      <c r="C19" s="1726"/>
      <c r="D19" s="1726"/>
      <c r="E19" s="1726"/>
      <c r="F19" s="1726"/>
      <c r="G19" s="1726"/>
      <c r="H19" s="1212">
        <v>46051</v>
      </c>
      <c r="I19" s="1212"/>
      <c r="J19" s="592"/>
      <c r="K19" s="592"/>
      <c r="L19" s="592"/>
      <c r="M19" s="592"/>
      <c r="N19" s="592"/>
      <c r="O19" s="592"/>
    </row>
    <row r="20" spans="1:72" ht="15" customHeight="1">
      <c r="B20" s="651"/>
      <c r="F20" s="651"/>
      <c r="G20" s="592"/>
      <c r="H20" s="655"/>
      <c r="I20" s="655"/>
      <c r="J20" s="592"/>
      <c r="K20" s="592"/>
      <c r="L20" s="592"/>
      <c r="M20" s="592"/>
      <c r="N20" s="592"/>
      <c r="O20" s="592"/>
    </row>
    <row r="21" spans="1:72" ht="35.1" customHeight="1">
      <c r="B21" s="1725" t="s">
        <v>694</v>
      </c>
      <c r="C21" s="1725"/>
      <c r="D21" s="1725"/>
      <c r="E21" s="1725"/>
      <c r="F21" s="1725"/>
      <c r="G21" s="1725"/>
      <c r="H21" s="655"/>
      <c r="I21" s="655"/>
      <c r="J21" s="592"/>
      <c r="K21" s="592"/>
      <c r="L21" s="592"/>
      <c r="M21" s="592"/>
      <c r="N21" s="592"/>
      <c r="O21" s="592"/>
    </row>
    <row r="22" spans="1:72" ht="35.1" customHeight="1">
      <c r="B22" s="1719" t="s">
        <v>606</v>
      </c>
      <c r="C22" s="1718" t="s">
        <v>687</v>
      </c>
      <c r="D22" s="1720" t="s">
        <v>1177</v>
      </c>
      <c r="E22" s="1717" t="s">
        <v>1175</v>
      </c>
      <c r="F22" s="1724" t="s">
        <v>607</v>
      </c>
      <c r="G22" s="1724" t="s">
        <v>681</v>
      </c>
      <c r="H22" s="1718" t="s">
        <v>608</v>
      </c>
      <c r="I22" s="1712" t="s">
        <v>1579</v>
      </c>
      <c r="J22" s="1719" t="s">
        <v>609</v>
      </c>
      <c r="K22" s="1719"/>
      <c r="L22" s="1719"/>
      <c r="M22" s="1731" t="s">
        <v>1499</v>
      </c>
      <c r="N22" s="1715" t="s">
        <v>633</v>
      </c>
      <c r="O22" s="1715" t="s">
        <v>47</v>
      </c>
      <c r="P22" s="1715" t="s">
        <v>634</v>
      </c>
      <c r="Q22" s="1715" t="s">
        <v>635</v>
      </c>
      <c r="R22" s="1715" t="s">
        <v>417</v>
      </c>
      <c r="S22" s="1715" t="s">
        <v>636</v>
      </c>
      <c r="T22" s="1730" t="s">
        <v>610</v>
      </c>
      <c r="U22" s="1730"/>
      <c r="V22" s="1729" t="s">
        <v>611</v>
      </c>
      <c r="W22" s="1729" t="s">
        <v>91</v>
      </c>
      <c r="X22" s="1729" t="s">
        <v>612</v>
      </c>
      <c r="Y22" s="1730" t="s">
        <v>613</v>
      </c>
      <c r="Z22" s="1730"/>
      <c r="AA22" s="1730"/>
      <c r="AB22" s="1730"/>
      <c r="AC22" s="1730"/>
      <c r="AD22" s="1730" t="s">
        <v>614</v>
      </c>
      <c r="AE22" s="1730"/>
      <c r="AF22" s="1730"/>
      <c r="AG22" s="1730"/>
      <c r="AH22" s="1730" t="s">
        <v>615</v>
      </c>
      <c r="AI22" s="1730"/>
      <c r="AJ22" s="1729" t="s">
        <v>699</v>
      </c>
      <c r="AK22" s="1729" t="s">
        <v>700</v>
      </c>
      <c r="AN22" s="1715" t="s">
        <v>633</v>
      </c>
      <c r="AO22" s="1715" t="s">
        <v>47</v>
      </c>
      <c r="AP22" s="1715" t="s">
        <v>634</v>
      </c>
      <c r="AQ22" s="1715" t="s">
        <v>635</v>
      </c>
      <c r="AR22" s="1715" t="s">
        <v>417</v>
      </c>
      <c r="AS22" s="1715" t="s">
        <v>636</v>
      </c>
      <c r="AT22" s="1730" t="s">
        <v>610</v>
      </c>
      <c r="AU22" s="1730"/>
      <c r="AV22" s="1715" t="s">
        <v>611</v>
      </c>
      <c r="AW22" s="1715" t="s">
        <v>91</v>
      </c>
      <c r="AX22" s="1715" t="s">
        <v>612</v>
      </c>
      <c r="AY22" s="1730" t="s">
        <v>613</v>
      </c>
      <c r="AZ22" s="1730"/>
      <c r="BA22" s="1730"/>
      <c r="BB22" s="1730"/>
      <c r="BC22" s="1730"/>
      <c r="BD22" s="1730" t="s">
        <v>614</v>
      </c>
      <c r="BE22" s="1730"/>
      <c r="BF22" s="1730"/>
      <c r="BG22" s="1730"/>
      <c r="BH22" s="1730" t="s">
        <v>615</v>
      </c>
      <c r="BI22" s="1730"/>
      <c r="BJ22" s="1729" t="s">
        <v>699</v>
      </c>
      <c r="BK22" s="1729" t="s">
        <v>700</v>
      </c>
    </row>
    <row r="23" spans="1:72" ht="35.1" customHeight="1">
      <c r="B23" s="1719"/>
      <c r="C23" s="1718"/>
      <c r="D23" s="1721"/>
      <c r="E23" s="1717"/>
      <c r="F23" s="1724"/>
      <c r="G23" s="1724"/>
      <c r="H23" s="1718"/>
      <c r="I23" s="1713"/>
      <c r="J23" s="1718" t="s">
        <v>1176</v>
      </c>
      <c r="K23" s="1724" t="s">
        <v>616</v>
      </c>
      <c r="L23" s="1724" t="s">
        <v>617</v>
      </c>
      <c r="M23" s="1731"/>
      <c r="N23" s="1715"/>
      <c r="O23" s="1715"/>
      <c r="P23" s="1715"/>
      <c r="Q23" s="1715"/>
      <c r="R23" s="1715"/>
      <c r="S23" s="1715"/>
      <c r="T23" s="1729" t="s">
        <v>637</v>
      </c>
      <c r="U23" s="1729" t="s">
        <v>618</v>
      </c>
      <c r="V23" s="1729"/>
      <c r="W23" s="1729"/>
      <c r="X23" s="1729"/>
      <c r="Y23" s="1729" t="s">
        <v>638</v>
      </c>
      <c r="Z23" s="1729" t="s">
        <v>639</v>
      </c>
      <c r="AA23" s="1729" t="s">
        <v>640</v>
      </c>
      <c r="AB23" s="1729" t="s">
        <v>697</v>
      </c>
      <c r="AC23" s="1729" t="s">
        <v>698</v>
      </c>
      <c r="AD23" s="1729" t="s">
        <v>619</v>
      </c>
      <c r="AE23" s="1729" t="s">
        <v>789</v>
      </c>
      <c r="AF23" s="1729" t="s">
        <v>790</v>
      </c>
      <c r="AG23" s="1729" t="s">
        <v>620</v>
      </c>
      <c r="AH23" s="1729" t="s">
        <v>621</v>
      </c>
      <c r="AI23" s="1729" t="s">
        <v>622</v>
      </c>
      <c r="AJ23" s="1729"/>
      <c r="AK23" s="1729"/>
      <c r="AN23" s="1715"/>
      <c r="AO23" s="1715"/>
      <c r="AP23" s="1715"/>
      <c r="AQ23" s="1715"/>
      <c r="AR23" s="1715"/>
      <c r="AS23" s="1715"/>
      <c r="AT23" s="1729" t="s">
        <v>637</v>
      </c>
      <c r="AU23" s="1729" t="s">
        <v>618</v>
      </c>
      <c r="AV23" s="1715"/>
      <c r="AW23" s="1715"/>
      <c r="AX23" s="1715"/>
      <c r="AY23" s="1729" t="s">
        <v>638</v>
      </c>
      <c r="AZ23" s="1729" t="s">
        <v>639</v>
      </c>
      <c r="BA23" s="1729" t="s">
        <v>640</v>
      </c>
      <c r="BB23" s="1729" t="s">
        <v>697</v>
      </c>
      <c r="BC23" s="1729" t="s">
        <v>698</v>
      </c>
      <c r="BD23" s="1729" t="s">
        <v>619</v>
      </c>
      <c r="BE23" s="1729" t="s">
        <v>789</v>
      </c>
      <c r="BF23" s="1729" t="s">
        <v>790</v>
      </c>
      <c r="BG23" s="1729" t="s">
        <v>620</v>
      </c>
      <c r="BH23" s="1729" t="s">
        <v>621</v>
      </c>
      <c r="BI23" s="1729" t="s">
        <v>622</v>
      </c>
      <c r="BJ23" s="1729"/>
      <c r="BK23" s="1729"/>
    </row>
    <row r="24" spans="1:72" ht="35.1" customHeight="1">
      <c r="B24" s="1719"/>
      <c r="C24" s="1718"/>
      <c r="D24" s="1721"/>
      <c r="E24" s="1717"/>
      <c r="F24" s="1724"/>
      <c r="G24" s="1724"/>
      <c r="H24" s="1718"/>
      <c r="I24" s="1713"/>
      <c r="J24" s="1718"/>
      <c r="K24" s="1724"/>
      <c r="L24" s="1724"/>
      <c r="M24" s="1731"/>
      <c r="N24" s="1715"/>
      <c r="O24" s="1715"/>
      <c r="P24" s="1715"/>
      <c r="Q24" s="1715"/>
      <c r="R24" s="1715"/>
      <c r="S24" s="1715"/>
      <c r="T24" s="1729"/>
      <c r="U24" s="1729"/>
      <c r="V24" s="1729"/>
      <c r="W24" s="1729"/>
      <c r="X24" s="1729"/>
      <c r="Y24" s="1729"/>
      <c r="Z24" s="1729"/>
      <c r="AA24" s="1729"/>
      <c r="AB24" s="1729"/>
      <c r="AC24" s="1729"/>
      <c r="AD24" s="1729"/>
      <c r="AE24" s="1729"/>
      <c r="AF24" s="1729"/>
      <c r="AG24" s="1729"/>
      <c r="AH24" s="1729"/>
      <c r="AI24" s="1729"/>
      <c r="AJ24" s="1729"/>
      <c r="AK24" s="1729"/>
      <c r="AN24" s="1715"/>
      <c r="AO24" s="1715"/>
      <c r="AP24" s="1715"/>
      <c r="AQ24" s="1715"/>
      <c r="AR24" s="1715"/>
      <c r="AS24" s="1715"/>
      <c r="AT24" s="1729"/>
      <c r="AU24" s="1729"/>
      <c r="AV24" s="1715"/>
      <c r="AW24" s="1715"/>
      <c r="AX24" s="1715"/>
      <c r="AY24" s="1729"/>
      <c r="AZ24" s="1729"/>
      <c r="BA24" s="1729"/>
      <c r="BB24" s="1729"/>
      <c r="BC24" s="1729"/>
      <c r="BD24" s="1729"/>
      <c r="BE24" s="1729"/>
      <c r="BF24" s="1729"/>
      <c r="BG24" s="1729"/>
      <c r="BH24" s="1729"/>
      <c r="BI24" s="1729"/>
      <c r="BJ24" s="1729"/>
      <c r="BK24" s="1729"/>
    </row>
    <row r="25" spans="1:72" ht="35.1" customHeight="1">
      <c r="B25" s="1719"/>
      <c r="C25" s="1718"/>
      <c r="D25" s="1722"/>
      <c r="E25" s="1717"/>
      <c r="F25" s="1724"/>
      <c r="G25" s="1724"/>
      <c r="H25" s="1718"/>
      <c r="I25" s="1714"/>
      <c r="J25" s="1718"/>
      <c r="K25" s="1724"/>
      <c r="L25" s="1724"/>
      <c r="M25" s="1731"/>
      <c r="N25" s="1715"/>
      <c r="O25" s="1715"/>
      <c r="P25" s="1715"/>
      <c r="Q25" s="1715"/>
      <c r="R25" s="1715"/>
      <c r="S25" s="1715"/>
      <c r="T25" s="1729"/>
      <c r="U25" s="1729"/>
      <c r="V25" s="1729"/>
      <c r="W25" s="1729"/>
      <c r="X25" s="1729"/>
      <c r="Y25" s="1729"/>
      <c r="Z25" s="1729"/>
      <c r="AA25" s="1729"/>
      <c r="AB25" s="1729" t="s">
        <v>697</v>
      </c>
      <c r="AC25" s="1729"/>
      <c r="AD25" s="1729"/>
      <c r="AE25" s="1729"/>
      <c r="AF25" s="1729"/>
      <c r="AG25" s="1729"/>
      <c r="AH25" s="1729"/>
      <c r="AI25" s="1729"/>
      <c r="AJ25" s="1729"/>
      <c r="AK25" s="1729"/>
      <c r="AN25" s="1715"/>
      <c r="AO25" s="1715"/>
      <c r="AP25" s="1715"/>
      <c r="AQ25" s="1715"/>
      <c r="AR25" s="1715"/>
      <c r="AS25" s="1715"/>
      <c r="AT25" s="1729"/>
      <c r="AU25" s="1729"/>
      <c r="AV25" s="1715"/>
      <c r="AW25" s="1715"/>
      <c r="AX25" s="1715"/>
      <c r="AY25" s="1729"/>
      <c r="AZ25" s="1729"/>
      <c r="BA25" s="1729"/>
      <c r="BB25" s="1729" t="s">
        <v>697</v>
      </c>
      <c r="BC25" s="1729"/>
      <c r="BD25" s="1729"/>
      <c r="BE25" s="1729"/>
      <c r="BF25" s="1729"/>
      <c r="BG25" s="1729"/>
      <c r="BH25" s="1729"/>
      <c r="BI25" s="1729"/>
      <c r="BJ25" s="1729"/>
      <c r="BK25" s="1729"/>
      <c r="BQ25" s="680" t="s">
        <v>1</v>
      </c>
      <c r="BR25" s="680" t="s">
        <v>253</v>
      </c>
      <c r="BS25" s="681" t="s">
        <v>2</v>
      </c>
      <c r="BT25" s="591" t="s">
        <v>290</v>
      </c>
    </row>
    <row r="26" spans="1:72" ht="12" customHeight="1">
      <c r="L26" s="1215"/>
      <c r="N26" s="1216"/>
      <c r="O26" s="590"/>
      <c r="P26" s="590"/>
      <c r="Q26" s="590"/>
      <c r="R26" s="590"/>
      <c r="S26" s="590"/>
      <c r="T26" s="18"/>
      <c r="U26" s="18"/>
      <c r="V26" s="590"/>
      <c r="W26" s="590"/>
    </row>
    <row r="27" spans="1:72" ht="35.1" customHeight="1">
      <c r="A27" s="776" t="s">
        <v>1169</v>
      </c>
      <c r="B27" s="1217">
        <v>1</v>
      </c>
      <c r="C27" s="1217" t="str">
        <f>CONCATENATE(F27,"-",G27)</f>
        <v>BH-04R1-SPT 15</v>
      </c>
      <c r="D27" s="1218" t="str">
        <f>IF(E27="DS","Disturbed Sample",
IF(E27="UDS","Undisturbed Sample",
IF(E27="BS","Bulk Sample",
IF(E27="CS","Composite Sample",""))))</f>
        <v>Disturbed Sample</v>
      </c>
      <c r="E27" s="1217" t="s">
        <v>1169</v>
      </c>
      <c r="F27" s="1219" t="s">
        <v>1183</v>
      </c>
      <c r="G27" s="1219" t="s">
        <v>1184</v>
      </c>
      <c r="H27" s="1219" t="str">
        <f t="shared" ref="H27:H51" si="0">IF(OR($H$12="",$H$11="",E27="",B27=""),"",RIGHT($H$12,2)&amp;"-"&amp;TEXT($H$11,"000")&amp;"-"&amp;E27&amp;"-"&amp;TEXT(B27,"000"))</f>
        <v>26-001-DS-001</v>
      </c>
      <c r="I27" s="1219"/>
      <c r="J27" s="1220" t="str">
        <f>IF(AND(K27=0,L27=0),
"-",
TEXT(K27,"0.00")&amp;" - "&amp;TEXT(L27,"0.00")&amp;" m")</f>
        <v>22.50 - 22.95 m</v>
      </c>
      <c r="K27" s="1220">
        <v>22.5</v>
      </c>
      <c r="L27" s="1237">
        <v>22.95</v>
      </c>
      <c r="M27" s="1359" t="str">
        <f>TEXT(B27,"000")&amp;"-"&amp;C27&amp;"-"&amp;TEXT(K27,"0.00")&amp;"-"&amp;TEXT(L27,"0.00")&amp;"m"</f>
        <v>001-BH-04R1-SPT 15-22.50-22.95m</v>
      </c>
      <c r="N27" s="1518">
        <v>1</v>
      </c>
      <c r="O27" s="1518">
        <v>1</v>
      </c>
      <c r="P27" s="1518">
        <v>1</v>
      </c>
      <c r="Q27" s="1518">
        <v>1</v>
      </c>
      <c r="R27" s="1518">
        <v>1</v>
      </c>
      <c r="S27" s="1518">
        <v>1</v>
      </c>
      <c r="T27" s="1518">
        <v>1</v>
      </c>
      <c r="U27" s="1518">
        <v>1</v>
      </c>
      <c r="V27" s="1518">
        <v>1</v>
      </c>
      <c r="W27" s="1518">
        <v>1</v>
      </c>
      <c r="X27" s="1518">
        <v>1</v>
      </c>
      <c r="Y27" s="1518">
        <v>1</v>
      </c>
      <c r="Z27" s="1518">
        <v>1</v>
      </c>
      <c r="AA27" s="1518">
        <v>1</v>
      </c>
      <c r="AB27" s="1518">
        <v>1</v>
      </c>
      <c r="AC27" s="1518">
        <v>1</v>
      </c>
      <c r="AD27" s="1518">
        <v>1</v>
      </c>
      <c r="AE27" s="1518">
        <v>1</v>
      </c>
      <c r="AF27" s="1518">
        <v>1</v>
      </c>
      <c r="AG27" s="1518">
        <v>1</v>
      </c>
      <c r="AH27" s="1518">
        <v>1</v>
      </c>
      <c r="AI27" s="1518">
        <v>1</v>
      </c>
      <c r="AJ27" s="1518">
        <v>1</v>
      </c>
      <c r="AK27" s="1518">
        <v>1</v>
      </c>
      <c r="AN27" s="591">
        <f>IF(N27=1,COUNTIF($N$27:N27,1),"")</f>
        <v>1</v>
      </c>
      <c r="AO27" s="591">
        <f>IF(O27=1,COUNTIF($O$27:O27,1),"")</f>
        <v>1</v>
      </c>
      <c r="AP27" s="591">
        <f>IF(P27=1,COUNTIF($P$27:P27,1),"")</f>
        <v>1</v>
      </c>
      <c r="AQ27" s="591">
        <f>IF(Q27=1,COUNTIF($Q$27:Q27,1),"")</f>
        <v>1</v>
      </c>
      <c r="AR27" s="591">
        <f>IF(R27=1,COUNTIF($R$27:R27,1),"")</f>
        <v>1</v>
      </c>
      <c r="AS27" s="591">
        <f>IF(S27=1,COUNTIF($S$27:S27,1),"")</f>
        <v>1</v>
      </c>
      <c r="AT27" s="591">
        <f>IF(T27=1,COUNTIF($T$27:T27,1),"")</f>
        <v>1</v>
      </c>
      <c r="AU27" s="591">
        <f>IF(U27=1,COUNTIF($U$27:U27,1),"")</f>
        <v>1</v>
      </c>
      <c r="AV27" s="591">
        <f>IF(V27=1,COUNTIF($V$27:V27,1),"")</f>
        <v>1</v>
      </c>
      <c r="AW27" s="591">
        <f>IF(W27=1,COUNTIF($W$27:W27,1),"")</f>
        <v>1</v>
      </c>
      <c r="AX27" s="591">
        <f>IF(X27=1,COUNTIF($X$27:X27,1),"")</f>
        <v>1</v>
      </c>
      <c r="AY27" s="591">
        <f>IF(Y27=1,COUNTIF($Y$27:Y27,1),"")</f>
        <v>1</v>
      </c>
      <c r="AZ27" s="591">
        <f>IF(Z27=1,COUNTIF($Z$27:Z27,1),"")</f>
        <v>1</v>
      </c>
      <c r="BA27" s="591">
        <f>IF(AA27=1,COUNTIF($AA$27:AA27,1),"")</f>
        <v>1</v>
      </c>
      <c r="BB27" s="591">
        <f>IF(AB27=1,COUNTIF($AB$27:AB27,1),"")</f>
        <v>1</v>
      </c>
      <c r="BC27" s="591">
        <f>IF(AC27=1,COUNTIF($AC$27:AC27,1),"")</f>
        <v>1</v>
      </c>
      <c r="BD27" s="591">
        <f>IF(AD27=1,COUNTIF($AD$27:AD27,1),"")</f>
        <v>1</v>
      </c>
      <c r="BE27" s="591">
        <f>IF(AE27=1,COUNTIF($AE$27:AE27,1),"")</f>
        <v>1</v>
      </c>
      <c r="BF27" s="591">
        <f>IF(AF27=1,COUNTIF($AF$27:AF27,1),"")</f>
        <v>1</v>
      </c>
      <c r="BG27" s="591">
        <f>IF(AG27=1,COUNTIF($AG$27:AG27,1),"")</f>
        <v>1</v>
      </c>
      <c r="BH27" s="591">
        <f>IF(AH27=1,COUNTIF($AH$27:AH27,1),"")</f>
        <v>1</v>
      </c>
      <c r="BI27" s="591">
        <f>IF(AI27=1,COUNTIF($AI$27:AI27,1),"")</f>
        <v>1</v>
      </c>
      <c r="BJ27" s="591">
        <f>IF(AJ27=1,COUNTIF($AJ$27:AJ27,1),"")</f>
        <v>1</v>
      </c>
      <c r="BK27" s="591">
        <f>IF(AK27=1,COUNTIF($AK$27:AK27,1),"")</f>
        <v>1</v>
      </c>
      <c r="BQ27" s="681">
        <v>1</v>
      </c>
      <c r="BR27" s="682" t="s">
        <v>3</v>
      </c>
      <c r="BS27" s="683" t="s">
        <v>1047</v>
      </c>
      <c r="BT27" s="591" t="s">
        <v>531</v>
      </c>
    </row>
    <row r="28" spans="1:72" ht="35.1" customHeight="1">
      <c r="A28" s="776" t="s">
        <v>1168</v>
      </c>
      <c r="B28" s="1217">
        <f>B27+1</f>
        <v>2</v>
      </c>
      <c r="C28" s="1217" t="str">
        <f t="shared" ref="C28:C91" si="1">CONCATENATE(F28,"-",G28)</f>
        <v>BH-03-R-SPT 01</v>
      </c>
      <c r="D28" s="1218" t="str">
        <f t="shared" ref="D28:D51" si="2">IF(E28="DS","Disturbed Sample",
IF(E28="UDS","Undisturbed Sample",
IF(E28="BS","Bulk Sample",
IF(E28="CS","Composite Sample",""))))</f>
        <v>Disturbed Sample</v>
      </c>
      <c r="E28" s="1217" t="s">
        <v>1169</v>
      </c>
      <c r="F28" s="1219" t="s">
        <v>1185</v>
      </c>
      <c r="G28" s="1219" t="s">
        <v>1190</v>
      </c>
      <c r="H28" s="1219" t="str">
        <f t="shared" si="0"/>
        <v>26-001-DS-002</v>
      </c>
      <c r="I28" s="1219"/>
      <c r="J28" s="1220" t="str">
        <f t="shared" ref="J28:J91" si="3">IF(AND(K28=0,L28=0),
"-",
TEXT(K28,"0.00")&amp;" - "&amp;TEXT(L28,"0.00")&amp;" m")</f>
        <v>1.50 - 1.95 m</v>
      </c>
      <c r="K28" s="1219">
        <v>1.5</v>
      </c>
      <c r="L28" s="1237">
        <v>1.95</v>
      </c>
      <c r="M28" s="1359" t="str">
        <f t="shared" ref="M28:M51" si="4">TEXT(B28,"000")&amp;"-"&amp;C28&amp;"-"&amp;TEXT(K28,"0.00")&amp;"-"&amp;TEXT(L28,"0.00")&amp;"m"</f>
        <v>002-BH-03-R-SPT 01-1.50-1.95m</v>
      </c>
      <c r="N28" s="1518"/>
      <c r="O28" s="1518"/>
      <c r="P28" s="1518"/>
      <c r="Q28" s="1241"/>
      <c r="R28" s="1241"/>
      <c r="S28" s="1241"/>
      <c r="T28" s="1241"/>
      <c r="U28" s="1241"/>
      <c r="V28" s="1241"/>
      <c r="W28" s="1241"/>
      <c r="X28" s="1241"/>
      <c r="Y28" s="1241"/>
      <c r="Z28" s="1241"/>
      <c r="AA28" s="1241"/>
      <c r="AB28" s="1241"/>
      <c r="AC28" s="1241"/>
      <c r="AD28" s="1241"/>
      <c r="AE28" s="1518"/>
      <c r="AF28" s="1241"/>
      <c r="AG28" s="1241"/>
      <c r="AH28" s="1241"/>
      <c r="AI28" s="1241"/>
      <c r="AJ28" s="1241"/>
      <c r="AK28" s="1241"/>
      <c r="AN28" s="591" t="str">
        <f>IF(N28=1,COUNTIF($N$27:N28,1),"")</f>
        <v/>
      </c>
      <c r="AO28" s="591" t="str">
        <f>IF(O28=1,COUNTIF($O$27:O28,1),"")</f>
        <v/>
      </c>
      <c r="AP28" s="591" t="str">
        <f>IF(P28=1,COUNTIF($P$27:P28,1),"")</f>
        <v/>
      </c>
      <c r="AQ28" s="591" t="str">
        <f>IF(Q28=1,COUNTIF($Q$27:Q28,1),"")</f>
        <v/>
      </c>
      <c r="AR28" s="591" t="str">
        <f>IF(R28=1,COUNTIF($R$27:R28,1),"")</f>
        <v/>
      </c>
      <c r="AS28" s="591" t="str">
        <f>IF(S28=1,COUNTIF($S$27:S28,1),"")</f>
        <v/>
      </c>
      <c r="AT28" s="591" t="str">
        <f>IF(T28=1,COUNTIF($T$27:T28,1),"")</f>
        <v/>
      </c>
      <c r="AU28" s="591" t="str">
        <f>IF(U28=1,COUNTIF($U$27:U28,1),"")</f>
        <v/>
      </c>
      <c r="AV28" s="591" t="str">
        <f>IF(V28=1,COUNTIF($V$27:V28,1),"")</f>
        <v/>
      </c>
      <c r="AW28" s="591" t="str">
        <f>IF(W28=1,COUNTIF($W$27:W28,1),"")</f>
        <v/>
      </c>
      <c r="AX28" s="591" t="str">
        <f>IF(X28=1,COUNTIF($X$27:X28,1),"")</f>
        <v/>
      </c>
      <c r="AY28" s="591" t="str">
        <f>IF(Y28=1,COUNTIF($Y$27:Y28,1),"")</f>
        <v/>
      </c>
      <c r="AZ28" s="591" t="str">
        <f>IF(Z28=1,COUNTIF($Z$27:Z28,1),"")</f>
        <v/>
      </c>
      <c r="BA28" s="591" t="str">
        <f>IF(AA28=1,COUNTIF($AA$27:AA28,1),"")</f>
        <v/>
      </c>
      <c r="BB28" s="591" t="str">
        <f>IF(AB28=1,COUNTIF($AB$27:AB28,1),"")</f>
        <v/>
      </c>
      <c r="BC28" s="591" t="str">
        <f>IF(AC28=1,COUNTIF($AC$27:AC28,1),"")</f>
        <v/>
      </c>
      <c r="BD28" s="591" t="str">
        <f>IF(AD28=1,COUNTIF($AD$27:AD28,1),"")</f>
        <v/>
      </c>
      <c r="BE28" s="591" t="str">
        <f>IF(AE28=1,COUNTIF($AE$27:AE28,1),"")</f>
        <v/>
      </c>
      <c r="BF28" s="591" t="str">
        <f>IF(AF28=1,COUNTIF($AF$27:AF28,1),"")</f>
        <v/>
      </c>
      <c r="BG28" s="591" t="str">
        <f>IF(AG28=1,COUNTIF($AG$27:AG28,1),"")</f>
        <v/>
      </c>
      <c r="BH28" s="591" t="str">
        <f>IF(AH28=1,COUNTIF($AH$27:AH28,1),"")</f>
        <v/>
      </c>
      <c r="BI28" s="591" t="str">
        <f>IF(AI28=1,COUNTIF($AI$27:AI28,1),"")</f>
        <v/>
      </c>
      <c r="BJ28" s="591" t="str">
        <f>IF(AJ28=1,COUNTIF($AJ$27:AJ28,1),"")</f>
        <v/>
      </c>
      <c r="BK28" s="591" t="str">
        <f>IF(AK28=1,COUNTIF($AK$27:AK28,1),"")</f>
        <v/>
      </c>
      <c r="BQ28" s="591">
        <v>2</v>
      </c>
      <c r="BR28" s="591" t="s">
        <v>757</v>
      </c>
      <c r="BS28" s="683" t="s">
        <v>1047</v>
      </c>
      <c r="BT28" s="591" t="s">
        <v>758</v>
      </c>
    </row>
    <row r="29" spans="1:72" ht="35.1" customHeight="1">
      <c r="A29" s="776" t="s">
        <v>1173</v>
      </c>
      <c r="B29" s="1217">
        <f t="shared" ref="B29:B51" si="5">B28+1</f>
        <v>3</v>
      </c>
      <c r="C29" s="1217" t="str">
        <f t="shared" si="1"/>
        <v>BH-07-R-SPT-01</v>
      </c>
      <c r="D29" s="1218" t="str">
        <f t="shared" si="2"/>
        <v>Disturbed Sample</v>
      </c>
      <c r="E29" s="1217" t="s">
        <v>1169</v>
      </c>
      <c r="F29" s="1219" t="s">
        <v>1186</v>
      </c>
      <c r="G29" s="1219" t="s">
        <v>1188</v>
      </c>
      <c r="H29" s="1219" t="str">
        <f t="shared" si="0"/>
        <v>26-001-DS-003</v>
      </c>
      <c r="I29" s="1219"/>
      <c r="J29" s="1220" t="str">
        <f t="shared" si="3"/>
        <v>1.50 - 1.95 m</v>
      </c>
      <c r="K29" s="1219">
        <v>1.5</v>
      </c>
      <c r="L29" s="1237">
        <v>1.95</v>
      </c>
      <c r="M29" s="1359" t="str">
        <f t="shared" si="4"/>
        <v>003-BH-07-R-SPT-01-1.50-1.95m</v>
      </c>
      <c r="N29" s="1518"/>
      <c r="O29" s="1518"/>
      <c r="P29" s="1518"/>
      <c r="Q29" s="1241"/>
      <c r="R29" s="1241"/>
      <c r="S29" s="1241"/>
      <c r="T29" s="1241"/>
      <c r="U29" s="1241"/>
      <c r="V29" s="1241"/>
      <c r="W29" s="1241"/>
      <c r="X29" s="1241"/>
      <c r="Y29" s="1241"/>
      <c r="Z29" s="1241"/>
      <c r="AA29" s="1241"/>
      <c r="AB29" s="1241"/>
      <c r="AC29" s="1241"/>
      <c r="AD29" s="1241"/>
      <c r="AE29" s="1518"/>
      <c r="AF29" s="1241"/>
      <c r="AG29" s="1241"/>
      <c r="AH29" s="1241"/>
      <c r="AI29" s="1241"/>
      <c r="AJ29" s="1241"/>
      <c r="AK29" s="1241"/>
      <c r="AN29" s="591" t="str">
        <f>IF(N29=1,COUNTIF($N$27:N29,1),"")</f>
        <v/>
      </c>
      <c r="AO29" s="591" t="str">
        <f>IF(O29=1,COUNTIF($O$27:O29,1),"")</f>
        <v/>
      </c>
      <c r="AP29" s="591" t="str">
        <f>IF(P29=1,COUNTIF($P$27:P29,1),"")</f>
        <v/>
      </c>
      <c r="AQ29" s="591" t="str">
        <f>IF(Q29=1,COUNTIF($Q$27:Q29,1),"")</f>
        <v/>
      </c>
      <c r="AR29" s="591" t="str">
        <f>IF(R29=1,COUNTIF($R$27:R29,1),"")</f>
        <v/>
      </c>
      <c r="AS29" s="591" t="str">
        <f>IF(S29=1,COUNTIF($S$27:S29,1),"")</f>
        <v/>
      </c>
      <c r="AT29" s="591" t="str">
        <f>IF(T29=1,COUNTIF($T$27:T29,1),"")</f>
        <v/>
      </c>
      <c r="AU29" s="591" t="str">
        <f>IF(U29=1,COUNTIF($U$27:U29,1),"")</f>
        <v/>
      </c>
      <c r="AV29" s="591" t="str">
        <f>IF(V29=1,COUNTIF($V$27:V29,1),"")</f>
        <v/>
      </c>
      <c r="AW29" s="591" t="str">
        <f>IF(W29=1,COUNTIF($W$27:W29,1),"")</f>
        <v/>
      </c>
      <c r="AX29" s="591" t="str">
        <f>IF(X29=1,COUNTIF($X$27:X29,1),"")</f>
        <v/>
      </c>
      <c r="AY29" s="591" t="str">
        <f>IF(Y29=1,COUNTIF($Y$27:Y29,1),"")</f>
        <v/>
      </c>
      <c r="AZ29" s="591" t="str">
        <f>IF(Z29=1,COUNTIF($Z$27:Z29,1),"")</f>
        <v/>
      </c>
      <c r="BA29" s="591" t="str">
        <f>IF(AA29=1,COUNTIF($AA$27:AA29,1),"")</f>
        <v/>
      </c>
      <c r="BB29" s="591" t="str">
        <f>IF(AB29=1,COUNTIF($AB$27:AB29,1),"")</f>
        <v/>
      </c>
      <c r="BC29" s="591" t="str">
        <f>IF(AC29=1,COUNTIF($AC$27:AC29,1),"")</f>
        <v/>
      </c>
      <c r="BD29" s="591" t="str">
        <f>IF(AD29=1,COUNTIF($AD$27:AD29,1),"")</f>
        <v/>
      </c>
      <c r="BE29" s="591" t="str">
        <f>IF(AE29=1,COUNTIF($AE$27:AE29,1),"")</f>
        <v/>
      </c>
      <c r="BF29" s="591" t="str">
        <f>IF(AF29=1,COUNTIF($AF$27:AF29,1),"")</f>
        <v/>
      </c>
      <c r="BG29" s="591" t="str">
        <f>IF(AG29=1,COUNTIF($AG$27:AG29,1),"")</f>
        <v/>
      </c>
      <c r="BH29" s="591" t="str">
        <f>IF(AH29=1,COUNTIF($AH$27:AH29,1),"")</f>
        <v/>
      </c>
      <c r="BI29" s="591" t="str">
        <f>IF(AI29=1,COUNTIF($AI$27:AI29,1),"")</f>
        <v/>
      </c>
      <c r="BJ29" s="591" t="str">
        <f>IF(AJ29=1,COUNTIF($AJ$27:AJ29,1),"")</f>
        <v/>
      </c>
      <c r="BK29" s="591" t="str">
        <f>IF(AK29=1,COUNTIF($AK$27:AK29,1),"")</f>
        <v/>
      </c>
      <c r="BQ29" s="591">
        <v>3</v>
      </c>
      <c r="BR29" s="591" t="s">
        <v>529</v>
      </c>
      <c r="BS29" s="683" t="s">
        <v>1047</v>
      </c>
      <c r="BT29" s="591" t="s">
        <v>759</v>
      </c>
    </row>
    <row r="30" spans="1:72" ht="35.1" customHeight="1">
      <c r="A30" s="776" t="s">
        <v>1174</v>
      </c>
      <c r="B30" s="1217">
        <f t="shared" si="5"/>
        <v>4</v>
      </c>
      <c r="C30" s="1217" t="str">
        <f t="shared" si="1"/>
        <v>BH-07-R-SPT 03</v>
      </c>
      <c r="D30" s="1218" t="str">
        <f t="shared" si="2"/>
        <v>Disturbed Sample</v>
      </c>
      <c r="E30" s="1217" t="s">
        <v>1169</v>
      </c>
      <c r="F30" s="1219" t="s">
        <v>1186</v>
      </c>
      <c r="G30" s="1219" t="s">
        <v>1189</v>
      </c>
      <c r="H30" s="1219" t="str">
        <f t="shared" si="0"/>
        <v>26-001-DS-004</v>
      </c>
      <c r="I30" s="1219"/>
      <c r="J30" s="1220" t="str">
        <f t="shared" si="3"/>
        <v>4.50 - 4.95 m</v>
      </c>
      <c r="K30" s="1219">
        <v>4.5</v>
      </c>
      <c r="L30" s="1237">
        <v>4.95</v>
      </c>
      <c r="M30" s="1359" t="str">
        <f t="shared" si="4"/>
        <v>004-BH-07-R-SPT 03-4.50-4.95m</v>
      </c>
      <c r="N30" s="1518"/>
      <c r="O30" s="1518"/>
      <c r="P30" s="1518"/>
      <c r="Q30" s="1241"/>
      <c r="R30" s="1241"/>
      <c r="S30" s="1241"/>
      <c r="T30" s="1241"/>
      <c r="U30" s="1241"/>
      <c r="V30" s="1241"/>
      <c r="W30" s="1241"/>
      <c r="X30" s="1241"/>
      <c r="Y30" s="1241"/>
      <c r="Z30" s="1241"/>
      <c r="AA30" s="1241"/>
      <c r="AB30" s="1241"/>
      <c r="AC30" s="1241"/>
      <c r="AD30" s="1241"/>
      <c r="AE30" s="1518"/>
      <c r="AF30" s="1241"/>
      <c r="AG30" s="1241"/>
      <c r="AH30" s="1241"/>
      <c r="AI30" s="1241"/>
      <c r="AJ30" s="1241"/>
      <c r="AK30" s="1241"/>
      <c r="AN30" s="591" t="str">
        <f>IF(N30=1,COUNTIF($N$27:N30,1),"")</f>
        <v/>
      </c>
      <c r="AO30" s="591" t="str">
        <f>IF(O30=1,COUNTIF($O$27:O30,1),"")</f>
        <v/>
      </c>
      <c r="AP30" s="591" t="str">
        <f>IF(P30=1,COUNTIF($P$27:P30,1),"")</f>
        <v/>
      </c>
      <c r="AQ30" s="591" t="str">
        <f>IF(Q30=1,COUNTIF($Q$27:Q30,1),"")</f>
        <v/>
      </c>
      <c r="AR30" s="591" t="str">
        <f>IF(R30=1,COUNTIF($R$27:R30,1),"")</f>
        <v/>
      </c>
      <c r="AS30" s="591" t="str">
        <f>IF(S30=1,COUNTIF($S$27:S30,1),"")</f>
        <v/>
      </c>
      <c r="AT30" s="591" t="str">
        <f>IF(T30=1,COUNTIF($T$27:T30,1),"")</f>
        <v/>
      </c>
      <c r="AU30" s="591" t="str">
        <f>IF(U30=1,COUNTIF($U$27:U30,1),"")</f>
        <v/>
      </c>
      <c r="AV30" s="591" t="str">
        <f>IF(V30=1,COUNTIF($V$27:V30,1),"")</f>
        <v/>
      </c>
      <c r="AW30" s="591" t="str">
        <f>IF(W30=1,COUNTIF($W$27:W30,1),"")</f>
        <v/>
      </c>
      <c r="AX30" s="591" t="str">
        <f>IF(X30=1,COUNTIF($X$27:X30,1),"")</f>
        <v/>
      </c>
      <c r="AY30" s="591" t="str">
        <f>IF(Y30=1,COUNTIF($Y$27:Y30,1),"")</f>
        <v/>
      </c>
      <c r="AZ30" s="591" t="str">
        <f>IF(Z30=1,COUNTIF($Z$27:Z30,1),"")</f>
        <v/>
      </c>
      <c r="BA30" s="591" t="str">
        <f>IF(AA30=1,COUNTIF($AA$27:AA30,1),"")</f>
        <v/>
      </c>
      <c r="BB30" s="591" t="str">
        <f>IF(AB30=1,COUNTIF($AB$27:AB30,1),"")</f>
        <v/>
      </c>
      <c r="BC30" s="591" t="str">
        <f>IF(AC30=1,COUNTIF($AC$27:AC30,1),"")</f>
        <v/>
      </c>
      <c r="BD30" s="591" t="str">
        <f>IF(AD30=1,COUNTIF($AD$27:AD30,1),"")</f>
        <v/>
      </c>
      <c r="BE30" s="591" t="str">
        <f>IF(AE30=1,COUNTIF($AE$27:AE30,1),"")</f>
        <v/>
      </c>
      <c r="BF30" s="591" t="str">
        <f>IF(AF30=1,COUNTIF($AF$27:AF30,1),"")</f>
        <v/>
      </c>
      <c r="BG30" s="591" t="str">
        <f>IF(AG30=1,COUNTIF($AG$27:AG30,1),"")</f>
        <v/>
      </c>
      <c r="BH30" s="591" t="str">
        <f>IF(AH30=1,COUNTIF($AH$27:AH30,1),"")</f>
        <v/>
      </c>
      <c r="BI30" s="591" t="str">
        <f>IF(AI30=1,COUNTIF($AI$27:AI30,1),"")</f>
        <v/>
      </c>
      <c r="BJ30" s="591" t="str">
        <f>IF(AJ30=1,COUNTIF($AJ$27:AJ30,1),"")</f>
        <v/>
      </c>
      <c r="BK30" s="591" t="str">
        <f>IF(AK30=1,COUNTIF($AK$27:AK30,1),"")</f>
        <v/>
      </c>
      <c r="BQ30" s="681">
        <v>4</v>
      </c>
      <c r="BR30" s="682" t="s">
        <v>4</v>
      </c>
      <c r="BS30" s="683" t="s">
        <v>1206</v>
      </c>
      <c r="BT30" s="591" t="s">
        <v>1345</v>
      </c>
    </row>
    <row r="31" spans="1:72" ht="35.1" customHeight="1">
      <c r="A31" s="776"/>
      <c r="B31" s="1217">
        <f t="shared" si="5"/>
        <v>5</v>
      </c>
      <c r="C31" s="1217" t="str">
        <f t="shared" si="1"/>
        <v>BH-06-R2-SPT 01</v>
      </c>
      <c r="D31" s="1218" t="str">
        <f t="shared" si="2"/>
        <v>Disturbed Sample</v>
      </c>
      <c r="E31" s="1217" t="s">
        <v>1169</v>
      </c>
      <c r="F31" s="1219" t="s">
        <v>1187</v>
      </c>
      <c r="G31" s="1219" t="s">
        <v>1190</v>
      </c>
      <c r="H31" s="1219" t="str">
        <f t="shared" si="0"/>
        <v>26-001-DS-005</v>
      </c>
      <c r="I31" s="1219"/>
      <c r="J31" s="1220" t="str">
        <f t="shared" si="3"/>
        <v>1.50 - 1.95 m</v>
      </c>
      <c r="K31" s="1219">
        <v>1.5</v>
      </c>
      <c r="L31" s="1237">
        <v>1.95</v>
      </c>
      <c r="M31" s="1359" t="str">
        <f t="shared" si="4"/>
        <v>005-BH-06-R2-SPT 01-1.50-1.95m</v>
      </c>
      <c r="N31" s="1518"/>
      <c r="O31" s="1518"/>
      <c r="P31" s="1518"/>
      <c r="Q31" s="1518"/>
      <c r="R31" s="1241"/>
      <c r="S31" s="1241"/>
      <c r="T31" s="1241"/>
      <c r="U31" s="1241"/>
      <c r="V31" s="1241"/>
      <c r="W31" s="1241"/>
      <c r="X31" s="1241"/>
      <c r="Y31" s="1241"/>
      <c r="Z31" s="1241"/>
      <c r="AA31" s="1241"/>
      <c r="AB31" s="1241"/>
      <c r="AC31" s="1241"/>
      <c r="AD31" s="1241"/>
      <c r="AE31" s="1518"/>
      <c r="AF31" s="1241"/>
      <c r="AG31" s="1241"/>
      <c r="AH31" s="1241"/>
      <c r="AI31" s="1241"/>
      <c r="AJ31" s="1241"/>
      <c r="AK31" s="1241"/>
      <c r="AN31" s="591" t="str">
        <f>IF(N31=1,COUNTIF($N$27:N31,1),"")</f>
        <v/>
      </c>
      <c r="AO31" s="591" t="str">
        <f>IF(O31=1,COUNTIF($O$27:O31,1),"")</f>
        <v/>
      </c>
      <c r="AP31" s="591" t="str">
        <f>IF(P31=1,COUNTIF($P$27:P31,1),"")</f>
        <v/>
      </c>
      <c r="AQ31" s="591" t="str">
        <f>IF(Q31=1,COUNTIF($Q$27:Q31,1),"")</f>
        <v/>
      </c>
      <c r="AR31" s="591" t="str">
        <f>IF(R31=1,COUNTIF($R$27:R31,1),"")</f>
        <v/>
      </c>
      <c r="AS31" s="591" t="str">
        <f>IF(S31=1,COUNTIF($S$27:S31,1),"")</f>
        <v/>
      </c>
      <c r="AT31" s="591" t="str">
        <f>IF(T31=1,COUNTIF($T$27:T31,1),"")</f>
        <v/>
      </c>
      <c r="AU31" s="591" t="str">
        <f>IF(U31=1,COUNTIF($U$27:U31,1),"")</f>
        <v/>
      </c>
      <c r="AV31" s="591" t="str">
        <f>IF(V31=1,COUNTIF($V$27:V31,1),"")</f>
        <v/>
      </c>
      <c r="AW31" s="591" t="str">
        <f>IF(W31=1,COUNTIF($W$27:W31,1),"")</f>
        <v/>
      </c>
      <c r="AX31" s="591" t="str">
        <f>IF(X31=1,COUNTIF($X$27:X31,1),"")</f>
        <v/>
      </c>
      <c r="AY31" s="591" t="str">
        <f>IF(Y31=1,COUNTIF($Y$27:Y31,1),"")</f>
        <v/>
      </c>
      <c r="AZ31" s="591" t="str">
        <f>IF(Z31=1,COUNTIF($Z$27:Z31,1),"")</f>
        <v/>
      </c>
      <c r="BA31" s="591" t="str">
        <f>IF(AA31=1,COUNTIF($AA$27:AA31,1),"")</f>
        <v/>
      </c>
      <c r="BB31" s="591" t="str">
        <f>IF(AB31=1,COUNTIF($AB$27:AB31,1),"")</f>
        <v/>
      </c>
      <c r="BC31" s="591" t="str">
        <f>IF(AC31=1,COUNTIF($AC$27:AC31,1),"")</f>
        <v/>
      </c>
      <c r="BD31" s="591" t="str">
        <f>IF(AD31=1,COUNTIF($AD$27:AD31,1),"")</f>
        <v/>
      </c>
      <c r="BE31" s="591" t="str">
        <f>IF(AE31=1,COUNTIF($AE$27:AE31,1),"")</f>
        <v/>
      </c>
      <c r="BF31" s="591" t="str">
        <f>IF(AF31=1,COUNTIF($AF$27:AF31,1),"")</f>
        <v/>
      </c>
      <c r="BG31" s="591" t="str">
        <f>IF(AG31=1,COUNTIF($AG$27:AG31,1),"")</f>
        <v/>
      </c>
      <c r="BH31" s="591" t="str">
        <f>IF(AH31=1,COUNTIF($AH$27:AH31,1),"")</f>
        <v/>
      </c>
      <c r="BI31" s="591" t="str">
        <f>IF(AI31=1,COUNTIF($AI$27:AI31,1),"")</f>
        <v/>
      </c>
      <c r="BJ31" s="591" t="str">
        <f>IF(AJ31=1,COUNTIF($AJ$27:AJ31,1),"")</f>
        <v/>
      </c>
      <c r="BK31" s="591" t="str">
        <f>IF(AK31=1,COUNTIF($AK$27:AK31,1),"")</f>
        <v/>
      </c>
      <c r="BQ31" s="681">
        <v>5</v>
      </c>
      <c r="BR31" s="682" t="s">
        <v>5</v>
      </c>
      <c r="BS31" s="683" t="s">
        <v>1207</v>
      </c>
    </row>
    <row r="32" spans="1:72" ht="35.1" customHeight="1">
      <c r="B32" s="1217">
        <f t="shared" si="5"/>
        <v>6</v>
      </c>
      <c r="C32" s="1217" t="str">
        <f t="shared" si="1"/>
        <v>BH-06-R2-SPT 03</v>
      </c>
      <c r="D32" s="1218" t="str">
        <f t="shared" si="2"/>
        <v>Disturbed Sample</v>
      </c>
      <c r="E32" s="1217" t="s">
        <v>1169</v>
      </c>
      <c r="F32" s="1219" t="s">
        <v>1187</v>
      </c>
      <c r="G32" s="1219" t="s">
        <v>1189</v>
      </c>
      <c r="H32" s="1219" t="str">
        <f t="shared" si="0"/>
        <v>26-001-DS-006</v>
      </c>
      <c r="I32" s="1219"/>
      <c r="J32" s="1220" t="str">
        <f t="shared" si="3"/>
        <v>4.50 - 4.95 m</v>
      </c>
      <c r="K32" s="1219">
        <v>4.5</v>
      </c>
      <c r="L32" s="1237">
        <v>4.95</v>
      </c>
      <c r="M32" s="1359" t="str">
        <f t="shared" si="4"/>
        <v>006-BH-06-R2-SPT 03-4.50-4.95m</v>
      </c>
      <c r="N32" s="1518"/>
      <c r="O32" s="1518"/>
      <c r="P32" s="1518"/>
      <c r="Q32" s="1518"/>
      <c r="R32" s="1241"/>
      <c r="S32" s="1518"/>
      <c r="T32" s="1241"/>
      <c r="U32" s="1241"/>
      <c r="V32" s="1241"/>
      <c r="W32" s="1241"/>
      <c r="X32" s="1241"/>
      <c r="Y32" s="1241"/>
      <c r="Z32" s="1241"/>
      <c r="AA32" s="1241"/>
      <c r="AB32" s="1241"/>
      <c r="AC32" s="1241"/>
      <c r="AD32" s="1241"/>
      <c r="AE32" s="1518"/>
      <c r="AF32" s="1241"/>
      <c r="AG32" s="1241"/>
      <c r="AH32" s="1241"/>
      <c r="AI32" s="1241"/>
      <c r="AJ32" s="1241"/>
      <c r="AK32" s="1241"/>
      <c r="AN32" s="591" t="str">
        <f>IF(N32=1,COUNTIF($N$27:N32,1),"")</f>
        <v/>
      </c>
      <c r="AO32" s="591" t="str">
        <f>IF(O32=1,COUNTIF($O$27:O32,1),"")</f>
        <v/>
      </c>
      <c r="AP32" s="591" t="str">
        <f>IF(P32=1,COUNTIF($P$27:P32,1),"")</f>
        <v/>
      </c>
      <c r="AQ32" s="591" t="str">
        <f>IF(Q32=1,COUNTIF($Q$27:Q32,1),"")</f>
        <v/>
      </c>
      <c r="AR32" s="591" t="str">
        <f>IF(R32=1,COUNTIF($R$27:R32,1),"")</f>
        <v/>
      </c>
      <c r="AS32" s="591" t="str">
        <f>IF(S32=1,COUNTIF($S$27:S32,1),"")</f>
        <v/>
      </c>
      <c r="AT32" s="591" t="str">
        <f>IF(T32=1,COUNTIF($T$27:T32,1),"")</f>
        <v/>
      </c>
      <c r="AU32" s="591" t="str">
        <f>IF(U32=1,COUNTIF($U$27:U32,1),"")</f>
        <v/>
      </c>
      <c r="AV32" s="591" t="str">
        <f>IF(V32=1,COUNTIF($V$27:V32,1),"")</f>
        <v/>
      </c>
      <c r="AW32" s="591" t="str">
        <f>IF(W32=1,COUNTIF($W$27:W32,1),"")</f>
        <v/>
      </c>
      <c r="AX32" s="591" t="str">
        <f>IF(X32=1,COUNTIF($X$27:X32,1),"")</f>
        <v/>
      </c>
      <c r="AY32" s="591" t="str">
        <f>IF(Y32=1,COUNTIF($Y$27:Y32,1),"")</f>
        <v/>
      </c>
      <c r="AZ32" s="591" t="str">
        <f>IF(Z32=1,COUNTIF($Z$27:Z32,1),"")</f>
        <v/>
      </c>
      <c r="BA32" s="591" t="str">
        <f>IF(AA32=1,COUNTIF($AA$27:AA32,1),"")</f>
        <v/>
      </c>
      <c r="BB32" s="591" t="str">
        <f>IF(AB32=1,COUNTIF($AB$27:AB32,1),"")</f>
        <v/>
      </c>
      <c r="BC32" s="591" t="str">
        <f>IF(AC32=1,COUNTIF($AC$27:AC32,1),"")</f>
        <v/>
      </c>
      <c r="BD32" s="591" t="str">
        <f>IF(AD32=1,COUNTIF($AD$27:AD32,1),"")</f>
        <v/>
      </c>
      <c r="BE32" s="591" t="str">
        <f>IF(AE32=1,COUNTIF($AE$27:AE32,1),"")</f>
        <v/>
      </c>
      <c r="BF32" s="591" t="str">
        <f>IF(AF32=1,COUNTIF($AF$27:AF32,1),"")</f>
        <v/>
      </c>
      <c r="BG32" s="591" t="str">
        <f>IF(AG32=1,COUNTIF($AG$27:AG32,1),"")</f>
        <v/>
      </c>
      <c r="BH32" s="591" t="str">
        <f>IF(AH32=1,COUNTIF($AH$27:AH32,1),"")</f>
        <v/>
      </c>
      <c r="BI32" s="591" t="str">
        <f>IF(AI32=1,COUNTIF($AI$27:AI32,1),"")</f>
        <v/>
      </c>
      <c r="BJ32" s="591" t="str">
        <f>IF(AJ32=1,COUNTIF($AJ$27:AJ32,1),"")</f>
        <v/>
      </c>
      <c r="BK32" s="591" t="str">
        <f>IF(AK32=1,COUNTIF($AK$27:AK32,1),"")</f>
        <v/>
      </c>
      <c r="BQ32" s="681">
        <v>6</v>
      </c>
      <c r="BR32" s="682" t="s">
        <v>6</v>
      </c>
      <c r="BS32" s="683"/>
      <c r="BT32" s="591" t="s">
        <v>399</v>
      </c>
    </row>
    <row r="33" spans="2:72" ht="35.1" customHeight="1">
      <c r="B33" s="1233">
        <f t="shared" si="5"/>
        <v>7</v>
      </c>
      <c r="C33" s="1233" t="str">
        <f t="shared" si="1"/>
        <v>BH-04R1-UDS 01</v>
      </c>
      <c r="D33" s="1218" t="str">
        <f t="shared" si="2"/>
        <v>Composite Sample</v>
      </c>
      <c r="E33" s="1233" t="s">
        <v>1174</v>
      </c>
      <c r="F33" s="1234" t="s">
        <v>1183</v>
      </c>
      <c r="G33" s="1234" t="s">
        <v>1256</v>
      </c>
      <c r="H33" s="1234" t="str">
        <f t="shared" si="0"/>
        <v>26-001-CS-007</v>
      </c>
      <c r="I33" s="1234" t="s">
        <v>1578</v>
      </c>
      <c r="J33" s="1220" t="str">
        <f t="shared" si="3"/>
        <v>10.00 - 10.15 m</v>
      </c>
      <c r="K33" s="1235">
        <v>10</v>
      </c>
      <c r="L33" s="1238">
        <v>10.15</v>
      </c>
      <c r="M33" s="1359" t="str">
        <f t="shared" si="4"/>
        <v>007-BH-04R1-UDS 01-10.00-10.15m</v>
      </c>
      <c r="N33" s="1518"/>
      <c r="O33" s="1518"/>
      <c r="P33" s="1518"/>
      <c r="Q33" s="1241"/>
      <c r="R33" s="1241"/>
      <c r="S33" s="1241"/>
      <c r="T33" s="1241"/>
      <c r="U33" s="1241"/>
      <c r="V33" s="1241"/>
      <c r="W33" s="1241"/>
      <c r="X33" s="1241"/>
      <c r="Y33" s="1241"/>
      <c r="Z33" s="1241"/>
      <c r="AA33" s="1241"/>
      <c r="AB33" s="1241"/>
      <c r="AC33" s="1241"/>
      <c r="AD33" s="1241"/>
      <c r="AE33" s="1518"/>
      <c r="AF33" s="1241"/>
      <c r="AG33" s="1241"/>
      <c r="AH33" s="1241"/>
      <c r="AI33" s="1241"/>
      <c r="AJ33" s="1241"/>
      <c r="AK33" s="1241"/>
      <c r="AN33" s="591" t="str">
        <f>IF(N33=1,COUNTIF($N$27:N33,1),"")</f>
        <v/>
      </c>
      <c r="AO33" s="591" t="str">
        <f>IF(O33=1,COUNTIF($O$27:O33,1),"")</f>
        <v/>
      </c>
      <c r="AP33" s="591" t="str">
        <f>IF(P33=1,COUNTIF($P$27:P33,1),"")</f>
        <v/>
      </c>
      <c r="AQ33" s="591" t="str">
        <f>IF(Q33=1,COUNTIF($Q$27:Q33,1),"")</f>
        <v/>
      </c>
      <c r="AR33" s="591" t="str">
        <f>IF(R33=1,COUNTIF($R$27:R33,1),"")</f>
        <v/>
      </c>
      <c r="AS33" s="591" t="str">
        <f>IF(S33=1,COUNTIF($S$27:S33,1),"")</f>
        <v/>
      </c>
      <c r="AT33" s="591" t="str">
        <f>IF(T33=1,COUNTIF($T$27:T33,1),"")</f>
        <v/>
      </c>
      <c r="AU33" s="591" t="str">
        <f>IF(U33=1,COUNTIF($U$27:U33,1),"")</f>
        <v/>
      </c>
      <c r="AV33" s="591" t="str">
        <f>IF(V33=1,COUNTIF($V$27:V33,1),"")</f>
        <v/>
      </c>
      <c r="AW33" s="591" t="str">
        <f>IF(W33=1,COUNTIF($W$27:W33,1),"")</f>
        <v/>
      </c>
      <c r="AX33" s="591" t="str">
        <f>IF(X33=1,COUNTIF($X$27:X33,1),"")</f>
        <v/>
      </c>
      <c r="AY33" s="591" t="str">
        <f>IF(Y33=1,COUNTIF($Y$27:Y33,1),"")</f>
        <v/>
      </c>
      <c r="AZ33" s="591" t="str">
        <f>IF(Z33=1,COUNTIF($Z$27:Z33,1),"")</f>
        <v/>
      </c>
      <c r="BA33" s="591" t="str">
        <f>IF(AA33=1,COUNTIF($AA$27:AA33,1),"")</f>
        <v/>
      </c>
      <c r="BB33" s="591" t="str">
        <f>IF(AB33=1,COUNTIF($AB$27:AB33,1),"")</f>
        <v/>
      </c>
      <c r="BC33" s="591" t="str">
        <f>IF(AC33=1,COUNTIF($AC$27:AC33,1),"")</f>
        <v/>
      </c>
      <c r="BD33" s="591" t="str">
        <f>IF(AD33=1,COUNTIF($AD$27:AD33,1),"")</f>
        <v/>
      </c>
      <c r="BE33" s="591" t="str">
        <f>IF(AE33=1,COUNTIF($AE$27:AE33,1),"")</f>
        <v/>
      </c>
      <c r="BF33" s="591" t="str">
        <f>IF(AF33=1,COUNTIF($AF$27:AF33,1),"")</f>
        <v/>
      </c>
      <c r="BG33" s="591" t="str">
        <f>IF(AG33=1,COUNTIF($AG$27:AG33,1),"")</f>
        <v/>
      </c>
      <c r="BH33" s="591" t="str">
        <f>IF(AH33=1,COUNTIF($AH$27:AH33,1),"")</f>
        <v/>
      </c>
      <c r="BI33" s="591" t="str">
        <f>IF(AI33=1,COUNTIF($AI$27:AI33,1),"")</f>
        <v/>
      </c>
      <c r="BJ33" s="591" t="str">
        <f>IF(AJ33=1,COUNTIF($AJ$27:AJ33,1),"")</f>
        <v/>
      </c>
      <c r="BK33" s="591" t="str">
        <f>IF(AK33=1,COUNTIF($AK$27:AK33,1),"")</f>
        <v/>
      </c>
      <c r="BQ33" s="681"/>
      <c r="BR33" s="682" t="s">
        <v>562</v>
      </c>
      <c r="BS33" s="683" t="s">
        <v>1159</v>
      </c>
    </row>
    <row r="34" spans="2:72" ht="35.1" customHeight="1">
      <c r="B34" s="1233">
        <f t="shared" si="5"/>
        <v>8</v>
      </c>
      <c r="C34" s="1233" t="str">
        <f t="shared" si="1"/>
        <v>BH-05-R-UDS 01</v>
      </c>
      <c r="D34" s="1218" t="str">
        <f t="shared" si="2"/>
        <v>Composite Sample</v>
      </c>
      <c r="E34" s="1233" t="s">
        <v>1174</v>
      </c>
      <c r="F34" s="1234" t="s">
        <v>1255</v>
      </c>
      <c r="G34" s="1234" t="s">
        <v>1256</v>
      </c>
      <c r="H34" s="1234" t="str">
        <f t="shared" si="0"/>
        <v>26-001-CS-008</v>
      </c>
      <c r="I34" s="1234" t="s">
        <v>1578</v>
      </c>
      <c r="J34" s="1220" t="str">
        <f t="shared" si="3"/>
        <v>0.50 - 0.75 m</v>
      </c>
      <c r="K34" s="1235">
        <v>0.5</v>
      </c>
      <c r="L34" s="1238">
        <v>0.75</v>
      </c>
      <c r="M34" s="1359" t="str">
        <f t="shared" si="4"/>
        <v>008-BH-05-R-UDS 01-0.50-0.75m</v>
      </c>
      <c r="N34" s="1518"/>
      <c r="O34" s="1518"/>
      <c r="P34" s="1518"/>
      <c r="Q34" s="1518"/>
      <c r="R34" s="1241"/>
      <c r="S34" s="1518"/>
      <c r="T34" s="1241"/>
      <c r="U34" s="1241"/>
      <c r="V34" s="1241"/>
      <c r="W34" s="1518"/>
      <c r="X34" s="1241"/>
      <c r="Y34" s="1241"/>
      <c r="Z34" s="1241"/>
      <c r="AA34" s="1241"/>
      <c r="AB34" s="1241"/>
      <c r="AC34" s="1241"/>
      <c r="AD34" s="1241"/>
      <c r="AE34" s="1518"/>
      <c r="AF34" s="1241"/>
      <c r="AG34" s="1241"/>
      <c r="AH34" s="1241"/>
      <c r="AI34" s="1241"/>
      <c r="AJ34" s="1241"/>
      <c r="AK34" s="1241"/>
      <c r="AN34" s="591" t="str">
        <f>IF(N34=1,COUNTIF($N$27:N34,1),"")</f>
        <v/>
      </c>
      <c r="AO34" s="591" t="str">
        <f>IF(O34=1,COUNTIF($O$27:O34,1),"")</f>
        <v/>
      </c>
      <c r="AP34" s="591" t="str">
        <f>IF(P34=1,COUNTIF($P$27:P34,1),"")</f>
        <v/>
      </c>
      <c r="AQ34" s="591" t="str">
        <f>IF(Q34=1,COUNTIF($Q$27:Q34,1),"")</f>
        <v/>
      </c>
      <c r="AR34" s="591" t="str">
        <f>IF(R34=1,COUNTIF($R$27:R34,1),"")</f>
        <v/>
      </c>
      <c r="AS34" s="591" t="str">
        <f>IF(S34=1,COUNTIF($S$27:S34,1),"")</f>
        <v/>
      </c>
      <c r="AT34" s="591" t="str">
        <f>IF(T34=1,COUNTIF($T$27:T34,1),"")</f>
        <v/>
      </c>
      <c r="AU34" s="591" t="str">
        <f>IF(U34=1,COUNTIF($U$27:U34,1),"")</f>
        <v/>
      </c>
      <c r="AV34" s="591" t="str">
        <f>IF(V34=1,COUNTIF($V$27:V34,1),"")</f>
        <v/>
      </c>
      <c r="AW34" s="591" t="str">
        <f>IF(W34=1,COUNTIF($W$27:W34,1),"")</f>
        <v/>
      </c>
      <c r="AX34" s="591" t="str">
        <f>IF(X34=1,COUNTIF($X$27:X34,1),"")</f>
        <v/>
      </c>
      <c r="AY34" s="591" t="str">
        <f>IF(Y34=1,COUNTIF($Y$27:Y34,1),"")</f>
        <v/>
      </c>
      <c r="AZ34" s="591" t="str">
        <f>IF(Z34=1,COUNTIF($Z$27:Z34,1),"")</f>
        <v/>
      </c>
      <c r="BA34" s="591" t="str">
        <f>IF(AA34=1,COUNTIF($AA$27:AA34,1),"")</f>
        <v/>
      </c>
      <c r="BB34" s="591" t="str">
        <f>IF(AB34=1,COUNTIF($AB$27:AB34,1),"")</f>
        <v/>
      </c>
      <c r="BC34" s="591" t="str">
        <f>IF(AC34=1,COUNTIF($AC$27:AC34,1),"")</f>
        <v/>
      </c>
      <c r="BD34" s="591" t="str">
        <f>IF(AD34=1,COUNTIF($AD$27:AD34,1),"")</f>
        <v/>
      </c>
      <c r="BE34" s="591" t="str">
        <f>IF(AE34=1,COUNTIF($AE$27:AE34,1),"")</f>
        <v/>
      </c>
      <c r="BF34" s="591" t="str">
        <f>IF(AF34=1,COUNTIF($AF$27:AF34,1),"")</f>
        <v/>
      </c>
      <c r="BG34" s="591" t="str">
        <f>IF(AG34=1,COUNTIF($AG$27:AG34,1),"")</f>
        <v/>
      </c>
      <c r="BH34" s="591" t="str">
        <f>IF(AH34=1,COUNTIF($AH$27:AH34,1),"")</f>
        <v/>
      </c>
      <c r="BI34" s="591" t="str">
        <f>IF(AI34=1,COUNTIF($AI$27:AI34,1),"")</f>
        <v/>
      </c>
      <c r="BJ34" s="591" t="str">
        <f>IF(AJ34=1,COUNTIF($AJ$27:AJ34,1),"")</f>
        <v/>
      </c>
      <c r="BK34" s="591" t="str">
        <f>IF(AK34=1,COUNTIF($AK$27:AK34,1),"")</f>
        <v/>
      </c>
      <c r="BQ34" s="681"/>
      <c r="BR34" s="682" t="s">
        <v>563</v>
      </c>
      <c r="BS34" s="683" t="s">
        <v>1158</v>
      </c>
    </row>
    <row r="35" spans="2:72" ht="35.1" customHeight="1">
      <c r="B35" s="1233">
        <f t="shared" si="5"/>
        <v>9</v>
      </c>
      <c r="C35" s="1233" t="str">
        <f t="shared" si="1"/>
        <v>BH-03-R-UDS 01</v>
      </c>
      <c r="D35" s="1218" t="str">
        <f t="shared" si="2"/>
        <v>Composite Sample</v>
      </c>
      <c r="E35" s="1233" t="s">
        <v>1174</v>
      </c>
      <c r="F35" s="1234" t="s">
        <v>1185</v>
      </c>
      <c r="G35" s="1234" t="s">
        <v>1256</v>
      </c>
      <c r="H35" s="1234" t="str">
        <f t="shared" si="0"/>
        <v>26-001-CS-009</v>
      </c>
      <c r="I35" s="1234" t="s">
        <v>1578</v>
      </c>
      <c r="J35" s="1220" t="str">
        <f t="shared" si="3"/>
        <v>4.00 - 4.34 m</v>
      </c>
      <c r="K35" s="1235">
        <v>4</v>
      </c>
      <c r="L35" s="1238">
        <v>4.34</v>
      </c>
      <c r="M35" s="1359" t="str">
        <f t="shared" si="4"/>
        <v>009-BH-03-R-UDS 01-4.00-4.34m</v>
      </c>
      <c r="N35" s="1518"/>
      <c r="O35" s="1518"/>
      <c r="P35" s="1518"/>
      <c r="Q35" s="1241"/>
      <c r="R35" s="1241"/>
      <c r="S35" s="1241"/>
      <c r="T35" s="1241"/>
      <c r="U35" s="1241"/>
      <c r="V35" s="1241"/>
      <c r="W35" s="1241"/>
      <c r="X35" s="1241"/>
      <c r="Y35" s="1241"/>
      <c r="Z35" s="1241"/>
      <c r="AA35" s="1241"/>
      <c r="AB35" s="1241"/>
      <c r="AC35" s="1241"/>
      <c r="AD35" s="1241"/>
      <c r="AE35" s="1518"/>
      <c r="AF35" s="1241"/>
      <c r="AG35" s="1241"/>
      <c r="AH35" s="1241"/>
      <c r="AI35" s="1241"/>
      <c r="AJ35" s="1241"/>
      <c r="AK35" s="1241"/>
      <c r="AN35" s="591" t="str">
        <f>IF(N35=1,COUNTIF($N$27:N35,1),"")</f>
        <v/>
      </c>
      <c r="AO35" s="591" t="str">
        <f>IF(O35=1,COUNTIF($O$27:O35,1),"")</f>
        <v/>
      </c>
      <c r="AP35" s="591" t="str">
        <f>IF(P35=1,COUNTIF($P$27:P35,1),"")</f>
        <v/>
      </c>
      <c r="AQ35" s="591" t="str">
        <f>IF(Q35=1,COUNTIF($Q$27:Q35,1),"")</f>
        <v/>
      </c>
      <c r="AR35" s="591" t="str">
        <f>IF(R35=1,COUNTIF($R$27:R35,1),"")</f>
        <v/>
      </c>
      <c r="AS35" s="591" t="str">
        <f>IF(S35=1,COUNTIF($S$27:S35,1),"")</f>
        <v/>
      </c>
      <c r="AT35" s="591" t="str">
        <f>IF(T35=1,COUNTIF($T$27:T35,1),"")</f>
        <v/>
      </c>
      <c r="AU35" s="591" t="str">
        <f>IF(U35=1,COUNTIF($U$27:U35,1),"")</f>
        <v/>
      </c>
      <c r="AV35" s="591" t="str">
        <f>IF(V35=1,COUNTIF($V$27:V35,1),"")</f>
        <v/>
      </c>
      <c r="AW35" s="591" t="str">
        <f>IF(W35=1,COUNTIF($W$27:W35,1),"")</f>
        <v/>
      </c>
      <c r="AX35" s="591" t="str">
        <f>IF(X35=1,COUNTIF($X$27:X35,1),"")</f>
        <v/>
      </c>
      <c r="AY35" s="591" t="str">
        <f>IF(Y35=1,COUNTIF($Y$27:Y35,1),"")</f>
        <v/>
      </c>
      <c r="AZ35" s="591" t="str">
        <f>IF(Z35=1,COUNTIF($Z$27:Z35,1),"")</f>
        <v/>
      </c>
      <c r="BA35" s="591" t="str">
        <f>IF(AA35=1,COUNTIF($AA$27:AA35,1),"")</f>
        <v/>
      </c>
      <c r="BB35" s="591" t="str">
        <f>IF(AB35=1,COUNTIF($AB$27:AB35,1),"")</f>
        <v/>
      </c>
      <c r="BC35" s="591" t="str">
        <f>IF(AC35=1,COUNTIF($AC$27:AC35,1),"")</f>
        <v/>
      </c>
      <c r="BD35" s="591" t="str">
        <f>IF(AD35=1,COUNTIF($AD$27:AD35,1),"")</f>
        <v/>
      </c>
      <c r="BE35" s="591" t="str">
        <f>IF(AE35=1,COUNTIF($AE$27:AE35,1),"")</f>
        <v/>
      </c>
      <c r="BF35" s="591" t="str">
        <f>IF(AF35=1,COUNTIF($AF$27:AF35,1),"")</f>
        <v/>
      </c>
      <c r="BG35" s="591" t="str">
        <f>IF(AG35=1,COUNTIF($AG$27:AG35,1),"")</f>
        <v/>
      </c>
      <c r="BH35" s="591" t="str">
        <f>IF(AH35=1,COUNTIF($AH$27:AH35,1),"")</f>
        <v/>
      </c>
      <c r="BI35" s="591" t="str">
        <f>IF(AI35=1,COUNTIF($AI$27:AI35,1),"")</f>
        <v/>
      </c>
      <c r="BJ35" s="591" t="str">
        <f>IF(AJ35=1,COUNTIF($AJ$27:AJ35,1),"")</f>
        <v/>
      </c>
      <c r="BK35" s="591" t="str">
        <f>IF(AK35=1,COUNTIF($AK$27:AK35,1),"")</f>
        <v/>
      </c>
      <c r="BQ35" s="681">
        <v>7</v>
      </c>
      <c r="BR35" s="682" t="s">
        <v>7</v>
      </c>
      <c r="BS35" s="683" t="s">
        <v>8</v>
      </c>
    </row>
    <row r="36" spans="2:72" ht="35.1" customHeight="1">
      <c r="B36" s="1233">
        <f t="shared" si="5"/>
        <v>10</v>
      </c>
      <c r="C36" s="1233" t="str">
        <f t="shared" si="1"/>
        <v>BH-03-R-UDS 04</v>
      </c>
      <c r="D36" s="1218" t="str">
        <f t="shared" si="2"/>
        <v>Undisturbed Sample</v>
      </c>
      <c r="E36" s="1233" t="s">
        <v>1168</v>
      </c>
      <c r="F36" s="1234" t="s">
        <v>1185</v>
      </c>
      <c r="G36" s="1234" t="s">
        <v>1257</v>
      </c>
      <c r="H36" s="1234" t="str">
        <f t="shared" si="0"/>
        <v>26-001-UDS-010</v>
      </c>
      <c r="I36" s="1234"/>
      <c r="J36" s="1220" t="str">
        <f t="shared" si="3"/>
        <v>8.50 - 9.00 m</v>
      </c>
      <c r="K36" s="1235">
        <v>8.5</v>
      </c>
      <c r="L36" s="1239">
        <v>9</v>
      </c>
      <c r="M36" s="1359" t="str">
        <f t="shared" si="4"/>
        <v>010-BH-03-R-UDS 04-8.50-9.00m</v>
      </c>
      <c r="N36" s="1518"/>
      <c r="O36" s="1518"/>
      <c r="P36" s="1518"/>
      <c r="Q36" s="1241"/>
      <c r="R36" s="1241"/>
      <c r="S36" s="1241"/>
      <c r="T36" s="1241"/>
      <c r="U36" s="1241"/>
      <c r="V36" s="1241"/>
      <c r="W36" s="1241"/>
      <c r="X36" s="1241"/>
      <c r="Y36" s="1241"/>
      <c r="Z36" s="1241"/>
      <c r="AA36" s="1241"/>
      <c r="AB36" s="1241"/>
      <c r="AC36" s="1241"/>
      <c r="AD36" s="1241"/>
      <c r="AE36" s="1518"/>
      <c r="AF36" s="1241"/>
      <c r="AG36" s="1241"/>
      <c r="AH36" s="1241"/>
      <c r="AI36" s="1241"/>
      <c r="AJ36" s="1241"/>
      <c r="AK36" s="1241"/>
      <c r="AN36" s="591" t="str">
        <f>IF(N36=1,COUNTIF($N$27:N36,1),"")</f>
        <v/>
      </c>
      <c r="AO36" s="591" t="str">
        <f>IF(O36=1,COUNTIF($O$27:O36,1),"")</f>
        <v/>
      </c>
      <c r="AP36" s="591" t="str">
        <f>IF(P36=1,COUNTIF($P$27:P36,1),"")</f>
        <v/>
      </c>
      <c r="AQ36" s="591" t="str">
        <f>IF(Q36=1,COUNTIF($Q$27:Q36,1),"")</f>
        <v/>
      </c>
      <c r="AR36" s="591" t="str">
        <f>IF(R36=1,COUNTIF($R$27:R36,1),"")</f>
        <v/>
      </c>
      <c r="AS36" s="591" t="str">
        <f>IF(S36=1,COUNTIF($S$27:S36,1),"")</f>
        <v/>
      </c>
      <c r="AT36" s="591" t="str">
        <f>IF(T36=1,COUNTIF($T$27:T36,1),"")</f>
        <v/>
      </c>
      <c r="AU36" s="591" t="str">
        <f>IF(U36=1,COUNTIF($U$27:U36,1),"")</f>
        <v/>
      </c>
      <c r="AV36" s="591" t="str">
        <f>IF(V36=1,COUNTIF($V$27:V36,1),"")</f>
        <v/>
      </c>
      <c r="AW36" s="591" t="str">
        <f>IF(W36=1,COUNTIF($W$27:W36,1),"")</f>
        <v/>
      </c>
      <c r="AX36" s="591" t="str">
        <f>IF(X36=1,COUNTIF($X$27:X36,1),"")</f>
        <v/>
      </c>
      <c r="AY36" s="591" t="str">
        <f>IF(Y36=1,COUNTIF($Y$27:Y36,1),"")</f>
        <v/>
      </c>
      <c r="AZ36" s="591" t="str">
        <f>IF(Z36=1,COUNTIF($Z$27:Z36,1),"")</f>
        <v/>
      </c>
      <c r="BA36" s="591" t="str">
        <f>IF(AA36=1,COUNTIF($AA$27:AA36,1),"")</f>
        <v/>
      </c>
      <c r="BB36" s="591" t="str">
        <f>IF(AB36=1,COUNTIF($AB$27:AB36,1),"")</f>
        <v/>
      </c>
      <c r="BC36" s="591" t="str">
        <f>IF(AC36=1,COUNTIF($AC$27:AC36,1),"")</f>
        <v/>
      </c>
      <c r="BD36" s="591" t="str">
        <f>IF(AD36=1,COUNTIF($AD$27:AD36,1),"")</f>
        <v/>
      </c>
      <c r="BE36" s="591" t="str">
        <f>IF(AE36=1,COUNTIF($AE$27:AE36,1),"")</f>
        <v/>
      </c>
      <c r="BF36" s="591" t="str">
        <f>IF(AF36=1,COUNTIF($AF$27:AF36,1),"")</f>
        <v/>
      </c>
      <c r="BG36" s="591" t="str">
        <f>IF(AG36=1,COUNTIF($AG$27:AG36,1),"")</f>
        <v/>
      </c>
      <c r="BH36" s="591" t="str">
        <f>IF(AH36=1,COUNTIF($AH$27:AH36,1),"")</f>
        <v/>
      </c>
      <c r="BI36" s="591" t="str">
        <f>IF(AI36=1,COUNTIF($AI$27:AI36,1),"")</f>
        <v/>
      </c>
      <c r="BJ36" s="591" t="str">
        <f>IF(AJ36=1,COUNTIF($AJ$27:AJ36,1),"")</f>
        <v/>
      </c>
      <c r="BK36" s="591" t="str">
        <f>IF(AK36=1,COUNTIF($AK$27:AK36,1),"")</f>
        <v/>
      </c>
      <c r="BQ36" s="681">
        <v>8</v>
      </c>
      <c r="BR36" s="682" t="s">
        <v>9</v>
      </c>
      <c r="BS36" s="683"/>
    </row>
    <row r="37" spans="2:72" ht="35.1" customHeight="1">
      <c r="B37" s="1233">
        <f t="shared" si="5"/>
        <v>11</v>
      </c>
      <c r="C37" s="1233" t="str">
        <f t="shared" si="1"/>
        <v>BH-07-R-UDS 01</v>
      </c>
      <c r="D37" s="1218" t="str">
        <f t="shared" si="2"/>
        <v>Undisturbed Sample</v>
      </c>
      <c r="E37" s="1233" t="s">
        <v>1168</v>
      </c>
      <c r="F37" s="1234" t="s">
        <v>1186</v>
      </c>
      <c r="G37" s="1234" t="s">
        <v>1256</v>
      </c>
      <c r="H37" s="1234" t="str">
        <f t="shared" si="0"/>
        <v>26-001-UDS-011</v>
      </c>
      <c r="I37" s="1234"/>
      <c r="J37" s="1220" t="str">
        <f t="shared" si="3"/>
        <v>1.00 - 1.50 m</v>
      </c>
      <c r="K37" s="1235">
        <v>1</v>
      </c>
      <c r="L37" s="1239">
        <v>1.5</v>
      </c>
      <c r="M37" s="1359" t="str">
        <f t="shared" si="4"/>
        <v>011-BH-07-R-UDS 01-1.00-1.50m</v>
      </c>
      <c r="N37" s="1518"/>
      <c r="O37" s="1518"/>
      <c r="P37" s="1518"/>
      <c r="Q37" s="1241"/>
      <c r="R37" s="1241"/>
      <c r="S37" s="1241"/>
      <c r="T37" s="1241"/>
      <c r="U37" s="1241"/>
      <c r="V37" s="1241"/>
      <c r="W37" s="1241"/>
      <c r="X37" s="1241"/>
      <c r="Y37" s="1241"/>
      <c r="Z37" s="1241"/>
      <c r="AA37" s="1241"/>
      <c r="AB37" s="1241"/>
      <c r="AC37" s="1241"/>
      <c r="AD37" s="1241"/>
      <c r="AE37" s="1518"/>
      <c r="AF37" s="1241"/>
      <c r="AG37" s="1241"/>
      <c r="AH37" s="1241"/>
      <c r="AI37" s="1241"/>
      <c r="AJ37" s="1241"/>
      <c r="AK37" s="1241"/>
      <c r="AN37" s="591" t="str">
        <f>IF(N37=1,COUNTIF($N$27:N37,1),"")</f>
        <v/>
      </c>
      <c r="AO37" s="591" t="str">
        <f>IF(O37=1,COUNTIF($O$27:O37,1),"")</f>
        <v/>
      </c>
      <c r="AP37" s="591" t="str">
        <f>IF(P37=1,COUNTIF($P$27:P37,1),"")</f>
        <v/>
      </c>
      <c r="AQ37" s="591" t="str">
        <f>IF(Q37=1,COUNTIF($Q$27:Q37,1),"")</f>
        <v/>
      </c>
      <c r="AR37" s="591" t="str">
        <f>IF(R37=1,COUNTIF($R$27:R37,1),"")</f>
        <v/>
      </c>
      <c r="AS37" s="591" t="str">
        <f>IF(S37=1,COUNTIF($S$27:S37,1),"")</f>
        <v/>
      </c>
      <c r="AT37" s="591" t="str">
        <f>IF(T37=1,COUNTIF($T$27:T37,1),"")</f>
        <v/>
      </c>
      <c r="AU37" s="591" t="str">
        <f>IF(U37=1,COUNTIF($U$27:U37,1),"")</f>
        <v/>
      </c>
      <c r="AV37" s="591" t="str">
        <f>IF(V37=1,COUNTIF($V$27:V37,1),"")</f>
        <v/>
      </c>
      <c r="AW37" s="591" t="str">
        <f>IF(W37=1,COUNTIF($W$27:W37,1),"")</f>
        <v/>
      </c>
      <c r="AX37" s="591" t="str">
        <f>IF(X37=1,COUNTIF($X$27:X37,1),"")</f>
        <v/>
      </c>
      <c r="AY37" s="591" t="str">
        <f>IF(Y37=1,COUNTIF($Y$27:Y37,1),"")</f>
        <v/>
      </c>
      <c r="AZ37" s="591" t="str">
        <f>IF(Z37=1,COUNTIF($Z$27:Z37,1),"")</f>
        <v/>
      </c>
      <c r="BA37" s="591" t="str">
        <f>IF(AA37=1,COUNTIF($AA$27:AA37,1),"")</f>
        <v/>
      </c>
      <c r="BB37" s="591" t="str">
        <f>IF(AB37=1,COUNTIF($AB$27:AB37,1),"")</f>
        <v/>
      </c>
      <c r="BC37" s="591" t="str">
        <f>IF(AC37=1,COUNTIF($AC$27:AC37,1),"")</f>
        <v/>
      </c>
      <c r="BD37" s="591" t="str">
        <f>IF(AD37=1,COUNTIF($AD$27:AD37,1),"")</f>
        <v/>
      </c>
      <c r="BE37" s="591" t="str">
        <f>IF(AE37=1,COUNTIF($AE$27:AE37,1),"")</f>
        <v/>
      </c>
      <c r="BF37" s="591" t="str">
        <f>IF(AF37=1,COUNTIF($AF$27:AF37,1),"")</f>
        <v/>
      </c>
      <c r="BG37" s="591" t="str">
        <f>IF(AG37=1,COUNTIF($AG$27:AG37,1),"")</f>
        <v/>
      </c>
      <c r="BH37" s="591" t="str">
        <f>IF(AH37=1,COUNTIF($AH$27:AH37,1),"")</f>
        <v/>
      </c>
      <c r="BI37" s="591" t="str">
        <f>IF(AI37=1,COUNTIF($AI$27:AI37,1),"")</f>
        <v/>
      </c>
      <c r="BJ37" s="591" t="str">
        <f>IF(AJ37=1,COUNTIF($AJ$27:AJ37,1),"")</f>
        <v/>
      </c>
      <c r="BK37" s="591" t="str">
        <f>IF(AK37=1,COUNTIF($AK$27:AK37,1),"")</f>
        <v/>
      </c>
      <c r="BQ37" s="681"/>
      <c r="BR37" s="682" t="s">
        <v>564</v>
      </c>
      <c r="BS37" s="683" t="s">
        <v>908</v>
      </c>
      <c r="BT37" s="591" t="s">
        <v>364</v>
      </c>
    </row>
    <row r="38" spans="2:72" ht="35.1" customHeight="1">
      <c r="B38" s="1233">
        <f t="shared" si="5"/>
        <v>12</v>
      </c>
      <c r="C38" s="1233" t="str">
        <f t="shared" si="1"/>
        <v>BH-06-R2-UDS 01</v>
      </c>
      <c r="D38" s="1218" t="str">
        <f t="shared" si="2"/>
        <v>Undisturbed Sample</v>
      </c>
      <c r="E38" s="1233" t="s">
        <v>1168</v>
      </c>
      <c r="F38" s="1234" t="s">
        <v>1187</v>
      </c>
      <c r="G38" s="1234" t="s">
        <v>1256</v>
      </c>
      <c r="H38" s="1234" t="str">
        <f t="shared" si="0"/>
        <v>26-001-UDS-012</v>
      </c>
      <c r="I38" s="1234"/>
      <c r="J38" s="1220" t="str">
        <f t="shared" si="3"/>
        <v>2.50 - 3.00 m</v>
      </c>
      <c r="K38" s="1235">
        <v>2.5</v>
      </c>
      <c r="L38" s="1239">
        <v>3</v>
      </c>
      <c r="M38" s="1359" t="str">
        <f t="shared" si="4"/>
        <v>012-BH-06-R2-UDS 01-2.50-3.00m</v>
      </c>
      <c r="N38" s="1518"/>
      <c r="O38" s="1518"/>
      <c r="P38" s="1518"/>
      <c r="Q38" s="1518"/>
      <c r="R38" s="1241"/>
      <c r="S38" s="1518"/>
      <c r="T38" s="1241"/>
      <c r="U38" s="1241"/>
      <c r="V38" s="1241"/>
      <c r="W38" s="1518"/>
      <c r="X38" s="1241"/>
      <c r="Y38" s="1241"/>
      <c r="Z38" s="1241"/>
      <c r="AA38" s="1241"/>
      <c r="AB38" s="1241"/>
      <c r="AC38" s="1241"/>
      <c r="AD38" s="1241"/>
      <c r="AE38" s="1518"/>
      <c r="AF38" s="1241"/>
      <c r="AG38" s="1241"/>
      <c r="AH38" s="1241"/>
      <c r="AI38" s="1241"/>
      <c r="AJ38" s="1241"/>
      <c r="AK38" s="1241"/>
      <c r="AN38" s="591" t="str">
        <f>IF(N38=1,COUNTIF($N$27:N38,1),"")</f>
        <v/>
      </c>
      <c r="AO38" s="591" t="str">
        <f>IF(O38=1,COUNTIF($O$27:O38,1),"")</f>
        <v/>
      </c>
      <c r="AP38" s="591" t="str">
        <f>IF(P38=1,COUNTIF($P$27:P38,1),"")</f>
        <v/>
      </c>
      <c r="AQ38" s="591" t="str">
        <f>IF(Q38=1,COUNTIF($Q$27:Q38,1),"")</f>
        <v/>
      </c>
      <c r="AR38" s="591" t="str">
        <f>IF(R38=1,COUNTIF($R$27:R38,1),"")</f>
        <v/>
      </c>
      <c r="AS38" s="591" t="str">
        <f>IF(S38=1,COUNTIF($S$27:S38,1),"")</f>
        <v/>
      </c>
      <c r="AT38" s="591" t="str">
        <f>IF(T38=1,COUNTIF($T$27:T38,1),"")</f>
        <v/>
      </c>
      <c r="AU38" s="591" t="str">
        <f>IF(U38=1,COUNTIF($U$27:U38,1),"")</f>
        <v/>
      </c>
      <c r="AV38" s="591" t="str">
        <f>IF(V38=1,COUNTIF($V$27:V38,1),"")</f>
        <v/>
      </c>
      <c r="AW38" s="591" t="str">
        <f>IF(W38=1,COUNTIF($W$27:W38,1),"")</f>
        <v/>
      </c>
      <c r="AX38" s="591" t="str">
        <f>IF(X38=1,COUNTIF($X$27:X38,1),"")</f>
        <v/>
      </c>
      <c r="AY38" s="591" t="str">
        <f>IF(Y38=1,COUNTIF($Y$27:Y38,1),"")</f>
        <v/>
      </c>
      <c r="AZ38" s="591" t="str">
        <f>IF(Z38=1,COUNTIF($Z$27:Z38,1),"")</f>
        <v/>
      </c>
      <c r="BA38" s="591" t="str">
        <f>IF(AA38=1,COUNTIF($AA$27:AA38,1),"")</f>
        <v/>
      </c>
      <c r="BB38" s="591" t="str">
        <f>IF(AB38=1,COUNTIF($AB$27:AB38,1),"")</f>
        <v/>
      </c>
      <c r="BC38" s="591" t="str">
        <f>IF(AC38=1,COUNTIF($AC$27:AC38,1),"")</f>
        <v/>
      </c>
      <c r="BD38" s="591" t="str">
        <f>IF(AD38=1,COUNTIF($AD$27:AD38,1),"")</f>
        <v/>
      </c>
      <c r="BE38" s="591" t="str">
        <f>IF(AE38=1,COUNTIF($AE$27:AE38,1),"")</f>
        <v/>
      </c>
      <c r="BF38" s="591" t="str">
        <f>IF(AF38=1,COUNTIF($AF$27:AF38,1),"")</f>
        <v/>
      </c>
      <c r="BG38" s="591" t="str">
        <f>IF(AG38=1,COUNTIF($AG$27:AG38,1),"")</f>
        <v/>
      </c>
      <c r="BH38" s="591" t="str">
        <f>IF(AH38=1,COUNTIF($AH$27:AH38,1),"")</f>
        <v/>
      </c>
      <c r="BI38" s="591" t="str">
        <f>IF(AI38=1,COUNTIF($AI$27:AI38,1),"")</f>
        <v/>
      </c>
      <c r="BJ38" s="591" t="str">
        <f>IF(AJ38=1,COUNTIF($AJ$27:AJ38,1),"")</f>
        <v/>
      </c>
      <c r="BK38" s="591" t="str">
        <f>IF(AK38=1,COUNTIF($AK$27:AK38,1),"")</f>
        <v/>
      </c>
      <c r="BQ38" s="681"/>
      <c r="BR38" s="682" t="s">
        <v>565</v>
      </c>
      <c r="BS38" s="683" t="s">
        <v>10</v>
      </c>
      <c r="BT38" s="591" t="s">
        <v>742</v>
      </c>
    </row>
    <row r="39" spans="2:72" ht="35.1" customHeight="1">
      <c r="B39" s="1233">
        <f t="shared" si="5"/>
        <v>13</v>
      </c>
      <c r="C39" s="1233" t="str">
        <f t="shared" si="1"/>
        <v>BH-06-R2-UDS 02</v>
      </c>
      <c r="D39" s="1218" t="str">
        <f t="shared" si="2"/>
        <v>Undisturbed Sample</v>
      </c>
      <c r="E39" s="1233" t="s">
        <v>1168</v>
      </c>
      <c r="F39" s="1234" t="s">
        <v>1187</v>
      </c>
      <c r="G39" s="1234" t="s">
        <v>1258</v>
      </c>
      <c r="H39" s="1234" t="str">
        <f t="shared" si="0"/>
        <v>26-001-UDS-013</v>
      </c>
      <c r="I39" s="1234"/>
      <c r="J39" s="1220" t="str">
        <f t="shared" si="3"/>
        <v>4.00 - 0.50 m</v>
      </c>
      <c r="K39" s="1235">
        <v>4</v>
      </c>
      <c r="L39" s="1239">
        <v>0.5</v>
      </c>
      <c r="M39" s="1359" t="str">
        <f t="shared" si="4"/>
        <v>013-BH-06-R2-UDS 02-4.00-0.50m</v>
      </c>
      <c r="N39" s="1518"/>
      <c r="O39" s="1518"/>
      <c r="P39" s="1518"/>
      <c r="Q39" s="1241"/>
      <c r="R39" s="1241"/>
      <c r="S39" s="1241"/>
      <c r="T39" s="1241"/>
      <c r="U39" s="1241"/>
      <c r="V39" s="1241"/>
      <c r="W39" s="1241"/>
      <c r="X39" s="1241"/>
      <c r="Y39" s="1241"/>
      <c r="Z39" s="1241"/>
      <c r="AA39" s="1241"/>
      <c r="AB39" s="1241"/>
      <c r="AC39" s="1241"/>
      <c r="AD39" s="1241"/>
      <c r="AE39" s="1518"/>
      <c r="AF39" s="1241"/>
      <c r="AG39" s="1241"/>
      <c r="AH39" s="1241"/>
      <c r="AI39" s="1241"/>
      <c r="AJ39" s="1241"/>
      <c r="AK39" s="1241"/>
      <c r="AN39" s="591" t="str">
        <f>IF(N39=1,COUNTIF($N$27:N39,1),"")</f>
        <v/>
      </c>
      <c r="AO39" s="591" t="str">
        <f>IF(O39=1,COUNTIF($O$27:O39,1),"")</f>
        <v/>
      </c>
      <c r="AP39" s="591" t="str">
        <f>IF(P39=1,COUNTIF($P$27:P39,1),"")</f>
        <v/>
      </c>
      <c r="AQ39" s="591" t="str">
        <f>IF(Q39=1,COUNTIF($Q$27:Q39,1),"")</f>
        <v/>
      </c>
      <c r="AR39" s="591" t="str">
        <f>IF(R39=1,COUNTIF($R$27:R39,1),"")</f>
        <v/>
      </c>
      <c r="AS39" s="591" t="str">
        <f>IF(S39=1,COUNTIF($S$27:S39,1),"")</f>
        <v/>
      </c>
      <c r="AT39" s="591" t="str">
        <f>IF(T39=1,COUNTIF($T$27:T39,1),"")</f>
        <v/>
      </c>
      <c r="AU39" s="591" t="str">
        <f>IF(U39=1,COUNTIF($U$27:U39,1),"")</f>
        <v/>
      </c>
      <c r="AV39" s="591" t="str">
        <f>IF(V39=1,COUNTIF($V$27:V39,1),"")</f>
        <v/>
      </c>
      <c r="AW39" s="591" t="str">
        <f>IF(W39=1,COUNTIF($W$27:W39,1),"")</f>
        <v/>
      </c>
      <c r="AX39" s="591" t="str">
        <f>IF(X39=1,COUNTIF($X$27:X39,1),"")</f>
        <v/>
      </c>
      <c r="AY39" s="591" t="str">
        <f>IF(Y39=1,COUNTIF($Y$27:Y39,1),"")</f>
        <v/>
      </c>
      <c r="AZ39" s="591" t="str">
        <f>IF(Z39=1,COUNTIF($Z$27:Z39,1),"")</f>
        <v/>
      </c>
      <c r="BA39" s="591" t="str">
        <f>IF(AA39=1,COUNTIF($AA$27:AA39,1),"")</f>
        <v/>
      </c>
      <c r="BB39" s="591" t="str">
        <f>IF(AB39=1,COUNTIF($AB$27:AB39,1),"")</f>
        <v/>
      </c>
      <c r="BC39" s="591" t="str">
        <f>IF(AC39=1,COUNTIF($AC$27:AC39,1),"")</f>
        <v/>
      </c>
      <c r="BD39" s="591" t="str">
        <f>IF(AD39=1,COUNTIF($AD$27:AD39,1),"")</f>
        <v/>
      </c>
      <c r="BE39" s="591" t="str">
        <f>IF(AE39=1,COUNTIF($AE$27:AE39,1),"")</f>
        <v/>
      </c>
      <c r="BF39" s="591" t="str">
        <f>IF(AF39=1,COUNTIF($AF$27:AF39,1),"")</f>
        <v/>
      </c>
      <c r="BG39" s="591" t="str">
        <f>IF(AG39=1,COUNTIF($AG$27:AG39,1),"")</f>
        <v/>
      </c>
      <c r="BH39" s="591" t="str">
        <f>IF(AH39=1,COUNTIF($AH$27:AH39,1),"")</f>
        <v/>
      </c>
      <c r="BI39" s="591" t="str">
        <f>IF(AI39=1,COUNTIF($AI$27:AI39,1),"")</f>
        <v/>
      </c>
      <c r="BJ39" s="591" t="str">
        <f>IF(AJ39=1,COUNTIF($AJ$27:AJ39,1),"")</f>
        <v/>
      </c>
      <c r="BK39" s="591" t="str">
        <f>IF(AK39=1,COUNTIF($AK$27:AK39,1),"")</f>
        <v/>
      </c>
      <c r="BQ39" s="681"/>
      <c r="BR39" s="682" t="s">
        <v>566</v>
      </c>
      <c r="BS39" s="683" t="s">
        <v>10</v>
      </c>
      <c r="BT39" s="591" t="s">
        <v>743</v>
      </c>
    </row>
    <row r="40" spans="2:72" ht="35.1" customHeight="1">
      <c r="B40" s="1217">
        <f t="shared" si="5"/>
        <v>14</v>
      </c>
      <c r="C40" s="1217" t="str">
        <f t="shared" si="1"/>
        <v>BH-04R1-DS 01</v>
      </c>
      <c r="D40" s="1218" t="str">
        <f t="shared" si="2"/>
        <v>Disturbed Sample</v>
      </c>
      <c r="E40" s="1217" t="s">
        <v>1169</v>
      </c>
      <c r="F40" s="1219" t="s">
        <v>1183</v>
      </c>
      <c r="G40" s="1219" t="s">
        <v>1259</v>
      </c>
      <c r="H40" s="1219" t="str">
        <f t="shared" si="0"/>
        <v>26-001-DS-014</v>
      </c>
      <c r="I40" s="1219"/>
      <c r="J40" s="1220" t="str">
        <f t="shared" si="3"/>
        <v>19.95 - 20.30 m</v>
      </c>
      <c r="K40" s="1219">
        <v>19.95</v>
      </c>
      <c r="L40" s="1240">
        <v>20.3</v>
      </c>
      <c r="M40" s="1359" t="str">
        <f t="shared" si="4"/>
        <v>014-BH-04R1-DS 01-19.95-20.30m</v>
      </c>
      <c r="N40" s="1518"/>
      <c r="O40" s="1518"/>
      <c r="P40" s="1518"/>
      <c r="Q40" s="1241"/>
      <c r="R40" s="1241"/>
      <c r="S40" s="1241"/>
      <c r="T40" s="1241"/>
      <c r="U40" s="1241"/>
      <c r="V40" s="1241"/>
      <c r="W40" s="1241"/>
      <c r="X40" s="1241"/>
      <c r="Y40" s="1241"/>
      <c r="Z40" s="1241"/>
      <c r="AA40" s="1241"/>
      <c r="AB40" s="1241"/>
      <c r="AC40" s="1241"/>
      <c r="AD40" s="1241"/>
      <c r="AE40" s="1518"/>
      <c r="AF40" s="1241"/>
      <c r="AG40" s="1241"/>
      <c r="AH40" s="1241"/>
      <c r="AI40" s="1241"/>
      <c r="AJ40" s="1241"/>
      <c r="AK40" s="1241"/>
      <c r="AN40" s="591" t="str">
        <f>IF(N40=1,COUNTIF($N$27:N40,1),"")</f>
        <v/>
      </c>
      <c r="AO40" s="591" t="str">
        <f>IF(O40=1,COUNTIF($O$27:O40,1),"")</f>
        <v/>
      </c>
      <c r="AP40" s="591" t="str">
        <f>IF(P40=1,COUNTIF($P$27:P40,1),"")</f>
        <v/>
      </c>
      <c r="AQ40" s="591" t="str">
        <f>IF(Q40=1,COUNTIF($Q$27:Q40,1),"")</f>
        <v/>
      </c>
      <c r="AR40" s="591" t="str">
        <f>IF(R40=1,COUNTIF($R$27:R40,1),"")</f>
        <v/>
      </c>
      <c r="AS40" s="591" t="str">
        <f>IF(S40=1,COUNTIF($S$27:S40,1),"")</f>
        <v/>
      </c>
      <c r="AT40" s="591" t="str">
        <f>IF(T40=1,COUNTIF($T$27:T40,1),"")</f>
        <v/>
      </c>
      <c r="AU40" s="591" t="str">
        <f>IF(U40=1,COUNTIF($U$27:U40,1),"")</f>
        <v/>
      </c>
      <c r="AV40" s="591" t="str">
        <f>IF(V40=1,COUNTIF($V$27:V40,1),"")</f>
        <v/>
      </c>
      <c r="AW40" s="591" t="str">
        <f>IF(W40=1,COUNTIF($W$27:W40,1),"")</f>
        <v/>
      </c>
      <c r="AX40" s="591" t="str">
        <f>IF(X40=1,COUNTIF($X$27:X40,1),"")</f>
        <v/>
      </c>
      <c r="AY40" s="591" t="str">
        <f>IF(Y40=1,COUNTIF($Y$27:Y40,1),"")</f>
        <v/>
      </c>
      <c r="AZ40" s="591" t="str">
        <f>IF(Z40=1,COUNTIF($Z$27:Z40,1),"")</f>
        <v/>
      </c>
      <c r="BA40" s="591" t="str">
        <f>IF(AA40=1,COUNTIF($AA$27:AA40,1),"")</f>
        <v/>
      </c>
      <c r="BB40" s="591" t="str">
        <f>IF(AB40=1,COUNTIF($AB$27:AB40,1),"")</f>
        <v/>
      </c>
      <c r="BC40" s="591" t="str">
        <f>IF(AC40=1,COUNTIF($AC$27:AC40,1),"")</f>
        <v/>
      </c>
      <c r="BD40" s="591" t="str">
        <f>IF(AD40=1,COUNTIF($AD$27:AD40,1),"")</f>
        <v/>
      </c>
      <c r="BE40" s="591" t="str">
        <f>IF(AE40=1,COUNTIF($AE$27:AE40,1),"")</f>
        <v/>
      </c>
      <c r="BF40" s="591" t="str">
        <f>IF(AF40=1,COUNTIF($AF$27:AF40,1),"")</f>
        <v/>
      </c>
      <c r="BG40" s="591" t="str">
        <f>IF(AG40=1,COUNTIF($AG$27:AG40,1),"")</f>
        <v/>
      </c>
      <c r="BH40" s="591" t="str">
        <f>IF(AH40=1,COUNTIF($AH$27:AH40,1),"")</f>
        <v/>
      </c>
      <c r="BI40" s="591" t="str">
        <f>IF(AI40=1,COUNTIF($AI$27:AI40,1),"")</f>
        <v/>
      </c>
      <c r="BJ40" s="591" t="str">
        <f>IF(AJ40=1,COUNTIF($AJ$27:AJ40,1),"")</f>
        <v/>
      </c>
      <c r="BK40" s="591" t="str">
        <f>IF(AK40=1,COUNTIF($AK$27:AK40,1),"")</f>
        <v/>
      </c>
      <c r="BQ40" s="681">
        <v>9</v>
      </c>
      <c r="BR40" s="682" t="s">
        <v>11</v>
      </c>
      <c r="BS40" s="683" t="s">
        <v>1115</v>
      </c>
      <c r="BT40" s="591" t="s">
        <v>1116</v>
      </c>
    </row>
    <row r="41" spans="2:72" ht="35.1" customHeight="1">
      <c r="B41" s="1217">
        <f t="shared" si="5"/>
        <v>15</v>
      </c>
      <c r="C41" s="1217" t="str">
        <f t="shared" si="1"/>
        <v>BH-04R1-DS 04</v>
      </c>
      <c r="D41" s="1218" t="str">
        <f t="shared" si="2"/>
        <v>Disturbed Sample</v>
      </c>
      <c r="E41" s="1217" t="s">
        <v>1169</v>
      </c>
      <c r="F41" s="1219" t="s">
        <v>1183</v>
      </c>
      <c r="G41" s="1219" t="s">
        <v>1260</v>
      </c>
      <c r="H41" s="1219" t="str">
        <f t="shared" si="0"/>
        <v>26-001-DS-015</v>
      </c>
      <c r="I41" s="1219"/>
      <c r="J41" s="1220" t="str">
        <f t="shared" si="3"/>
        <v>25.23 - 25.43 m</v>
      </c>
      <c r="K41" s="1219">
        <v>25.23</v>
      </c>
      <c r="L41" s="1240">
        <v>25.43</v>
      </c>
      <c r="M41" s="1359" t="str">
        <f t="shared" si="4"/>
        <v>015-BH-04R1-DS 04-25.23-25.43m</v>
      </c>
      <c r="N41" s="1518"/>
      <c r="O41" s="1518"/>
      <c r="P41" s="1518"/>
      <c r="Q41" s="1241"/>
      <c r="R41" s="1241"/>
      <c r="S41" s="1241"/>
      <c r="T41" s="1241"/>
      <c r="U41" s="1241"/>
      <c r="V41" s="1241"/>
      <c r="W41" s="1518"/>
      <c r="X41" s="1241"/>
      <c r="Y41" s="1241"/>
      <c r="Z41" s="1241"/>
      <c r="AA41" s="1241"/>
      <c r="AB41" s="1241"/>
      <c r="AC41" s="1241"/>
      <c r="AD41" s="1241"/>
      <c r="AE41" s="1518"/>
      <c r="AF41" s="1241"/>
      <c r="AG41" s="1241"/>
      <c r="AH41" s="1241"/>
      <c r="AI41" s="1241"/>
      <c r="AJ41" s="1241"/>
      <c r="AK41" s="1241"/>
      <c r="AN41" s="591" t="str">
        <f>IF(N41=1,COUNTIF($N$27:N41,1),"")</f>
        <v/>
      </c>
      <c r="AO41" s="591" t="str">
        <f>IF(O41=1,COUNTIF($O$27:O41,1),"")</f>
        <v/>
      </c>
      <c r="AP41" s="591" t="str">
        <f>IF(P41=1,COUNTIF($P$27:P41,1),"")</f>
        <v/>
      </c>
      <c r="AQ41" s="591" t="str">
        <f>IF(Q41=1,COUNTIF($Q$27:Q41,1),"")</f>
        <v/>
      </c>
      <c r="AR41" s="591" t="str">
        <f>IF(R41=1,COUNTIF($R$27:R41,1),"")</f>
        <v/>
      </c>
      <c r="AS41" s="591" t="str">
        <f>IF(S41=1,COUNTIF($S$27:S41,1),"")</f>
        <v/>
      </c>
      <c r="AT41" s="591" t="str">
        <f>IF(T41=1,COUNTIF($T$27:T41,1),"")</f>
        <v/>
      </c>
      <c r="AU41" s="591" t="str">
        <f>IF(U41=1,COUNTIF($U$27:U41,1),"")</f>
        <v/>
      </c>
      <c r="AV41" s="591" t="str">
        <f>IF(V41=1,COUNTIF($V$27:V41,1),"")</f>
        <v/>
      </c>
      <c r="AW41" s="591" t="str">
        <f>IF(W41=1,COUNTIF($W$27:W41,1),"")</f>
        <v/>
      </c>
      <c r="AX41" s="591" t="str">
        <f>IF(X41=1,COUNTIF($X$27:X41,1),"")</f>
        <v/>
      </c>
      <c r="AY41" s="591" t="str">
        <f>IF(Y41=1,COUNTIF($Y$27:Y41,1),"")</f>
        <v/>
      </c>
      <c r="AZ41" s="591" t="str">
        <f>IF(Z41=1,COUNTIF($Z$27:Z41,1),"")</f>
        <v/>
      </c>
      <c r="BA41" s="591" t="str">
        <f>IF(AA41=1,COUNTIF($AA$27:AA41,1),"")</f>
        <v/>
      </c>
      <c r="BB41" s="591" t="str">
        <f>IF(AB41=1,COUNTIF($AB$27:AB41,1),"")</f>
        <v/>
      </c>
      <c r="BC41" s="591" t="str">
        <f>IF(AC41=1,COUNTIF($AC$27:AC41,1),"")</f>
        <v/>
      </c>
      <c r="BD41" s="591" t="str">
        <f>IF(AD41=1,COUNTIF($AD$27:AD41,1),"")</f>
        <v/>
      </c>
      <c r="BE41" s="591" t="str">
        <f>IF(AE41=1,COUNTIF($AE$27:AE41,1),"")</f>
        <v/>
      </c>
      <c r="BF41" s="591" t="str">
        <f>IF(AF41=1,COUNTIF($AF$27:AF41,1),"")</f>
        <v/>
      </c>
      <c r="BG41" s="591" t="str">
        <f>IF(AG41=1,COUNTIF($AG$27:AG41,1),"")</f>
        <v/>
      </c>
      <c r="BH41" s="591" t="str">
        <f>IF(AH41=1,COUNTIF($AH$27:AH41,1),"")</f>
        <v/>
      </c>
      <c r="BI41" s="591" t="str">
        <f>IF(AI41=1,COUNTIF($AI$27:AI41,1),"")</f>
        <v/>
      </c>
      <c r="BJ41" s="591" t="str">
        <f>IF(AJ41=1,COUNTIF($AJ$27:AJ41,1),"")</f>
        <v/>
      </c>
      <c r="BK41" s="591" t="str">
        <f>IF(AK41=1,COUNTIF($AK$27:AK41,1),"")</f>
        <v/>
      </c>
      <c r="BQ41" s="681">
        <v>10</v>
      </c>
      <c r="BR41" s="682" t="s">
        <v>731</v>
      </c>
      <c r="BS41" s="683"/>
    </row>
    <row r="42" spans="2:72" ht="35.1" customHeight="1">
      <c r="B42" s="1217">
        <f t="shared" si="5"/>
        <v>16</v>
      </c>
      <c r="C42" s="1217" t="str">
        <f t="shared" si="1"/>
        <v>BH-05-R-DS 01</v>
      </c>
      <c r="D42" s="1218" t="str">
        <f t="shared" si="2"/>
        <v>Disturbed Sample</v>
      </c>
      <c r="E42" s="1217" t="s">
        <v>1169</v>
      </c>
      <c r="F42" s="1219" t="s">
        <v>1255</v>
      </c>
      <c r="G42" s="1219" t="s">
        <v>1259</v>
      </c>
      <c r="H42" s="1219" t="str">
        <f t="shared" si="0"/>
        <v>26-001-DS-016</v>
      </c>
      <c r="I42" s="1219"/>
      <c r="J42" s="1220" t="str">
        <f t="shared" si="3"/>
        <v>3.92 - 4.15 m</v>
      </c>
      <c r="K42" s="1219">
        <v>3.92</v>
      </c>
      <c r="L42" s="1240">
        <v>4.1500000000000004</v>
      </c>
      <c r="M42" s="1359" t="str">
        <f t="shared" si="4"/>
        <v>016-BH-05-R-DS 01-3.92-4.15m</v>
      </c>
      <c r="N42" s="1518"/>
      <c r="O42" s="1518"/>
      <c r="P42" s="1518"/>
      <c r="Q42" s="1518"/>
      <c r="R42" s="1241"/>
      <c r="S42" s="1241"/>
      <c r="T42" s="1241"/>
      <c r="U42" s="1241"/>
      <c r="V42" s="1518"/>
      <c r="W42" s="1518"/>
      <c r="X42" s="1241"/>
      <c r="Y42" s="1241"/>
      <c r="Z42" s="1241"/>
      <c r="AA42" s="1241"/>
      <c r="AB42" s="1241"/>
      <c r="AC42" s="1241"/>
      <c r="AD42" s="1241"/>
      <c r="AE42" s="1518"/>
      <c r="AF42" s="1241"/>
      <c r="AG42" s="1241"/>
      <c r="AH42" s="1241"/>
      <c r="AI42" s="1241"/>
      <c r="AJ42" s="1241"/>
      <c r="AK42" s="1241"/>
      <c r="AN42" s="591" t="str">
        <f>IF(N42=1,COUNTIF($N$27:N42,1),"")</f>
        <v/>
      </c>
      <c r="AO42" s="591" t="str">
        <f>IF(O42=1,COUNTIF($O$27:O42,1),"")</f>
        <v/>
      </c>
      <c r="AP42" s="591" t="str">
        <f>IF(P42=1,COUNTIF($P$27:P42,1),"")</f>
        <v/>
      </c>
      <c r="AQ42" s="591" t="str">
        <f>IF(Q42=1,COUNTIF($Q$27:Q42,1),"")</f>
        <v/>
      </c>
      <c r="AR42" s="591" t="str">
        <f>IF(R42=1,COUNTIF($R$27:R42,1),"")</f>
        <v/>
      </c>
      <c r="AS42" s="591" t="str">
        <f>IF(S42=1,COUNTIF($S$27:S42,1),"")</f>
        <v/>
      </c>
      <c r="AT42" s="591" t="str">
        <f>IF(T42=1,COUNTIF($T$27:T42,1),"")</f>
        <v/>
      </c>
      <c r="AU42" s="591" t="str">
        <f>IF(U42=1,COUNTIF($U$27:U42,1),"")</f>
        <v/>
      </c>
      <c r="AV42" s="591" t="str">
        <f>IF(V42=1,COUNTIF($V$27:V42,1),"")</f>
        <v/>
      </c>
      <c r="AW42" s="591" t="str">
        <f>IF(W42=1,COUNTIF($W$27:W42,1),"")</f>
        <v/>
      </c>
      <c r="AX42" s="591" t="str">
        <f>IF(X42=1,COUNTIF($X$27:X42,1),"")</f>
        <v/>
      </c>
      <c r="AY42" s="591" t="str">
        <f>IF(Y42=1,COUNTIF($Y$27:Y42,1),"")</f>
        <v/>
      </c>
      <c r="AZ42" s="591" t="str">
        <f>IF(Z42=1,COUNTIF($Z$27:Z42,1),"")</f>
        <v/>
      </c>
      <c r="BA42" s="591" t="str">
        <f>IF(AA42=1,COUNTIF($AA$27:AA42,1),"")</f>
        <v/>
      </c>
      <c r="BB42" s="591" t="str">
        <f>IF(AB42=1,COUNTIF($AB$27:AB42,1),"")</f>
        <v/>
      </c>
      <c r="BC42" s="591" t="str">
        <f>IF(AC42=1,COUNTIF($AC$27:AC42,1),"")</f>
        <v/>
      </c>
      <c r="BD42" s="591" t="str">
        <f>IF(AD42=1,COUNTIF($AD$27:AD42,1),"")</f>
        <v/>
      </c>
      <c r="BE42" s="591" t="str">
        <f>IF(AE42=1,COUNTIF($AE$27:AE42,1),"")</f>
        <v/>
      </c>
      <c r="BF42" s="591" t="str">
        <f>IF(AF42=1,COUNTIF($AF$27:AF42,1),"")</f>
        <v/>
      </c>
      <c r="BG42" s="591" t="str">
        <f>IF(AG42=1,COUNTIF($AG$27:AG42,1),"")</f>
        <v/>
      </c>
      <c r="BH42" s="591" t="str">
        <f>IF(AH42=1,COUNTIF($AH$27:AH42,1),"")</f>
        <v/>
      </c>
      <c r="BI42" s="591" t="str">
        <f>IF(AI42=1,COUNTIF($AI$27:AI42,1),"")</f>
        <v/>
      </c>
      <c r="BJ42" s="591" t="str">
        <f>IF(AJ42=1,COUNTIF($AJ$27:AJ42,1),"")</f>
        <v/>
      </c>
      <c r="BK42" s="591" t="str">
        <f>IF(AK42=1,COUNTIF($AK$27:AK42,1),"")</f>
        <v/>
      </c>
      <c r="BQ42" s="681"/>
      <c r="BR42" s="682" t="s">
        <v>732</v>
      </c>
      <c r="BS42" s="683" t="s">
        <v>909</v>
      </c>
      <c r="BT42" s="591" t="s">
        <v>363</v>
      </c>
    </row>
    <row r="43" spans="2:72" ht="35.1" customHeight="1">
      <c r="B43" s="1217">
        <f t="shared" si="5"/>
        <v>17</v>
      </c>
      <c r="C43" s="1217" t="str">
        <f t="shared" si="1"/>
        <v>BH-03-R-DS 01</v>
      </c>
      <c r="D43" s="1218" t="str">
        <f t="shared" si="2"/>
        <v>Disturbed Sample</v>
      </c>
      <c r="E43" s="1217" t="s">
        <v>1169</v>
      </c>
      <c r="F43" s="1219" t="s">
        <v>1185</v>
      </c>
      <c r="G43" s="1219" t="s">
        <v>1259</v>
      </c>
      <c r="H43" s="1219" t="str">
        <f t="shared" si="0"/>
        <v>26-001-DS-017</v>
      </c>
      <c r="I43" s="1219"/>
      <c r="J43" s="1220" t="str">
        <f t="shared" si="3"/>
        <v>2.50 - 3.00 m</v>
      </c>
      <c r="K43" s="1219">
        <v>2.5</v>
      </c>
      <c r="L43" s="1240">
        <v>3</v>
      </c>
      <c r="M43" s="1359" t="str">
        <f t="shared" si="4"/>
        <v>017-BH-03-R-DS 01-2.50-3.00m</v>
      </c>
      <c r="N43" s="1518"/>
      <c r="O43" s="1518"/>
      <c r="P43" s="1518"/>
      <c r="Q43" s="1518"/>
      <c r="R43" s="1241"/>
      <c r="S43" s="1241"/>
      <c r="T43" s="1241"/>
      <c r="U43" s="1241"/>
      <c r="V43" s="1518"/>
      <c r="W43" s="1518"/>
      <c r="X43" s="1241"/>
      <c r="Y43" s="1241"/>
      <c r="Z43" s="1241"/>
      <c r="AA43" s="1241"/>
      <c r="AB43" s="1241"/>
      <c r="AC43" s="1241"/>
      <c r="AD43" s="1241"/>
      <c r="AE43" s="1518"/>
      <c r="AF43" s="1241"/>
      <c r="AG43" s="1241"/>
      <c r="AH43" s="1241"/>
      <c r="AI43" s="1241"/>
      <c r="AJ43" s="1241"/>
      <c r="AK43" s="1241"/>
      <c r="AN43" s="591" t="str">
        <f>IF(N43=1,COUNTIF($N$27:N43,1),"")</f>
        <v/>
      </c>
      <c r="AO43" s="591" t="str">
        <f>IF(O43=1,COUNTIF($O$27:O43,1),"")</f>
        <v/>
      </c>
      <c r="AP43" s="591" t="str">
        <f>IF(P43=1,COUNTIF($P$27:P43,1),"")</f>
        <v/>
      </c>
      <c r="AQ43" s="591" t="str">
        <f>IF(Q43=1,COUNTIF($Q$27:Q43,1),"")</f>
        <v/>
      </c>
      <c r="AR43" s="591" t="str">
        <f>IF(R43=1,COUNTIF($R$27:R43,1),"")</f>
        <v/>
      </c>
      <c r="AS43" s="591" t="str">
        <f>IF(S43=1,COUNTIF($S$27:S43,1),"")</f>
        <v/>
      </c>
      <c r="AT43" s="591" t="str">
        <f>IF(T43=1,COUNTIF($T$27:T43,1),"")</f>
        <v/>
      </c>
      <c r="AU43" s="591" t="str">
        <f>IF(U43=1,COUNTIF($U$27:U43,1),"")</f>
        <v/>
      </c>
      <c r="AV43" s="591" t="str">
        <f>IF(V43=1,COUNTIF($V$27:V43,1),"")</f>
        <v/>
      </c>
      <c r="AW43" s="591" t="str">
        <f>IF(W43=1,COUNTIF($W$27:W43,1),"")</f>
        <v/>
      </c>
      <c r="AX43" s="591" t="str">
        <f>IF(X43=1,COUNTIF($X$27:X43,1),"")</f>
        <v/>
      </c>
      <c r="AY43" s="591" t="str">
        <f>IF(Y43=1,COUNTIF($Y$27:Y43,1),"")</f>
        <v/>
      </c>
      <c r="AZ43" s="591" t="str">
        <f>IF(Z43=1,COUNTIF($Z$27:Z43,1),"")</f>
        <v/>
      </c>
      <c r="BA43" s="591" t="str">
        <f>IF(AA43=1,COUNTIF($AA$27:AA43,1),"")</f>
        <v/>
      </c>
      <c r="BB43" s="591" t="str">
        <f>IF(AB43=1,COUNTIF($AB$27:AB43,1),"")</f>
        <v/>
      </c>
      <c r="BC43" s="591" t="str">
        <f>IF(AC43=1,COUNTIF($AC$27:AC43,1),"")</f>
        <v/>
      </c>
      <c r="BD43" s="591" t="str">
        <f>IF(AD43=1,COUNTIF($AD$27:AD43,1),"")</f>
        <v/>
      </c>
      <c r="BE43" s="591" t="str">
        <f>IF(AE43=1,COUNTIF($AE$27:AE43,1),"")</f>
        <v/>
      </c>
      <c r="BF43" s="591" t="str">
        <f>IF(AF43=1,COUNTIF($AF$27:AF43,1),"")</f>
        <v/>
      </c>
      <c r="BG43" s="591" t="str">
        <f>IF(AG43=1,COUNTIF($AG$27:AG43,1),"")</f>
        <v/>
      </c>
      <c r="BH43" s="591" t="str">
        <f>IF(AH43=1,COUNTIF($AH$27:AH43,1),"")</f>
        <v/>
      </c>
      <c r="BI43" s="591" t="str">
        <f>IF(AI43=1,COUNTIF($AI$27:AI43,1),"")</f>
        <v/>
      </c>
      <c r="BJ43" s="591" t="str">
        <f>IF(AJ43=1,COUNTIF($AJ$27:AJ43,1),"")</f>
        <v/>
      </c>
      <c r="BK43" s="591" t="str">
        <f>IF(AK43=1,COUNTIF($AK$27:AK43,1),"")</f>
        <v/>
      </c>
      <c r="BQ43" s="681"/>
      <c r="BR43" s="682" t="s">
        <v>733</v>
      </c>
      <c r="BS43" s="683" t="s">
        <v>734</v>
      </c>
      <c r="BT43" s="591" t="s">
        <v>744</v>
      </c>
    </row>
    <row r="44" spans="2:72" ht="35.1" customHeight="1">
      <c r="B44" s="1217">
        <f t="shared" si="5"/>
        <v>18</v>
      </c>
      <c r="C44" s="1217" t="str">
        <f t="shared" si="1"/>
        <v>BH-03-R-DS 02</v>
      </c>
      <c r="D44" s="1218" t="str">
        <f t="shared" si="2"/>
        <v>Disturbed Sample</v>
      </c>
      <c r="E44" s="1217" t="s">
        <v>1169</v>
      </c>
      <c r="F44" s="1219" t="s">
        <v>1185</v>
      </c>
      <c r="G44" s="1219" t="s">
        <v>1261</v>
      </c>
      <c r="H44" s="1219" t="str">
        <f t="shared" si="0"/>
        <v>26-001-DS-018</v>
      </c>
      <c r="I44" s="1219"/>
      <c r="J44" s="1220" t="str">
        <f t="shared" si="3"/>
        <v>6.45 - 6.96 m</v>
      </c>
      <c r="K44" s="1219">
        <v>6.45</v>
      </c>
      <c r="L44" s="1240">
        <v>6.96</v>
      </c>
      <c r="M44" s="1359" t="str">
        <f t="shared" si="4"/>
        <v>018-BH-03-R-DS 02-6.45-6.96m</v>
      </c>
      <c r="N44" s="1518"/>
      <c r="O44" s="1518"/>
      <c r="P44" s="1518"/>
      <c r="Q44" s="1518"/>
      <c r="R44" s="1241"/>
      <c r="S44" s="1241"/>
      <c r="T44" s="1241"/>
      <c r="U44" s="1241"/>
      <c r="V44" s="1518"/>
      <c r="W44" s="1241"/>
      <c r="X44" s="1241"/>
      <c r="Y44" s="1241"/>
      <c r="Z44" s="1241"/>
      <c r="AA44" s="1241"/>
      <c r="AB44" s="1241"/>
      <c r="AC44" s="1241"/>
      <c r="AD44" s="1241"/>
      <c r="AE44" s="1518"/>
      <c r="AF44" s="1241"/>
      <c r="AG44" s="1241"/>
      <c r="AH44" s="1241"/>
      <c r="AI44" s="1241"/>
      <c r="AJ44" s="1241"/>
      <c r="AK44" s="1241"/>
      <c r="AN44" s="591" t="str">
        <f>IF(N44=1,COUNTIF($N$27:N44,1),"")</f>
        <v/>
      </c>
      <c r="AO44" s="591" t="str">
        <f>IF(O44=1,COUNTIF($O$27:O44,1),"")</f>
        <v/>
      </c>
      <c r="AP44" s="591" t="str">
        <f>IF(P44=1,COUNTIF($P$27:P44,1),"")</f>
        <v/>
      </c>
      <c r="AQ44" s="591" t="str">
        <f>IF(Q44=1,COUNTIF($Q$27:Q44,1),"")</f>
        <v/>
      </c>
      <c r="AR44" s="591" t="str">
        <f>IF(R44=1,COUNTIF($R$27:R44,1),"")</f>
        <v/>
      </c>
      <c r="AS44" s="591" t="str">
        <f>IF(S44=1,COUNTIF($S$27:S44,1),"")</f>
        <v/>
      </c>
      <c r="AT44" s="591" t="str">
        <f>IF(T44=1,COUNTIF($T$27:T44,1),"")</f>
        <v/>
      </c>
      <c r="AU44" s="591" t="str">
        <f>IF(U44=1,COUNTIF($U$27:U44,1),"")</f>
        <v/>
      </c>
      <c r="AV44" s="591" t="str">
        <f>IF(V44=1,COUNTIF($V$27:V44,1),"")</f>
        <v/>
      </c>
      <c r="AW44" s="591" t="str">
        <f>IF(W44=1,COUNTIF($W$27:W44,1),"")</f>
        <v/>
      </c>
      <c r="AX44" s="591" t="str">
        <f>IF(X44=1,COUNTIF($X$27:X44,1),"")</f>
        <v/>
      </c>
      <c r="AY44" s="591" t="str">
        <f>IF(Y44=1,COUNTIF($Y$27:Y44,1),"")</f>
        <v/>
      </c>
      <c r="AZ44" s="591" t="str">
        <f>IF(Z44=1,COUNTIF($Z$27:Z44,1),"")</f>
        <v/>
      </c>
      <c r="BA44" s="591" t="str">
        <f>IF(AA44=1,COUNTIF($AA$27:AA44,1),"")</f>
        <v/>
      </c>
      <c r="BB44" s="591" t="str">
        <f>IF(AB44=1,COUNTIF($AB$27:AB44,1),"")</f>
        <v/>
      </c>
      <c r="BC44" s="591" t="str">
        <f>IF(AC44=1,COUNTIF($AC$27:AC44,1),"")</f>
        <v/>
      </c>
      <c r="BD44" s="591" t="str">
        <f>IF(AD44=1,COUNTIF($AD$27:AD44,1),"")</f>
        <v/>
      </c>
      <c r="BE44" s="591" t="str">
        <f>IF(AE44=1,COUNTIF($AE$27:AE44,1),"")</f>
        <v/>
      </c>
      <c r="BF44" s="591" t="str">
        <f>IF(AF44=1,COUNTIF($AF$27:AF44,1),"")</f>
        <v/>
      </c>
      <c r="BG44" s="591" t="str">
        <f>IF(AG44=1,COUNTIF($AG$27:AG44,1),"")</f>
        <v/>
      </c>
      <c r="BH44" s="591" t="str">
        <f>IF(AH44=1,COUNTIF($AH$27:AH44,1),"")</f>
        <v/>
      </c>
      <c r="BI44" s="591" t="str">
        <f>IF(AI44=1,COUNTIF($AI$27:AI44,1),"")</f>
        <v/>
      </c>
      <c r="BJ44" s="591" t="str">
        <f>IF(AJ44=1,COUNTIF($AJ$27:AJ44,1),"")</f>
        <v/>
      </c>
      <c r="BK44" s="591" t="str">
        <f>IF(AK44=1,COUNTIF($AK$27:AK44,1),"")</f>
        <v/>
      </c>
      <c r="BQ44" s="681"/>
      <c r="BR44" s="682" t="s">
        <v>735</v>
      </c>
      <c r="BS44" s="683" t="s">
        <v>911</v>
      </c>
      <c r="BT44" s="591" t="s">
        <v>745</v>
      </c>
    </row>
    <row r="45" spans="2:72" ht="35.1" customHeight="1">
      <c r="B45" s="1217">
        <f t="shared" si="5"/>
        <v>19</v>
      </c>
      <c r="C45" s="1232" t="str">
        <f t="shared" si="1"/>
        <v>BH-07-R-DS 01</v>
      </c>
      <c r="D45" s="1218" t="str">
        <f t="shared" si="2"/>
        <v>Disturbed Sample</v>
      </c>
      <c r="E45" s="1217" t="s">
        <v>1169</v>
      </c>
      <c r="F45" s="592" t="s">
        <v>1186</v>
      </c>
      <c r="G45" s="592" t="s">
        <v>1259</v>
      </c>
      <c r="H45" s="1219" t="str">
        <f t="shared" si="0"/>
        <v>26-001-DS-019</v>
      </c>
      <c r="I45" s="1219"/>
      <c r="J45" s="1220" t="str">
        <f t="shared" si="3"/>
        <v>10.95 - 11.17 m</v>
      </c>
      <c r="K45" s="592">
        <v>10.95</v>
      </c>
      <c r="L45" s="592">
        <v>11.17</v>
      </c>
      <c r="M45" s="1359" t="str">
        <f t="shared" si="4"/>
        <v>019-BH-07-R-DS 01-10.95-11.17m</v>
      </c>
      <c r="N45" s="1518"/>
      <c r="O45" s="1518"/>
      <c r="P45" s="1518"/>
      <c r="Q45" s="1518"/>
      <c r="R45" s="1241"/>
      <c r="S45" s="1241"/>
      <c r="T45" s="1241"/>
      <c r="U45" s="1241"/>
      <c r="V45" s="1518"/>
      <c r="W45" s="1518"/>
      <c r="X45" s="1241"/>
      <c r="Y45" s="1241"/>
      <c r="Z45" s="1241"/>
      <c r="AA45" s="1241"/>
      <c r="AB45" s="1241"/>
      <c r="AC45" s="1241"/>
      <c r="AD45" s="1241"/>
      <c r="AE45" s="1518"/>
      <c r="AF45" s="1241"/>
      <c r="AG45" s="1241"/>
      <c r="AH45" s="1241"/>
      <c r="AI45" s="1241"/>
      <c r="AJ45" s="1241"/>
      <c r="AK45" s="1241"/>
      <c r="AN45" s="591" t="str">
        <f>IF(N45=1,COUNTIF($N$27:N45,1),"")</f>
        <v/>
      </c>
      <c r="AO45" s="591" t="str">
        <f>IF(O45=1,COUNTIF($O$27:O45,1),"")</f>
        <v/>
      </c>
      <c r="AP45" s="591" t="str">
        <f>IF(P45=1,COUNTIF($P$27:P45,1),"")</f>
        <v/>
      </c>
      <c r="AQ45" s="591" t="str">
        <f>IF(Q45=1,COUNTIF($Q$27:Q45,1),"")</f>
        <v/>
      </c>
      <c r="AR45" s="591" t="str">
        <f>IF(R45=1,COUNTIF($R$27:R45,1),"")</f>
        <v/>
      </c>
      <c r="AS45" s="591" t="str">
        <f>IF(S45=1,COUNTIF($S$27:S45,1),"")</f>
        <v/>
      </c>
      <c r="AT45" s="591" t="str">
        <f>IF(T45=1,COUNTIF($T$27:T45,1),"")</f>
        <v/>
      </c>
      <c r="AU45" s="591" t="str">
        <f>IF(U45=1,COUNTIF($U$27:U45,1),"")</f>
        <v/>
      </c>
      <c r="AV45" s="591" t="str">
        <f>IF(V45=1,COUNTIF($V$27:V45,1),"")</f>
        <v/>
      </c>
      <c r="AW45" s="591" t="str">
        <f>IF(W45=1,COUNTIF($W$27:W45,1),"")</f>
        <v/>
      </c>
      <c r="AX45" s="591" t="str">
        <f>IF(X45=1,COUNTIF($X$27:X45,1),"")</f>
        <v/>
      </c>
      <c r="AY45" s="591" t="str">
        <f>IF(Y45=1,COUNTIF($Y$27:Y45,1),"")</f>
        <v/>
      </c>
      <c r="AZ45" s="591" t="str">
        <f>IF(Z45=1,COUNTIF($Z$27:Z45,1),"")</f>
        <v/>
      </c>
      <c r="BA45" s="591" t="str">
        <f>IF(AA45=1,COUNTIF($AA$27:AA45,1),"")</f>
        <v/>
      </c>
      <c r="BB45" s="591" t="str">
        <f>IF(AB45=1,COUNTIF($AB$27:AB45,1),"")</f>
        <v/>
      </c>
      <c r="BC45" s="591" t="str">
        <f>IF(AC45=1,COUNTIF($AC$27:AC45,1),"")</f>
        <v/>
      </c>
      <c r="BD45" s="591" t="str">
        <f>IF(AD45=1,COUNTIF($AD$27:AD45,1),"")</f>
        <v/>
      </c>
      <c r="BE45" s="591" t="str">
        <f>IF(AE45=1,COUNTIF($AE$27:AE45,1),"")</f>
        <v/>
      </c>
      <c r="BF45" s="591" t="str">
        <f>IF(AF45=1,COUNTIF($AF$27:AF45,1),"")</f>
        <v/>
      </c>
      <c r="BG45" s="591" t="str">
        <f>IF(AG45=1,COUNTIF($AG$27:AG45,1),"")</f>
        <v/>
      </c>
      <c r="BH45" s="591" t="str">
        <f>IF(AH45=1,COUNTIF($AH$27:AH45,1),"")</f>
        <v/>
      </c>
      <c r="BI45" s="591" t="str">
        <f>IF(AI45=1,COUNTIF($AI$27:AI45,1),"")</f>
        <v/>
      </c>
      <c r="BJ45" s="591" t="str">
        <f>IF(AJ45=1,COUNTIF($AJ$27:AJ45,1),"")</f>
        <v/>
      </c>
      <c r="BK45" s="591" t="str">
        <f>IF(AK45=1,COUNTIF($AK$27:AK45,1),"")</f>
        <v/>
      </c>
      <c r="BR45" s="682" t="s">
        <v>746</v>
      </c>
      <c r="BS45" s="683" t="s">
        <v>911</v>
      </c>
      <c r="BT45" s="591" t="s">
        <v>748</v>
      </c>
    </row>
    <row r="46" spans="2:72" ht="35.1" customHeight="1">
      <c r="B46" s="1217">
        <f t="shared" si="5"/>
        <v>20</v>
      </c>
      <c r="C46" s="1232" t="str">
        <f t="shared" si="1"/>
        <v>BH-06-R2-DS 01</v>
      </c>
      <c r="D46" s="1218" t="str">
        <f t="shared" si="2"/>
        <v>Disturbed Sample</v>
      </c>
      <c r="E46" s="1217" t="s">
        <v>1169</v>
      </c>
      <c r="F46" s="592" t="s">
        <v>1187</v>
      </c>
      <c r="G46" s="592" t="s">
        <v>1259</v>
      </c>
      <c r="H46" s="1219" t="str">
        <f t="shared" si="0"/>
        <v>26-001-DS-020</v>
      </c>
      <c r="I46" s="1219"/>
      <c r="J46" s="1220" t="str">
        <f t="shared" si="3"/>
        <v>3.55 - 3.75 m</v>
      </c>
      <c r="K46" s="592">
        <v>3.55</v>
      </c>
      <c r="L46" s="592">
        <v>3.75</v>
      </c>
      <c r="M46" s="1359" t="str">
        <f t="shared" si="4"/>
        <v>020-BH-06-R2-DS 01-3.55-3.75m</v>
      </c>
      <c r="N46" s="1518"/>
      <c r="O46" s="1518"/>
      <c r="P46" s="1518"/>
      <c r="Q46" s="1518"/>
      <c r="R46" s="1241"/>
      <c r="S46" s="1241"/>
      <c r="T46" s="1241"/>
      <c r="U46" s="1241"/>
      <c r="V46" s="1518"/>
      <c r="W46" s="1241"/>
      <c r="X46" s="1241"/>
      <c r="Y46" s="1241"/>
      <c r="Z46" s="1241"/>
      <c r="AA46" s="1241"/>
      <c r="AB46" s="1241"/>
      <c r="AC46" s="1241"/>
      <c r="AD46" s="1241"/>
      <c r="AE46" s="1518"/>
      <c r="AF46" s="1241"/>
      <c r="AG46" s="1241"/>
      <c r="AH46" s="1241"/>
      <c r="AI46" s="1241"/>
      <c r="AJ46" s="1241"/>
      <c r="AK46" s="1241"/>
      <c r="AN46" s="591" t="str">
        <f>IF(N46=1,COUNTIF($N$27:N46,1),"")</f>
        <v/>
      </c>
      <c r="AO46" s="591" t="str">
        <f>IF(O46=1,COUNTIF($O$27:O46,1),"")</f>
        <v/>
      </c>
      <c r="AP46" s="591" t="str">
        <f>IF(P46=1,COUNTIF($P$27:P46,1),"")</f>
        <v/>
      </c>
      <c r="AQ46" s="591" t="str">
        <f>IF(Q46=1,COUNTIF($Q$27:Q46,1),"")</f>
        <v/>
      </c>
      <c r="AR46" s="591" t="str">
        <f>IF(R46=1,COUNTIF($R$27:R46,1),"")</f>
        <v/>
      </c>
      <c r="AS46" s="591" t="str">
        <f>IF(S46=1,COUNTIF($S$27:S46,1),"")</f>
        <v/>
      </c>
      <c r="AT46" s="591" t="str">
        <f>IF(T46=1,COUNTIF($T$27:T46,1),"")</f>
        <v/>
      </c>
      <c r="AU46" s="591" t="str">
        <f>IF(U46=1,COUNTIF($U$27:U46,1),"")</f>
        <v/>
      </c>
      <c r="AV46" s="591" t="str">
        <f>IF(V46=1,COUNTIF($V$27:V46,1),"")</f>
        <v/>
      </c>
      <c r="AW46" s="591" t="str">
        <f>IF(W46=1,COUNTIF($W$27:W46,1),"")</f>
        <v/>
      </c>
      <c r="AX46" s="591" t="str">
        <f>IF(X46=1,COUNTIF($X$27:X46,1),"")</f>
        <v/>
      </c>
      <c r="AY46" s="591" t="str">
        <f>IF(Y46=1,COUNTIF($Y$27:Y46,1),"")</f>
        <v/>
      </c>
      <c r="AZ46" s="591" t="str">
        <f>IF(Z46=1,COUNTIF($Z$27:Z46,1),"")</f>
        <v/>
      </c>
      <c r="BA46" s="591" t="str">
        <f>IF(AA46=1,COUNTIF($AA$27:AA46,1),"")</f>
        <v/>
      </c>
      <c r="BB46" s="591" t="str">
        <f>IF(AB46=1,COUNTIF($AB$27:AB46,1),"")</f>
        <v/>
      </c>
      <c r="BC46" s="591" t="str">
        <f>IF(AC46=1,COUNTIF($AC$27:AC46,1),"")</f>
        <v/>
      </c>
      <c r="BD46" s="591" t="str">
        <f>IF(AD46=1,COUNTIF($AD$27:AD46,1),"")</f>
        <v/>
      </c>
      <c r="BE46" s="591" t="str">
        <f>IF(AE46=1,COUNTIF($AE$27:AE46,1),"")</f>
        <v/>
      </c>
      <c r="BF46" s="591" t="str">
        <f>IF(AF46=1,COUNTIF($AF$27:AF46,1),"")</f>
        <v/>
      </c>
      <c r="BG46" s="591" t="str">
        <f>IF(AG46=1,COUNTIF($AG$27:AG46,1),"")</f>
        <v/>
      </c>
      <c r="BH46" s="591" t="str">
        <f>IF(AH46=1,COUNTIF($AH$27:AH46,1),"")</f>
        <v/>
      </c>
      <c r="BI46" s="591" t="str">
        <f>IF(AI46=1,COUNTIF($AI$27:AI46,1),"")</f>
        <v/>
      </c>
      <c r="BJ46" s="591" t="str">
        <f>IF(AJ46=1,COUNTIF($AJ$27:AJ46,1),"")</f>
        <v/>
      </c>
      <c r="BK46" s="591" t="str">
        <f>IF(AK46=1,COUNTIF($AK$27:AK46,1),"")</f>
        <v/>
      </c>
      <c r="BR46" s="682" t="s">
        <v>747</v>
      </c>
      <c r="BS46" s="683" t="s">
        <v>911</v>
      </c>
      <c r="BT46" s="591" t="s">
        <v>749</v>
      </c>
    </row>
    <row r="47" spans="2:72" ht="35.1" customHeight="1">
      <c r="B47" s="1217">
        <f t="shared" si="5"/>
        <v>21</v>
      </c>
      <c r="C47" s="1232" t="str">
        <f t="shared" si="1"/>
        <v>SPOT 01-01</v>
      </c>
      <c r="D47" s="1218" t="str">
        <f t="shared" si="2"/>
        <v>Bulk Sample</v>
      </c>
      <c r="E47" s="1232" t="s">
        <v>1173</v>
      </c>
      <c r="F47" s="592" t="s">
        <v>1262</v>
      </c>
      <c r="G47" s="1211" t="s">
        <v>1267</v>
      </c>
      <c r="H47" s="1219" t="str">
        <f t="shared" si="0"/>
        <v>26-001-BS-021</v>
      </c>
      <c r="I47" s="1219"/>
      <c r="J47" s="1220" t="str">
        <f t="shared" si="3"/>
        <v>-</v>
      </c>
      <c r="K47" s="592"/>
      <c r="L47" s="592"/>
      <c r="M47" s="1359" t="str">
        <f t="shared" si="4"/>
        <v>021-SPOT 01-01-0.00-0.00m</v>
      </c>
      <c r="N47" s="1519"/>
      <c r="O47" s="1519"/>
      <c r="P47" s="1519"/>
      <c r="Q47" s="1519"/>
      <c r="R47" s="1236"/>
      <c r="S47" s="1236"/>
      <c r="T47" s="1236"/>
      <c r="U47" s="1236"/>
      <c r="V47" s="1236"/>
      <c r="W47" s="1236"/>
      <c r="X47" s="1236"/>
      <c r="Y47" s="1236"/>
      <c r="Z47" s="1236"/>
      <c r="AA47" s="1236"/>
      <c r="AB47" s="1236"/>
      <c r="AC47" s="1236"/>
      <c r="AD47" s="1236"/>
      <c r="AE47" s="1519"/>
      <c r="AF47" s="1236"/>
      <c r="AG47" s="1236"/>
      <c r="AH47" s="1236"/>
      <c r="AI47" s="1236"/>
      <c r="AJ47" s="1236"/>
      <c r="AK47" s="1236"/>
      <c r="AN47" s="591" t="str">
        <f>IF(N47=1,COUNTIF($N$27:N47,1),"")</f>
        <v/>
      </c>
      <c r="AO47" s="591" t="str">
        <f>IF(O47=1,COUNTIF($O$27:O47,1),"")</f>
        <v/>
      </c>
      <c r="AP47" s="591" t="str">
        <f>IF(P47=1,COUNTIF($P$27:P47,1),"")</f>
        <v/>
      </c>
      <c r="AQ47" s="591" t="str">
        <f>IF(Q47=1,COUNTIF($Q$27:Q47,1),"")</f>
        <v/>
      </c>
      <c r="AR47" s="591" t="str">
        <f>IF(R47=1,COUNTIF($R$27:R47,1),"")</f>
        <v/>
      </c>
      <c r="AS47" s="591" t="str">
        <f>IF(S47=1,COUNTIF($S$27:S47,1),"")</f>
        <v/>
      </c>
      <c r="AT47" s="591" t="str">
        <f>IF(T47=1,COUNTIF($T$27:T47,1),"")</f>
        <v/>
      </c>
      <c r="AU47" s="591" t="str">
        <f>IF(U47=1,COUNTIF($U$27:U47,1),"")</f>
        <v/>
      </c>
      <c r="AV47" s="591" t="str">
        <f>IF(V47=1,COUNTIF($V$27:V47,1),"")</f>
        <v/>
      </c>
      <c r="AW47" s="591" t="str">
        <f>IF(W47=1,COUNTIF($W$27:W47,1),"")</f>
        <v/>
      </c>
      <c r="AX47" s="591" t="str">
        <f>IF(X47=1,COUNTIF($X$27:X47,1),"")</f>
        <v/>
      </c>
      <c r="AY47" s="591" t="str">
        <f>IF(Y47=1,COUNTIF($Y$27:Y47,1),"")</f>
        <v/>
      </c>
      <c r="AZ47" s="591" t="str">
        <f>IF(Z47=1,COUNTIF($Z$27:Z47,1),"")</f>
        <v/>
      </c>
      <c r="BA47" s="591" t="str">
        <f>IF(AA47=1,COUNTIF($AA$27:AA47,1),"")</f>
        <v/>
      </c>
      <c r="BB47" s="591" t="str">
        <f>IF(AB47=1,COUNTIF($AB$27:AB47,1),"")</f>
        <v/>
      </c>
      <c r="BC47" s="591" t="str">
        <f>IF(AC47=1,COUNTIF($AC$27:AC47,1),"")</f>
        <v/>
      </c>
      <c r="BD47" s="591" t="str">
        <f>IF(AD47=1,COUNTIF($AD$27:AD47,1),"")</f>
        <v/>
      </c>
      <c r="BE47" s="591" t="str">
        <f>IF(AE47=1,COUNTIF($AE$27:AE47,1),"")</f>
        <v/>
      </c>
      <c r="BF47" s="591" t="str">
        <f>IF(AF47=1,COUNTIF($AF$27:AF47,1),"")</f>
        <v/>
      </c>
      <c r="BG47" s="591" t="str">
        <f>IF(AG47=1,COUNTIF($AG$27:AG47,1),"")</f>
        <v/>
      </c>
      <c r="BH47" s="591" t="str">
        <f>IF(AH47=1,COUNTIF($AH$27:AH47,1),"")</f>
        <v/>
      </c>
      <c r="BI47" s="591" t="str">
        <f>IF(AI47=1,COUNTIF($AI$27:AI47,1),"")</f>
        <v/>
      </c>
      <c r="BJ47" s="591" t="str">
        <f>IF(AJ47=1,COUNTIF($AJ$27:AJ47,1),"")</f>
        <v/>
      </c>
      <c r="BK47" s="591" t="str">
        <f>IF(AK47=1,COUNTIF($AK$27:AK47,1),"")</f>
        <v/>
      </c>
      <c r="BQ47" s="681">
        <v>11</v>
      </c>
      <c r="BR47" s="682" t="s">
        <v>736</v>
      </c>
      <c r="BS47" s="683" t="s">
        <v>890</v>
      </c>
      <c r="BT47" s="591" t="s">
        <v>750</v>
      </c>
    </row>
    <row r="48" spans="2:72" ht="35.1" customHeight="1">
      <c r="B48" s="1217">
        <f t="shared" si="5"/>
        <v>22</v>
      </c>
      <c r="C48" s="1232" t="str">
        <f t="shared" si="1"/>
        <v>SPOT 02-01</v>
      </c>
      <c r="D48" s="1218" t="str">
        <f t="shared" si="2"/>
        <v>Bulk Sample</v>
      </c>
      <c r="E48" s="1232" t="s">
        <v>1173</v>
      </c>
      <c r="F48" s="592" t="s">
        <v>1263</v>
      </c>
      <c r="G48" s="1211" t="s">
        <v>1267</v>
      </c>
      <c r="H48" s="1219" t="str">
        <f t="shared" si="0"/>
        <v>26-001-BS-022</v>
      </c>
      <c r="I48" s="1219"/>
      <c r="J48" s="1220" t="str">
        <f t="shared" si="3"/>
        <v>-</v>
      </c>
      <c r="K48" s="592"/>
      <c r="L48" s="592"/>
      <c r="M48" s="1359" t="str">
        <f t="shared" si="4"/>
        <v>022-SPOT 02-01-0.00-0.00m</v>
      </c>
      <c r="N48" s="1519"/>
      <c r="O48" s="1519"/>
      <c r="P48" s="1519"/>
      <c r="Q48" s="1519"/>
      <c r="R48" s="1236"/>
      <c r="S48" s="1236"/>
      <c r="T48" s="1236"/>
      <c r="U48" s="1236"/>
      <c r="V48" s="1236"/>
      <c r="W48" s="1236"/>
      <c r="X48" s="1236"/>
      <c r="Y48" s="1236"/>
      <c r="Z48" s="1236"/>
      <c r="AA48" s="1236"/>
      <c r="AB48" s="1236"/>
      <c r="AC48" s="1236"/>
      <c r="AD48" s="1236"/>
      <c r="AE48" s="1519"/>
      <c r="AF48" s="1236"/>
      <c r="AG48" s="1236"/>
      <c r="AH48" s="1236"/>
      <c r="AI48" s="1236"/>
      <c r="AJ48" s="1236"/>
      <c r="AK48" s="1236"/>
      <c r="AN48" s="591" t="str">
        <f>IF(N48=1,COUNTIF($N$27:N48,1),"")</f>
        <v/>
      </c>
      <c r="AO48" s="591" t="str">
        <f>IF(O48=1,COUNTIF($O$27:O48,1),"")</f>
        <v/>
      </c>
      <c r="AP48" s="591" t="str">
        <f>IF(P48=1,COUNTIF($P$27:P48,1),"")</f>
        <v/>
      </c>
      <c r="AQ48" s="591" t="str">
        <f>IF(Q48=1,COUNTIF($Q$27:Q48,1),"")</f>
        <v/>
      </c>
      <c r="AR48" s="591" t="str">
        <f>IF(R48=1,COUNTIF($R$27:R48,1),"")</f>
        <v/>
      </c>
      <c r="AS48" s="591" t="str">
        <f>IF(S48=1,COUNTIF($S$27:S48,1),"")</f>
        <v/>
      </c>
      <c r="AT48" s="591" t="str">
        <f>IF(T48=1,COUNTIF($T$27:T48,1),"")</f>
        <v/>
      </c>
      <c r="AU48" s="591" t="str">
        <f>IF(U48=1,COUNTIF($U$27:U48,1),"")</f>
        <v/>
      </c>
      <c r="AV48" s="591" t="str">
        <f>IF(V48=1,COUNTIF($V$27:V48,1),"")</f>
        <v/>
      </c>
      <c r="AW48" s="591" t="str">
        <f>IF(W48=1,COUNTIF($W$27:W48,1),"")</f>
        <v/>
      </c>
      <c r="AX48" s="591" t="str">
        <f>IF(X48=1,COUNTIF($X$27:X48,1),"")</f>
        <v/>
      </c>
      <c r="AY48" s="591" t="str">
        <f>IF(Y48=1,COUNTIF($Y$27:Y48,1),"")</f>
        <v/>
      </c>
      <c r="AZ48" s="591" t="str">
        <f>IF(Z48=1,COUNTIF($Z$27:Z48,1),"")</f>
        <v/>
      </c>
      <c r="BA48" s="591" t="str">
        <f>IF(AA48=1,COUNTIF($AA$27:AA48,1),"")</f>
        <v/>
      </c>
      <c r="BB48" s="591" t="str">
        <f>IF(AB48=1,COUNTIF($AB$27:AB48,1),"")</f>
        <v/>
      </c>
      <c r="BC48" s="591" t="str">
        <f>IF(AC48=1,COUNTIF($AC$27:AC48,1),"")</f>
        <v/>
      </c>
      <c r="BD48" s="591" t="str">
        <f>IF(AD48=1,COUNTIF($AD$27:AD48,1),"")</f>
        <v/>
      </c>
      <c r="BE48" s="591" t="str">
        <f>IF(AE48=1,COUNTIF($AE$27:AE48,1),"")</f>
        <v/>
      </c>
      <c r="BF48" s="591" t="str">
        <f>IF(AF48=1,COUNTIF($AF$27:AF48,1),"")</f>
        <v/>
      </c>
      <c r="BG48" s="591" t="str">
        <f>IF(AG48=1,COUNTIF($AG$27:AG48,1),"")</f>
        <v/>
      </c>
      <c r="BH48" s="591" t="str">
        <f>IF(AH48=1,COUNTIF($AH$27:AH48,1),"")</f>
        <v/>
      </c>
      <c r="BI48" s="591" t="str">
        <f>IF(AI48=1,COUNTIF($AI$27:AI48,1),"")</f>
        <v/>
      </c>
      <c r="BJ48" s="591" t="str">
        <f>IF(AJ48=1,COUNTIF($AJ$27:AJ48,1),"")</f>
        <v/>
      </c>
      <c r="BK48" s="591" t="str">
        <f>IF(AK48=1,COUNTIF($AK$27:AK48,1),"")</f>
        <v/>
      </c>
      <c r="BQ48" s="681">
        <v>12</v>
      </c>
      <c r="BR48" s="682" t="s">
        <v>737</v>
      </c>
      <c r="BS48" s="683"/>
    </row>
    <row r="49" spans="2:72" ht="35.1" customHeight="1">
      <c r="B49" s="1217">
        <f t="shared" si="5"/>
        <v>23</v>
      </c>
      <c r="C49" s="1232" t="str">
        <f t="shared" si="1"/>
        <v>SPOT 03-01</v>
      </c>
      <c r="D49" s="1218" t="str">
        <f t="shared" si="2"/>
        <v>Bulk Sample</v>
      </c>
      <c r="E49" s="1232" t="s">
        <v>1173</v>
      </c>
      <c r="F49" s="592" t="s">
        <v>1264</v>
      </c>
      <c r="G49" s="1211" t="s">
        <v>1267</v>
      </c>
      <c r="H49" s="1219" t="str">
        <f t="shared" si="0"/>
        <v>26-001-BS-023</v>
      </c>
      <c r="I49" s="1219"/>
      <c r="J49" s="1220" t="str">
        <f t="shared" si="3"/>
        <v>-</v>
      </c>
      <c r="K49" s="592"/>
      <c r="L49" s="592"/>
      <c r="M49" s="1359" t="str">
        <f t="shared" si="4"/>
        <v>023-SPOT 03-01-0.00-0.00m</v>
      </c>
      <c r="N49" s="1519"/>
      <c r="O49" s="1519"/>
      <c r="P49" s="1519"/>
      <c r="Q49" s="1519"/>
      <c r="R49" s="1236"/>
      <c r="S49" s="1236"/>
      <c r="T49" s="1236"/>
      <c r="U49" s="1236"/>
      <c r="V49" s="1236"/>
      <c r="W49" s="1236"/>
      <c r="X49" s="1236"/>
      <c r="Y49" s="1236"/>
      <c r="Z49" s="1236"/>
      <c r="AA49" s="1236"/>
      <c r="AB49" s="1236"/>
      <c r="AC49" s="1236"/>
      <c r="AD49" s="1236"/>
      <c r="AE49" s="1519"/>
      <c r="AF49" s="1236"/>
      <c r="AG49" s="1236"/>
      <c r="AH49" s="1236"/>
      <c r="AI49" s="1236"/>
      <c r="AJ49" s="1236"/>
      <c r="AK49" s="1236"/>
      <c r="AN49" s="591" t="str">
        <f>IF(N49=1,COUNTIF($N$27:N49,1),"")</f>
        <v/>
      </c>
      <c r="AO49" s="591" t="str">
        <f>IF(O49=1,COUNTIF($O$27:O49,1),"")</f>
        <v/>
      </c>
      <c r="AP49" s="591" t="str">
        <f>IF(P49=1,COUNTIF($P$27:P49,1),"")</f>
        <v/>
      </c>
      <c r="AQ49" s="591" t="str">
        <f>IF(Q49=1,COUNTIF($Q$27:Q49,1),"")</f>
        <v/>
      </c>
      <c r="AR49" s="591" t="str">
        <f>IF(R49=1,COUNTIF($R$27:R49,1),"")</f>
        <v/>
      </c>
      <c r="AS49" s="591" t="str">
        <f>IF(S49=1,COUNTIF($S$27:S49,1),"")</f>
        <v/>
      </c>
      <c r="AT49" s="591" t="str">
        <f>IF(T49=1,COUNTIF($T$27:T49,1),"")</f>
        <v/>
      </c>
      <c r="AU49" s="591" t="str">
        <f>IF(U49=1,COUNTIF($U$27:U49,1),"")</f>
        <v/>
      </c>
      <c r="AV49" s="591" t="str">
        <f>IF(V49=1,COUNTIF($V$27:V49,1),"")</f>
        <v/>
      </c>
      <c r="AW49" s="591" t="str">
        <f>IF(W49=1,COUNTIF($W$27:W49,1),"")</f>
        <v/>
      </c>
      <c r="AX49" s="591" t="str">
        <f>IF(X49=1,COUNTIF($X$27:X49,1),"")</f>
        <v/>
      </c>
      <c r="AY49" s="591" t="str">
        <f>IF(Y49=1,COUNTIF($Y$27:Y49,1),"")</f>
        <v/>
      </c>
      <c r="AZ49" s="591" t="str">
        <f>IF(Z49=1,COUNTIF($Z$27:Z49,1),"")</f>
        <v/>
      </c>
      <c r="BA49" s="591" t="str">
        <f>IF(AA49=1,COUNTIF($AA$27:AA49,1),"")</f>
        <v/>
      </c>
      <c r="BB49" s="591" t="str">
        <f>IF(AB49=1,COUNTIF($AB$27:AB49,1),"")</f>
        <v/>
      </c>
      <c r="BC49" s="591" t="str">
        <f>IF(AC49=1,COUNTIF($AC$27:AC49,1),"")</f>
        <v/>
      </c>
      <c r="BD49" s="591" t="str">
        <f>IF(AD49=1,COUNTIF($AD$27:AD49,1),"")</f>
        <v/>
      </c>
      <c r="BE49" s="591" t="str">
        <f>IF(AE49=1,COUNTIF($AE$27:AE49,1),"")</f>
        <v/>
      </c>
      <c r="BF49" s="591" t="str">
        <f>IF(AF49=1,COUNTIF($AF$27:AF49,1),"")</f>
        <v/>
      </c>
      <c r="BG49" s="591" t="str">
        <f>IF(AG49=1,COUNTIF($AG$27:AG49,1),"")</f>
        <v/>
      </c>
      <c r="BH49" s="591" t="str">
        <f>IF(AH49=1,COUNTIF($AH$27:AH49,1),"")</f>
        <v/>
      </c>
      <c r="BI49" s="591" t="str">
        <f>IF(AI49=1,COUNTIF($AI$27:AI49,1),"")</f>
        <v/>
      </c>
      <c r="BJ49" s="591" t="str">
        <f>IF(AJ49=1,COUNTIF($AJ$27:AJ49,1),"")</f>
        <v/>
      </c>
      <c r="BK49" s="591" t="str">
        <f>IF(AK49=1,COUNTIF($AK$27:AK49,1),"")</f>
        <v/>
      </c>
      <c r="BQ49" s="681"/>
      <c r="BR49" s="682" t="s">
        <v>738</v>
      </c>
      <c r="BS49" s="683" t="s">
        <v>739</v>
      </c>
      <c r="BT49" s="591" t="s">
        <v>751</v>
      </c>
    </row>
    <row r="50" spans="2:72" ht="35.1" customHeight="1">
      <c r="B50" s="1217">
        <f t="shared" si="5"/>
        <v>24</v>
      </c>
      <c r="C50" s="1232" t="str">
        <f t="shared" si="1"/>
        <v>SPOT 04-01</v>
      </c>
      <c r="D50" s="1218" t="str">
        <f t="shared" si="2"/>
        <v>Bulk Sample</v>
      </c>
      <c r="E50" s="1232" t="s">
        <v>1173</v>
      </c>
      <c r="F50" s="592" t="s">
        <v>1265</v>
      </c>
      <c r="G50" s="1211" t="s">
        <v>1267</v>
      </c>
      <c r="H50" s="1219" t="str">
        <f t="shared" si="0"/>
        <v>26-001-BS-024</v>
      </c>
      <c r="I50" s="1219"/>
      <c r="J50" s="1220" t="str">
        <f t="shared" si="3"/>
        <v>-</v>
      </c>
      <c r="K50" s="592"/>
      <c r="L50" s="592"/>
      <c r="M50" s="1359" t="str">
        <f t="shared" si="4"/>
        <v>024-SPOT 04-01-0.00-0.00m</v>
      </c>
      <c r="N50" s="1519"/>
      <c r="O50" s="1519"/>
      <c r="P50" s="1519"/>
      <c r="Q50" s="1519"/>
      <c r="R50" s="1236"/>
      <c r="S50" s="1236"/>
      <c r="T50" s="1236"/>
      <c r="U50" s="1236"/>
      <c r="V50" s="1236"/>
      <c r="W50" s="1236"/>
      <c r="X50" s="1236"/>
      <c r="Y50" s="1236"/>
      <c r="Z50" s="1236"/>
      <c r="AA50" s="1236"/>
      <c r="AB50" s="1236"/>
      <c r="AC50" s="1236"/>
      <c r="AD50" s="1236"/>
      <c r="AE50" s="1519"/>
      <c r="AF50" s="1236"/>
      <c r="AG50" s="1236"/>
      <c r="AH50" s="1236"/>
      <c r="AI50" s="1236"/>
      <c r="AJ50" s="1236"/>
      <c r="AK50" s="1236"/>
      <c r="AN50" s="591" t="str">
        <f>IF(N50=1,COUNTIF($N$27:N50,1),"")</f>
        <v/>
      </c>
      <c r="AO50" s="591" t="str">
        <f>IF(O50=1,COUNTIF($O$27:O50,1),"")</f>
        <v/>
      </c>
      <c r="AP50" s="591" t="str">
        <f>IF(P50=1,COUNTIF($P$27:P50,1),"")</f>
        <v/>
      </c>
      <c r="AQ50" s="591" t="str">
        <f>IF(Q50=1,COUNTIF($Q$27:Q50,1),"")</f>
        <v/>
      </c>
      <c r="AR50" s="591" t="str">
        <f>IF(R50=1,COUNTIF($R$27:R50,1),"")</f>
        <v/>
      </c>
      <c r="AS50" s="591" t="str">
        <f>IF(S50=1,COUNTIF($S$27:S50,1),"")</f>
        <v/>
      </c>
      <c r="AT50" s="591" t="str">
        <f>IF(T50=1,COUNTIF($T$27:T50,1),"")</f>
        <v/>
      </c>
      <c r="AU50" s="591" t="str">
        <f>IF(U50=1,COUNTIF($U$27:U50,1),"")</f>
        <v/>
      </c>
      <c r="AV50" s="591" t="str">
        <f>IF(V50=1,COUNTIF($V$27:V50,1),"")</f>
        <v/>
      </c>
      <c r="AW50" s="591" t="str">
        <f>IF(W50=1,COUNTIF($W$27:W50,1),"")</f>
        <v/>
      </c>
      <c r="AX50" s="591" t="str">
        <f>IF(X50=1,COUNTIF($X$27:X50,1),"")</f>
        <v/>
      </c>
      <c r="AY50" s="591" t="str">
        <f>IF(Y50=1,COUNTIF($Y$27:Y50,1),"")</f>
        <v/>
      </c>
      <c r="AZ50" s="591" t="str">
        <f>IF(Z50=1,COUNTIF($Z$27:Z50,1),"")</f>
        <v/>
      </c>
      <c r="BA50" s="591" t="str">
        <f>IF(AA50=1,COUNTIF($AA$27:AA50,1),"")</f>
        <v/>
      </c>
      <c r="BB50" s="591" t="str">
        <f>IF(AB50=1,COUNTIF($AB$27:AB50,1),"")</f>
        <v/>
      </c>
      <c r="BC50" s="591" t="str">
        <f>IF(AC50=1,COUNTIF($AC$27:AC50,1),"")</f>
        <v/>
      </c>
      <c r="BD50" s="591" t="str">
        <f>IF(AD50=1,COUNTIF($AD$27:AD50,1),"")</f>
        <v/>
      </c>
      <c r="BE50" s="591" t="str">
        <f>IF(AE50=1,COUNTIF($AE$27:AE50,1),"")</f>
        <v/>
      </c>
      <c r="BF50" s="591" t="str">
        <f>IF(AF50=1,COUNTIF($AF$27:AF50,1),"")</f>
        <v/>
      </c>
      <c r="BG50" s="591" t="str">
        <f>IF(AG50=1,COUNTIF($AG$27:AG50,1),"")</f>
        <v/>
      </c>
      <c r="BH50" s="591" t="str">
        <f>IF(AH50=1,COUNTIF($AH$27:AH50,1),"")</f>
        <v/>
      </c>
      <c r="BI50" s="591" t="str">
        <f>IF(AI50=1,COUNTIF($AI$27:AI50,1),"")</f>
        <v/>
      </c>
      <c r="BJ50" s="591" t="str">
        <f>IF(AJ50=1,COUNTIF($AJ$27:AJ50,1),"")</f>
        <v/>
      </c>
      <c r="BK50" s="591" t="str">
        <f>IF(AK50=1,COUNTIF($AK$27:AK50,1),"")</f>
        <v/>
      </c>
      <c r="BQ50" s="681"/>
      <c r="BR50" s="682" t="s">
        <v>740</v>
      </c>
      <c r="BS50" s="683" t="s">
        <v>741</v>
      </c>
      <c r="BT50" s="591" t="s">
        <v>752</v>
      </c>
    </row>
    <row r="51" spans="2:72" ht="35.1" customHeight="1">
      <c r="B51" s="1217">
        <f t="shared" si="5"/>
        <v>25</v>
      </c>
      <c r="C51" s="1232" t="str">
        <f t="shared" si="1"/>
        <v>SPOT 05-01</v>
      </c>
      <c r="D51" s="1218" t="str">
        <f t="shared" si="2"/>
        <v>Bulk Sample</v>
      </c>
      <c r="E51" s="1232" t="s">
        <v>1173</v>
      </c>
      <c r="F51" s="592" t="s">
        <v>1266</v>
      </c>
      <c r="G51" s="1211" t="s">
        <v>1267</v>
      </c>
      <c r="H51" s="1219" t="str">
        <f t="shared" si="0"/>
        <v>26-001-BS-025</v>
      </c>
      <c r="I51" s="1219"/>
      <c r="J51" s="1220" t="str">
        <f t="shared" si="3"/>
        <v>-</v>
      </c>
      <c r="K51" s="592"/>
      <c r="L51" s="592"/>
      <c r="M51" s="1359" t="str">
        <f t="shared" si="4"/>
        <v>025-SPOT 05-01-0.00-0.00m</v>
      </c>
      <c r="N51" s="1519"/>
      <c r="O51" s="1519"/>
      <c r="P51" s="1519"/>
      <c r="Q51" s="1519"/>
      <c r="R51" s="1236"/>
      <c r="S51" s="1519"/>
      <c r="T51" s="1519"/>
      <c r="U51" s="1236"/>
      <c r="V51" s="1519"/>
      <c r="W51" s="1236"/>
      <c r="X51" s="1236"/>
      <c r="Y51" s="1236"/>
      <c r="Z51" s="1236"/>
      <c r="AA51" s="1236"/>
      <c r="AB51" s="1236"/>
      <c r="AC51" s="1236"/>
      <c r="AD51" s="1236"/>
      <c r="AE51" s="1519"/>
      <c r="AF51" s="1236"/>
      <c r="AG51" s="1236"/>
      <c r="AH51" s="1519"/>
      <c r="AI51" s="1236"/>
      <c r="AJ51" s="1236"/>
      <c r="AK51" s="1236"/>
      <c r="AN51" s="591" t="str">
        <f>IF(N51=1,COUNTIF($N$27:N51,1),"")</f>
        <v/>
      </c>
      <c r="AO51" s="591" t="str">
        <f>IF(O51=1,COUNTIF($O$27:O51,1),"")</f>
        <v/>
      </c>
      <c r="AP51" s="591" t="str">
        <f>IF(P51=1,COUNTIF($P$27:P51,1),"")</f>
        <v/>
      </c>
      <c r="AQ51" s="591" t="str">
        <f>IF(Q51=1,COUNTIF($Q$27:Q51,1),"")</f>
        <v/>
      </c>
      <c r="AR51" s="591" t="str">
        <f>IF(R51=1,COUNTIF($R$27:R51,1),"")</f>
        <v/>
      </c>
      <c r="AS51" s="591" t="str">
        <f>IF(S51=1,COUNTIF($S$27:S51,1),"")</f>
        <v/>
      </c>
      <c r="AT51" s="591" t="str">
        <f>IF(T51=1,COUNTIF($T$27:T51,1),"")</f>
        <v/>
      </c>
      <c r="AU51" s="591" t="str">
        <f>IF(U51=1,COUNTIF($U$27:U51,1),"")</f>
        <v/>
      </c>
      <c r="AV51" s="591" t="str">
        <f>IF(V51=1,COUNTIF($V$27:V51,1),"")</f>
        <v/>
      </c>
      <c r="AW51" s="591" t="str">
        <f>IF(W51=1,COUNTIF($W$27:W51,1),"")</f>
        <v/>
      </c>
      <c r="AX51" s="591" t="str">
        <f>IF(X51=1,COUNTIF($X$27:X51,1),"")</f>
        <v/>
      </c>
      <c r="AY51" s="591" t="str">
        <f>IF(Y51=1,COUNTIF($Y$27:Y51,1),"")</f>
        <v/>
      </c>
      <c r="AZ51" s="591" t="str">
        <f>IF(Z51=1,COUNTIF($Z$27:Z51,1),"")</f>
        <v/>
      </c>
      <c r="BA51" s="591" t="str">
        <f>IF(AA51=1,COUNTIF($AA$27:AA51,1),"")</f>
        <v/>
      </c>
      <c r="BB51" s="591" t="str">
        <f>IF(AB51=1,COUNTIF($AB$27:AB51,1),"")</f>
        <v/>
      </c>
      <c r="BC51" s="591" t="str">
        <f>IF(AC51=1,COUNTIF($AC$27:AC51,1),"")</f>
        <v/>
      </c>
      <c r="BD51" s="591" t="str">
        <f>IF(AD51=1,COUNTIF($AD$27:AD51,1),"")</f>
        <v/>
      </c>
      <c r="BE51" s="591" t="str">
        <f>IF(AE51=1,COUNTIF($AE$27:AE51,1),"")</f>
        <v/>
      </c>
      <c r="BF51" s="591" t="str">
        <f>IF(AF51=1,COUNTIF($AF$27:AF51,1),"")</f>
        <v/>
      </c>
      <c r="BG51" s="591" t="str">
        <f>IF(AG51=1,COUNTIF($AG$27:AG51,1),"")</f>
        <v/>
      </c>
      <c r="BH51" s="591" t="str">
        <f>IF(AH51=1,COUNTIF($AH$27:AH51,1),"")</f>
        <v/>
      </c>
      <c r="BI51" s="591" t="str">
        <f>IF(AI51=1,COUNTIF($AI$27:AI51,1),"")</f>
        <v/>
      </c>
      <c r="BJ51" s="591" t="str">
        <f>IF(AJ51=1,COUNTIF($AJ$27:AJ51,1),"")</f>
        <v/>
      </c>
      <c r="BK51" s="591" t="str">
        <f>IF(AK51=1,COUNTIF($AK$27:AK51,1),"")</f>
        <v/>
      </c>
      <c r="BQ51" s="681">
        <v>13</v>
      </c>
      <c r="BR51" s="682" t="s">
        <v>12</v>
      </c>
      <c r="BS51" s="683"/>
    </row>
    <row r="52" spans="2:72" ht="35.1" customHeight="1">
      <c r="B52" s="592"/>
      <c r="C52" s="1232" t="str">
        <f t="shared" si="1"/>
        <v>-</v>
      </c>
      <c r="D52" s="1218" t="str">
        <f t="shared" ref="D52:D64" si="6">IF(E52="DS","Contoh Terganggu / Disturbed Sample",
IF(E52="UDS","Contoh Tidak Terganggu / Undisturbed Sample",
IF(E52="BS","Contoh Curah / Bulk Sample",
IF(E52="CS","Contoh Komposit / Composite Sample",""))))</f>
        <v/>
      </c>
      <c r="E52" s="1232"/>
      <c r="F52" s="592"/>
      <c r="G52" s="592"/>
      <c r="H52" s="592"/>
      <c r="I52" s="592"/>
      <c r="J52" s="1220" t="str">
        <f t="shared" si="3"/>
        <v>-</v>
      </c>
      <c r="K52" s="592"/>
      <c r="L52" s="592"/>
      <c r="M52" s="592"/>
      <c r="N52" s="658"/>
      <c r="O52" s="658"/>
      <c r="P52" s="658"/>
      <c r="Q52" s="658"/>
      <c r="R52" s="658"/>
      <c r="S52" s="658"/>
      <c r="T52" s="658"/>
      <c r="U52" s="658"/>
      <c r="V52" s="658"/>
      <c r="W52" s="658"/>
      <c r="X52" s="658"/>
      <c r="Y52" s="658"/>
      <c r="Z52" s="658"/>
      <c r="AA52" s="658"/>
      <c r="AB52" s="658"/>
      <c r="AC52" s="658"/>
      <c r="AD52" s="658"/>
      <c r="AE52" s="658"/>
      <c r="AF52" s="658"/>
      <c r="AG52" s="658"/>
      <c r="AH52" s="658"/>
      <c r="AI52" s="658"/>
      <c r="AJ52" s="658"/>
      <c r="AK52" s="658"/>
      <c r="AN52" s="591" t="str">
        <f>IF(N52=1,COUNTIF($N$27:N52,1),"")</f>
        <v/>
      </c>
      <c r="AO52" s="591" t="str">
        <f>IF(O52=1,COUNTIF($O$27:O52,1),"")</f>
        <v/>
      </c>
      <c r="AP52" s="591" t="str">
        <f>IF(P52=1,COUNTIF($P$27:P52,1),"")</f>
        <v/>
      </c>
      <c r="AQ52" s="591" t="str">
        <f>IF(Q52=1,COUNTIF($Q$27:Q52,1),"")</f>
        <v/>
      </c>
      <c r="AR52" s="591" t="str">
        <f>IF(R52=1,COUNTIF($R$27:R52,1),"")</f>
        <v/>
      </c>
      <c r="AS52" s="591" t="str">
        <f>IF(S52=1,COUNTIF($S$27:S52,1),"")</f>
        <v/>
      </c>
      <c r="AT52" s="591" t="str">
        <f>IF(T52=1,COUNTIF($T$27:T52,1),"")</f>
        <v/>
      </c>
      <c r="AU52" s="591" t="str">
        <f>IF(U52=1,COUNTIF($U$27:U52,1),"")</f>
        <v/>
      </c>
      <c r="AV52" s="591" t="str">
        <f>IF(V52=1,COUNTIF($V$27:V52,1),"")</f>
        <v/>
      </c>
      <c r="AW52" s="591" t="str">
        <f>IF(W52=1,COUNTIF($W$27:W52,1),"")</f>
        <v/>
      </c>
      <c r="AX52" s="591" t="str">
        <f>IF(X52=1,COUNTIF($X$27:X52,1),"")</f>
        <v/>
      </c>
      <c r="AY52" s="591" t="str">
        <f>IF(Y52=1,COUNTIF($Y$27:Y52,1),"")</f>
        <v/>
      </c>
      <c r="AZ52" s="591" t="str">
        <f>IF(Z52=1,COUNTIF($Z$27:Z52,1),"")</f>
        <v/>
      </c>
      <c r="BA52" s="591" t="str">
        <f>IF(AA52=1,COUNTIF($AA$27:AA52,1),"")</f>
        <v/>
      </c>
      <c r="BB52" s="591" t="str">
        <f>IF(AB52=1,COUNTIF($AB$27:AB52,1),"")</f>
        <v/>
      </c>
      <c r="BC52" s="591" t="str">
        <f>IF(AC52=1,COUNTIF($AC$27:AC52,1),"")</f>
        <v/>
      </c>
      <c r="BD52" s="591" t="str">
        <f>IF(AD52=1,COUNTIF($AD$27:AD52,1),"")</f>
        <v/>
      </c>
      <c r="BE52" s="591" t="str">
        <f>IF(AE52=1,COUNTIF($AE$27:AE52,1),"")</f>
        <v/>
      </c>
      <c r="BF52" s="591" t="str">
        <f>IF(AF52=1,COUNTIF($AF$27:AF52,1),"")</f>
        <v/>
      </c>
      <c r="BG52" s="591" t="str">
        <f>IF(AG52=1,COUNTIF($AG$27:AG52,1),"")</f>
        <v/>
      </c>
      <c r="BH52" s="591" t="str">
        <f>IF(AH52=1,COUNTIF($AH$27:AH52,1),"")</f>
        <v/>
      </c>
      <c r="BI52" s="591" t="str">
        <f>IF(AI52=1,COUNTIF($AI$27:AI52,1),"")</f>
        <v/>
      </c>
      <c r="BJ52" s="591" t="str">
        <f>IF(AJ52=1,COUNTIF($AJ$27:AJ52,1),"")</f>
        <v/>
      </c>
      <c r="BK52" s="591" t="str">
        <f>IF(AK52=1,COUNTIF($AK$27:AK52,1),"")</f>
        <v/>
      </c>
      <c r="BQ52" s="681"/>
      <c r="BR52" s="682" t="s">
        <v>567</v>
      </c>
      <c r="BS52" s="683" t="s">
        <v>13</v>
      </c>
      <c r="BT52" s="591" t="s">
        <v>753</v>
      </c>
    </row>
    <row r="53" spans="2:72" ht="35.1" customHeight="1">
      <c r="B53" s="592"/>
      <c r="C53" s="1232" t="str">
        <f t="shared" si="1"/>
        <v>-</v>
      </c>
      <c r="D53" s="1218" t="str">
        <f t="shared" si="6"/>
        <v/>
      </c>
      <c r="E53" s="1232"/>
      <c r="F53" s="592"/>
      <c r="G53" s="592"/>
      <c r="H53" s="592"/>
      <c r="I53" s="592"/>
      <c r="J53" s="1220" t="str">
        <f t="shared" si="3"/>
        <v>-</v>
      </c>
      <c r="K53" s="592"/>
      <c r="L53" s="592"/>
      <c r="M53" s="592"/>
      <c r="N53" s="658"/>
      <c r="O53" s="658"/>
      <c r="P53" s="658"/>
      <c r="Q53" s="658"/>
      <c r="R53" s="658"/>
      <c r="S53" s="658"/>
      <c r="T53" s="658"/>
      <c r="U53" s="658"/>
      <c r="V53" s="658"/>
      <c r="W53" s="658"/>
      <c r="X53" s="658"/>
      <c r="Y53" s="658"/>
      <c r="Z53" s="658"/>
      <c r="AA53" s="658"/>
      <c r="AB53" s="658"/>
      <c r="AC53" s="658"/>
      <c r="AD53" s="658"/>
      <c r="AE53" s="658"/>
      <c r="AF53" s="658"/>
      <c r="AG53" s="658"/>
      <c r="AH53" s="658"/>
      <c r="AI53" s="658"/>
      <c r="AJ53" s="658"/>
      <c r="AK53" s="658"/>
      <c r="AN53" s="591" t="str">
        <f>IF(N53=1,COUNTIF($N$27:N53,1),"")</f>
        <v/>
      </c>
      <c r="AO53" s="591" t="str">
        <f>IF(O53=1,COUNTIF($O$27:O53,1),"")</f>
        <v/>
      </c>
      <c r="AP53" s="591" t="str">
        <f>IF(P53=1,COUNTIF($P$27:P53,1),"")</f>
        <v/>
      </c>
      <c r="AQ53" s="591" t="str">
        <f>IF(Q53=1,COUNTIF($Q$27:Q53,1),"")</f>
        <v/>
      </c>
      <c r="AR53" s="591" t="str">
        <f>IF(R53=1,COUNTIF($R$27:R53,1),"")</f>
        <v/>
      </c>
      <c r="AS53" s="591" t="str">
        <f>IF(S53=1,COUNTIF($S$27:S53,1),"")</f>
        <v/>
      </c>
      <c r="AT53" s="591" t="str">
        <f>IF(T53=1,COUNTIF($T$27:T53,1),"")</f>
        <v/>
      </c>
      <c r="AU53" s="591" t="str">
        <f>IF(U53=1,COUNTIF($U$27:U53,1),"")</f>
        <v/>
      </c>
      <c r="AV53" s="591" t="str">
        <f>IF(V53=1,COUNTIF($V$27:V53,1),"")</f>
        <v/>
      </c>
      <c r="AW53" s="591" t="str">
        <f>IF(W53=1,COUNTIF($W$27:W53,1),"")</f>
        <v/>
      </c>
      <c r="AX53" s="591" t="str">
        <f>IF(X53=1,COUNTIF($X$27:X53,1),"")</f>
        <v/>
      </c>
      <c r="AY53" s="591" t="str">
        <f>IF(Y53=1,COUNTIF($Y$27:Y53,1),"")</f>
        <v/>
      </c>
      <c r="AZ53" s="591" t="str">
        <f>IF(Z53=1,COUNTIF($Z$27:Z53,1),"")</f>
        <v/>
      </c>
      <c r="BA53" s="591" t="str">
        <f>IF(AA53=1,COUNTIF($AA$27:AA53,1),"")</f>
        <v/>
      </c>
      <c r="BB53" s="591" t="str">
        <f>IF(AB53=1,COUNTIF($AB$27:AB53,1),"")</f>
        <v/>
      </c>
      <c r="BC53" s="591" t="str">
        <f>IF(AC53=1,COUNTIF($AC$27:AC53,1),"")</f>
        <v/>
      </c>
      <c r="BD53" s="591" t="str">
        <f>IF(AD53=1,COUNTIF($AD$27:AD53,1),"")</f>
        <v/>
      </c>
      <c r="BE53" s="591" t="str">
        <f>IF(AE53=1,COUNTIF($AE$27:AE53,1),"")</f>
        <v/>
      </c>
      <c r="BF53" s="591" t="str">
        <f>IF(AF53=1,COUNTIF($AF$27:AF53,1),"")</f>
        <v/>
      </c>
      <c r="BG53" s="591" t="str">
        <f>IF(AG53=1,COUNTIF($AG$27:AG53,1),"")</f>
        <v/>
      </c>
      <c r="BH53" s="591" t="str">
        <f>IF(AH53=1,COUNTIF($AH$27:AH53,1),"")</f>
        <v/>
      </c>
      <c r="BI53" s="591" t="str">
        <f>IF(AI53=1,COUNTIF($AI$27:AI53,1),"")</f>
        <v/>
      </c>
      <c r="BJ53" s="591" t="str">
        <f>IF(AJ53=1,COUNTIF($AJ$27:AJ53,1),"")</f>
        <v/>
      </c>
      <c r="BK53" s="591" t="str">
        <f>IF(AK53=1,COUNTIF($AK$27:AK53,1),"")</f>
        <v/>
      </c>
      <c r="BQ53" s="681"/>
      <c r="BR53" s="682" t="s">
        <v>568</v>
      </c>
      <c r="BS53" s="683" t="s">
        <v>13</v>
      </c>
      <c r="BT53" s="591" t="s">
        <v>1025</v>
      </c>
    </row>
    <row r="54" spans="2:72" ht="35.1" customHeight="1">
      <c r="B54" s="592"/>
      <c r="C54" s="1232" t="str">
        <f t="shared" si="1"/>
        <v>-</v>
      </c>
      <c r="D54" s="1218" t="str">
        <f t="shared" si="6"/>
        <v/>
      </c>
      <c r="E54" s="1232"/>
      <c r="F54" s="592"/>
      <c r="G54" s="592"/>
      <c r="H54" s="592"/>
      <c r="I54" s="592"/>
      <c r="J54" s="1220" t="str">
        <f t="shared" si="3"/>
        <v>-</v>
      </c>
      <c r="K54" s="592"/>
      <c r="L54" s="592"/>
      <c r="M54" s="592"/>
      <c r="N54" s="658"/>
      <c r="O54" s="658"/>
      <c r="P54" s="658"/>
      <c r="Q54" s="658"/>
      <c r="R54" s="658"/>
      <c r="S54" s="658"/>
      <c r="T54" s="658"/>
      <c r="U54" s="658"/>
      <c r="V54" s="658"/>
      <c r="W54" s="658"/>
      <c r="X54" s="658"/>
      <c r="Y54" s="658"/>
      <c r="Z54" s="658"/>
      <c r="AA54" s="658"/>
      <c r="AB54" s="658"/>
      <c r="AC54" s="658"/>
      <c r="AD54" s="658"/>
      <c r="AE54" s="658"/>
      <c r="AF54" s="658"/>
      <c r="AG54" s="658"/>
      <c r="AH54" s="658"/>
      <c r="AI54" s="658"/>
      <c r="AJ54" s="658"/>
      <c r="AK54" s="658"/>
      <c r="AN54" s="591" t="str">
        <f>IF(N54=1,COUNTIF($N$27:N54,1),"")</f>
        <v/>
      </c>
      <c r="AO54" s="591" t="str">
        <f>IF(O54=1,COUNTIF($O$27:O54,1),"")</f>
        <v/>
      </c>
      <c r="AP54" s="591" t="str">
        <f>IF(P54=1,COUNTIF($P$27:P54,1),"")</f>
        <v/>
      </c>
      <c r="AQ54" s="591" t="str">
        <f>IF(Q54=1,COUNTIF($Q$27:Q54,1),"")</f>
        <v/>
      </c>
      <c r="AR54" s="591" t="str">
        <f>IF(R54=1,COUNTIF($R$27:R54,1),"")</f>
        <v/>
      </c>
      <c r="AS54" s="591" t="str">
        <f>IF(S54=1,COUNTIF($S$27:S54,1),"")</f>
        <v/>
      </c>
      <c r="AT54" s="591" t="str">
        <f>IF(T54=1,COUNTIF($T$27:T54,1),"")</f>
        <v/>
      </c>
      <c r="AU54" s="591" t="str">
        <f>IF(U54=1,COUNTIF($U$27:U54,1),"")</f>
        <v/>
      </c>
      <c r="AV54" s="591" t="str">
        <f>IF(V54=1,COUNTIF($V$27:V54,1),"")</f>
        <v/>
      </c>
      <c r="AW54" s="591" t="str">
        <f>IF(W54=1,COUNTIF($W$27:W54,1),"")</f>
        <v/>
      </c>
      <c r="AX54" s="591" t="str">
        <f>IF(X54=1,COUNTIF($X$27:X54,1),"")</f>
        <v/>
      </c>
      <c r="AY54" s="591" t="str">
        <f>IF(Y54=1,COUNTIF($Y$27:Y54,1),"")</f>
        <v/>
      </c>
      <c r="AZ54" s="591" t="str">
        <f>IF(Z54=1,COUNTIF($Z$27:Z54,1),"")</f>
        <v/>
      </c>
      <c r="BA54" s="591" t="str">
        <f>IF(AA54=1,COUNTIF($AA$27:AA54,1),"")</f>
        <v/>
      </c>
      <c r="BB54" s="591" t="str">
        <f>IF(AB54=1,COUNTIF($AB$27:AB54,1),"")</f>
        <v/>
      </c>
      <c r="BC54" s="591" t="str">
        <f>IF(AC54=1,COUNTIF($AC$27:AC54,1),"")</f>
        <v/>
      </c>
      <c r="BD54" s="591" t="str">
        <f>IF(AD54=1,COUNTIF($AD$27:AD54,1),"")</f>
        <v/>
      </c>
      <c r="BE54" s="591" t="str">
        <f>IF(AE54=1,COUNTIF($AE$27:AE54,1),"")</f>
        <v/>
      </c>
      <c r="BF54" s="591" t="str">
        <f>IF(AF54=1,COUNTIF($AF$27:AF54,1),"")</f>
        <v/>
      </c>
      <c r="BG54" s="591" t="str">
        <f>IF(AG54=1,COUNTIF($AG$27:AG54,1),"")</f>
        <v/>
      </c>
      <c r="BH54" s="591" t="str">
        <f>IF(AH54=1,COUNTIF($AH$27:AH54,1),"")</f>
        <v/>
      </c>
      <c r="BI54" s="591" t="str">
        <f>IF(AI54=1,COUNTIF($AI$27:AI54,1),"")</f>
        <v/>
      </c>
      <c r="BJ54" s="591" t="str">
        <f>IF(AJ54=1,COUNTIF($AJ$27:AJ54,1),"")</f>
        <v/>
      </c>
      <c r="BK54" s="591" t="str">
        <f>IF(AK54=1,COUNTIF($AK$27:AK54,1),"")</f>
        <v/>
      </c>
      <c r="BQ54" s="681">
        <v>14</v>
      </c>
      <c r="BR54" s="682" t="s">
        <v>14</v>
      </c>
      <c r="BS54" s="683" t="s">
        <v>15</v>
      </c>
      <c r="BT54" s="591" t="s">
        <v>754</v>
      </c>
    </row>
    <row r="55" spans="2:72" ht="35.1" customHeight="1">
      <c r="B55" s="592"/>
      <c r="C55" s="1232" t="str">
        <f t="shared" si="1"/>
        <v>-</v>
      </c>
      <c r="D55" s="1218" t="str">
        <f t="shared" si="6"/>
        <v/>
      </c>
      <c r="E55" s="1232"/>
      <c r="F55" s="592"/>
      <c r="G55" s="592"/>
      <c r="H55" s="592"/>
      <c r="I55" s="592"/>
      <c r="J55" s="1220" t="str">
        <f t="shared" si="3"/>
        <v>-</v>
      </c>
      <c r="K55" s="592"/>
      <c r="L55" s="592"/>
      <c r="M55" s="592"/>
      <c r="N55" s="658"/>
      <c r="O55" s="658"/>
      <c r="P55" s="658"/>
      <c r="Q55" s="658"/>
      <c r="R55" s="658"/>
      <c r="S55" s="658"/>
      <c r="T55" s="658"/>
      <c r="U55" s="658"/>
      <c r="V55" s="658"/>
      <c r="W55" s="658"/>
      <c r="X55" s="658"/>
      <c r="Y55" s="658"/>
      <c r="Z55" s="658"/>
      <c r="AA55" s="658"/>
      <c r="AB55" s="658"/>
      <c r="AC55" s="658"/>
      <c r="AD55" s="658"/>
      <c r="AE55" s="658"/>
      <c r="AF55" s="658"/>
      <c r="AG55" s="658"/>
      <c r="AH55" s="658"/>
      <c r="AI55" s="658"/>
      <c r="AJ55" s="658"/>
      <c r="AK55" s="658"/>
      <c r="AN55" s="591" t="str">
        <f>IF(N55=1,COUNTIF($N$27:N55,1),"")</f>
        <v/>
      </c>
      <c r="AO55" s="591" t="str">
        <f>IF(O55=1,COUNTIF($O$27:O55,1),"")</f>
        <v/>
      </c>
      <c r="AP55" s="591" t="str">
        <f>IF(P55=1,COUNTIF($P$27:P55,1),"")</f>
        <v/>
      </c>
      <c r="AQ55" s="591" t="str">
        <f>IF(Q55=1,COUNTIF($Q$27:Q55,1),"")</f>
        <v/>
      </c>
      <c r="AR55" s="591" t="str">
        <f>IF(R55=1,COUNTIF($R$27:R55,1),"")</f>
        <v/>
      </c>
      <c r="AS55" s="591" t="str">
        <f>IF(S55=1,COUNTIF($S$27:S55,1),"")</f>
        <v/>
      </c>
      <c r="AT55" s="591" t="str">
        <f>IF(T55=1,COUNTIF($T$27:T55,1),"")</f>
        <v/>
      </c>
      <c r="AU55" s="591" t="str">
        <f>IF(U55=1,COUNTIF($U$27:U55,1),"")</f>
        <v/>
      </c>
      <c r="AV55" s="591" t="str">
        <f>IF(V55=1,COUNTIF($V$27:V55,1),"")</f>
        <v/>
      </c>
      <c r="AW55" s="591" t="str">
        <f>IF(W55=1,COUNTIF($W$27:W55,1),"")</f>
        <v/>
      </c>
      <c r="AX55" s="591" t="str">
        <f>IF(X55=1,COUNTIF($X$27:X55,1),"")</f>
        <v/>
      </c>
      <c r="AY55" s="591" t="str">
        <f>IF(Y55=1,COUNTIF($Y$27:Y55,1),"")</f>
        <v/>
      </c>
      <c r="AZ55" s="591" t="str">
        <f>IF(Z55=1,COUNTIF($Z$27:Z55,1),"")</f>
        <v/>
      </c>
      <c r="BA55" s="591" t="str">
        <f>IF(AA55=1,COUNTIF($AA$27:AA55,1),"")</f>
        <v/>
      </c>
      <c r="BB55" s="591" t="str">
        <f>IF(AB55=1,COUNTIF($AB$27:AB55,1),"")</f>
        <v/>
      </c>
      <c r="BC55" s="591" t="str">
        <f>IF(AC55=1,COUNTIF($AC$27:AC55,1),"")</f>
        <v/>
      </c>
      <c r="BD55" s="591" t="str">
        <f>IF(AD55=1,COUNTIF($AD$27:AD55,1),"")</f>
        <v/>
      </c>
      <c r="BE55" s="591" t="str">
        <f>IF(AE55=1,COUNTIF($AE$27:AE55,1),"")</f>
        <v/>
      </c>
      <c r="BF55" s="591" t="str">
        <f>IF(AF55=1,COUNTIF($AF$27:AF55,1),"")</f>
        <v/>
      </c>
      <c r="BG55" s="591" t="str">
        <f>IF(AG55=1,COUNTIF($AG$27:AG55,1),"")</f>
        <v/>
      </c>
      <c r="BH55" s="591" t="str">
        <f>IF(AH55=1,COUNTIF($AH$27:AH55,1),"")</f>
        <v/>
      </c>
      <c r="BI55" s="591" t="str">
        <f>IF(AI55=1,COUNTIF($AI$27:AI55,1),"")</f>
        <v/>
      </c>
      <c r="BJ55" s="591" t="str">
        <f>IF(AJ55=1,COUNTIF($AJ$27:AJ55,1),"")</f>
        <v/>
      </c>
      <c r="BK55" s="591" t="str">
        <f>IF(AK55=1,COUNTIF($AK$27:AK55,1),"")</f>
        <v/>
      </c>
      <c r="BQ55" s="681">
        <v>15</v>
      </c>
      <c r="BR55" s="682" t="s">
        <v>16</v>
      </c>
      <c r="BS55" s="683" t="s">
        <v>17</v>
      </c>
      <c r="BT55" s="591" t="s">
        <v>755</v>
      </c>
    </row>
    <row r="56" spans="2:72" ht="35.1" customHeight="1">
      <c r="B56" s="592"/>
      <c r="C56" s="1232" t="str">
        <f t="shared" si="1"/>
        <v>-</v>
      </c>
      <c r="D56" s="1218" t="str">
        <f t="shared" si="6"/>
        <v/>
      </c>
      <c r="E56" s="1232"/>
      <c r="F56" s="592"/>
      <c r="G56" s="592"/>
      <c r="H56" s="592"/>
      <c r="I56" s="592"/>
      <c r="J56" s="1220" t="str">
        <f t="shared" si="3"/>
        <v>-</v>
      </c>
      <c r="K56" s="592"/>
      <c r="L56" s="592"/>
      <c r="M56" s="592"/>
      <c r="N56" s="658"/>
      <c r="O56" s="658"/>
      <c r="P56" s="658"/>
      <c r="Q56" s="658"/>
      <c r="R56" s="658"/>
      <c r="S56" s="658"/>
      <c r="T56" s="658"/>
      <c r="U56" s="658"/>
      <c r="V56" s="658"/>
      <c r="W56" s="658"/>
      <c r="X56" s="658"/>
      <c r="Y56" s="658"/>
      <c r="Z56" s="658"/>
      <c r="AA56" s="658"/>
      <c r="AB56" s="658"/>
      <c r="AC56" s="658"/>
      <c r="AD56" s="658"/>
      <c r="AE56" s="658"/>
      <c r="AF56" s="658"/>
      <c r="AG56" s="658"/>
      <c r="AH56" s="658"/>
      <c r="AI56" s="658"/>
      <c r="AJ56" s="658"/>
      <c r="AK56" s="658"/>
      <c r="AN56" s="591" t="str">
        <f>IF(N56=1,COUNTIF($N$27:N56,1),"")</f>
        <v/>
      </c>
      <c r="AO56" s="591" t="str">
        <f>IF(O56=1,COUNTIF($O$27:O56,1),"")</f>
        <v/>
      </c>
      <c r="AP56" s="591" t="str">
        <f>IF(P56=1,COUNTIF($P$27:P56,1),"")</f>
        <v/>
      </c>
      <c r="AQ56" s="591" t="str">
        <f>IF(Q56=1,COUNTIF($Q$27:Q56,1),"")</f>
        <v/>
      </c>
      <c r="AR56" s="591" t="str">
        <f>IF(R56=1,COUNTIF($R$27:R56,1),"")</f>
        <v/>
      </c>
      <c r="AS56" s="591" t="str">
        <f>IF(S56=1,COUNTIF($S$27:S56,1),"")</f>
        <v/>
      </c>
      <c r="AT56" s="591" t="str">
        <f>IF(T56=1,COUNTIF($T$27:T56,1),"")</f>
        <v/>
      </c>
      <c r="AU56" s="591" t="str">
        <f>IF(U56=1,COUNTIF($U$27:U56,1),"")</f>
        <v/>
      </c>
      <c r="AV56" s="591" t="str">
        <f>IF(V56=1,COUNTIF($V$27:V56,1),"")</f>
        <v/>
      </c>
      <c r="AW56" s="591" t="str">
        <f>IF(W56=1,COUNTIF($W$27:W56,1),"")</f>
        <v/>
      </c>
      <c r="AX56" s="591" t="str">
        <f>IF(X56=1,COUNTIF($X$27:X56,1),"")</f>
        <v/>
      </c>
      <c r="AY56" s="591" t="str">
        <f>IF(Y56=1,COUNTIF($Y$27:Y56,1),"")</f>
        <v/>
      </c>
      <c r="AZ56" s="591" t="str">
        <f>IF(Z56=1,COUNTIF($Z$27:Z56,1),"")</f>
        <v/>
      </c>
      <c r="BA56" s="591" t="str">
        <f>IF(AA56=1,COUNTIF($AA$27:AA56,1),"")</f>
        <v/>
      </c>
      <c r="BB56" s="591" t="str">
        <f>IF(AB56=1,COUNTIF($AB$27:AB56,1),"")</f>
        <v/>
      </c>
      <c r="BC56" s="591" t="str">
        <f>IF(AC56=1,COUNTIF($AC$27:AC56,1),"")</f>
        <v/>
      </c>
      <c r="BD56" s="591" t="str">
        <f>IF(AD56=1,COUNTIF($AD$27:AD56,1),"")</f>
        <v/>
      </c>
      <c r="BE56" s="591" t="str">
        <f>IF(AE56=1,COUNTIF($AE$27:AE56,1),"")</f>
        <v/>
      </c>
      <c r="BF56" s="591" t="str">
        <f>IF(AF56=1,COUNTIF($AF$27:AF56,1),"")</f>
        <v/>
      </c>
      <c r="BG56" s="591" t="str">
        <f>IF(AG56=1,COUNTIF($AG$27:AG56,1),"")</f>
        <v/>
      </c>
      <c r="BH56" s="591" t="str">
        <f>IF(AH56=1,COUNTIF($AH$27:AH56,1),"")</f>
        <v/>
      </c>
      <c r="BI56" s="591" t="str">
        <f>IF(AI56=1,COUNTIF($AI$27:AI56,1),"")</f>
        <v/>
      </c>
      <c r="BJ56" s="591" t="str">
        <f>IF(AJ56=1,COUNTIF($AJ$27:AJ56,1),"")</f>
        <v/>
      </c>
      <c r="BK56" s="591" t="str">
        <f>IF(AK56=1,COUNTIF($AK$27:AK56,1),"")</f>
        <v/>
      </c>
      <c r="BQ56" s="681">
        <v>16</v>
      </c>
      <c r="BR56" s="682" t="s">
        <v>18</v>
      </c>
      <c r="BS56" s="683" t="s">
        <v>19</v>
      </c>
      <c r="BT56" s="591" t="s">
        <v>756</v>
      </c>
    </row>
    <row r="57" spans="2:72" ht="35.1" customHeight="1">
      <c r="B57" s="592"/>
      <c r="C57" s="1232" t="str">
        <f t="shared" si="1"/>
        <v>-</v>
      </c>
      <c r="D57" s="1218" t="str">
        <f t="shared" si="6"/>
        <v/>
      </c>
      <c r="E57" s="1232"/>
      <c r="F57" s="592"/>
      <c r="G57" s="592"/>
      <c r="H57" s="592"/>
      <c r="I57" s="592"/>
      <c r="J57" s="1220" t="str">
        <f t="shared" si="3"/>
        <v>-</v>
      </c>
      <c r="K57" s="592"/>
      <c r="L57" s="592"/>
      <c r="M57" s="592"/>
      <c r="N57" s="658"/>
      <c r="O57" s="658"/>
      <c r="P57" s="658"/>
      <c r="Q57" s="658"/>
      <c r="R57" s="658"/>
      <c r="S57" s="658"/>
      <c r="T57" s="658"/>
      <c r="U57" s="658"/>
      <c r="V57" s="658"/>
      <c r="W57" s="658"/>
      <c r="X57" s="658"/>
      <c r="Y57" s="658"/>
      <c r="Z57" s="658"/>
      <c r="AA57" s="658"/>
      <c r="AB57" s="658"/>
      <c r="AC57" s="658"/>
      <c r="AD57" s="658"/>
      <c r="AE57" s="658"/>
      <c r="AF57" s="658"/>
      <c r="AG57" s="658"/>
      <c r="AH57" s="658"/>
      <c r="AI57" s="658"/>
      <c r="AJ57" s="658"/>
      <c r="AK57" s="658"/>
      <c r="AN57" s="591" t="str">
        <f>IF(N57=1,COUNTIF($N$27:N57,1),"")</f>
        <v/>
      </c>
      <c r="AO57" s="591" t="str">
        <f>IF(O57=1,COUNTIF($O$27:O57,1),"")</f>
        <v/>
      </c>
      <c r="AP57" s="591" t="str">
        <f>IF(P57=1,COUNTIF($P$27:P57,1),"")</f>
        <v/>
      </c>
      <c r="AQ57" s="591" t="str">
        <f>IF(Q57=1,COUNTIF($Q$27:Q57,1),"")</f>
        <v/>
      </c>
      <c r="AR57" s="591" t="str">
        <f>IF(R57=1,COUNTIF($R$27:R57,1),"")</f>
        <v/>
      </c>
      <c r="AS57" s="591" t="str">
        <f>IF(S57=1,COUNTIF($S$27:S57,1),"")</f>
        <v/>
      </c>
      <c r="AT57" s="591" t="str">
        <f>IF(T57=1,COUNTIF($T$27:T57,1),"")</f>
        <v/>
      </c>
      <c r="AU57" s="591" t="str">
        <f>IF(U57=1,COUNTIF($U$27:U57,1),"")</f>
        <v/>
      </c>
      <c r="AV57" s="591" t="str">
        <f>IF(V57=1,COUNTIF($V$27:V57,1),"")</f>
        <v/>
      </c>
      <c r="AW57" s="591" t="str">
        <f>IF(W57=1,COUNTIF($W$27:W57,1),"")</f>
        <v/>
      </c>
      <c r="AX57" s="591" t="str">
        <f>IF(X57=1,COUNTIF($X$27:X57,1),"")</f>
        <v/>
      </c>
      <c r="AY57" s="591" t="str">
        <f>IF(Y57=1,COUNTIF($Y$27:Y57,1),"")</f>
        <v/>
      </c>
      <c r="AZ57" s="591" t="str">
        <f>IF(Z57=1,COUNTIF($Z$27:Z57,1),"")</f>
        <v/>
      </c>
      <c r="BA57" s="591" t="str">
        <f>IF(AA57=1,COUNTIF($AA$27:AA57,1),"")</f>
        <v/>
      </c>
      <c r="BB57" s="591" t="str">
        <f>IF(AB57=1,COUNTIF($AB$27:AB57,1),"")</f>
        <v/>
      </c>
      <c r="BC57" s="591" t="str">
        <f>IF(AC57=1,COUNTIF($AC$27:AC57,1),"")</f>
        <v/>
      </c>
      <c r="BD57" s="591" t="str">
        <f>IF(AD57=1,COUNTIF($AD$27:AD57,1),"")</f>
        <v/>
      </c>
      <c r="BE57" s="591" t="str">
        <f>IF(AE57=1,COUNTIF($AE$27:AE57,1),"")</f>
        <v/>
      </c>
      <c r="BF57" s="591" t="str">
        <f>IF(AF57=1,COUNTIF($AF$27:AF57,1),"")</f>
        <v/>
      </c>
      <c r="BG57" s="591" t="str">
        <f>IF(AG57=1,COUNTIF($AG$27:AG57,1),"")</f>
        <v/>
      </c>
      <c r="BH57" s="591" t="str">
        <f>IF(AH57=1,COUNTIF($AH$27:AH57,1),"")</f>
        <v/>
      </c>
      <c r="BI57" s="591" t="str">
        <f>IF(AI57=1,COUNTIF($AI$27:AI57,1),"")</f>
        <v/>
      </c>
      <c r="BJ57" s="591" t="str">
        <f>IF(AJ57=1,COUNTIF($AJ$27:AJ57,1),"")</f>
        <v/>
      </c>
      <c r="BK57" s="591" t="str">
        <f>IF(AK57=1,COUNTIF($AK$27:AK57,1),"")</f>
        <v/>
      </c>
    </row>
    <row r="58" spans="2:72" ht="35.1" customHeight="1">
      <c r="B58" s="592"/>
      <c r="C58" s="1232" t="str">
        <f t="shared" si="1"/>
        <v>-</v>
      </c>
      <c r="D58" s="1218" t="str">
        <f t="shared" si="6"/>
        <v/>
      </c>
      <c r="E58" s="1232"/>
      <c r="F58" s="592"/>
      <c r="G58" s="592"/>
      <c r="H58" s="592"/>
      <c r="I58" s="592"/>
      <c r="J58" s="1220" t="str">
        <f t="shared" si="3"/>
        <v>-</v>
      </c>
      <c r="K58" s="592"/>
      <c r="L58" s="592"/>
      <c r="M58" s="592"/>
      <c r="N58" s="658"/>
      <c r="O58" s="658"/>
      <c r="P58" s="658"/>
      <c r="Q58" s="658"/>
      <c r="R58" s="658"/>
      <c r="S58" s="658"/>
      <c r="T58" s="658"/>
      <c r="U58" s="658"/>
      <c r="V58" s="658"/>
      <c r="W58" s="658"/>
      <c r="X58" s="658"/>
      <c r="Y58" s="658"/>
      <c r="Z58" s="658"/>
      <c r="AA58" s="658"/>
      <c r="AB58" s="658"/>
      <c r="AC58" s="658"/>
      <c r="AD58" s="658"/>
      <c r="AE58" s="658"/>
      <c r="AF58" s="658"/>
      <c r="AG58" s="658"/>
      <c r="AH58" s="658"/>
      <c r="AI58" s="658"/>
      <c r="AJ58" s="658"/>
      <c r="AK58" s="658"/>
      <c r="AN58" s="591" t="str">
        <f>IF(N58=1,COUNTIF($N$27:N58,1),"")</f>
        <v/>
      </c>
      <c r="AO58" s="591" t="str">
        <f>IF(O58=1,COUNTIF($O$27:O58,1),"")</f>
        <v/>
      </c>
      <c r="AP58" s="591" t="str">
        <f>IF(P58=1,COUNTIF($P$27:P58,1),"")</f>
        <v/>
      </c>
      <c r="AQ58" s="591" t="str">
        <f>IF(Q58=1,COUNTIF($Q$27:Q58,1),"")</f>
        <v/>
      </c>
      <c r="AR58" s="591" t="str">
        <f>IF(R58=1,COUNTIF($R$27:R58,1),"")</f>
        <v/>
      </c>
      <c r="AS58" s="591" t="str">
        <f>IF(S58=1,COUNTIF($S$27:S58,1),"")</f>
        <v/>
      </c>
      <c r="AT58" s="591" t="str">
        <f>IF(T58=1,COUNTIF($T$27:T58,1),"")</f>
        <v/>
      </c>
      <c r="AU58" s="591" t="str">
        <f>IF(U58=1,COUNTIF($U$27:U58,1),"")</f>
        <v/>
      </c>
      <c r="AV58" s="591" t="str">
        <f>IF(V58=1,COUNTIF($V$27:V58,1),"")</f>
        <v/>
      </c>
      <c r="AW58" s="591" t="str">
        <f>IF(W58=1,COUNTIF($W$27:W58,1),"")</f>
        <v/>
      </c>
      <c r="AX58" s="591" t="str">
        <f>IF(X58=1,COUNTIF($X$27:X58,1),"")</f>
        <v/>
      </c>
      <c r="AY58" s="591" t="str">
        <f>IF(Y58=1,COUNTIF($Y$27:Y58,1),"")</f>
        <v/>
      </c>
      <c r="AZ58" s="591" t="str">
        <f>IF(Z58=1,COUNTIF($Z$27:Z58,1),"")</f>
        <v/>
      </c>
      <c r="BA58" s="591" t="str">
        <f>IF(AA58=1,COUNTIF($AA$27:AA58,1),"")</f>
        <v/>
      </c>
      <c r="BB58" s="591" t="str">
        <f>IF(AB58=1,COUNTIF($AB$27:AB58,1),"")</f>
        <v/>
      </c>
      <c r="BC58" s="591" t="str">
        <f>IF(AC58=1,COUNTIF($AC$27:AC58,1),"")</f>
        <v/>
      </c>
      <c r="BD58" s="591" t="str">
        <f>IF(AD58=1,COUNTIF($AD$27:AD58,1),"")</f>
        <v/>
      </c>
      <c r="BE58" s="591" t="str">
        <f>IF(AE58=1,COUNTIF($AE$27:AE58,1),"")</f>
        <v/>
      </c>
      <c r="BF58" s="591" t="str">
        <f>IF(AF58=1,COUNTIF($AF$27:AF58,1),"")</f>
        <v/>
      </c>
      <c r="BG58" s="591" t="str">
        <f>IF(AG58=1,COUNTIF($AG$27:AG58,1),"")</f>
        <v/>
      </c>
      <c r="BH58" s="591" t="str">
        <f>IF(AH58=1,COUNTIF($AH$27:AH58,1),"")</f>
        <v/>
      </c>
      <c r="BI58" s="591" t="str">
        <f>IF(AI58=1,COUNTIF($AI$27:AI58,1),"")</f>
        <v/>
      </c>
      <c r="BJ58" s="591" t="str">
        <f>IF(AJ58=1,COUNTIF($AJ$27:AJ58,1),"")</f>
        <v/>
      </c>
      <c r="BK58" s="591" t="str">
        <f>IF(AK58=1,COUNTIF($AK$27:AK58,1),"")</f>
        <v/>
      </c>
    </row>
    <row r="59" spans="2:72" ht="35.1" customHeight="1">
      <c r="B59" s="592"/>
      <c r="C59" s="1232" t="str">
        <f t="shared" si="1"/>
        <v>-</v>
      </c>
      <c r="D59" s="1218" t="str">
        <f t="shared" si="6"/>
        <v/>
      </c>
      <c r="E59" s="1232"/>
      <c r="F59" s="592"/>
      <c r="G59" s="592"/>
      <c r="H59" s="592"/>
      <c r="I59" s="592"/>
      <c r="J59" s="1220" t="str">
        <f t="shared" si="3"/>
        <v>-</v>
      </c>
      <c r="K59" s="592"/>
      <c r="L59" s="592"/>
      <c r="M59" s="592"/>
      <c r="N59" s="658"/>
      <c r="O59" s="658"/>
      <c r="P59" s="658"/>
      <c r="Q59" s="658"/>
      <c r="R59" s="658"/>
      <c r="S59" s="658"/>
      <c r="T59" s="658"/>
      <c r="U59" s="658"/>
      <c r="V59" s="658"/>
      <c r="W59" s="658"/>
      <c r="X59" s="658"/>
      <c r="Y59" s="658"/>
      <c r="Z59" s="658"/>
      <c r="AA59" s="658"/>
      <c r="AB59" s="658"/>
      <c r="AC59" s="658"/>
      <c r="AD59" s="658"/>
      <c r="AE59" s="658"/>
      <c r="AF59" s="658"/>
      <c r="AG59" s="658"/>
      <c r="AH59" s="658"/>
      <c r="AI59" s="658"/>
      <c r="AJ59" s="658"/>
      <c r="AK59" s="658"/>
      <c r="AN59" s="591" t="str">
        <f>IF(N59=1,COUNTIF($N$27:N59,1),"")</f>
        <v/>
      </c>
      <c r="AO59" s="591" t="str">
        <f>IF(O59=1,COUNTIF($O$27:O59,1),"")</f>
        <v/>
      </c>
      <c r="AP59" s="591" t="str">
        <f>IF(P59=1,COUNTIF($P$27:P59,1),"")</f>
        <v/>
      </c>
      <c r="AQ59" s="591" t="str">
        <f>IF(Q59=1,COUNTIF($Q$27:Q59,1),"")</f>
        <v/>
      </c>
      <c r="AR59" s="591" t="str">
        <f>IF(R59=1,COUNTIF($R$27:R59,1),"")</f>
        <v/>
      </c>
      <c r="AS59" s="591" t="str">
        <f>IF(S59=1,COUNTIF($S$27:S59,1),"")</f>
        <v/>
      </c>
      <c r="AT59" s="591" t="str">
        <f>IF(T59=1,COUNTIF($T$27:T59,1),"")</f>
        <v/>
      </c>
      <c r="AU59" s="591" t="str">
        <f>IF(U59=1,COUNTIF($U$27:U59,1),"")</f>
        <v/>
      </c>
      <c r="AV59" s="591" t="str">
        <f>IF(V59=1,COUNTIF($V$27:V59,1),"")</f>
        <v/>
      </c>
      <c r="AW59" s="591" t="str">
        <f>IF(W59=1,COUNTIF($W$27:W59,1),"")</f>
        <v/>
      </c>
      <c r="AX59" s="591" t="str">
        <f>IF(X59=1,COUNTIF($X$27:X59,1),"")</f>
        <v/>
      </c>
      <c r="AY59" s="591" t="str">
        <f>IF(Y59=1,COUNTIF($Y$27:Y59,1),"")</f>
        <v/>
      </c>
      <c r="AZ59" s="591" t="str">
        <f>IF(Z59=1,COUNTIF($Z$27:Z59,1),"")</f>
        <v/>
      </c>
      <c r="BA59" s="591" t="str">
        <f>IF(AA59=1,COUNTIF($AA$27:AA59,1),"")</f>
        <v/>
      </c>
      <c r="BB59" s="591" t="str">
        <f>IF(AB59=1,COUNTIF($AB$27:AB59,1),"")</f>
        <v/>
      </c>
      <c r="BC59" s="591" t="str">
        <f>IF(AC59=1,COUNTIF($AC$27:AC59,1),"")</f>
        <v/>
      </c>
      <c r="BD59" s="591" t="str">
        <f>IF(AD59=1,COUNTIF($AD$27:AD59,1),"")</f>
        <v/>
      </c>
      <c r="BE59" s="591" t="str">
        <f>IF(AE59=1,COUNTIF($AE$27:AE59,1),"")</f>
        <v/>
      </c>
      <c r="BF59" s="591" t="str">
        <f>IF(AF59=1,COUNTIF($AF$27:AF59,1),"")</f>
        <v/>
      </c>
      <c r="BG59" s="591" t="str">
        <f>IF(AG59=1,COUNTIF($AG$27:AG59,1),"")</f>
        <v/>
      </c>
      <c r="BH59" s="591" t="str">
        <f>IF(AH59=1,COUNTIF($AH$27:AH59,1),"")</f>
        <v/>
      </c>
      <c r="BI59" s="591" t="str">
        <f>IF(AI59=1,COUNTIF($AI$27:AI59,1),"")</f>
        <v/>
      </c>
      <c r="BJ59" s="591" t="str">
        <f>IF(AJ59=1,COUNTIF($AJ$27:AJ59,1),"")</f>
        <v/>
      </c>
      <c r="BK59" s="591" t="str">
        <f>IF(AK59=1,COUNTIF($AK$27:AK59,1),"")</f>
        <v/>
      </c>
    </row>
    <row r="60" spans="2:72" ht="35.1" customHeight="1">
      <c r="B60" s="592"/>
      <c r="C60" s="1232" t="str">
        <f t="shared" si="1"/>
        <v>-</v>
      </c>
      <c r="D60" s="1218" t="str">
        <f t="shared" si="6"/>
        <v/>
      </c>
      <c r="E60" s="1232"/>
      <c r="F60" s="592"/>
      <c r="G60" s="592"/>
      <c r="H60" s="592"/>
      <c r="I60" s="592"/>
      <c r="J60" s="1220" t="str">
        <f t="shared" si="3"/>
        <v>-</v>
      </c>
      <c r="K60" s="592"/>
      <c r="L60" s="592"/>
      <c r="M60" s="592"/>
      <c r="N60" s="658"/>
      <c r="O60" s="658"/>
      <c r="P60" s="658"/>
      <c r="Q60" s="658"/>
      <c r="R60" s="658"/>
      <c r="S60" s="658"/>
      <c r="T60" s="658"/>
      <c r="U60" s="658"/>
      <c r="V60" s="658"/>
      <c r="W60" s="658"/>
      <c r="X60" s="658"/>
      <c r="Y60" s="658"/>
      <c r="Z60" s="658"/>
      <c r="AA60" s="658"/>
      <c r="AB60" s="658"/>
      <c r="AC60" s="658"/>
      <c r="AD60" s="658"/>
      <c r="AE60" s="658"/>
      <c r="AF60" s="658"/>
      <c r="AG60" s="658"/>
      <c r="AH60" s="658"/>
      <c r="AI60" s="658"/>
      <c r="AJ60" s="658"/>
      <c r="AK60" s="658"/>
      <c r="AN60" s="591" t="str">
        <f>IF(N60=1,COUNTIF($N$27:N60,1),"")</f>
        <v/>
      </c>
      <c r="AO60" s="591" t="str">
        <f>IF(O60=1,COUNTIF($O$27:O60,1),"")</f>
        <v/>
      </c>
      <c r="AP60" s="591" t="str">
        <f>IF(P60=1,COUNTIF($P$27:P60,1),"")</f>
        <v/>
      </c>
      <c r="AQ60" s="591" t="str">
        <f>IF(Q60=1,COUNTIF($Q$27:Q60,1),"")</f>
        <v/>
      </c>
      <c r="AR60" s="591" t="str">
        <f>IF(R60=1,COUNTIF($R$27:R60,1),"")</f>
        <v/>
      </c>
      <c r="AS60" s="591" t="str">
        <f>IF(S60=1,COUNTIF($S$27:S60,1),"")</f>
        <v/>
      </c>
      <c r="AT60" s="591" t="str">
        <f>IF(T60=1,COUNTIF($T$27:T60,1),"")</f>
        <v/>
      </c>
      <c r="AU60" s="591" t="str">
        <f>IF(U60=1,COUNTIF($U$27:U60,1),"")</f>
        <v/>
      </c>
      <c r="AV60" s="591" t="str">
        <f>IF(V60=1,COUNTIF($V$27:V60,1),"")</f>
        <v/>
      </c>
      <c r="AW60" s="591" t="str">
        <f>IF(W60=1,COUNTIF($W$27:W60,1),"")</f>
        <v/>
      </c>
      <c r="AX60" s="591" t="str">
        <f>IF(X60=1,COUNTIF($X$27:X60,1),"")</f>
        <v/>
      </c>
      <c r="AY60" s="591" t="str">
        <f>IF(Y60=1,COUNTIF($Y$27:Y60,1),"")</f>
        <v/>
      </c>
      <c r="AZ60" s="591" t="str">
        <f>IF(Z60=1,COUNTIF($Z$27:Z60,1),"")</f>
        <v/>
      </c>
      <c r="BA60" s="591" t="str">
        <f>IF(AA60=1,COUNTIF($AA$27:AA60,1),"")</f>
        <v/>
      </c>
      <c r="BB60" s="591" t="str">
        <f>IF(AB60=1,COUNTIF($AB$27:AB60,1),"")</f>
        <v/>
      </c>
      <c r="BC60" s="591" t="str">
        <f>IF(AC60=1,COUNTIF($AC$27:AC60,1),"")</f>
        <v/>
      </c>
      <c r="BD60" s="591" t="str">
        <f>IF(AD60=1,COUNTIF($AD$27:AD60,1),"")</f>
        <v/>
      </c>
      <c r="BE60" s="591" t="str">
        <f>IF(AE60=1,COUNTIF($AE$27:AE60,1),"")</f>
        <v/>
      </c>
      <c r="BF60" s="591" t="str">
        <f>IF(AF60=1,COUNTIF($AF$27:AF60,1),"")</f>
        <v/>
      </c>
      <c r="BG60" s="591" t="str">
        <f>IF(AG60=1,COUNTIF($AG$27:AG60,1),"")</f>
        <v/>
      </c>
      <c r="BH60" s="591" t="str">
        <f>IF(AH60=1,COUNTIF($AH$27:AH60,1),"")</f>
        <v/>
      </c>
      <c r="BI60" s="591" t="str">
        <f>IF(AI60=1,COUNTIF($AI$27:AI60,1),"")</f>
        <v/>
      </c>
      <c r="BJ60" s="591" t="str">
        <f>IF(AJ60=1,COUNTIF($AJ$27:AJ60,1),"")</f>
        <v/>
      </c>
      <c r="BK60" s="591" t="str">
        <f>IF(AK60=1,COUNTIF($AK$27:AK60,1),"")</f>
        <v/>
      </c>
    </row>
    <row r="61" spans="2:72" ht="35.1" customHeight="1">
      <c r="B61" s="592"/>
      <c r="C61" s="1232" t="str">
        <f t="shared" si="1"/>
        <v>-</v>
      </c>
      <c r="D61" s="1218" t="str">
        <f t="shared" si="6"/>
        <v/>
      </c>
      <c r="E61" s="1232"/>
      <c r="F61" s="592"/>
      <c r="G61" s="592"/>
      <c r="H61" s="592"/>
      <c r="I61" s="592"/>
      <c r="J61" s="1220" t="str">
        <f t="shared" si="3"/>
        <v>-</v>
      </c>
      <c r="K61" s="592"/>
      <c r="L61" s="592"/>
      <c r="M61" s="592"/>
      <c r="N61" s="658"/>
      <c r="O61" s="658"/>
      <c r="P61" s="658"/>
      <c r="Q61" s="658"/>
      <c r="R61" s="658"/>
      <c r="S61" s="658"/>
      <c r="T61" s="658"/>
      <c r="U61" s="658"/>
      <c r="V61" s="658"/>
      <c r="W61" s="658"/>
      <c r="X61" s="658"/>
      <c r="Y61" s="658"/>
      <c r="Z61" s="658"/>
      <c r="AA61" s="658"/>
      <c r="AB61" s="658"/>
      <c r="AC61" s="658"/>
      <c r="AD61" s="658"/>
      <c r="AE61" s="658"/>
      <c r="AF61" s="658"/>
      <c r="AG61" s="658"/>
      <c r="AH61" s="658"/>
      <c r="AI61" s="658"/>
      <c r="AJ61" s="658"/>
      <c r="AK61" s="658"/>
      <c r="AN61" s="591" t="str">
        <f>IF(N61=1,COUNTIF($N$27:N61,1),"")</f>
        <v/>
      </c>
      <c r="AO61" s="591" t="str">
        <f>IF(O61=1,COUNTIF($O$27:O61,1),"")</f>
        <v/>
      </c>
      <c r="AP61" s="591" t="str">
        <f>IF(P61=1,COUNTIF($P$27:P61,1),"")</f>
        <v/>
      </c>
      <c r="AQ61" s="591" t="str">
        <f>IF(Q61=1,COUNTIF($Q$27:Q61,1),"")</f>
        <v/>
      </c>
      <c r="AR61" s="591" t="str">
        <f>IF(R61=1,COUNTIF($R$27:R61,1),"")</f>
        <v/>
      </c>
      <c r="AS61" s="591" t="str">
        <f>IF(S61=1,COUNTIF($S$27:S61,1),"")</f>
        <v/>
      </c>
      <c r="AT61" s="591" t="str">
        <f>IF(T61=1,COUNTIF($T$27:T61,1),"")</f>
        <v/>
      </c>
      <c r="AU61" s="591" t="str">
        <f>IF(U61=1,COUNTIF($U$27:U61,1),"")</f>
        <v/>
      </c>
      <c r="AV61" s="591" t="str">
        <f>IF(V61=1,COUNTIF($V$27:V61,1),"")</f>
        <v/>
      </c>
      <c r="AW61" s="591" t="str">
        <f>IF(W61=1,COUNTIF($W$27:W61,1),"")</f>
        <v/>
      </c>
      <c r="AX61" s="591" t="str">
        <f>IF(X61=1,COUNTIF($X$27:X61,1),"")</f>
        <v/>
      </c>
      <c r="AY61" s="591" t="str">
        <f>IF(Y61=1,COUNTIF($Y$27:Y61,1),"")</f>
        <v/>
      </c>
      <c r="AZ61" s="591" t="str">
        <f>IF(Z61=1,COUNTIF($Z$27:Z61,1),"")</f>
        <v/>
      </c>
      <c r="BA61" s="591" t="str">
        <f>IF(AA61=1,COUNTIF($AA$27:AA61,1),"")</f>
        <v/>
      </c>
      <c r="BB61" s="591" t="str">
        <f>IF(AB61=1,COUNTIF($AB$27:AB61,1),"")</f>
        <v/>
      </c>
      <c r="BC61" s="591" t="str">
        <f>IF(AC61=1,COUNTIF($AC$27:AC61,1),"")</f>
        <v/>
      </c>
      <c r="BD61" s="591" t="str">
        <f>IF(AD61=1,COUNTIF($AD$27:AD61,1),"")</f>
        <v/>
      </c>
      <c r="BE61" s="591" t="str">
        <f>IF(AE61=1,COUNTIF($AE$27:AE61,1),"")</f>
        <v/>
      </c>
      <c r="BF61" s="591" t="str">
        <f>IF(AF61=1,COUNTIF($AF$27:AF61,1),"")</f>
        <v/>
      </c>
      <c r="BG61" s="591" t="str">
        <f>IF(AG61=1,COUNTIF($AG$27:AG61,1),"")</f>
        <v/>
      </c>
      <c r="BH61" s="591" t="str">
        <f>IF(AH61=1,COUNTIF($AH$27:AH61,1),"")</f>
        <v/>
      </c>
      <c r="BI61" s="591" t="str">
        <f>IF(AI61=1,COUNTIF($AI$27:AI61,1),"")</f>
        <v/>
      </c>
      <c r="BJ61" s="591" t="str">
        <f>IF(AJ61=1,COUNTIF($AJ$27:AJ61,1),"")</f>
        <v/>
      </c>
      <c r="BK61" s="591" t="str">
        <f>IF(AK61=1,COUNTIF($AK$27:AK61,1),"")</f>
        <v/>
      </c>
    </row>
    <row r="62" spans="2:72" ht="35.1" customHeight="1">
      <c r="B62" s="592"/>
      <c r="C62" s="1232" t="str">
        <f t="shared" si="1"/>
        <v>-</v>
      </c>
      <c r="D62" s="1218" t="str">
        <f t="shared" si="6"/>
        <v/>
      </c>
      <c r="E62" s="1232"/>
      <c r="F62" s="592"/>
      <c r="G62" s="592"/>
      <c r="H62" s="592"/>
      <c r="I62" s="592"/>
      <c r="J62" s="1220" t="str">
        <f t="shared" si="3"/>
        <v>-</v>
      </c>
      <c r="K62" s="592"/>
      <c r="L62" s="592"/>
      <c r="M62" s="592"/>
      <c r="N62" s="658"/>
      <c r="O62" s="658"/>
      <c r="P62" s="658"/>
      <c r="Q62" s="658"/>
      <c r="R62" s="658"/>
      <c r="S62" s="658"/>
      <c r="T62" s="658"/>
      <c r="U62" s="658"/>
      <c r="V62" s="658"/>
      <c r="W62" s="658"/>
      <c r="X62" s="658"/>
      <c r="Y62" s="658"/>
      <c r="Z62" s="658"/>
      <c r="AA62" s="658"/>
      <c r="AB62" s="658"/>
      <c r="AC62" s="658"/>
      <c r="AD62" s="658"/>
      <c r="AE62" s="658"/>
      <c r="AF62" s="658"/>
      <c r="AG62" s="658"/>
      <c r="AH62" s="658"/>
      <c r="AI62" s="658"/>
      <c r="AJ62" s="658"/>
      <c r="AK62" s="658"/>
      <c r="AN62" s="591" t="str">
        <f>IF(N62=1,COUNTIF($N$27:N62,1),"")</f>
        <v/>
      </c>
      <c r="AO62" s="591" t="str">
        <f>IF(O62=1,COUNTIF($O$27:O62,1),"")</f>
        <v/>
      </c>
      <c r="AP62" s="591" t="str">
        <f>IF(P62=1,COUNTIF($P$27:P62,1),"")</f>
        <v/>
      </c>
      <c r="AQ62" s="591" t="str">
        <f>IF(Q62=1,COUNTIF($Q$27:Q62,1),"")</f>
        <v/>
      </c>
      <c r="AR62" s="591" t="str">
        <f>IF(R62=1,COUNTIF($R$27:R62,1),"")</f>
        <v/>
      </c>
      <c r="AS62" s="591" t="str">
        <f>IF(S62=1,COUNTIF($S$27:S62,1),"")</f>
        <v/>
      </c>
      <c r="AT62" s="591" t="str">
        <f>IF(T62=1,COUNTIF($T$27:T62,1),"")</f>
        <v/>
      </c>
      <c r="AU62" s="591" t="str">
        <f>IF(U62=1,COUNTIF($U$27:U62,1),"")</f>
        <v/>
      </c>
      <c r="AV62" s="591" t="str">
        <f>IF(V62=1,COUNTIF($V$27:V62,1),"")</f>
        <v/>
      </c>
      <c r="AW62" s="591" t="str">
        <f>IF(W62=1,COUNTIF($W$27:W62,1),"")</f>
        <v/>
      </c>
      <c r="AX62" s="591" t="str">
        <f>IF(X62=1,COUNTIF($X$27:X62,1),"")</f>
        <v/>
      </c>
      <c r="AY62" s="591" t="str">
        <f>IF(Y62=1,COUNTIF($Y$27:Y62,1),"")</f>
        <v/>
      </c>
      <c r="AZ62" s="591" t="str">
        <f>IF(Z62=1,COUNTIF($Z$27:Z62,1),"")</f>
        <v/>
      </c>
      <c r="BA62" s="591" t="str">
        <f>IF(AA62=1,COUNTIF($AA$27:AA62,1),"")</f>
        <v/>
      </c>
      <c r="BB62" s="591" t="str">
        <f>IF(AB62=1,COUNTIF($AB$27:AB62,1),"")</f>
        <v/>
      </c>
      <c r="BC62" s="591" t="str">
        <f>IF(AC62=1,COUNTIF($AC$27:AC62,1),"")</f>
        <v/>
      </c>
      <c r="BD62" s="591" t="str">
        <f>IF(AD62=1,COUNTIF($AD$27:AD62,1),"")</f>
        <v/>
      </c>
      <c r="BE62" s="591" t="str">
        <f>IF(AE62=1,COUNTIF($AE$27:AE62,1),"")</f>
        <v/>
      </c>
      <c r="BF62" s="591" t="str">
        <f>IF(AF62=1,COUNTIF($AF$27:AF62,1),"")</f>
        <v/>
      </c>
      <c r="BG62" s="591" t="str">
        <f>IF(AG62=1,COUNTIF($AG$27:AG62,1),"")</f>
        <v/>
      </c>
      <c r="BH62" s="591" t="str">
        <f>IF(AH62=1,COUNTIF($AH$27:AH62,1),"")</f>
        <v/>
      </c>
      <c r="BI62" s="591" t="str">
        <f>IF(AI62=1,COUNTIF($AI$27:AI62,1),"")</f>
        <v/>
      </c>
      <c r="BJ62" s="591" t="str">
        <f>IF(AJ62=1,COUNTIF($AJ$27:AJ62,1),"")</f>
        <v/>
      </c>
      <c r="BK62" s="591" t="str">
        <f>IF(AK62=1,COUNTIF($AK$27:AK62,1),"")</f>
        <v/>
      </c>
    </row>
    <row r="63" spans="2:72" ht="35.1" customHeight="1">
      <c r="B63" s="592"/>
      <c r="C63" s="1232" t="str">
        <f t="shared" si="1"/>
        <v>-</v>
      </c>
      <c r="D63" s="1218" t="str">
        <f t="shared" si="6"/>
        <v/>
      </c>
      <c r="E63" s="1232"/>
      <c r="F63" s="592"/>
      <c r="G63" s="592"/>
      <c r="H63" s="592"/>
      <c r="I63" s="592"/>
      <c r="J63" s="1220" t="str">
        <f t="shared" si="3"/>
        <v>-</v>
      </c>
      <c r="K63" s="592"/>
      <c r="L63" s="592"/>
      <c r="M63" s="592"/>
      <c r="N63" s="658"/>
      <c r="O63" s="658"/>
      <c r="P63" s="658"/>
      <c r="Q63" s="658"/>
      <c r="R63" s="658"/>
      <c r="S63" s="658"/>
      <c r="T63" s="658"/>
      <c r="U63" s="658"/>
      <c r="V63" s="658"/>
      <c r="W63" s="658"/>
      <c r="X63" s="658"/>
      <c r="Y63" s="658"/>
      <c r="Z63" s="658"/>
      <c r="AA63" s="658"/>
      <c r="AB63" s="658"/>
      <c r="AC63" s="658"/>
      <c r="AD63" s="658"/>
      <c r="AE63" s="658"/>
      <c r="AF63" s="658"/>
      <c r="AG63" s="658"/>
      <c r="AH63" s="658"/>
      <c r="AI63" s="658"/>
      <c r="AJ63" s="658"/>
      <c r="AK63" s="658"/>
      <c r="AN63" s="591" t="str">
        <f>IF(N63=1,COUNTIF($N$27:N63,1),"")</f>
        <v/>
      </c>
      <c r="AO63" s="591" t="str">
        <f>IF(O63=1,COUNTIF($O$27:O63,1),"")</f>
        <v/>
      </c>
      <c r="AP63" s="591" t="str">
        <f>IF(P63=1,COUNTIF($P$27:P63,1),"")</f>
        <v/>
      </c>
      <c r="AQ63" s="591" t="str">
        <f>IF(Q63=1,COUNTIF($Q$27:Q63,1),"")</f>
        <v/>
      </c>
      <c r="AR63" s="591" t="str">
        <f>IF(R63=1,COUNTIF($R$27:R63,1),"")</f>
        <v/>
      </c>
      <c r="AS63" s="591" t="str">
        <f>IF(S63=1,COUNTIF($S$27:S63,1),"")</f>
        <v/>
      </c>
      <c r="AT63" s="591" t="str">
        <f>IF(T63=1,COUNTIF($T$27:T63,1),"")</f>
        <v/>
      </c>
      <c r="AU63" s="591" t="str">
        <f>IF(U63=1,COUNTIF($U$27:U63,1),"")</f>
        <v/>
      </c>
      <c r="AV63" s="591" t="str">
        <f>IF(V63=1,COUNTIF($V$27:V63,1),"")</f>
        <v/>
      </c>
      <c r="AW63" s="591" t="str">
        <f>IF(W63=1,COUNTIF($W$27:W63,1),"")</f>
        <v/>
      </c>
      <c r="AX63" s="591" t="str">
        <f>IF(X63=1,COUNTIF($X$27:X63,1),"")</f>
        <v/>
      </c>
      <c r="AY63" s="591" t="str">
        <f>IF(Y63=1,COUNTIF($Y$27:Y63,1),"")</f>
        <v/>
      </c>
      <c r="AZ63" s="591" t="str">
        <f>IF(Z63=1,COUNTIF($Z$27:Z63,1),"")</f>
        <v/>
      </c>
      <c r="BA63" s="591" t="str">
        <f>IF(AA63=1,COUNTIF($AA$27:AA63,1),"")</f>
        <v/>
      </c>
      <c r="BB63" s="591" t="str">
        <f>IF(AB63=1,COUNTIF($AB$27:AB63,1),"")</f>
        <v/>
      </c>
      <c r="BC63" s="591" t="str">
        <f>IF(AC63=1,COUNTIF($AC$27:AC63,1),"")</f>
        <v/>
      </c>
      <c r="BD63" s="591" t="str">
        <f>IF(AD63=1,COUNTIF($AD$27:AD63,1),"")</f>
        <v/>
      </c>
      <c r="BE63" s="591" t="str">
        <f>IF(AE63=1,COUNTIF($AE$27:AE63,1),"")</f>
        <v/>
      </c>
      <c r="BF63" s="591" t="str">
        <f>IF(AF63=1,COUNTIF($AF$27:AF63,1),"")</f>
        <v/>
      </c>
      <c r="BG63" s="591" t="str">
        <f>IF(AG63=1,COUNTIF($AG$27:AG63,1),"")</f>
        <v/>
      </c>
      <c r="BH63" s="591" t="str">
        <f>IF(AH63=1,COUNTIF($AH$27:AH63,1),"")</f>
        <v/>
      </c>
      <c r="BI63" s="591" t="str">
        <f>IF(AI63=1,COUNTIF($AI$27:AI63,1),"")</f>
        <v/>
      </c>
      <c r="BJ63" s="591" t="str">
        <f>IF(AJ63=1,COUNTIF($AJ$27:AJ63,1),"")</f>
        <v/>
      </c>
      <c r="BK63" s="591" t="str">
        <f>IF(AK63=1,COUNTIF($AK$27:AK63,1),"")</f>
        <v/>
      </c>
    </row>
    <row r="64" spans="2:72" ht="35.1" customHeight="1">
      <c r="B64" s="592"/>
      <c r="C64" s="1232" t="str">
        <f t="shared" si="1"/>
        <v>-</v>
      </c>
      <c r="D64" s="1218" t="str">
        <f t="shared" si="6"/>
        <v/>
      </c>
      <c r="E64" s="1232"/>
      <c r="F64" s="592"/>
      <c r="G64" s="592"/>
      <c r="H64" s="592"/>
      <c r="I64" s="592"/>
      <c r="J64" s="1220" t="str">
        <f t="shared" si="3"/>
        <v>-</v>
      </c>
      <c r="K64" s="592"/>
      <c r="L64" s="592"/>
      <c r="M64" s="592"/>
      <c r="N64" s="658"/>
      <c r="O64" s="658"/>
      <c r="P64" s="658"/>
      <c r="Q64" s="658"/>
      <c r="R64" s="658"/>
      <c r="S64" s="658"/>
      <c r="T64" s="658"/>
      <c r="U64" s="658"/>
      <c r="V64" s="658"/>
      <c r="W64" s="658"/>
      <c r="X64" s="658"/>
      <c r="Y64" s="658"/>
      <c r="Z64" s="658"/>
      <c r="AA64" s="658"/>
      <c r="AB64" s="658"/>
      <c r="AC64" s="658"/>
      <c r="AD64" s="658"/>
      <c r="AE64" s="658"/>
      <c r="AF64" s="658"/>
      <c r="AG64" s="658"/>
      <c r="AH64" s="658"/>
      <c r="AI64" s="658"/>
      <c r="AJ64" s="658"/>
      <c r="AK64" s="658"/>
      <c r="AN64" s="591" t="str">
        <f>IF(N64=1,COUNTIF($N$27:N64,1),"")</f>
        <v/>
      </c>
      <c r="AO64" s="591" t="str">
        <f>IF(O64=1,COUNTIF($O$27:O64,1),"")</f>
        <v/>
      </c>
      <c r="AP64" s="591" t="str">
        <f>IF(P64=1,COUNTIF($P$27:P64,1),"")</f>
        <v/>
      </c>
      <c r="AQ64" s="591" t="str">
        <f>IF(Q64=1,COUNTIF($Q$27:Q64,1),"")</f>
        <v/>
      </c>
      <c r="AR64" s="591" t="str">
        <f>IF(R64=1,COUNTIF($R$27:R64,1),"")</f>
        <v/>
      </c>
      <c r="AS64" s="591" t="str">
        <f>IF(S64=1,COUNTIF($S$27:S64,1),"")</f>
        <v/>
      </c>
      <c r="AT64" s="591" t="str">
        <f>IF(T64=1,COUNTIF($T$27:T64,1),"")</f>
        <v/>
      </c>
      <c r="AU64" s="591" t="str">
        <f>IF(U64=1,COUNTIF($U$27:U64,1),"")</f>
        <v/>
      </c>
      <c r="AV64" s="591" t="str">
        <f>IF(V64=1,COUNTIF($V$27:V64,1),"")</f>
        <v/>
      </c>
      <c r="AW64" s="591" t="str">
        <f>IF(W64=1,COUNTIF($W$27:W64,1),"")</f>
        <v/>
      </c>
      <c r="AX64" s="591" t="str">
        <f>IF(X64=1,COUNTIF($X$27:X64,1),"")</f>
        <v/>
      </c>
      <c r="AY64" s="591" t="str">
        <f>IF(Y64=1,COUNTIF($Y$27:Y64,1),"")</f>
        <v/>
      </c>
      <c r="AZ64" s="591" t="str">
        <f>IF(Z64=1,COUNTIF($Z$27:Z64,1),"")</f>
        <v/>
      </c>
      <c r="BA64" s="591" t="str">
        <f>IF(AA64=1,COUNTIF($AA$27:AA64,1),"")</f>
        <v/>
      </c>
      <c r="BB64" s="591" t="str">
        <f>IF(AB64=1,COUNTIF($AB$27:AB64,1),"")</f>
        <v/>
      </c>
      <c r="BC64" s="591" t="str">
        <f>IF(AC64=1,COUNTIF($AC$27:AC64,1),"")</f>
        <v/>
      </c>
      <c r="BD64" s="591" t="str">
        <f>IF(AD64=1,COUNTIF($AD$27:AD64,1),"")</f>
        <v/>
      </c>
      <c r="BE64" s="591" t="str">
        <f>IF(AE64=1,COUNTIF($AE$27:AE64,1),"")</f>
        <v/>
      </c>
      <c r="BF64" s="591" t="str">
        <f>IF(AF64=1,COUNTIF($AF$27:AF64,1),"")</f>
        <v/>
      </c>
      <c r="BG64" s="591" t="str">
        <f>IF(AG64=1,COUNTIF($AG$27:AG64,1),"")</f>
        <v/>
      </c>
      <c r="BH64" s="591" t="str">
        <f>IF(AH64=1,COUNTIF($AH$27:AH64,1),"")</f>
        <v/>
      </c>
      <c r="BI64" s="591" t="str">
        <f>IF(AI64=1,COUNTIF($AI$27:AI64,1),"")</f>
        <v/>
      </c>
      <c r="BJ64" s="591" t="str">
        <f>IF(AJ64=1,COUNTIF($AJ$27:AJ64,1),"")</f>
        <v/>
      </c>
      <c r="BK64" s="591" t="str">
        <f>IF(AK64=1,COUNTIF($AK$27:AK64,1),"")</f>
        <v/>
      </c>
    </row>
    <row r="65" spans="2:63" ht="35.1" customHeight="1">
      <c r="B65" s="592"/>
      <c r="C65" s="1232" t="str">
        <f t="shared" si="1"/>
        <v>-</v>
      </c>
      <c r="D65" s="1232"/>
      <c r="E65" s="1232"/>
      <c r="F65" s="592"/>
      <c r="G65" s="592"/>
      <c r="H65" s="592"/>
      <c r="I65" s="592"/>
      <c r="J65" s="1220" t="str">
        <f t="shared" si="3"/>
        <v>-</v>
      </c>
      <c r="K65" s="592"/>
      <c r="L65" s="592"/>
      <c r="M65" s="592"/>
      <c r="N65" s="658"/>
      <c r="O65" s="658"/>
      <c r="P65" s="658"/>
      <c r="Q65" s="658"/>
      <c r="R65" s="658"/>
      <c r="S65" s="658"/>
      <c r="T65" s="658"/>
      <c r="U65" s="658"/>
      <c r="V65" s="658"/>
      <c r="W65" s="658"/>
      <c r="X65" s="658"/>
      <c r="Y65" s="658"/>
      <c r="Z65" s="658"/>
      <c r="AA65" s="658"/>
      <c r="AB65" s="658"/>
      <c r="AC65" s="658"/>
      <c r="AD65" s="658"/>
      <c r="AE65" s="658"/>
      <c r="AF65" s="658"/>
      <c r="AG65" s="658"/>
      <c r="AH65" s="658"/>
      <c r="AI65" s="658"/>
      <c r="AJ65" s="658"/>
      <c r="AK65" s="658"/>
      <c r="AN65" s="591" t="str">
        <f>IF(N65=1,COUNTIF($N$27:N65,1),"")</f>
        <v/>
      </c>
      <c r="AO65" s="591" t="str">
        <f>IF(O65=1,COUNTIF($O$27:O65,1),"")</f>
        <v/>
      </c>
      <c r="AP65" s="591" t="str">
        <f>IF(P65=1,COUNTIF($P$27:P65,1),"")</f>
        <v/>
      </c>
      <c r="AQ65" s="591" t="str">
        <f>IF(Q65=1,COUNTIF($Q$27:Q65,1),"")</f>
        <v/>
      </c>
      <c r="AR65" s="591" t="str">
        <f>IF(R65=1,COUNTIF($R$27:R65,1),"")</f>
        <v/>
      </c>
      <c r="AS65" s="591" t="str">
        <f>IF(S65=1,COUNTIF($S$27:S65,1),"")</f>
        <v/>
      </c>
      <c r="AT65" s="591" t="str">
        <f>IF(T65=1,COUNTIF($T$27:T65,1),"")</f>
        <v/>
      </c>
      <c r="AU65" s="591" t="str">
        <f>IF(U65=1,COUNTIF($U$27:U65,1),"")</f>
        <v/>
      </c>
      <c r="AV65" s="591" t="str">
        <f>IF(V65=1,COUNTIF($V$27:V65,1),"")</f>
        <v/>
      </c>
      <c r="AW65" s="591" t="str">
        <f>IF(W65=1,COUNTIF($W$27:W65,1),"")</f>
        <v/>
      </c>
      <c r="AX65" s="591" t="str">
        <f>IF(X65=1,COUNTIF($X$27:X65,1),"")</f>
        <v/>
      </c>
      <c r="AY65" s="591" t="str">
        <f>IF(Y65=1,COUNTIF($Y$27:Y65,1),"")</f>
        <v/>
      </c>
      <c r="AZ65" s="591" t="str">
        <f>IF(Z65=1,COUNTIF($Z$27:Z65,1),"")</f>
        <v/>
      </c>
      <c r="BA65" s="591" t="str">
        <f>IF(AA65=1,COUNTIF($AA$27:AA65,1),"")</f>
        <v/>
      </c>
      <c r="BB65" s="591" t="str">
        <f>IF(AB65=1,COUNTIF($AB$27:AB65,1),"")</f>
        <v/>
      </c>
      <c r="BC65" s="591" t="str">
        <f>IF(AC65=1,COUNTIF($AC$27:AC65,1),"")</f>
        <v/>
      </c>
      <c r="BD65" s="591" t="str">
        <f>IF(AD65=1,COUNTIF($AD$27:AD65,1),"")</f>
        <v/>
      </c>
      <c r="BE65" s="591" t="str">
        <f>IF(AE65=1,COUNTIF($AE$27:AE65,1),"")</f>
        <v/>
      </c>
      <c r="BF65" s="591" t="str">
        <f>IF(AF65=1,COUNTIF($AF$27:AF65,1),"")</f>
        <v/>
      </c>
      <c r="BG65" s="591" t="str">
        <f>IF(AG65=1,COUNTIF($AG$27:AG65,1),"")</f>
        <v/>
      </c>
      <c r="BH65" s="591" t="str">
        <f>IF(AH65=1,COUNTIF($AH$27:AH65,1),"")</f>
        <v/>
      </c>
      <c r="BI65" s="591" t="str">
        <f>IF(AI65=1,COUNTIF($AI$27:AI65,1),"")</f>
        <v/>
      </c>
      <c r="BJ65" s="591" t="str">
        <f>IF(AJ65=1,COUNTIF($AJ$27:AJ65,1),"")</f>
        <v/>
      </c>
      <c r="BK65" s="591" t="str">
        <f>IF(AK65=1,COUNTIF($AK$27:AK65,1),"")</f>
        <v/>
      </c>
    </row>
    <row r="66" spans="2:63" ht="35.1" customHeight="1">
      <c r="B66" s="592"/>
      <c r="C66" s="1232" t="str">
        <f t="shared" si="1"/>
        <v>-</v>
      </c>
      <c r="D66" s="1232"/>
      <c r="E66" s="1232"/>
      <c r="F66" s="592"/>
      <c r="G66" s="592"/>
      <c r="H66" s="592"/>
      <c r="I66" s="592"/>
      <c r="J66" s="1220" t="str">
        <f t="shared" si="3"/>
        <v>-</v>
      </c>
      <c r="K66" s="592"/>
      <c r="L66" s="592"/>
      <c r="M66" s="592"/>
      <c r="N66" s="658"/>
      <c r="O66" s="658"/>
      <c r="P66" s="658"/>
      <c r="Q66" s="658"/>
      <c r="R66" s="658"/>
      <c r="S66" s="658"/>
      <c r="T66" s="658"/>
      <c r="U66" s="658"/>
      <c r="V66" s="658"/>
      <c r="W66" s="658"/>
      <c r="X66" s="658"/>
      <c r="Y66" s="658"/>
      <c r="Z66" s="658"/>
      <c r="AA66" s="658"/>
      <c r="AB66" s="658"/>
      <c r="AC66" s="658"/>
      <c r="AD66" s="658"/>
      <c r="AE66" s="658"/>
      <c r="AF66" s="658"/>
      <c r="AG66" s="658"/>
      <c r="AH66" s="658"/>
      <c r="AI66" s="658"/>
      <c r="AJ66" s="658"/>
      <c r="AK66" s="658"/>
      <c r="AN66" s="591" t="str">
        <f>IF(N66=1,COUNTIF($N$27:N66,1),"")</f>
        <v/>
      </c>
      <c r="AO66" s="591" t="str">
        <f>IF(O66=1,COUNTIF($O$27:O66,1),"")</f>
        <v/>
      </c>
      <c r="AP66" s="591" t="str">
        <f>IF(P66=1,COUNTIF($P$27:P66,1),"")</f>
        <v/>
      </c>
      <c r="AQ66" s="591" t="str">
        <f>IF(Q66=1,COUNTIF($Q$27:Q66,1),"")</f>
        <v/>
      </c>
      <c r="AR66" s="591" t="str">
        <f>IF(R66=1,COUNTIF($R$27:R66,1),"")</f>
        <v/>
      </c>
      <c r="AS66" s="591" t="str">
        <f>IF(S66=1,COUNTIF($S$27:S66,1),"")</f>
        <v/>
      </c>
      <c r="AT66" s="591" t="str">
        <f>IF(T66=1,COUNTIF($T$27:T66,1),"")</f>
        <v/>
      </c>
      <c r="AU66" s="591" t="str">
        <f>IF(U66=1,COUNTIF($U$27:U66,1),"")</f>
        <v/>
      </c>
      <c r="AV66" s="591" t="str">
        <f>IF(V66=1,COUNTIF($V$27:V66,1),"")</f>
        <v/>
      </c>
      <c r="AW66" s="591" t="str">
        <f>IF(W66=1,COUNTIF($W$27:W66,1),"")</f>
        <v/>
      </c>
      <c r="AX66" s="591" t="str">
        <f>IF(X66=1,COUNTIF($X$27:X66,1),"")</f>
        <v/>
      </c>
      <c r="AY66" s="591" t="str">
        <f>IF(Y66=1,COUNTIF($Y$27:Y66,1),"")</f>
        <v/>
      </c>
      <c r="AZ66" s="591" t="str">
        <f>IF(Z66=1,COUNTIF($Z$27:Z66,1),"")</f>
        <v/>
      </c>
      <c r="BA66" s="591" t="str">
        <f>IF(AA66=1,COUNTIF($AA$27:AA66,1),"")</f>
        <v/>
      </c>
      <c r="BB66" s="591" t="str">
        <f>IF(AB66=1,COUNTIF($AB$27:AB66,1),"")</f>
        <v/>
      </c>
      <c r="BC66" s="591" t="str">
        <f>IF(AC66=1,COUNTIF($AC$27:AC66,1),"")</f>
        <v/>
      </c>
      <c r="BD66" s="591" t="str">
        <f>IF(AD66=1,COUNTIF($AD$27:AD66,1),"")</f>
        <v/>
      </c>
      <c r="BE66" s="591" t="str">
        <f>IF(AE66=1,COUNTIF($AE$27:AE66,1),"")</f>
        <v/>
      </c>
      <c r="BF66" s="591" t="str">
        <f>IF(AF66=1,COUNTIF($AF$27:AF66,1),"")</f>
        <v/>
      </c>
      <c r="BG66" s="591" t="str">
        <f>IF(AG66=1,COUNTIF($AG$27:AG66,1),"")</f>
        <v/>
      </c>
      <c r="BH66" s="591" t="str">
        <f>IF(AH66=1,COUNTIF($AH$27:AH66,1),"")</f>
        <v/>
      </c>
      <c r="BI66" s="591" t="str">
        <f>IF(AI66=1,COUNTIF($AI$27:AI66,1),"")</f>
        <v/>
      </c>
      <c r="BJ66" s="591" t="str">
        <f>IF(AJ66=1,COUNTIF($AJ$27:AJ66,1),"")</f>
        <v/>
      </c>
      <c r="BK66" s="591" t="str">
        <f>IF(AK66=1,COUNTIF($AK$27:AK66,1),"")</f>
        <v/>
      </c>
    </row>
    <row r="67" spans="2:63" ht="35.1" customHeight="1">
      <c r="B67" s="592"/>
      <c r="C67" s="1232" t="str">
        <f t="shared" si="1"/>
        <v>-</v>
      </c>
      <c r="D67" s="1232"/>
      <c r="E67" s="1232"/>
      <c r="F67" s="592"/>
      <c r="G67" s="592"/>
      <c r="H67" s="592"/>
      <c r="I67" s="592"/>
      <c r="J67" s="1220" t="str">
        <f t="shared" si="3"/>
        <v>-</v>
      </c>
      <c r="K67" s="592"/>
      <c r="L67" s="592"/>
      <c r="M67" s="592"/>
      <c r="N67" s="658"/>
      <c r="O67" s="658"/>
      <c r="P67" s="658"/>
      <c r="Q67" s="658"/>
      <c r="R67" s="658"/>
      <c r="S67" s="658"/>
      <c r="T67" s="658"/>
      <c r="U67" s="658"/>
      <c r="V67" s="658"/>
      <c r="W67" s="658"/>
      <c r="X67" s="658"/>
      <c r="Y67" s="658"/>
      <c r="Z67" s="658"/>
      <c r="AA67" s="658"/>
      <c r="AB67" s="658"/>
      <c r="AC67" s="658"/>
      <c r="AD67" s="658"/>
      <c r="AE67" s="658"/>
      <c r="AF67" s="658"/>
      <c r="AG67" s="658"/>
      <c r="AH67" s="658"/>
      <c r="AI67" s="658"/>
      <c r="AJ67" s="658"/>
      <c r="AK67" s="658"/>
      <c r="AN67" s="591" t="str">
        <f>IF(N67=1,COUNTIF($N$27:N67,1),"")</f>
        <v/>
      </c>
      <c r="AO67" s="591" t="str">
        <f>IF(O67=1,COUNTIF($O$27:O67,1),"")</f>
        <v/>
      </c>
      <c r="AP67" s="591" t="str">
        <f>IF(P67=1,COUNTIF($P$27:P67,1),"")</f>
        <v/>
      </c>
      <c r="AQ67" s="591" t="str">
        <f>IF(Q67=1,COUNTIF($Q$27:Q67,1),"")</f>
        <v/>
      </c>
      <c r="AR67" s="591" t="str">
        <f>IF(R67=1,COUNTIF($R$27:R67,1),"")</f>
        <v/>
      </c>
      <c r="AS67" s="591" t="str">
        <f>IF(S67=1,COUNTIF($S$27:S67,1),"")</f>
        <v/>
      </c>
      <c r="AT67" s="591" t="str">
        <f>IF(T67=1,COUNTIF($T$27:T67,1),"")</f>
        <v/>
      </c>
      <c r="AU67" s="591" t="str">
        <f>IF(U67=1,COUNTIF($U$27:U67,1),"")</f>
        <v/>
      </c>
      <c r="AV67" s="591" t="str">
        <f>IF(V67=1,COUNTIF($V$27:V67,1),"")</f>
        <v/>
      </c>
      <c r="AW67" s="591" t="str">
        <f>IF(W67=1,COUNTIF($W$27:W67,1),"")</f>
        <v/>
      </c>
      <c r="AX67" s="591" t="str">
        <f>IF(X67=1,COUNTIF($X$27:X67,1),"")</f>
        <v/>
      </c>
      <c r="AY67" s="591" t="str">
        <f>IF(Y67=1,COUNTIF($Y$27:Y67,1),"")</f>
        <v/>
      </c>
      <c r="AZ67" s="591" t="str">
        <f>IF(Z67=1,COUNTIF($Z$27:Z67,1),"")</f>
        <v/>
      </c>
      <c r="BA67" s="591" t="str">
        <f>IF(AA67=1,COUNTIF($AA$27:AA67,1),"")</f>
        <v/>
      </c>
      <c r="BB67" s="591" t="str">
        <f>IF(AB67=1,COUNTIF($AB$27:AB67,1),"")</f>
        <v/>
      </c>
      <c r="BC67" s="591" t="str">
        <f>IF(AC67=1,COUNTIF($AC$27:AC67,1),"")</f>
        <v/>
      </c>
      <c r="BD67" s="591" t="str">
        <f>IF(AD67=1,COUNTIF($AD$27:AD67,1),"")</f>
        <v/>
      </c>
      <c r="BE67" s="591" t="str">
        <f>IF(AE67=1,COUNTIF($AE$27:AE67,1),"")</f>
        <v/>
      </c>
      <c r="BF67" s="591" t="str">
        <f>IF(AF67=1,COUNTIF($AF$27:AF67,1),"")</f>
        <v/>
      </c>
      <c r="BG67" s="591" t="str">
        <f>IF(AG67=1,COUNTIF($AG$27:AG67,1),"")</f>
        <v/>
      </c>
      <c r="BH67" s="591" t="str">
        <f>IF(AH67=1,COUNTIF($AH$27:AH67,1),"")</f>
        <v/>
      </c>
      <c r="BI67" s="591" t="str">
        <f>IF(AI67=1,COUNTIF($AI$27:AI67,1),"")</f>
        <v/>
      </c>
      <c r="BJ67" s="591" t="str">
        <f>IF(AJ67=1,COUNTIF($AJ$27:AJ67,1),"")</f>
        <v/>
      </c>
      <c r="BK67" s="591" t="str">
        <f>IF(AK67=1,COUNTIF($AK$27:AK67,1),"")</f>
        <v/>
      </c>
    </row>
    <row r="68" spans="2:63" ht="35.1" customHeight="1">
      <c r="B68" s="592"/>
      <c r="C68" s="1232" t="str">
        <f t="shared" si="1"/>
        <v>-</v>
      </c>
      <c r="D68" s="1232"/>
      <c r="E68" s="1232"/>
      <c r="F68" s="592"/>
      <c r="G68" s="592"/>
      <c r="H68" s="592"/>
      <c r="I68" s="592"/>
      <c r="J68" s="1220" t="str">
        <f t="shared" si="3"/>
        <v>-</v>
      </c>
      <c r="K68" s="592"/>
      <c r="L68" s="592"/>
      <c r="M68" s="592"/>
      <c r="N68" s="658"/>
      <c r="O68" s="658"/>
      <c r="P68" s="658"/>
      <c r="Q68" s="658"/>
      <c r="R68" s="658"/>
      <c r="S68" s="658"/>
      <c r="T68" s="658"/>
      <c r="U68" s="658"/>
      <c r="V68" s="658"/>
      <c r="W68" s="658"/>
      <c r="X68" s="658"/>
      <c r="Y68" s="658"/>
      <c r="Z68" s="658"/>
      <c r="AA68" s="658"/>
      <c r="AB68" s="658"/>
      <c r="AC68" s="658"/>
      <c r="AD68" s="658"/>
      <c r="AE68" s="658"/>
      <c r="AF68" s="658"/>
      <c r="AG68" s="658"/>
      <c r="AH68" s="658"/>
      <c r="AI68" s="658"/>
      <c r="AJ68" s="658"/>
      <c r="AK68" s="658"/>
      <c r="AN68" s="591" t="str">
        <f>IF(N68=1,COUNTIF($N$27:N68,1),"")</f>
        <v/>
      </c>
      <c r="AO68" s="591" t="str">
        <f>IF(O68=1,COUNTIF($O$27:O68,1),"")</f>
        <v/>
      </c>
      <c r="AP68" s="591" t="str">
        <f>IF(P68=1,COUNTIF($P$27:P68,1),"")</f>
        <v/>
      </c>
      <c r="AQ68" s="591" t="str">
        <f>IF(Q68=1,COUNTIF($Q$27:Q68,1),"")</f>
        <v/>
      </c>
      <c r="AR68" s="591" t="str">
        <f>IF(R68=1,COUNTIF($R$27:R68,1),"")</f>
        <v/>
      </c>
      <c r="AS68" s="591" t="str">
        <f>IF(S68=1,COUNTIF($S$27:S68,1),"")</f>
        <v/>
      </c>
      <c r="AT68" s="591" t="str">
        <f>IF(T68=1,COUNTIF($T$27:T68,1),"")</f>
        <v/>
      </c>
      <c r="AU68" s="591" t="str">
        <f>IF(U68=1,COUNTIF($U$27:U68,1),"")</f>
        <v/>
      </c>
      <c r="AV68" s="591" t="str">
        <f>IF(V68=1,COUNTIF($V$27:V68,1),"")</f>
        <v/>
      </c>
      <c r="AW68" s="591" t="str">
        <f>IF(W68=1,COUNTIF($W$27:W68,1),"")</f>
        <v/>
      </c>
      <c r="AX68" s="591" t="str">
        <f>IF(X68=1,COUNTIF($X$27:X68,1),"")</f>
        <v/>
      </c>
      <c r="AY68" s="591" t="str">
        <f>IF(Y68=1,COUNTIF($Y$27:Y68,1),"")</f>
        <v/>
      </c>
      <c r="AZ68" s="591" t="str">
        <f>IF(Z68=1,COUNTIF($Z$27:Z68,1),"")</f>
        <v/>
      </c>
      <c r="BA68" s="591" t="str">
        <f>IF(AA68=1,COUNTIF($AA$27:AA68,1),"")</f>
        <v/>
      </c>
      <c r="BB68" s="591" t="str">
        <f>IF(AB68=1,COUNTIF($AB$27:AB68,1),"")</f>
        <v/>
      </c>
      <c r="BC68" s="591" t="str">
        <f>IF(AC68=1,COUNTIF($AC$27:AC68,1),"")</f>
        <v/>
      </c>
      <c r="BD68" s="591" t="str">
        <f>IF(AD68=1,COUNTIF($AD$27:AD68,1),"")</f>
        <v/>
      </c>
      <c r="BE68" s="591" t="str">
        <f>IF(AE68=1,COUNTIF($AE$27:AE68,1),"")</f>
        <v/>
      </c>
      <c r="BF68" s="591" t="str">
        <f>IF(AF68=1,COUNTIF($AF$27:AF68,1),"")</f>
        <v/>
      </c>
      <c r="BG68" s="591" t="str">
        <f>IF(AG68=1,COUNTIF($AG$27:AG68,1),"")</f>
        <v/>
      </c>
      <c r="BH68" s="591" t="str">
        <f>IF(AH68=1,COUNTIF($AH$27:AH68,1),"")</f>
        <v/>
      </c>
      <c r="BI68" s="591" t="str">
        <f>IF(AI68=1,COUNTIF($AI$27:AI68,1),"")</f>
        <v/>
      </c>
      <c r="BJ68" s="591" t="str">
        <f>IF(AJ68=1,COUNTIF($AJ$27:AJ68,1),"")</f>
        <v/>
      </c>
      <c r="BK68" s="591" t="str">
        <f>IF(AK68=1,COUNTIF($AK$27:AK68,1),"")</f>
        <v/>
      </c>
    </row>
    <row r="69" spans="2:63" ht="35.1" customHeight="1">
      <c r="B69" s="592"/>
      <c r="C69" s="1232" t="str">
        <f t="shared" si="1"/>
        <v>-</v>
      </c>
      <c r="D69" s="1232"/>
      <c r="E69" s="1232"/>
      <c r="F69" s="592"/>
      <c r="G69" s="592"/>
      <c r="H69" s="592"/>
      <c r="I69" s="592"/>
      <c r="J69" s="1220" t="str">
        <f t="shared" si="3"/>
        <v>-</v>
      </c>
      <c r="K69" s="592"/>
      <c r="L69" s="592"/>
      <c r="M69" s="592"/>
      <c r="N69" s="658"/>
      <c r="O69" s="658"/>
      <c r="P69" s="658"/>
      <c r="Q69" s="658"/>
      <c r="R69" s="658"/>
      <c r="S69" s="658"/>
      <c r="T69" s="658"/>
      <c r="U69" s="658"/>
      <c r="V69" s="658"/>
      <c r="W69" s="658"/>
      <c r="X69" s="658"/>
      <c r="Y69" s="658"/>
      <c r="Z69" s="658"/>
      <c r="AA69" s="658"/>
      <c r="AB69" s="658"/>
      <c r="AC69" s="658"/>
      <c r="AD69" s="658"/>
      <c r="AE69" s="658"/>
      <c r="AF69" s="658"/>
      <c r="AG69" s="658"/>
      <c r="AH69" s="658"/>
      <c r="AI69" s="658"/>
      <c r="AJ69" s="658"/>
      <c r="AK69" s="658"/>
      <c r="AN69" s="591" t="str">
        <f>IF(N69=1,COUNTIF($N$27:N69,1),"")</f>
        <v/>
      </c>
      <c r="AO69" s="591" t="str">
        <f>IF(O69=1,COUNTIF($O$27:O69,1),"")</f>
        <v/>
      </c>
      <c r="AP69" s="591" t="str">
        <f>IF(P69=1,COUNTIF($P$27:P69,1),"")</f>
        <v/>
      </c>
      <c r="AQ69" s="591" t="str">
        <f>IF(Q69=1,COUNTIF($Q$27:Q69,1),"")</f>
        <v/>
      </c>
      <c r="AR69" s="591" t="str">
        <f>IF(R69=1,COUNTIF($R$27:R69,1),"")</f>
        <v/>
      </c>
      <c r="AS69" s="591" t="str">
        <f>IF(S69=1,COUNTIF($S$27:S69,1),"")</f>
        <v/>
      </c>
      <c r="AT69" s="591" t="str">
        <f>IF(T69=1,COUNTIF($T$27:T69,1),"")</f>
        <v/>
      </c>
      <c r="AU69" s="591" t="str">
        <f>IF(U69=1,COUNTIF($U$27:U69,1),"")</f>
        <v/>
      </c>
      <c r="AV69" s="591" t="str">
        <f>IF(V69=1,COUNTIF($V$27:V69,1),"")</f>
        <v/>
      </c>
      <c r="AW69" s="591" t="str">
        <f>IF(W69=1,COUNTIF($W$27:W69,1),"")</f>
        <v/>
      </c>
      <c r="AX69" s="591" t="str">
        <f>IF(X69=1,COUNTIF($X$27:X69,1),"")</f>
        <v/>
      </c>
      <c r="AY69" s="591" t="str">
        <f>IF(Y69=1,COUNTIF($Y$27:Y69,1),"")</f>
        <v/>
      </c>
      <c r="AZ69" s="591" t="str">
        <f>IF(Z69=1,COUNTIF($Z$27:Z69,1),"")</f>
        <v/>
      </c>
      <c r="BA69" s="591" t="str">
        <f>IF(AA69=1,COUNTIF($AA$27:AA69,1),"")</f>
        <v/>
      </c>
      <c r="BB69" s="591" t="str">
        <f>IF(AB69=1,COUNTIF($AB$27:AB69,1),"")</f>
        <v/>
      </c>
      <c r="BC69" s="591" t="str">
        <f>IF(AC69=1,COUNTIF($AC$27:AC69,1),"")</f>
        <v/>
      </c>
      <c r="BD69" s="591" t="str">
        <f>IF(AD69=1,COUNTIF($AD$27:AD69,1),"")</f>
        <v/>
      </c>
      <c r="BE69" s="591" t="str">
        <f>IF(AE69=1,COUNTIF($AE$27:AE69,1),"")</f>
        <v/>
      </c>
      <c r="BF69" s="591" t="str">
        <f>IF(AF69=1,COUNTIF($AF$27:AF69,1),"")</f>
        <v/>
      </c>
      <c r="BG69" s="591" t="str">
        <f>IF(AG69=1,COUNTIF($AG$27:AG69,1),"")</f>
        <v/>
      </c>
      <c r="BH69" s="591" t="str">
        <f>IF(AH69=1,COUNTIF($AH$27:AH69,1),"")</f>
        <v/>
      </c>
      <c r="BI69" s="591" t="str">
        <f>IF(AI69=1,COUNTIF($AI$27:AI69,1),"")</f>
        <v/>
      </c>
      <c r="BJ69" s="591" t="str">
        <f>IF(AJ69=1,COUNTIF($AJ$27:AJ69,1),"")</f>
        <v/>
      </c>
      <c r="BK69" s="591" t="str">
        <f>IF(AK69=1,COUNTIF($AK$27:AK69,1),"")</f>
        <v/>
      </c>
    </row>
    <row r="70" spans="2:63" ht="35.1" customHeight="1">
      <c r="B70" s="592"/>
      <c r="C70" s="1232" t="str">
        <f t="shared" si="1"/>
        <v>-</v>
      </c>
      <c r="D70" s="1232"/>
      <c r="E70" s="1232"/>
      <c r="F70" s="592"/>
      <c r="G70" s="592"/>
      <c r="H70" s="592"/>
      <c r="I70" s="592"/>
      <c r="J70" s="1220" t="str">
        <f t="shared" si="3"/>
        <v>-</v>
      </c>
      <c r="K70" s="592"/>
      <c r="L70" s="592"/>
      <c r="M70" s="592"/>
      <c r="N70" s="658"/>
      <c r="O70" s="658"/>
      <c r="P70" s="658"/>
      <c r="Q70" s="658"/>
      <c r="R70" s="658"/>
      <c r="S70" s="658"/>
      <c r="T70" s="658"/>
      <c r="U70" s="658"/>
      <c r="V70" s="658"/>
      <c r="W70" s="658"/>
      <c r="X70" s="658"/>
      <c r="Y70" s="658"/>
      <c r="Z70" s="658"/>
      <c r="AA70" s="658"/>
      <c r="AB70" s="658"/>
      <c r="AC70" s="658"/>
      <c r="AD70" s="658"/>
      <c r="AE70" s="658"/>
      <c r="AF70" s="658"/>
      <c r="AG70" s="658"/>
      <c r="AH70" s="658"/>
      <c r="AI70" s="658"/>
      <c r="AJ70" s="658"/>
      <c r="AK70" s="658"/>
      <c r="AN70" s="591" t="str">
        <f>IF(N70=1,COUNTIF($N$27:N70,1),"")</f>
        <v/>
      </c>
      <c r="AO70" s="591" t="str">
        <f>IF(O70=1,COUNTIF($O$27:O70,1),"")</f>
        <v/>
      </c>
      <c r="AP70" s="591" t="str">
        <f>IF(P70=1,COUNTIF($P$27:P70,1),"")</f>
        <v/>
      </c>
      <c r="AQ70" s="591" t="str">
        <f>IF(Q70=1,COUNTIF($Q$27:Q70,1),"")</f>
        <v/>
      </c>
      <c r="AR70" s="591" t="str">
        <f>IF(R70=1,COUNTIF($R$27:R70,1),"")</f>
        <v/>
      </c>
      <c r="AS70" s="591" t="str">
        <f>IF(S70=1,COUNTIF($S$27:S70,1),"")</f>
        <v/>
      </c>
      <c r="AT70" s="591" t="str">
        <f>IF(T70=1,COUNTIF($T$27:T70,1),"")</f>
        <v/>
      </c>
      <c r="AU70" s="591" t="str">
        <f>IF(U70=1,COUNTIF($U$27:U70,1),"")</f>
        <v/>
      </c>
      <c r="AV70" s="591" t="str">
        <f>IF(V70=1,COUNTIF($V$27:V70,1),"")</f>
        <v/>
      </c>
      <c r="AW70" s="591" t="str">
        <f>IF(W70=1,COUNTIF($W$27:W70,1),"")</f>
        <v/>
      </c>
      <c r="AX70" s="591" t="str">
        <f>IF(X70=1,COUNTIF($X$27:X70,1),"")</f>
        <v/>
      </c>
      <c r="AY70" s="591" t="str">
        <f>IF(Y70=1,COUNTIF($Y$27:Y70,1),"")</f>
        <v/>
      </c>
      <c r="AZ70" s="591" t="str">
        <f>IF(Z70=1,COUNTIF($Z$27:Z70,1),"")</f>
        <v/>
      </c>
      <c r="BA70" s="591" t="str">
        <f>IF(AA70=1,COUNTIF($AA$27:AA70,1),"")</f>
        <v/>
      </c>
      <c r="BB70" s="591" t="str">
        <f>IF(AB70=1,COUNTIF($AB$27:AB70,1),"")</f>
        <v/>
      </c>
      <c r="BC70" s="591" t="str">
        <f>IF(AC70=1,COUNTIF($AC$27:AC70,1),"")</f>
        <v/>
      </c>
      <c r="BD70" s="591" t="str">
        <f>IF(AD70=1,COUNTIF($AD$27:AD70,1),"")</f>
        <v/>
      </c>
      <c r="BE70" s="591" t="str">
        <f>IF(AE70=1,COUNTIF($AE$27:AE70,1),"")</f>
        <v/>
      </c>
      <c r="BF70" s="591" t="str">
        <f>IF(AF70=1,COUNTIF($AF$27:AF70,1),"")</f>
        <v/>
      </c>
      <c r="BG70" s="591" t="str">
        <f>IF(AG70=1,COUNTIF($AG$27:AG70,1),"")</f>
        <v/>
      </c>
      <c r="BH70" s="591" t="str">
        <f>IF(AH70=1,COUNTIF($AH$27:AH70,1),"")</f>
        <v/>
      </c>
      <c r="BI70" s="591" t="str">
        <f>IF(AI70=1,COUNTIF($AI$27:AI70,1),"")</f>
        <v/>
      </c>
      <c r="BJ70" s="591" t="str">
        <f>IF(AJ70=1,COUNTIF($AJ$27:AJ70,1),"")</f>
        <v/>
      </c>
      <c r="BK70" s="591" t="str">
        <f>IF(AK70=1,COUNTIF($AK$27:AK70,1),"")</f>
        <v/>
      </c>
    </row>
    <row r="71" spans="2:63" ht="35.1" customHeight="1">
      <c r="C71" s="17" t="str">
        <f t="shared" si="1"/>
        <v>-</v>
      </c>
      <c r="D71" s="17"/>
      <c r="E71" s="17"/>
      <c r="J71" s="1220" t="str">
        <f t="shared" si="3"/>
        <v>-</v>
      </c>
      <c r="N71" s="658"/>
      <c r="O71" s="658"/>
      <c r="P71" s="658"/>
      <c r="Q71" s="658"/>
      <c r="R71" s="658"/>
      <c r="S71" s="658"/>
      <c r="T71" s="658"/>
      <c r="U71" s="658"/>
      <c r="V71" s="658"/>
      <c r="W71" s="658"/>
      <c r="X71" s="658"/>
      <c r="Y71" s="658"/>
      <c r="Z71" s="658"/>
      <c r="AA71" s="658"/>
      <c r="AB71" s="658"/>
      <c r="AC71" s="658"/>
      <c r="AD71" s="658"/>
      <c r="AE71" s="658"/>
      <c r="AF71" s="658"/>
      <c r="AG71" s="658"/>
      <c r="AH71" s="658"/>
      <c r="AI71" s="658"/>
      <c r="AJ71" s="658"/>
      <c r="AK71" s="658"/>
      <c r="AN71" s="591" t="str">
        <f>IF(N71=1,COUNTIF($N$27:N71,1),"")</f>
        <v/>
      </c>
      <c r="AO71" s="591" t="str">
        <f>IF(O71=1,COUNTIF($O$27:O71,1),"")</f>
        <v/>
      </c>
      <c r="AP71" s="591" t="str">
        <f>IF(P71=1,COUNTIF($P$27:P71,1),"")</f>
        <v/>
      </c>
      <c r="AQ71" s="591" t="str">
        <f>IF(Q71=1,COUNTIF($Q$27:Q71,1),"")</f>
        <v/>
      </c>
      <c r="AR71" s="591" t="str">
        <f>IF(R71=1,COUNTIF($R$27:R71,1),"")</f>
        <v/>
      </c>
      <c r="AS71" s="591" t="str">
        <f>IF(S71=1,COUNTIF($S$27:S71,1),"")</f>
        <v/>
      </c>
      <c r="AT71" s="591" t="str">
        <f>IF(T71=1,COUNTIF($T$27:T71,1),"")</f>
        <v/>
      </c>
      <c r="AU71" s="591" t="str">
        <f>IF(U71=1,COUNTIF($U$27:U71,1),"")</f>
        <v/>
      </c>
      <c r="AV71" s="591" t="str">
        <f>IF(V71=1,COUNTIF($V$27:V71,1),"")</f>
        <v/>
      </c>
      <c r="AW71" s="591" t="str">
        <f>IF(W71=1,COUNTIF($W$27:W71,1),"")</f>
        <v/>
      </c>
      <c r="AX71" s="591" t="str">
        <f>IF(X71=1,COUNTIF($X$27:X71,1),"")</f>
        <v/>
      </c>
      <c r="AY71" s="591" t="str">
        <f>IF(Y71=1,COUNTIF($Y$27:Y71,1),"")</f>
        <v/>
      </c>
      <c r="AZ71" s="591" t="str">
        <f>IF(Z71=1,COUNTIF($Z$27:Z71,1),"")</f>
        <v/>
      </c>
      <c r="BA71" s="591" t="str">
        <f>IF(AA71=1,COUNTIF($AA$27:AA71,1),"")</f>
        <v/>
      </c>
      <c r="BB71" s="591" t="str">
        <f>IF(AB71=1,COUNTIF($AB$27:AB71,1),"")</f>
        <v/>
      </c>
      <c r="BC71" s="591" t="str">
        <f>IF(AC71=1,COUNTIF($AC$27:AC71,1),"")</f>
        <v/>
      </c>
      <c r="BD71" s="591" t="str">
        <f>IF(AD71=1,COUNTIF($AD$27:AD71,1),"")</f>
        <v/>
      </c>
      <c r="BE71" s="591" t="str">
        <f>IF(AE71=1,COUNTIF($AE$27:AE71,1),"")</f>
        <v/>
      </c>
      <c r="BF71" s="591" t="str">
        <f>IF(AF71=1,COUNTIF($AF$27:AF71,1),"")</f>
        <v/>
      </c>
      <c r="BG71" s="591" t="str">
        <f>IF(AG71=1,COUNTIF($AG$27:AG71,1),"")</f>
        <v/>
      </c>
      <c r="BH71" s="591" t="str">
        <f>IF(AH71=1,COUNTIF($AH$27:AH71,1),"")</f>
        <v/>
      </c>
      <c r="BI71" s="591" t="str">
        <f>IF(AI71=1,COUNTIF($AI$27:AI71,1),"")</f>
        <v/>
      </c>
      <c r="BJ71" s="591" t="str">
        <f>IF(AJ71=1,COUNTIF($AJ$27:AJ71,1),"")</f>
        <v/>
      </c>
      <c r="BK71" s="591" t="str">
        <f>IF(AK71=1,COUNTIF($AK$27:AK71,1),"")</f>
        <v/>
      </c>
    </row>
    <row r="72" spans="2:63" ht="35.1" customHeight="1">
      <c r="C72" s="17" t="str">
        <f t="shared" si="1"/>
        <v>-</v>
      </c>
      <c r="D72" s="17"/>
      <c r="E72" s="17"/>
      <c r="J72" s="1220" t="str">
        <f t="shared" si="3"/>
        <v>-</v>
      </c>
      <c r="N72" s="658"/>
      <c r="O72" s="658"/>
      <c r="P72" s="658"/>
      <c r="Q72" s="658"/>
      <c r="R72" s="658"/>
      <c r="S72" s="658"/>
      <c r="T72" s="658"/>
      <c r="U72" s="658"/>
      <c r="V72" s="658"/>
      <c r="W72" s="658"/>
      <c r="X72" s="658"/>
      <c r="Y72" s="658"/>
      <c r="Z72" s="658"/>
      <c r="AA72" s="658"/>
      <c r="AB72" s="658"/>
      <c r="AC72" s="658"/>
      <c r="AD72" s="658"/>
      <c r="AE72" s="658"/>
      <c r="AF72" s="658"/>
      <c r="AG72" s="658"/>
      <c r="AH72" s="658"/>
      <c r="AI72" s="658"/>
      <c r="AJ72" s="658"/>
      <c r="AK72" s="658"/>
      <c r="AN72" s="591" t="str">
        <f>IF(N72=1,COUNTIF($N$27:N72,1),"")</f>
        <v/>
      </c>
      <c r="AO72" s="591" t="str">
        <f>IF(O72=1,COUNTIF($O$27:O72,1),"")</f>
        <v/>
      </c>
      <c r="AP72" s="591" t="str">
        <f>IF(P72=1,COUNTIF($P$27:P72,1),"")</f>
        <v/>
      </c>
      <c r="AQ72" s="591" t="str">
        <f>IF(Q72=1,COUNTIF($Q$27:Q72,1),"")</f>
        <v/>
      </c>
      <c r="AR72" s="591" t="str">
        <f>IF(R72=1,COUNTIF($R$27:R72,1),"")</f>
        <v/>
      </c>
      <c r="AS72" s="591" t="str">
        <f>IF(S72=1,COUNTIF($S$27:S72,1),"")</f>
        <v/>
      </c>
      <c r="AT72" s="591" t="str">
        <f>IF(T72=1,COUNTIF($T$27:T72,1),"")</f>
        <v/>
      </c>
      <c r="AU72" s="591" t="str">
        <f>IF(U72=1,COUNTIF($U$27:U72,1),"")</f>
        <v/>
      </c>
      <c r="AV72" s="591" t="str">
        <f>IF(V72=1,COUNTIF($V$27:V72,1),"")</f>
        <v/>
      </c>
      <c r="AW72" s="591" t="str">
        <f>IF(W72=1,COUNTIF($W$27:W72,1),"")</f>
        <v/>
      </c>
      <c r="AX72" s="591" t="str">
        <f>IF(X72=1,COUNTIF($X$27:X72,1),"")</f>
        <v/>
      </c>
      <c r="AY72" s="591" t="str">
        <f>IF(Y72=1,COUNTIF($Y$27:Y72,1),"")</f>
        <v/>
      </c>
      <c r="AZ72" s="591" t="str">
        <f>IF(Z72=1,COUNTIF($Z$27:Z72,1),"")</f>
        <v/>
      </c>
      <c r="BA72" s="591" t="str">
        <f>IF(AA72=1,COUNTIF($AA$27:AA72,1),"")</f>
        <v/>
      </c>
      <c r="BB72" s="591" t="str">
        <f>IF(AB72=1,COUNTIF($AB$27:AB72,1),"")</f>
        <v/>
      </c>
      <c r="BC72" s="591" t="str">
        <f>IF(AC72=1,COUNTIF($AC$27:AC72,1),"")</f>
        <v/>
      </c>
      <c r="BD72" s="591" t="str">
        <f>IF(AD72=1,COUNTIF($AD$27:AD72,1),"")</f>
        <v/>
      </c>
      <c r="BE72" s="591" t="str">
        <f>IF(AE72=1,COUNTIF($AE$27:AE72,1),"")</f>
        <v/>
      </c>
      <c r="BF72" s="591" t="str">
        <f>IF(AF72=1,COUNTIF($AF$27:AF72,1),"")</f>
        <v/>
      </c>
      <c r="BG72" s="591" t="str">
        <f>IF(AG72=1,COUNTIF($AG$27:AG72,1),"")</f>
        <v/>
      </c>
      <c r="BH72" s="591" t="str">
        <f>IF(AH72=1,COUNTIF($AH$27:AH72,1),"")</f>
        <v/>
      </c>
      <c r="BI72" s="591" t="str">
        <f>IF(AI72=1,COUNTIF($AI$27:AI72,1),"")</f>
        <v/>
      </c>
      <c r="BJ72" s="591" t="str">
        <f>IF(AJ72=1,COUNTIF($AJ$27:AJ72,1),"")</f>
        <v/>
      </c>
      <c r="BK72" s="591" t="str">
        <f>IF(AK72=1,COUNTIF($AK$27:AK72,1),"")</f>
        <v/>
      </c>
    </row>
    <row r="73" spans="2:63" ht="35.1" customHeight="1">
      <c r="C73" s="17" t="str">
        <f t="shared" si="1"/>
        <v>-</v>
      </c>
      <c r="D73" s="17"/>
      <c r="E73" s="17"/>
      <c r="J73" s="1220" t="str">
        <f t="shared" si="3"/>
        <v>-</v>
      </c>
      <c r="N73" s="658"/>
      <c r="O73" s="658"/>
      <c r="P73" s="658"/>
      <c r="Q73" s="658"/>
      <c r="R73" s="658"/>
      <c r="S73" s="658"/>
      <c r="T73" s="658"/>
      <c r="U73" s="658"/>
      <c r="V73" s="658"/>
      <c r="W73" s="658"/>
      <c r="X73" s="658"/>
      <c r="Y73" s="658"/>
      <c r="Z73" s="658"/>
      <c r="AA73" s="658"/>
      <c r="AB73" s="658"/>
      <c r="AC73" s="658"/>
      <c r="AD73" s="658"/>
      <c r="AE73" s="658"/>
      <c r="AF73" s="658"/>
      <c r="AG73" s="658"/>
      <c r="AH73" s="658"/>
      <c r="AI73" s="658"/>
      <c r="AJ73" s="658"/>
      <c r="AK73" s="658"/>
      <c r="AN73" s="591" t="str">
        <f>IF(N73=1,COUNTIF($N$27:N73,1),"")</f>
        <v/>
      </c>
      <c r="AO73" s="591" t="str">
        <f>IF(O73=1,COUNTIF($O$27:O73,1),"")</f>
        <v/>
      </c>
      <c r="AP73" s="591" t="str">
        <f>IF(P73=1,COUNTIF($P$27:P73,1),"")</f>
        <v/>
      </c>
      <c r="AQ73" s="591" t="str">
        <f>IF(Q73=1,COUNTIF($Q$27:Q73,1),"")</f>
        <v/>
      </c>
      <c r="AR73" s="591" t="str">
        <f>IF(R73=1,COUNTIF($R$27:R73,1),"")</f>
        <v/>
      </c>
      <c r="AS73" s="591" t="str">
        <f>IF(S73=1,COUNTIF($S$27:S73,1),"")</f>
        <v/>
      </c>
      <c r="AT73" s="591" t="str">
        <f>IF(T73=1,COUNTIF($T$27:T73,1),"")</f>
        <v/>
      </c>
      <c r="AU73" s="591" t="str">
        <f>IF(U73=1,COUNTIF($U$27:U73,1),"")</f>
        <v/>
      </c>
      <c r="AV73" s="591" t="str">
        <f>IF(V73=1,COUNTIF($V$27:V73,1),"")</f>
        <v/>
      </c>
      <c r="AW73" s="591" t="str">
        <f>IF(W73=1,COUNTIF($W$27:W73,1),"")</f>
        <v/>
      </c>
      <c r="AX73" s="591" t="str">
        <f>IF(X73=1,COUNTIF($X$27:X73,1),"")</f>
        <v/>
      </c>
      <c r="AY73" s="591" t="str">
        <f>IF(Y73=1,COUNTIF($Y$27:Y73,1),"")</f>
        <v/>
      </c>
      <c r="AZ73" s="591" t="str">
        <f>IF(Z73=1,COUNTIF($Z$27:Z73,1),"")</f>
        <v/>
      </c>
      <c r="BA73" s="591" t="str">
        <f>IF(AA73=1,COUNTIF($AA$27:AA73,1),"")</f>
        <v/>
      </c>
      <c r="BB73" s="591" t="str">
        <f>IF(AB73=1,COUNTIF($AB$27:AB73,1),"")</f>
        <v/>
      </c>
      <c r="BC73" s="591" t="str">
        <f>IF(AC73=1,COUNTIF($AC$27:AC73,1),"")</f>
        <v/>
      </c>
      <c r="BD73" s="591" t="str">
        <f>IF(AD73=1,COUNTIF($AD$27:AD73,1),"")</f>
        <v/>
      </c>
      <c r="BE73" s="591" t="str">
        <f>IF(AE73=1,COUNTIF($AE$27:AE73,1),"")</f>
        <v/>
      </c>
      <c r="BF73" s="591" t="str">
        <f>IF(AF73=1,COUNTIF($AF$27:AF73,1),"")</f>
        <v/>
      </c>
      <c r="BG73" s="591" t="str">
        <f>IF(AG73=1,COUNTIF($AG$27:AG73,1),"")</f>
        <v/>
      </c>
      <c r="BH73" s="591" t="str">
        <f>IF(AH73=1,COUNTIF($AH$27:AH73,1),"")</f>
        <v/>
      </c>
      <c r="BI73" s="591" t="str">
        <f>IF(AI73=1,COUNTIF($AI$27:AI73,1),"")</f>
        <v/>
      </c>
      <c r="BJ73" s="591" t="str">
        <f>IF(AJ73=1,COUNTIF($AJ$27:AJ73,1),"")</f>
        <v/>
      </c>
      <c r="BK73" s="591" t="str">
        <f>IF(AK73=1,COUNTIF($AK$27:AK73,1),"")</f>
        <v/>
      </c>
    </row>
    <row r="74" spans="2:63" ht="35.1" customHeight="1">
      <c r="C74" s="17" t="str">
        <f t="shared" si="1"/>
        <v>-</v>
      </c>
      <c r="D74" s="17"/>
      <c r="E74" s="17"/>
      <c r="J74" s="1220" t="str">
        <f t="shared" si="3"/>
        <v>-</v>
      </c>
      <c r="N74" s="658"/>
      <c r="O74" s="658"/>
      <c r="P74" s="658"/>
      <c r="Q74" s="658"/>
      <c r="R74" s="658"/>
      <c r="S74" s="658"/>
      <c r="T74" s="658"/>
      <c r="U74" s="658"/>
      <c r="V74" s="658"/>
      <c r="W74" s="658"/>
      <c r="X74" s="658"/>
      <c r="Y74" s="658"/>
      <c r="Z74" s="658"/>
      <c r="AA74" s="658"/>
      <c r="AB74" s="658"/>
      <c r="AC74" s="658"/>
      <c r="AD74" s="658"/>
      <c r="AE74" s="658"/>
      <c r="AF74" s="658"/>
      <c r="AG74" s="658"/>
      <c r="AH74" s="658"/>
      <c r="AI74" s="658"/>
      <c r="AJ74" s="658"/>
      <c r="AK74" s="658"/>
      <c r="AN74" s="591" t="str">
        <f>IF(N74=1,COUNTIF($N$27:N74,1),"")</f>
        <v/>
      </c>
      <c r="AO74" s="591" t="str">
        <f>IF(O74=1,COUNTIF($O$27:O74,1),"")</f>
        <v/>
      </c>
      <c r="AP74" s="591" t="str">
        <f>IF(P74=1,COUNTIF($P$27:P74,1),"")</f>
        <v/>
      </c>
      <c r="AQ74" s="591" t="str">
        <f>IF(Q74=1,COUNTIF($Q$27:Q74,1),"")</f>
        <v/>
      </c>
      <c r="AR74" s="591" t="str">
        <f>IF(R74=1,COUNTIF($R$27:R74,1),"")</f>
        <v/>
      </c>
      <c r="AS74" s="591" t="str">
        <f>IF(S74=1,COUNTIF($S$27:S74,1),"")</f>
        <v/>
      </c>
      <c r="AT74" s="591" t="str">
        <f>IF(T74=1,COUNTIF($T$27:T74,1),"")</f>
        <v/>
      </c>
      <c r="AU74" s="591" t="str">
        <f>IF(U74=1,COUNTIF($U$27:U74,1),"")</f>
        <v/>
      </c>
      <c r="AV74" s="591" t="str">
        <f>IF(V74=1,COUNTIF($V$27:V74,1),"")</f>
        <v/>
      </c>
      <c r="AW74" s="591" t="str">
        <f>IF(W74=1,COUNTIF($W$27:W74,1),"")</f>
        <v/>
      </c>
      <c r="AX74" s="591" t="str">
        <f>IF(X74=1,COUNTIF($X$27:X74,1),"")</f>
        <v/>
      </c>
      <c r="AY74" s="591" t="str">
        <f>IF(Y74=1,COUNTIF($Y$27:Y74,1),"")</f>
        <v/>
      </c>
      <c r="AZ74" s="591" t="str">
        <f>IF(Z74=1,COUNTIF($Z$27:Z74,1),"")</f>
        <v/>
      </c>
      <c r="BA74" s="591" t="str">
        <f>IF(AA74=1,COUNTIF($AA$27:AA74,1),"")</f>
        <v/>
      </c>
      <c r="BB74" s="591" t="str">
        <f>IF(AB74=1,COUNTIF($AB$27:AB74,1),"")</f>
        <v/>
      </c>
      <c r="BC74" s="591" t="str">
        <f>IF(AC74=1,COUNTIF($AC$27:AC74,1),"")</f>
        <v/>
      </c>
      <c r="BD74" s="591" t="str">
        <f>IF(AD74=1,COUNTIF($AD$27:AD74,1),"")</f>
        <v/>
      </c>
      <c r="BE74" s="591" t="str">
        <f>IF(AE74=1,COUNTIF($AE$27:AE74,1),"")</f>
        <v/>
      </c>
      <c r="BF74" s="591" t="str">
        <f>IF(AF74=1,COUNTIF($AF$27:AF74,1),"")</f>
        <v/>
      </c>
      <c r="BG74" s="591" t="str">
        <f>IF(AG74=1,COUNTIF($AG$27:AG74,1),"")</f>
        <v/>
      </c>
      <c r="BH74" s="591" t="str">
        <f>IF(AH74=1,COUNTIF($AH$27:AH74,1),"")</f>
        <v/>
      </c>
      <c r="BI74" s="591" t="str">
        <f>IF(AI74=1,COUNTIF($AI$27:AI74,1),"")</f>
        <v/>
      </c>
      <c r="BJ74" s="591" t="str">
        <f>IF(AJ74=1,COUNTIF($AJ$27:AJ74,1),"")</f>
        <v/>
      </c>
      <c r="BK74" s="591" t="str">
        <f>IF(AK74=1,COUNTIF($AK$27:AK74,1),"")</f>
        <v/>
      </c>
    </row>
    <row r="75" spans="2:63" ht="35.1" customHeight="1">
      <c r="C75" s="17" t="str">
        <f t="shared" si="1"/>
        <v>-</v>
      </c>
      <c r="D75" s="17"/>
      <c r="E75" s="17"/>
      <c r="J75" s="1220" t="str">
        <f t="shared" si="3"/>
        <v>-</v>
      </c>
      <c r="N75" s="658"/>
      <c r="O75" s="658"/>
      <c r="P75" s="658"/>
      <c r="Q75" s="658"/>
      <c r="R75" s="658"/>
      <c r="S75" s="658"/>
      <c r="T75" s="658"/>
      <c r="U75" s="658"/>
      <c r="V75" s="658"/>
      <c r="W75" s="658"/>
      <c r="X75" s="658"/>
      <c r="Y75" s="658"/>
      <c r="Z75" s="658"/>
      <c r="AA75" s="658"/>
      <c r="AB75" s="658"/>
      <c r="AC75" s="658"/>
      <c r="AD75" s="658"/>
      <c r="AE75" s="658"/>
      <c r="AF75" s="658"/>
      <c r="AG75" s="658"/>
      <c r="AH75" s="658"/>
      <c r="AI75" s="658"/>
      <c r="AJ75" s="658"/>
      <c r="AK75" s="658"/>
      <c r="AN75" s="591" t="str">
        <f>IF(N75=1,COUNTIF($N$27:N75,1),"")</f>
        <v/>
      </c>
      <c r="AO75" s="591" t="str">
        <f>IF(O75=1,COUNTIF($O$27:O75,1),"")</f>
        <v/>
      </c>
      <c r="AP75" s="591" t="str">
        <f>IF(P75=1,COUNTIF($P$27:P75,1),"")</f>
        <v/>
      </c>
      <c r="AQ75" s="591" t="str">
        <f>IF(Q75=1,COUNTIF($Q$27:Q75,1),"")</f>
        <v/>
      </c>
      <c r="AR75" s="591" t="str">
        <f>IF(R75=1,COUNTIF($R$27:R75,1),"")</f>
        <v/>
      </c>
      <c r="AS75" s="591" t="str">
        <f>IF(S75=1,COUNTIF($S$27:S75,1),"")</f>
        <v/>
      </c>
      <c r="AT75" s="591" t="str">
        <f>IF(T75=1,COUNTIF($T$27:T75,1),"")</f>
        <v/>
      </c>
      <c r="AU75" s="591" t="str">
        <f>IF(U75=1,COUNTIF($U$27:U75,1),"")</f>
        <v/>
      </c>
      <c r="AV75" s="591" t="str">
        <f>IF(V75=1,COUNTIF($V$27:V75,1),"")</f>
        <v/>
      </c>
      <c r="AW75" s="591" t="str">
        <f>IF(W75=1,COUNTIF($W$27:W75,1),"")</f>
        <v/>
      </c>
      <c r="AX75" s="591" t="str">
        <f>IF(X75=1,COUNTIF($X$27:X75,1),"")</f>
        <v/>
      </c>
      <c r="AY75" s="591" t="str">
        <f>IF(Y75=1,COUNTIF($Y$27:Y75,1),"")</f>
        <v/>
      </c>
      <c r="AZ75" s="591" t="str">
        <f>IF(Z75=1,COUNTIF($Z$27:Z75,1),"")</f>
        <v/>
      </c>
      <c r="BA75" s="591" t="str">
        <f>IF(AA75=1,COUNTIF($AA$27:AA75,1),"")</f>
        <v/>
      </c>
      <c r="BB75" s="591" t="str">
        <f>IF(AB75=1,COUNTIF($AB$27:AB75,1),"")</f>
        <v/>
      </c>
      <c r="BC75" s="591" t="str">
        <f>IF(AC75=1,COUNTIF($AC$27:AC75,1),"")</f>
        <v/>
      </c>
      <c r="BD75" s="591" t="str">
        <f>IF(AD75=1,COUNTIF($AD$27:AD75,1),"")</f>
        <v/>
      </c>
      <c r="BE75" s="591" t="str">
        <f>IF(AE75=1,COUNTIF($AE$27:AE75,1),"")</f>
        <v/>
      </c>
      <c r="BF75" s="591" t="str">
        <f>IF(AF75=1,COUNTIF($AF$27:AF75,1),"")</f>
        <v/>
      </c>
      <c r="BG75" s="591" t="str">
        <f>IF(AG75=1,COUNTIF($AG$27:AG75,1),"")</f>
        <v/>
      </c>
      <c r="BH75" s="591" t="str">
        <f>IF(AH75=1,COUNTIF($AH$27:AH75,1),"")</f>
        <v/>
      </c>
      <c r="BI75" s="591" t="str">
        <f>IF(AI75=1,COUNTIF($AI$27:AI75,1),"")</f>
        <v/>
      </c>
      <c r="BJ75" s="591" t="str">
        <f>IF(AJ75=1,COUNTIF($AJ$27:AJ75,1),"")</f>
        <v/>
      </c>
      <c r="BK75" s="591" t="str">
        <f>IF(AK75=1,COUNTIF($AK$27:AK75,1),"")</f>
        <v/>
      </c>
    </row>
    <row r="76" spans="2:63" ht="35.1" customHeight="1">
      <c r="C76" s="17" t="str">
        <f t="shared" si="1"/>
        <v>-</v>
      </c>
      <c r="D76" s="17"/>
      <c r="E76" s="17"/>
      <c r="J76" s="1220" t="str">
        <f t="shared" si="3"/>
        <v>-</v>
      </c>
      <c r="N76" s="658"/>
      <c r="O76" s="658"/>
      <c r="P76" s="658"/>
      <c r="Q76" s="658"/>
      <c r="R76" s="658"/>
      <c r="S76" s="658"/>
      <c r="T76" s="658"/>
      <c r="U76" s="658"/>
      <c r="V76" s="658"/>
      <c r="W76" s="658"/>
      <c r="X76" s="658"/>
      <c r="Y76" s="658"/>
      <c r="Z76" s="658"/>
      <c r="AA76" s="658"/>
      <c r="AB76" s="658"/>
      <c r="AC76" s="658"/>
      <c r="AD76" s="658"/>
      <c r="AE76" s="658"/>
      <c r="AF76" s="658"/>
      <c r="AG76" s="658"/>
      <c r="AH76" s="658"/>
      <c r="AI76" s="658"/>
      <c r="AJ76" s="658"/>
      <c r="AK76" s="658"/>
      <c r="AN76" s="591" t="str">
        <f>IF(N76=1,COUNTIF($N$27:N76,1),"")</f>
        <v/>
      </c>
      <c r="AO76" s="591" t="str">
        <f>IF(O76=1,COUNTIF($O$27:O76,1),"")</f>
        <v/>
      </c>
      <c r="AP76" s="591" t="str">
        <f>IF(P76=1,COUNTIF($P$27:P76,1),"")</f>
        <v/>
      </c>
      <c r="AQ76" s="591" t="str">
        <f>IF(Q76=1,COUNTIF($Q$27:Q76,1),"")</f>
        <v/>
      </c>
      <c r="AR76" s="591" t="str">
        <f>IF(R76=1,COUNTIF($R$27:R76,1),"")</f>
        <v/>
      </c>
      <c r="AS76" s="591" t="str">
        <f>IF(S76=1,COUNTIF($S$27:S76,1),"")</f>
        <v/>
      </c>
      <c r="AT76" s="591" t="str">
        <f>IF(T76=1,COUNTIF($T$27:T76,1),"")</f>
        <v/>
      </c>
      <c r="AU76" s="591" t="str">
        <f>IF(U76=1,COUNTIF($U$27:U76,1),"")</f>
        <v/>
      </c>
      <c r="AV76" s="591" t="str">
        <f>IF(V76=1,COUNTIF($V$27:V76,1),"")</f>
        <v/>
      </c>
      <c r="AW76" s="591" t="str">
        <f>IF(W76=1,COUNTIF($W$27:W76,1),"")</f>
        <v/>
      </c>
      <c r="AX76" s="591" t="str">
        <f>IF(X76=1,COUNTIF($X$27:X76,1),"")</f>
        <v/>
      </c>
      <c r="AY76" s="591" t="str">
        <f>IF(Y76=1,COUNTIF($Y$27:Y76,1),"")</f>
        <v/>
      </c>
      <c r="AZ76" s="591" t="str">
        <f>IF(Z76=1,COUNTIF($Z$27:Z76,1),"")</f>
        <v/>
      </c>
      <c r="BA76" s="591" t="str">
        <f>IF(AA76=1,COUNTIF($AA$27:AA76,1),"")</f>
        <v/>
      </c>
      <c r="BB76" s="591" t="str">
        <f>IF(AB76=1,COUNTIF($AB$27:AB76,1),"")</f>
        <v/>
      </c>
      <c r="BC76" s="591" t="str">
        <f>IF(AC76=1,COUNTIF($AC$27:AC76,1),"")</f>
        <v/>
      </c>
      <c r="BD76" s="591" t="str">
        <f>IF(AD76=1,COUNTIF($AD$27:AD76,1),"")</f>
        <v/>
      </c>
      <c r="BE76" s="591" t="str">
        <f>IF(AE76=1,COUNTIF($AE$27:AE76,1),"")</f>
        <v/>
      </c>
      <c r="BF76" s="591" t="str">
        <f>IF(AF76=1,COUNTIF($AF$27:AF76,1),"")</f>
        <v/>
      </c>
      <c r="BG76" s="591" t="str">
        <f>IF(AG76=1,COUNTIF($AG$27:AG76,1),"")</f>
        <v/>
      </c>
      <c r="BH76" s="591" t="str">
        <f>IF(AH76=1,COUNTIF($AH$27:AH76,1),"")</f>
        <v/>
      </c>
      <c r="BI76" s="591" t="str">
        <f>IF(AI76=1,COUNTIF($AI$27:AI76,1),"")</f>
        <v/>
      </c>
      <c r="BJ76" s="591" t="str">
        <f>IF(AJ76=1,COUNTIF($AJ$27:AJ76,1),"")</f>
        <v/>
      </c>
      <c r="BK76" s="591" t="str">
        <f>IF(AK76=1,COUNTIF($AK$27:AK76,1),"")</f>
        <v/>
      </c>
    </row>
    <row r="77" spans="2:63" ht="35.1" customHeight="1">
      <c r="C77" s="17" t="str">
        <f t="shared" si="1"/>
        <v>-</v>
      </c>
      <c r="D77" s="17"/>
      <c r="E77" s="17"/>
      <c r="J77" s="1220" t="str">
        <f t="shared" si="3"/>
        <v>-</v>
      </c>
      <c r="N77" s="658"/>
      <c r="O77" s="658"/>
      <c r="P77" s="658"/>
      <c r="Q77" s="658"/>
      <c r="R77" s="658"/>
      <c r="S77" s="658"/>
      <c r="T77" s="658"/>
      <c r="U77" s="658"/>
      <c r="V77" s="658"/>
      <c r="W77" s="658"/>
      <c r="X77" s="658"/>
      <c r="Y77" s="658"/>
      <c r="Z77" s="658"/>
      <c r="AA77" s="658"/>
      <c r="AB77" s="658"/>
      <c r="AC77" s="658"/>
      <c r="AD77" s="658"/>
      <c r="AE77" s="658"/>
      <c r="AF77" s="658"/>
      <c r="AG77" s="658"/>
      <c r="AH77" s="658"/>
      <c r="AI77" s="658"/>
      <c r="AJ77" s="658"/>
      <c r="AK77" s="658"/>
      <c r="AN77" s="591" t="str">
        <f>IF(N77=1,COUNTIF($N$27:N77,1),"")</f>
        <v/>
      </c>
      <c r="AO77" s="591" t="str">
        <f>IF(O77=1,COUNTIF($O$27:O77,1),"")</f>
        <v/>
      </c>
      <c r="AP77" s="591" t="str">
        <f>IF(P77=1,COUNTIF($P$27:P77,1),"")</f>
        <v/>
      </c>
      <c r="AQ77" s="591" t="str">
        <f>IF(Q77=1,COUNTIF($Q$27:Q77,1),"")</f>
        <v/>
      </c>
      <c r="AR77" s="591" t="str">
        <f>IF(R77=1,COUNTIF($R$27:R77,1),"")</f>
        <v/>
      </c>
      <c r="AS77" s="591" t="str">
        <f>IF(S77=1,COUNTIF($S$27:S77,1),"")</f>
        <v/>
      </c>
      <c r="AT77" s="591" t="str">
        <f>IF(T77=1,COUNTIF($T$27:T77,1),"")</f>
        <v/>
      </c>
      <c r="AU77" s="591" t="str">
        <f>IF(U77=1,COUNTIF($U$27:U77,1),"")</f>
        <v/>
      </c>
      <c r="AV77" s="591" t="str">
        <f>IF(V77=1,COUNTIF($V$27:V77,1),"")</f>
        <v/>
      </c>
      <c r="AW77" s="591" t="str">
        <f>IF(W77=1,COUNTIF($W$27:W77,1),"")</f>
        <v/>
      </c>
      <c r="AX77" s="591" t="str">
        <f>IF(X77=1,COUNTIF($X$27:X77,1),"")</f>
        <v/>
      </c>
      <c r="AY77" s="591" t="str">
        <f>IF(Y77=1,COUNTIF($Y$27:Y77,1),"")</f>
        <v/>
      </c>
      <c r="AZ77" s="591" t="str">
        <f>IF(Z77=1,COUNTIF($Z$27:Z77,1),"")</f>
        <v/>
      </c>
      <c r="BA77" s="591" t="str">
        <f>IF(AA77=1,COUNTIF($AA$27:AA77,1),"")</f>
        <v/>
      </c>
      <c r="BB77" s="591" t="str">
        <f>IF(AB77=1,COUNTIF($AB$27:AB77,1),"")</f>
        <v/>
      </c>
      <c r="BC77" s="591" t="str">
        <f>IF(AC77=1,COUNTIF($AC$27:AC77,1),"")</f>
        <v/>
      </c>
      <c r="BD77" s="591" t="str">
        <f>IF(AD77=1,COUNTIF($AD$27:AD77,1),"")</f>
        <v/>
      </c>
      <c r="BE77" s="591" t="str">
        <f>IF(AE77=1,COUNTIF($AE$27:AE77,1),"")</f>
        <v/>
      </c>
      <c r="BF77" s="591" t="str">
        <f>IF(AF77=1,COUNTIF($AF$27:AF77,1),"")</f>
        <v/>
      </c>
      <c r="BG77" s="591" t="str">
        <f>IF(AG77=1,COUNTIF($AG$27:AG77,1),"")</f>
        <v/>
      </c>
      <c r="BH77" s="591" t="str">
        <f>IF(AH77=1,COUNTIF($AH$27:AH77,1),"")</f>
        <v/>
      </c>
      <c r="BI77" s="591" t="str">
        <f>IF(AI77=1,COUNTIF($AI$27:AI77,1),"")</f>
        <v/>
      </c>
      <c r="BJ77" s="591" t="str">
        <f>IF(AJ77=1,COUNTIF($AJ$27:AJ77,1),"")</f>
        <v/>
      </c>
      <c r="BK77" s="591" t="str">
        <f>IF(AK77=1,COUNTIF($AK$27:AK77,1),"")</f>
        <v/>
      </c>
    </row>
    <row r="78" spans="2:63" ht="35.1" customHeight="1">
      <c r="C78" s="17" t="str">
        <f t="shared" si="1"/>
        <v>-</v>
      </c>
      <c r="D78" s="17"/>
      <c r="E78" s="17"/>
      <c r="J78" s="1220" t="str">
        <f t="shared" si="3"/>
        <v>-</v>
      </c>
      <c r="N78" s="658"/>
      <c r="O78" s="658"/>
      <c r="P78" s="658"/>
      <c r="Q78" s="658"/>
      <c r="R78" s="658"/>
      <c r="S78" s="658"/>
      <c r="T78" s="658"/>
      <c r="U78" s="658"/>
      <c r="V78" s="658"/>
      <c r="W78" s="658"/>
      <c r="X78" s="658"/>
      <c r="Y78" s="658"/>
      <c r="Z78" s="658"/>
      <c r="AA78" s="658"/>
      <c r="AB78" s="658"/>
      <c r="AC78" s="658"/>
      <c r="AD78" s="658"/>
      <c r="AE78" s="658"/>
      <c r="AF78" s="658"/>
      <c r="AG78" s="658"/>
      <c r="AH78" s="658"/>
      <c r="AI78" s="658"/>
      <c r="AJ78" s="658"/>
      <c r="AK78" s="658"/>
      <c r="AN78" s="591" t="str">
        <f>IF(N78=1,COUNTIF($N$27:N78,1),"")</f>
        <v/>
      </c>
      <c r="AO78" s="591" t="str">
        <f>IF(O78=1,COUNTIF($O$27:O78,1),"")</f>
        <v/>
      </c>
      <c r="AP78" s="591" t="str">
        <f>IF(P78=1,COUNTIF($P$27:P78,1),"")</f>
        <v/>
      </c>
      <c r="AQ78" s="591" t="str">
        <f>IF(Q78=1,COUNTIF($Q$27:Q78,1),"")</f>
        <v/>
      </c>
      <c r="AR78" s="591" t="str">
        <f>IF(R78=1,COUNTIF($R$27:R78,1),"")</f>
        <v/>
      </c>
      <c r="AS78" s="591" t="str">
        <f>IF(S78=1,COUNTIF($S$27:S78,1),"")</f>
        <v/>
      </c>
      <c r="AT78" s="591" t="str">
        <f>IF(T78=1,COUNTIF($T$27:T78,1),"")</f>
        <v/>
      </c>
      <c r="AU78" s="591" t="str">
        <f>IF(U78=1,COUNTIF($U$27:U78,1),"")</f>
        <v/>
      </c>
      <c r="AV78" s="591" t="str">
        <f>IF(V78=1,COUNTIF($V$27:V78,1),"")</f>
        <v/>
      </c>
      <c r="AW78" s="591" t="str">
        <f>IF(W78=1,COUNTIF($W$27:W78,1),"")</f>
        <v/>
      </c>
      <c r="AX78" s="591" t="str">
        <f>IF(X78=1,COUNTIF($X$27:X78,1),"")</f>
        <v/>
      </c>
      <c r="AY78" s="591" t="str">
        <f>IF(Y78=1,COUNTIF($Y$27:Y78,1),"")</f>
        <v/>
      </c>
      <c r="AZ78" s="591" t="str">
        <f>IF(Z78=1,COUNTIF($Z$27:Z78,1),"")</f>
        <v/>
      </c>
      <c r="BA78" s="591" t="str">
        <f>IF(AA78=1,COUNTIF($AA$27:AA78,1),"")</f>
        <v/>
      </c>
      <c r="BB78" s="591" t="str">
        <f>IF(AB78=1,COUNTIF($AB$27:AB78,1),"")</f>
        <v/>
      </c>
      <c r="BC78" s="591" t="str">
        <f>IF(AC78=1,COUNTIF($AC$27:AC78,1),"")</f>
        <v/>
      </c>
      <c r="BD78" s="591" t="str">
        <f>IF(AD78=1,COUNTIF($AD$27:AD78,1),"")</f>
        <v/>
      </c>
      <c r="BE78" s="591" t="str">
        <f>IF(AE78=1,COUNTIF($AE$27:AE78,1),"")</f>
        <v/>
      </c>
      <c r="BF78" s="591" t="str">
        <f>IF(AF78=1,COUNTIF($AF$27:AF78,1),"")</f>
        <v/>
      </c>
      <c r="BG78" s="591" t="str">
        <f>IF(AG78=1,COUNTIF($AG$27:AG78,1),"")</f>
        <v/>
      </c>
      <c r="BH78" s="591" t="str">
        <f>IF(AH78=1,COUNTIF($AH$27:AH78,1),"")</f>
        <v/>
      </c>
      <c r="BI78" s="591" t="str">
        <f>IF(AI78=1,COUNTIF($AI$27:AI78,1),"")</f>
        <v/>
      </c>
      <c r="BJ78" s="591" t="str">
        <f>IF(AJ78=1,COUNTIF($AJ$27:AJ78,1),"")</f>
        <v/>
      </c>
      <c r="BK78" s="591" t="str">
        <f>IF(AK78=1,COUNTIF($AK$27:AK78,1),"")</f>
        <v/>
      </c>
    </row>
    <row r="79" spans="2:63" ht="35.1" customHeight="1">
      <c r="C79" s="17" t="str">
        <f t="shared" si="1"/>
        <v>-</v>
      </c>
      <c r="D79" s="17"/>
      <c r="E79" s="17"/>
      <c r="J79" s="1220" t="str">
        <f t="shared" si="3"/>
        <v>-</v>
      </c>
      <c r="N79" s="658"/>
      <c r="O79" s="658"/>
      <c r="P79" s="658"/>
      <c r="Q79" s="658"/>
      <c r="R79" s="658"/>
      <c r="S79" s="658"/>
      <c r="T79" s="658"/>
      <c r="U79" s="658"/>
      <c r="V79" s="658"/>
      <c r="W79" s="658"/>
      <c r="X79" s="658"/>
      <c r="Y79" s="658"/>
      <c r="Z79" s="658"/>
      <c r="AA79" s="658"/>
      <c r="AB79" s="658"/>
      <c r="AC79" s="658"/>
      <c r="AD79" s="658"/>
      <c r="AE79" s="658"/>
      <c r="AF79" s="658"/>
      <c r="AG79" s="658"/>
      <c r="AH79" s="658"/>
      <c r="AI79" s="658"/>
      <c r="AJ79" s="658"/>
      <c r="AK79" s="658"/>
      <c r="AN79" s="591" t="str">
        <f>IF(N79=1,COUNTIF($N$27:N79,1),"")</f>
        <v/>
      </c>
      <c r="AO79" s="591" t="str">
        <f>IF(O79=1,COUNTIF($O$27:O79,1),"")</f>
        <v/>
      </c>
      <c r="AP79" s="591" t="str">
        <f>IF(P79=1,COUNTIF($P$27:P79,1),"")</f>
        <v/>
      </c>
      <c r="AQ79" s="591" t="str">
        <f>IF(Q79=1,COUNTIF($Q$27:Q79,1),"")</f>
        <v/>
      </c>
      <c r="AR79" s="591" t="str">
        <f>IF(R79=1,COUNTIF($R$27:R79,1),"")</f>
        <v/>
      </c>
      <c r="AS79" s="591" t="str">
        <f>IF(S79=1,COUNTIF($S$27:S79,1),"")</f>
        <v/>
      </c>
      <c r="AT79" s="591" t="str">
        <f>IF(T79=1,COUNTIF($T$27:T79,1),"")</f>
        <v/>
      </c>
      <c r="AU79" s="591" t="str">
        <f>IF(U79=1,COUNTIF($U$27:U79,1),"")</f>
        <v/>
      </c>
      <c r="AV79" s="591" t="str">
        <f>IF(V79=1,COUNTIF($V$27:V79,1),"")</f>
        <v/>
      </c>
      <c r="AW79" s="591" t="str">
        <f>IF(W79=1,COUNTIF($W$27:W79,1),"")</f>
        <v/>
      </c>
      <c r="AX79" s="591" t="str">
        <f>IF(X79=1,COUNTIF($X$27:X79,1),"")</f>
        <v/>
      </c>
      <c r="AY79" s="591" t="str">
        <f>IF(Y79=1,COUNTIF($Y$27:Y79,1),"")</f>
        <v/>
      </c>
      <c r="AZ79" s="591" t="str">
        <f>IF(Z79=1,COUNTIF($Z$27:Z79,1),"")</f>
        <v/>
      </c>
      <c r="BA79" s="591" t="str">
        <f>IF(AA79=1,COUNTIF($AA$27:AA79,1),"")</f>
        <v/>
      </c>
      <c r="BB79" s="591" t="str">
        <f>IF(AB79=1,COUNTIF($AB$27:AB79,1),"")</f>
        <v/>
      </c>
      <c r="BC79" s="591" t="str">
        <f>IF(AC79=1,COUNTIF($AC$27:AC79,1),"")</f>
        <v/>
      </c>
      <c r="BD79" s="591" t="str">
        <f>IF(AD79=1,COUNTIF($AD$27:AD79,1),"")</f>
        <v/>
      </c>
      <c r="BE79" s="591" t="str">
        <f>IF(AE79=1,COUNTIF($AE$27:AE79,1),"")</f>
        <v/>
      </c>
      <c r="BF79" s="591" t="str">
        <f>IF(AF79=1,COUNTIF($AF$27:AF79,1),"")</f>
        <v/>
      </c>
      <c r="BG79" s="591" t="str">
        <f>IF(AG79=1,COUNTIF($AG$27:AG79,1),"")</f>
        <v/>
      </c>
      <c r="BH79" s="591" t="str">
        <f>IF(AH79=1,COUNTIF($AH$27:AH79,1),"")</f>
        <v/>
      </c>
      <c r="BI79" s="591" t="str">
        <f>IF(AI79=1,COUNTIF($AI$27:AI79,1),"")</f>
        <v/>
      </c>
      <c r="BJ79" s="591" t="str">
        <f>IF(AJ79=1,COUNTIF($AJ$27:AJ79,1),"")</f>
        <v/>
      </c>
      <c r="BK79" s="591" t="str">
        <f>IF(AK79=1,COUNTIF($AK$27:AK79,1),"")</f>
        <v/>
      </c>
    </row>
    <row r="80" spans="2:63" ht="35.1" customHeight="1">
      <c r="C80" s="17" t="str">
        <f t="shared" si="1"/>
        <v>-</v>
      </c>
      <c r="D80" s="17"/>
      <c r="E80" s="17"/>
      <c r="J80" s="1220" t="str">
        <f t="shared" si="3"/>
        <v>-</v>
      </c>
      <c r="N80" s="658"/>
      <c r="O80" s="658"/>
      <c r="P80" s="658"/>
      <c r="Q80" s="658"/>
      <c r="R80" s="658"/>
      <c r="S80" s="658"/>
      <c r="T80" s="658"/>
      <c r="U80" s="658"/>
      <c r="V80" s="658"/>
      <c r="W80" s="658"/>
      <c r="X80" s="658"/>
      <c r="Y80" s="658"/>
      <c r="Z80" s="658"/>
      <c r="AA80" s="658"/>
      <c r="AB80" s="658"/>
      <c r="AC80" s="658"/>
      <c r="AD80" s="658"/>
      <c r="AE80" s="658"/>
      <c r="AF80" s="658"/>
      <c r="AG80" s="658"/>
      <c r="AH80" s="658"/>
      <c r="AI80" s="658"/>
      <c r="AJ80" s="658"/>
      <c r="AK80" s="658"/>
      <c r="AN80" s="591" t="str">
        <f>IF(N80=1,COUNTIF($N$27:N80,1),"")</f>
        <v/>
      </c>
      <c r="AO80" s="591" t="str">
        <f>IF(O80=1,COUNTIF($O$27:O80,1),"")</f>
        <v/>
      </c>
      <c r="AP80" s="591" t="str">
        <f>IF(P80=1,COUNTIF($P$27:P80,1),"")</f>
        <v/>
      </c>
      <c r="AQ80" s="591" t="str">
        <f>IF(Q80=1,COUNTIF($Q$27:Q80,1),"")</f>
        <v/>
      </c>
      <c r="AR80" s="591" t="str">
        <f>IF(R80=1,COUNTIF($R$27:R80,1),"")</f>
        <v/>
      </c>
      <c r="AS80" s="591" t="str">
        <f>IF(S80=1,COUNTIF($S$27:S80,1),"")</f>
        <v/>
      </c>
      <c r="AT80" s="591" t="str">
        <f>IF(T80=1,COUNTIF($T$27:T80,1),"")</f>
        <v/>
      </c>
      <c r="AU80" s="591" t="str">
        <f>IF(U80=1,COUNTIF($U$27:U80,1),"")</f>
        <v/>
      </c>
      <c r="AV80" s="591" t="str">
        <f>IF(V80=1,COUNTIF($V$27:V80,1),"")</f>
        <v/>
      </c>
      <c r="AW80" s="591" t="str">
        <f>IF(W80=1,COUNTIF($W$27:W80,1),"")</f>
        <v/>
      </c>
      <c r="AX80" s="591" t="str">
        <f>IF(X80=1,COUNTIF($X$27:X80,1),"")</f>
        <v/>
      </c>
      <c r="AY80" s="591" t="str">
        <f>IF(Y80=1,COUNTIF($Y$27:Y80,1),"")</f>
        <v/>
      </c>
      <c r="AZ80" s="591" t="str">
        <f>IF(Z80=1,COUNTIF($Z$27:Z80,1),"")</f>
        <v/>
      </c>
      <c r="BA80" s="591" t="str">
        <f>IF(AA80=1,COUNTIF($AA$27:AA80,1),"")</f>
        <v/>
      </c>
      <c r="BB80" s="591" t="str">
        <f>IF(AB80=1,COUNTIF($AB$27:AB80,1),"")</f>
        <v/>
      </c>
      <c r="BC80" s="591" t="str">
        <f>IF(AC80=1,COUNTIF($AC$27:AC80,1),"")</f>
        <v/>
      </c>
      <c r="BD80" s="591" t="str">
        <f>IF(AD80=1,COUNTIF($AD$27:AD80,1),"")</f>
        <v/>
      </c>
      <c r="BE80" s="591" t="str">
        <f>IF(AE80=1,COUNTIF($AE$27:AE80,1),"")</f>
        <v/>
      </c>
      <c r="BF80" s="591" t="str">
        <f>IF(AF80=1,COUNTIF($AF$27:AF80,1),"")</f>
        <v/>
      </c>
      <c r="BG80" s="591" t="str">
        <f>IF(AG80=1,COUNTIF($AG$27:AG80,1),"")</f>
        <v/>
      </c>
      <c r="BH80" s="591" t="str">
        <f>IF(AH80=1,COUNTIF($AH$27:AH80,1),"")</f>
        <v/>
      </c>
      <c r="BI80" s="591" t="str">
        <f>IF(AI80=1,COUNTIF($AI$27:AI80,1),"")</f>
        <v/>
      </c>
      <c r="BJ80" s="591" t="str">
        <f>IF(AJ80=1,COUNTIF($AJ$27:AJ80,1),"")</f>
        <v/>
      </c>
      <c r="BK80" s="591" t="str">
        <f>IF(AK80=1,COUNTIF($AK$27:AK80,1),"")</f>
        <v/>
      </c>
    </row>
    <row r="81" spans="3:63" ht="35.1" customHeight="1">
      <c r="C81" s="17" t="str">
        <f t="shared" si="1"/>
        <v>-</v>
      </c>
      <c r="D81" s="17"/>
      <c r="E81" s="17"/>
      <c r="J81" s="1220" t="str">
        <f t="shared" si="3"/>
        <v>-</v>
      </c>
      <c r="N81" s="658"/>
      <c r="O81" s="658"/>
      <c r="P81" s="658"/>
      <c r="Q81" s="658"/>
      <c r="R81" s="658"/>
      <c r="S81" s="658"/>
      <c r="T81" s="658"/>
      <c r="U81" s="658"/>
      <c r="V81" s="658"/>
      <c r="W81" s="658"/>
      <c r="X81" s="658"/>
      <c r="Y81" s="658"/>
      <c r="Z81" s="658"/>
      <c r="AA81" s="658"/>
      <c r="AB81" s="658"/>
      <c r="AC81" s="658"/>
      <c r="AD81" s="658"/>
      <c r="AE81" s="658"/>
      <c r="AF81" s="658"/>
      <c r="AG81" s="658"/>
      <c r="AH81" s="658"/>
      <c r="AI81" s="658"/>
      <c r="AJ81" s="658"/>
      <c r="AK81" s="658"/>
      <c r="AN81" s="591" t="str">
        <f>IF(N81=1,COUNTIF($N$27:N81,1),"")</f>
        <v/>
      </c>
      <c r="AO81" s="591" t="str">
        <f>IF(O81=1,COUNTIF($O$27:O81,1),"")</f>
        <v/>
      </c>
      <c r="AP81" s="591" t="str">
        <f>IF(P81=1,COUNTIF($P$27:P81,1),"")</f>
        <v/>
      </c>
      <c r="AQ81" s="591" t="str">
        <f>IF(Q81=1,COUNTIF($Q$27:Q81,1),"")</f>
        <v/>
      </c>
      <c r="AR81" s="591" t="str">
        <f>IF(R81=1,COUNTIF($R$27:R81,1),"")</f>
        <v/>
      </c>
      <c r="AS81" s="591" t="str">
        <f>IF(S81=1,COUNTIF($S$27:S81,1),"")</f>
        <v/>
      </c>
      <c r="AT81" s="591" t="str">
        <f>IF(T81=1,COUNTIF($T$27:T81,1),"")</f>
        <v/>
      </c>
      <c r="AU81" s="591" t="str">
        <f>IF(U81=1,COUNTIF($U$27:U81,1),"")</f>
        <v/>
      </c>
      <c r="AV81" s="591" t="str">
        <f>IF(V81=1,COUNTIF($V$27:V81,1),"")</f>
        <v/>
      </c>
      <c r="AW81" s="591" t="str">
        <f>IF(W81=1,COUNTIF($W$27:W81,1),"")</f>
        <v/>
      </c>
      <c r="AX81" s="591" t="str">
        <f>IF(X81=1,COUNTIF($X$27:X81,1),"")</f>
        <v/>
      </c>
      <c r="AY81" s="591" t="str">
        <f>IF(Y81=1,COUNTIF($Y$27:Y81,1),"")</f>
        <v/>
      </c>
      <c r="AZ81" s="591" t="str">
        <f>IF(Z81=1,COUNTIF($Z$27:Z81,1),"")</f>
        <v/>
      </c>
      <c r="BA81" s="591" t="str">
        <f>IF(AA81=1,COUNTIF($AA$27:AA81,1),"")</f>
        <v/>
      </c>
      <c r="BB81" s="591" t="str">
        <f>IF(AB81=1,COUNTIF($AB$27:AB81,1),"")</f>
        <v/>
      </c>
      <c r="BC81" s="591" t="str">
        <f>IF(AC81=1,COUNTIF($AC$27:AC81,1),"")</f>
        <v/>
      </c>
      <c r="BD81" s="591" t="str">
        <f>IF(AD81=1,COUNTIF($AD$27:AD81,1),"")</f>
        <v/>
      </c>
      <c r="BE81" s="591" t="str">
        <f>IF(AE81=1,COUNTIF($AE$27:AE81,1),"")</f>
        <v/>
      </c>
      <c r="BF81" s="591" t="str">
        <f>IF(AF81=1,COUNTIF($AF$27:AF81,1),"")</f>
        <v/>
      </c>
      <c r="BG81" s="591" t="str">
        <f>IF(AG81=1,COUNTIF($AG$27:AG81,1),"")</f>
        <v/>
      </c>
      <c r="BH81" s="591" t="str">
        <f>IF(AH81=1,COUNTIF($AH$27:AH81,1),"")</f>
        <v/>
      </c>
      <c r="BI81" s="591" t="str">
        <f>IF(AI81=1,COUNTIF($AI$27:AI81,1),"")</f>
        <v/>
      </c>
      <c r="BJ81" s="591" t="str">
        <f>IF(AJ81=1,COUNTIF($AJ$27:AJ81,1),"")</f>
        <v/>
      </c>
      <c r="BK81" s="591" t="str">
        <f>IF(AK81=1,COUNTIF($AK$27:AK81,1),"")</f>
        <v/>
      </c>
    </row>
    <row r="82" spans="3:63" ht="35.1" customHeight="1">
      <c r="C82" s="17" t="str">
        <f t="shared" si="1"/>
        <v>-</v>
      </c>
      <c r="D82" s="17"/>
      <c r="E82" s="17"/>
      <c r="J82" s="1220" t="str">
        <f t="shared" si="3"/>
        <v>-</v>
      </c>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N82" s="591" t="str">
        <f>IF(N82=1,COUNTIF($N$27:N82,1),"")</f>
        <v/>
      </c>
      <c r="AO82" s="591" t="str">
        <f>IF(O82=1,COUNTIF($O$27:O82,1),"")</f>
        <v/>
      </c>
      <c r="AP82" s="591" t="str">
        <f>IF(P82=1,COUNTIF($P$27:P82,1),"")</f>
        <v/>
      </c>
      <c r="AQ82" s="591" t="str">
        <f>IF(Q82=1,COUNTIF($Q$27:Q82,1),"")</f>
        <v/>
      </c>
      <c r="AR82" s="591" t="str">
        <f>IF(R82=1,COUNTIF($R$27:R82,1),"")</f>
        <v/>
      </c>
      <c r="AS82" s="591" t="str">
        <f>IF(S82=1,COUNTIF($S$27:S82,1),"")</f>
        <v/>
      </c>
      <c r="AT82" s="591" t="str">
        <f>IF(T82=1,COUNTIF($T$27:T82,1),"")</f>
        <v/>
      </c>
      <c r="AU82" s="591" t="str">
        <f>IF(U82=1,COUNTIF($U$27:U82,1),"")</f>
        <v/>
      </c>
      <c r="AV82" s="591" t="str">
        <f>IF(V82=1,COUNTIF($V$27:V82,1),"")</f>
        <v/>
      </c>
      <c r="AW82" s="591" t="str">
        <f>IF(W82=1,COUNTIF($W$27:W82,1),"")</f>
        <v/>
      </c>
      <c r="AX82" s="591" t="str">
        <f>IF(X82=1,COUNTIF($X$27:X82,1),"")</f>
        <v/>
      </c>
      <c r="AY82" s="591" t="str">
        <f>IF(Y82=1,COUNTIF($Y$27:Y82,1),"")</f>
        <v/>
      </c>
      <c r="AZ82" s="591" t="str">
        <f>IF(Z82=1,COUNTIF($Z$27:Z82,1),"")</f>
        <v/>
      </c>
      <c r="BA82" s="591" t="str">
        <f>IF(AA82=1,COUNTIF($AA$27:AA82,1),"")</f>
        <v/>
      </c>
      <c r="BB82" s="591" t="str">
        <f>IF(AB82=1,COUNTIF($AB$27:AB82,1),"")</f>
        <v/>
      </c>
      <c r="BC82" s="591" t="str">
        <f>IF(AC82=1,COUNTIF($AC$27:AC82,1),"")</f>
        <v/>
      </c>
      <c r="BD82" s="591" t="str">
        <f>IF(AD82=1,COUNTIF($AD$27:AD82,1),"")</f>
        <v/>
      </c>
      <c r="BE82" s="591" t="str">
        <f>IF(AE82=1,COUNTIF($AE$27:AE82,1),"")</f>
        <v/>
      </c>
      <c r="BF82" s="591" t="str">
        <f>IF(AF82=1,COUNTIF($AF$27:AF82,1),"")</f>
        <v/>
      </c>
      <c r="BG82" s="591" t="str">
        <f>IF(AG82=1,COUNTIF($AG$27:AG82,1),"")</f>
        <v/>
      </c>
      <c r="BH82" s="591" t="str">
        <f>IF(AH82=1,COUNTIF($AH$27:AH82,1),"")</f>
        <v/>
      </c>
      <c r="BI82" s="591" t="str">
        <f>IF(AI82=1,COUNTIF($AI$27:AI82,1),"")</f>
        <v/>
      </c>
      <c r="BJ82" s="591" t="str">
        <f>IF(AJ82=1,COUNTIF($AJ$27:AJ82,1),"")</f>
        <v/>
      </c>
      <c r="BK82" s="591" t="str">
        <f>IF(AK82=1,COUNTIF($AK$27:AK82,1),"")</f>
        <v/>
      </c>
    </row>
    <row r="83" spans="3:63" ht="35.1" customHeight="1">
      <c r="C83" s="17" t="str">
        <f t="shared" si="1"/>
        <v>-</v>
      </c>
      <c r="D83" s="17"/>
      <c r="E83" s="17"/>
      <c r="J83" s="1220" t="str">
        <f t="shared" si="3"/>
        <v>-</v>
      </c>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N83" s="591" t="str">
        <f>IF(N83=1,COUNTIF($N$27:N83,1),"")</f>
        <v/>
      </c>
      <c r="AO83" s="591" t="str">
        <f>IF(O83=1,COUNTIF($O$27:O83,1),"")</f>
        <v/>
      </c>
      <c r="AP83" s="591" t="str">
        <f>IF(P83=1,COUNTIF($P$27:P83,1),"")</f>
        <v/>
      </c>
      <c r="AQ83" s="591" t="str">
        <f>IF(Q83=1,COUNTIF($Q$27:Q83,1),"")</f>
        <v/>
      </c>
      <c r="AR83" s="591" t="str">
        <f>IF(R83=1,COUNTIF($R$27:R83,1),"")</f>
        <v/>
      </c>
      <c r="AS83" s="591" t="str">
        <f>IF(S83=1,COUNTIF($S$27:S83,1),"")</f>
        <v/>
      </c>
      <c r="AT83" s="591" t="str">
        <f>IF(T83=1,COUNTIF($T$27:T83,1),"")</f>
        <v/>
      </c>
      <c r="AU83" s="591" t="str">
        <f>IF(U83=1,COUNTIF($U$27:U83,1),"")</f>
        <v/>
      </c>
      <c r="AV83" s="591" t="str">
        <f>IF(V83=1,COUNTIF($V$27:V83,1),"")</f>
        <v/>
      </c>
      <c r="AW83" s="591" t="str">
        <f>IF(W83=1,COUNTIF($W$27:W83,1),"")</f>
        <v/>
      </c>
      <c r="AX83" s="591" t="str">
        <f>IF(X83=1,COUNTIF($X$27:X83,1),"")</f>
        <v/>
      </c>
      <c r="AY83" s="591" t="str">
        <f>IF(Y83=1,COUNTIF($Y$27:Y83,1),"")</f>
        <v/>
      </c>
      <c r="AZ83" s="591" t="str">
        <f>IF(Z83=1,COUNTIF($Z$27:Z83,1),"")</f>
        <v/>
      </c>
      <c r="BA83" s="591" t="str">
        <f>IF(AA83=1,COUNTIF($AA$27:AA83,1),"")</f>
        <v/>
      </c>
      <c r="BB83" s="591" t="str">
        <f>IF(AB83=1,COUNTIF($AB$27:AB83,1),"")</f>
        <v/>
      </c>
      <c r="BC83" s="591" t="str">
        <f>IF(AC83=1,COUNTIF($AC$27:AC83,1),"")</f>
        <v/>
      </c>
      <c r="BD83" s="591" t="str">
        <f>IF(AD83=1,COUNTIF($AD$27:AD83,1),"")</f>
        <v/>
      </c>
      <c r="BE83" s="591" t="str">
        <f>IF(AE83=1,COUNTIF($AE$27:AE83,1),"")</f>
        <v/>
      </c>
      <c r="BF83" s="591" t="str">
        <f>IF(AF83=1,COUNTIF($AF$27:AF83,1),"")</f>
        <v/>
      </c>
      <c r="BG83" s="591" t="str">
        <f>IF(AG83=1,COUNTIF($AG$27:AG83,1),"")</f>
        <v/>
      </c>
      <c r="BH83" s="591" t="str">
        <f>IF(AH83=1,COUNTIF($AH$27:AH83,1),"")</f>
        <v/>
      </c>
      <c r="BI83" s="591" t="str">
        <f>IF(AI83=1,COUNTIF($AI$27:AI83,1),"")</f>
        <v/>
      </c>
      <c r="BJ83" s="591" t="str">
        <f>IF(AJ83=1,COUNTIF($AJ$27:AJ83,1),"")</f>
        <v/>
      </c>
      <c r="BK83" s="591" t="str">
        <f>IF(AK83=1,COUNTIF($AK$27:AK83,1),"")</f>
        <v/>
      </c>
    </row>
    <row r="84" spans="3:63" ht="35.1" customHeight="1">
      <c r="C84" s="17" t="str">
        <f t="shared" si="1"/>
        <v>-</v>
      </c>
      <c r="D84" s="17"/>
      <c r="E84" s="17"/>
      <c r="J84" s="1220" t="str">
        <f t="shared" si="3"/>
        <v>-</v>
      </c>
      <c r="N84" s="658"/>
      <c r="O84" s="658"/>
      <c r="P84" s="658"/>
      <c r="Q84" s="658"/>
      <c r="R84" s="658"/>
      <c r="S84" s="658"/>
      <c r="T84" s="658"/>
      <c r="U84" s="658"/>
      <c r="V84" s="658"/>
      <c r="W84" s="658"/>
      <c r="X84" s="658"/>
      <c r="Y84" s="658"/>
      <c r="Z84" s="658"/>
      <c r="AA84" s="658"/>
      <c r="AB84" s="658"/>
      <c r="AC84" s="658"/>
      <c r="AD84" s="658"/>
      <c r="AE84" s="658"/>
      <c r="AF84" s="658"/>
      <c r="AG84" s="658"/>
      <c r="AH84" s="658"/>
      <c r="AI84" s="658"/>
      <c r="AJ84" s="658"/>
      <c r="AK84" s="658"/>
      <c r="AN84" s="591" t="str">
        <f>IF(N84=1,COUNTIF($N$27:N84,1),"")</f>
        <v/>
      </c>
      <c r="AO84" s="591" t="str">
        <f>IF(O84=1,COUNTIF($O$27:O84,1),"")</f>
        <v/>
      </c>
      <c r="AP84" s="591" t="str">
        <f>IF(P84=1,COUNTIF($P$27:P84,1),"")</f>
        <v/>
      </c>
      <c r="AQ84" s="591" t="str">
        <f>IF(Q84=1,COUNTIF($Q$27:Q84,1),"")</f>
        <v/>
      </c>
      <c r="AR84" s="591" t="str">
        <f>IF(R84=1,COUNTIF($R$27:R84,1),"")</f>
        <v/>
      </c>
      <c r="AS84" s="591" t="str">
        <f>IF(S84=1,COUNTIF($S$27:S84,1),"")</f>
        <v/>
      </c>
      <c r="AT84" s="591" t="str">
        <f>IF(T84=1,COUNTIF($T$27:T84,1),"")</f>
        <v/>
      </c>
      <c r="AU84" s="591" t="str">
        <f>IF(U84=1,COUNTIF($U$27:U84,1),"")</f>
        <v/>
      </c>
      <c r="AV84" s="591" t="str">
        <f>IF(V84=1,COUNTIF($V$27:V84,1),"")</f>
        <v/>
      </c>
      <c r="AW84" s="591" t="str">
        <f>IF(W84=1,COUNTIF($W$27:W84,1),"")</f>
        <v/>
      </c>
      <c r="AX84" s="591" t="str">
        <f>IF(X84=1,COUNTIF($X$27:X84,1),"")</f>
        <v/>
      </c>
      <c r="AY84" s="591" t="str">
        <f>IF(Y84=1,COUNTIF($Y$27:Y84,1),"")</f>
        <v/>
      </c>
      <c r="AZ84" s="591" t="str">
        <f>IF(Z84=1,COUNTIF($Z$27:Z84,1),"")</f>
        <v/>
      </c>
      <c r="BA84" s="591" t="str">
        <f>IF(AA84=1,COUNTIF($AA$27:AA84,1),"")</f>
        <v/>
      </c>
      <c r="BB84" s="591" t="str">
        <f>IF(AB84=1,COUNTIF($AB$27:AB84,1),"")</f>
        <v/>
      </c>
      <c r="BC84" s="591" t="str">
        <f>IF(AC84=1,COUNTIF($AC$27:AC84,1),"")</f>
        <v/>
      </c>
      <c r="BD84" s="591" t="str">
        <f>IF(AD84=1,COUNTIF($AD$27:AD84,1),"")</f>
        <v/>
      </c>
      <c r="BE84" s="591" t="str">
        <f>IF(AE84=1,COUNTIF($AE$27:AE84,1),"")</f>
        <v/>
      </c>
      <c r="BF84" s="591" t="str">
        <f>IF(AF84=1,COUNTIF($AF$27:AF84,1),"")</f>
        <v/>
      </c>
      <c r="BG84" s="591" t="str">
        <f>IF(AG84=1,COUNTIF($AG$27:AG84,1),"")</f>
        <v/>
      </c>
      <c r="BH84" s="591" t="str">
        <f>IF(AH84=1,COUNTIF($AH$27:AH84,1),"")</f>
        <v/>
      </c>
      <c r="BI84" s="591" t="str">
        <f>IF(AI84=1,COUNTIF($AI$27:AI84,1),"")</f>
        <v/>
      </c>
      <c r="BJ84" s="591" t="str">
        <f>IF(AJ84=1,COUNTIF($AJ$27:AJ84,1),"")</f>
        <v/>
      </c>
      <c r="BK84" s="591" t="str">
        <f>IF(AK84=1,COUNTIF($AK$27:AK84,1),"")</f>
        <v/>
      </c>
    </row>
    <row r="85" spans="3:63" ht="35.1" customHeight="1">
      <c r="C85" s="17" t="str">
        <f t="shared" si="1"/>
        <v>-</v>
      </c>
      <c r="D85" s="17"/>
      <c r="E85" s="17"/>
      <c r="J85" s="1220" t="str">
        <f t="shared" si="3"/>
        <v>-</v>
      </c>
      <c r="N85" s="658"/>
      <c r="O85" s="658"/>
      <c r="P85" s="658"/>
      <c r="Q85" s="658"/>
      <c r="R85" s="658"/>
      <c r="S85" s="658"/>
      <c r="T85" s="658"/>
      <c r="U85" s="658"/>
      <c r="V85" s="658"/>
      <c r="W85" s="658"/>
      <c r="X85" s="658"/>
      <c r="Y85" s="658"/>
      <c r="Z85" s="658"/>
      <c r="AA85" s="658"/>
      <c r="AB85" s="658"/>
      <c r="AC85" s="658"/>
      <c r="AD85" s="658"/>
      <c r="AE85" s="658"/>
      <c r="AF85" s="658"/>
      <c r="AG85" s="658"/>
      <c r="AH85" s="658"/>
      <c r="AI85" s="658"/>
      <c r="AJ85" s="658"/>
      <c r="AK85" s="658"/>
      <c r="AN85" s="591" t="str">
        <f>IF(N85=1,COUNTIF($N$27:N85,1),"")</f>
        <v/>
      </c>
      <c r="AO85" s="591" t="str">
        <f>IF(O85=1,COUNTIF($O$27:O85,1),"")</f>
        <v/>
      </c>
      <c r="AP85" s="591" t="str">
        <f>IF(P85=1,COUNTIF($P$27:P85,1),"")</f>
        <v/>
      </c>
      <c r="AQ85" s="591" t="str">
        <f>IF(Q85=1,COUNTIF($Q$27:Q85,1),"")</f>
        <v/>
      </c>
      <c r="AR85" s="591" t="str">
        <f>IF(R85=1,COUNTIF($R$27:R85,1),"")</f>
        <v/>
      </c>
      <c r="AS85" s="591" t="str">
        <f>IF(S85=1,COUNTIF($S$27:S85,1),"")</f>
        <v/>
      </c>
      <c r="AT85" s="591" t="str">
        <f>IF(T85=1,COUNTIF($T$27:T85,1),"")</f>
        <v/>
      </c>
      <c r="AU85" s="591" t="str">
        <f>IF(U85=1,COUNTIF($U$27:U85,1),"")</f>
        <v/>
      </c>
      <c r="AV85" s="591" t="str">
        <f>IF(V85=1,COUNTIF($V$27:V85,1),"")</f>
        <v/>
      </c>
      <c r="AW85" s="591" t="str">
        <f>IF(W85=1,COUNTIF($W$27:W85,1),"")</f>
        <v/>
      </c>
      <c r="AX85" s="591" t="str">
        <f>IF(X85=1,COUNTIF($X$27:X85,1),"")</f>
        <v/>
      </c>
      <c r="AY85" s="591" t="str">
        <f>IF(Y85=1,COUNTIF($Y$27:Y85,1),"")</f>
        <v/>
      </c>
      <c r="AZ85" s="591" t="str">
        <f>IF(Z85=1,COUNTIF($Z$27:Z85,1),"")</f>
        <v/>
      </c>
      <c r="BA85" s="591" t="str">
        <f>IF(AA85=1,COUNTIF($AA$27:AA85,1),"")</f>
        <v/>
      </c>
      <c r="BB85" s="591" t="str">
        <f>IF(AB85=1,COUNTIF($AB$27:AB85,1),"")</f>
        <v/>
      </c>
      <c r="BC85" s="591" t="str">
        <f>IF(AC85=1,COUNTIF($AC$27:AC85,1),"")</f>
        <v/>
      </c>
      <c r="BD85" s="591" t="str">
        <f>IF(AD85=1,COUNTIF($AD$27:AD85,1),"")</f>
        <v/>
      </c>
      <c r="BE85" s="591" t="str">
        <f>IF(AE85=1,COUNTIF($AE$27:AE85,1),"")</f>
        <v/>
      </c>
      <c r="BF85" s="591" t="str">
        <f>IF(AF85=1,COUNTIF($AF$27:AF85,1),"")</f>
        <v/>
      </c>
      <c r="BG85" s="591" t="str">
        <f>IF(AG85=1,COUNTIF($AG$27:AG85,1),"")</f>
        <v/>
      </c>
      <c r="BH85" s="591" t="str">
        <f>IF(AH85=1,COUNTIF($AH$27:AH85,1),"")</f>
        <v/>
      </c>
      <c r="BI85" s="591" t="str">
        <f>IF(AI85=1,COUNTIF($AI$27:AI85,1),"")</f>
        <v/>
      </c>
      <c r="BJ85" s="591" t="str">
        <f>IF(AJ85=1,COUNTIF($AJ$27:AJ85,1),"")</f>
        <v/>
      </c>
      <c r="BK85" s="591" t="str">
        <f>IF(AK85=1,COUNTIF($AK$27:AK85,1),"")</f>
        <v/>
      </c>
    </row>
    <row r="86" spans="3:63" ht="35.1" customHeight="1">
      <c r="C86" s="17" t="str">
        <f t="shared" si="1"/>
        <v>-</v>
      </c>
      <c r="D86" s="17"/>
      <c r="E86" s="17"/>
      <c r="J86" s="1220" t="str">
        <f t="shared" si="3"/>
        <v>-</v>
      </c>
      <c r="N86" s="658"/>
      <c r="O86" s="658"/>
      <c r="P86" s="658"/>
      <c r="Q86" s="658"/>
      <c r="R86" s="658"/>
      <c r="S86" s="658"/>
      <c r="T86" s="658"/>
      <c r="U86" s="658"/>
      <c r="V86" s="658"/>
      <c r="W86" s="658"/>
      <c r="X86" s="658"/>
      <c r="Y86" s="658"/>
      <c r="Z86" s="658"/>
      <c r="AA86" s="658"/>
      <c r="AB86" s="658"/>
      <c r="AC86" s="658"/>
      <c r="AD86" s="658"/>
      <c r="AE86" s="658"/>
      <c r="AF86" s="658"/>
      <c r="AG86" s="658"/>
      <c r="AH86" s="658"/>
      <c r="AI86" s="658"/>
      <c r="AJ86" s="658"/>
      <c r="AK86" s="658"/>
      <c r="AN86" s="591" t="str">
        <f>IF(N86=1,COUNTIF($N$27:N86,1),"")</f>
        <v/>
      </c>
      <c r="AO86" s="591" t="str">
        <f>IF(O86=1,COUNTIF($O$27:O86,1),"")</f>
        <v/>
      </c>
      <c r="AP86" s="591" t="str">
        <f>IF(P86=1,COUNTIF($P$27:P86,1),"")</f>
        <v/>
      </c>
      <c r="AQ86" s="591" t="str">
        <f>IF(Q86=1,COUNTIF($Q$27:Q86,1),"")</f>
        <v/>
      </c>
      <c r="AR86" s="591" t="str">
        <f>IF(R86=1,COUNTIF($R$27:R86,1),"")</f>
        <v/>
      </c>
      <c r="AS86" s="591" t="str">
        <f>IF(S86=1,COUNTIF($S$27:S86,1),"")</f>
        <v/>
      </c>
      <c r="AT86" s="591" t="str">
        <f>IF(T86=1,COUNTIF($T$27:T86,1),"")</f>
        <v/>
      </c>
      <c r="AU86" s="591" t="str">
        <f>IF(U86=1,COUNTIF($U$27:U86,1),"")</f>
        <v/>
      </c>
      <c r="AV86" s="591" t="str">
        <f>IF(V86=1,COUNTIF($V$27:V86,1),"")</f>
        <v/>
      </c>
      <c r="AW86" s="591" t="str">
        <f>IF(W86=1,COUNTIF($W$27:W86,1),"")</f>
        <v/>
      </c>
      <c r="AX86" s="591" t="str">
        <f>IF(X86=1,COUNTIF($X$27:X86,1),"")</f>
        <v/>
      </c>
      <c r="AY86" s="591" t="str">
        <f>IF(Y86=1,COUNTIF($Y$27:Y86,1),"")</f>
        <v/>
      </c>
      <c r="AZ86" s="591" t="str">
        <f>IF(Z86=1,COUNTIF($Z$27:Z86,1),"")</f>
        <v/>
      </c>
      <c r="BA86" s="591" t="str">
        <f>IF(AA86=1,COUNTIF($AA$27:AA86,1),"")</f>
        <v/>
      </c>
      <c r="BB86" s="591" t="str">
        <f>IF(AB86=1,COUNTIF($AB$27:AB86,1),"")</f>
        <v/>
      </c>
      <c r="BC86" s="591" t="str">
        <f>IF(AC86=1,COUNTIF($AC$27:AC86,1),"")</f>
        <v/>
      </c>
      <c r="BD86" s="591" t="str">
        <f>IF(AD86=1,COUNTIF($AD$27:AD86,1),"")</f>
        <v/>
      </c>
      <c r="BE86" s="591" t="str">
        <f>IF(AE86=1,COUNTIF($AE$27:AE86,1),"")</f>
        <v/>
      </c>
      <c r="BF86" s="591" t="str">
        <f>IF(AF86=1,COUNTIF($AF$27:AF86,1),"")</f>
        <v/>
      </c>
      <c r="BG86" s="591" t="str">
        <f>IF(AG86=1,COUNTIF($AG$27:AG86,1),"")</f>
        <v/>
      </c>
      <c r="BH86" s="591" t="str">
        <f>IF(AH86=1,COUNTIF($AH$27:AH86,1),"")</f>
        <v/>
      </c>
      <c r="BI86" s="591" t="str">
        <f>IF(AI86=1,COUNTIF($AI$27:AI86,1),"")</f>
        <v/>
      </c>
      <c r="BJ86" s="591" t="str">
        <f>IF(AJ86=1,COUNTIF($AJ$27:AJ86,1),"")</f>
        <v/>
      </c>
      <c r="BK86" s="591" t="str">
        <f>IF(AK86=1,COUNTIF($AK$27:AK86,1),"")</f>
        <v/>
      </c>
    </row>
    <row r="87" spans="3:63" ht="35.1" customHeight="1">
      <c r="C87" s="17" t="str">
        <f t="shared" si="1"/>
        <v>-</v>
      </c>
      <c r="D87" s="17"/>
      <c r="E87" s="17"/>
      <c r="J87" s="1220" t="str">
        <f t="shared" si="3"/>
        <v>-</v>
      </c>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N87" s="591" t="str">
        <f>IF(N87=1,COUNTIF($N$27:N87,1),"")</f>
        <v/>
      </c>
      <c r="AO87" s="591" t="str">
        <f>IF(O87=1,COUNTIF($O$27:O87,1),"")</f>
        <v/>
      </c>
      <c r="AP87" s="591" t="str">
        <f>IF(P87=1,COUNTIF($P$27:P87,1),"")</f>
        <v/>
      </c>
      <c r="AQ87" s="591" t="str">
        <f>IF(Q87=1,COUNTIF($Q$27:Q87,1),"")</f>
        <v/>
      </c>
      <c r="AR87" s="591" t="str">
        <f>IF(R87=1,COUNTIF($R$27:R87,1),"")</f>
        <v/>
      </c>
      <c r="AS87" s="591" t="str">
        <f>IF(S87=1,COUNTIF($S$27:S87,1),"")</f>
        <v/>
      </c>
      <c r="AT87" s="591" t="str">
        <f>IF(T87=1,COUNTIF($T$27:T87,1),"")</f>
        <v/>
      </c>
      <c r="AU87" s="591" t="str">
        <f>IF(U87=1,COUNTIF($U$27:U87,1),"")</f>
        <v/>
      </c>
      <c r="AV87" s="591" t="str">
        <f>IF(V87=1,COUNTIF($V$27:V87,1),"")</f>
        <v/>
      </c>
      <c r="AW87" s="591" t="str">
        <f>IF(W87=1,COUNTIF($W$27:W87,1),"")</f>
        <v/>
      </c>
      <c r="AX87" s="591" t="str">
        <f>IF(X87=1,COUNTIF($X$27:X87,1),"")</f>
        <v/>
      </c>
      <c r="AY87" s="591" t="str">
        <f>IF(Y87=1,COUNTIF($Y$27:Y87,1),"")</f>
        <v/>
      </c>
      <c r="AZ87" s="591" t="str">
        <f>IF(Z87=1,COUNTIF($Z$27:Z87,1),"")</f>
        <v/>
      </c>
      <c r="BA87" s="591" t="str">
        <f>IF(AA87=1,COUNTIF($AA$27:AA87,1),"")</f>
        <v/>
      </c>
      <c r="BB87" s="591" t="str">
        <f>IF(AB87=1,COUNTIF($AB$27:AB87,1),"")</f>
        <v/>
      </c>
      <c r="BC87" s="591" t="str">
        <f>IF(AC87=1,COUNTIF($AC$27:AC87,1),"")</f>
        <v/>
      </c>
      <c r="BD87" s="591" t="str">
        <f>IF(AD87=1,COUNTIF($AD$27:AD87,1),"")</f>
        <v/>
      </c>
      <c r="BE87" s="591" t="str">
        <f>IF(AE87=1,COUNTIF($AE$27:AE87,1),"")</f>
        <v/>
      </c>
      <c r="BF87" s="591" t="str">
        <f>IF(AF87=1,COUNTIF($AF$27:AF87,1),"")</f>
        <v/>
      </c>
      <c r="BG87" s="591" t="str">
        <f>IF(AG87=1,COUNTIF($AG$27:AG87,1),"")</f>
        <v/>
      </c>
      <c r="BH87" s="591" t="str">
        <f>IF(AH87=1,COUNTIF($AH$27:AH87,1),"")</f>
        <v/>
      </c>
      <c r="BI87" s="591" t="str">
        <f>IF(AI87=1,COUNTIF($AI$27:AI87,1),"")</f>
        <v/>
      </c>
      <c r="BJ87" s="591" t="str">
        <f>IF(AJ87=1,COUNTIF($AJ$27:AJ87,1),"")</f>
        <v/>
      </c>
      <c r="BK87" s="591" t="str">
        <f>IF(AK87=1,COUNTIF($AK$27:AK87,1),"")</f>
        <v/>
      </c>
    </row>
    <row r="88" spans="3:63" ht="35.1" customHeight="1">
      <c r="C88" s="17" t="str">
        <f t="shared" si="1"/>
        <v>-</v>
      </c>
      <c r="D88" s="17"/>
      <c r="E88" s="17"/>
      <c r="J88" s="1220" t="str">
        <f t="shared" si="3"/>
        <v>-</v>
      </c>
      <c r="N88" s="658"/>
      <c r="O88" s="658"/>
      <c r="P88" s="658"/>
      <c r="Q88" s="658"/>
      <c r="R88" s="658"/>
      <c r="S88" s="658"/>
      <c r="T88" s="658"/>
      <c r="U88" s="658"/>
      <c r="V88" s="658"/>
      <c r="W88" s="658"/>
      <c r="X88" s="658"/>
      <c r="Y88" s="658"/>
      <c r="Z88" s="658"/>
      <c r="AA88" s="658"/>
      <c r="AB88" s="658"/>
      <c r="AC88" s="658"/>
      <c r="AD88" s="658"/>
      <c r="AE88" s="658"/>
      <c r="AF88" s="658"/>
      <c r="AG88" s="658"/>
      <c r="AH88" s="658"/>
      <c r="AI88" s="658"/>
      <c r="AJ88" s="658"/>
      <c r="AK88" s="658"/>
      <c r="AN88" s="591" t="str">
        <f>IF(N88=1,COUNTIF($N$27:N88,1),"")</f>
        <v/>
      </c>
      <c r="AO88" s="591" t="str">
        <f>IF(O88=1,COUNTIF($O$27:O88,1),"")</f>
        <v/>
      </c>
      <c r="AP88" s="591" t="str">
        <f>IF(P88=1,COUNTIF($P$27:P88,1),"")</f>
        <v/>
      </c>
      <c r="AQ88" s="591" t="str">
        <f>IF(Q88=1,COUNTIF($Q$27:Q88,1),"")</f>
        <v/>
      </c>
      <c r="AR88" s="591" t="str">
        <f>IF(R88=1,COUNTIF($R$27:R88,1),"")</f>
        <v/>
      </c>
      <c r="AS88" s="591" t="str">
        <f>IF(S88=1,COUNTIF($S$27:S88,1),"")</f>
        <v/>
      </c>
      <c r="AT88" s="591" t="str">
        <f>IF(T88=1,COUNTIF($T$27:T88,1),"")</f>
        <v/>
      </c>
      <c r="AU88" s="591" t="str">
        <f>IF(U88=1,COUNTIF($U$27:U88,1),"")</f>
        <v/>
      </c>
      <c r="AV88" s="591" t="str">
        <f>IF(V88=1,COUNTIF($V$27:V88,1),"")</f>
        <v/>
      </c>
      <c r="AW88" s="591" t="str">
        <f>IF(W88=1,COUNTIF($W$27:W88,1),"")</f>
        <v/>
      </c>
      <c r="AX88" s="591" t="str">
        <f>IF(X88=1,COUNTIF($X$27:X88,1),"")</f>
        <v/>
      </c>
      <c r="AY88" s="591" t="str">
        <f>IF(Y88=1,COUNTIF($Y$27:Y88,1),"")</f>
        <v/>
      </c>
      <c r="AZ88" s="591" t="str">
        <f>IF(Z88=1,COUNTIF($Z$27:Z88,1),"")</f>
        <v/>
      </c>
      <c r="BA88" s="591" t="str">
        <f>IF(AA88=1,COUNTIF($AA$27:AA88,1),"")</f>
        <v/>
      </c>
      <c r="BB88" s="591" t="str">
        <f>IF(AB88=1,COUNTIF($AB$27:AB88,1),"")</f>
        <v/>
      </c>
      <c r="BC88" s="591" t="str">
        <f>IF(AC88=1,COUNTIF($AC$27:AC88,1),"")</f>
        <v/>
      </c>
      <c r="BD88" s="591" t="str">
        <f>IF(AD88=1,COUNTIF($AD$27:AD88,1),"")</f>
        <v/>
      </c>
      <c r="BE88" s="591" t="str">
        <f>IF(AE88=1,COUNTIF($AE$27:AE88,1),"")</f>
        <v/>
      </c>
      <c r="BF88" s="591" t="str">
        <f>IF(AF88=1,COUNTIF($AF$27:AF88,1),"")</f>
        <v/>
      </c>
      <c r="BG88" s="591" t="str">
        <f>IF(AG88=1,COUNTIF($AG$27:AG88,1),"")</f>
        <v/>
      </c>
      <c r="BH88" s="591" t="str">
        <f>IF(AH88=1,COUNTIF($AH$27:AH88,1),"")</f>
        <v/>
      </c>
      <c r="BI88" s="591" t="str">
        <f>IF(AI88=1,COUNTIF($AI$27:AI88,1),"")</f>
        <v/>
      </c>
      <c r="BJ88" s="591" t="str">
        <f>IF(AJ88=1,COUNTIF($AJ$27:AJ88,1),"")</f>
        <v/>
      </c>
      <c r="BK88" s="591" t="str">
        <f>IF(AK88=1,COUNTIF($AK$27:AK88,1),"")</f>
        <v/>
      </c>
    </row>
    <row r="89" spans="3:63" ht="35.1" customHeight="1">
      <c r="C89" s="17" t="str">
        <f t="shared" si="1"/>
        <v>-</v>
      </c>
      <c r="D89" s="17"/>
      <c r="E89" s="17"/>
      <c r="J89" s="1220" t="str">
        <f t="shared" si="3"/>
        <v>-</v>
      </c>
      <c r="N89" s="658"/>
      <c r="O89" s="658"/>
      <c r="P89" s="658"/>
      <c r="Q89" s="658"/>
      <c r="R89" s="658"/>
      <c r="S89" s="658"/>
      <c r="T89" s="658"/>
      <c r="U89" s="658"/>
      <c r="V89" s="658"/>
      <c r="W89" s="658"/>
      <c r="X89" s="658"/>
      <c r="Y89" s="658"/>
      <c r="Z89" s="658"/>
      <c r="AA89" s="658"/>
      <c r="AB89" s="658"/>
      <c r="AC89" s="658"/>
      <c r="AD89" s="658"/>
      <c r="AE89" s="658"/>
      <c r="AF89" s="658"/>
      <c r="AG89" s="658"/>
      <c r="AH89" s="658"/>
      <c r="AI89" s="658"/>
      <c r="AJ89" s="658"/>
      <c r="AK89" s="658"/>
      <c r="AN89" s="591" t="str">
        <f>IF(N89=1,COUNTIF($N$27:N89,1),"")</f>
        <v/>
      </c>
      <c r="AO89" s="591" t="str">
        <f>IF(O89=1,COUNTIF($O$27:O89,1),"")</f>
        <v/>
      </c>
      <c r="AP89" s="591" t="str">
        <f>IF(P89=1,COUNTIF($P$27:P89,1),"")</f>
        <v/>
      </c>
      <c r="AQ89" s="591" t="str">
        <f>IF(Q89=1,COUNTIF($Q$27:Q89,1),"")</f>
        <v/>
      </c>
      <c r="AR89" s="591" t="str">
        <f>IF(R89=1,COUNTIF($R$27:R89,1),"")</f>
        <v/>
      </c>
      <c r="AS89" s="591" t="str">
        <f>IF(S89=1,COUNTIF($S$27:S89,1),"")</f>
        <v/>
      </c>
      <c r="AT89" s="591" t="str">
        <f>IF(T89=1,COUNTIF($T$27:T89,1),"")</f>
        <v/>
      </c>
      <c r="AU89" s="591" t="str">
        <f>IF(U89=1,COUNTIF($U$27:U89,1),"")</f>
        <v/>
      </c>
      <c r="AV89" s="591" t="str">
        <f>IF(V89=1,COUNTIF($V$27:V89,1),"")</f>
        <v/>
      </c>
      <c r="AW89" s="591" t="str">
        <f>IF(W89=1,COUNTIF($W$27:W89,1),"")</f>
        <v/>
      </c>
      <c r="AX89" s="591" t="str">
        <f>IF(X89=1,COUNTIF($X$27:X89,1),"")</f>
        <v/>
      </c>
      <c r="AY89" s="591" t="str">
        <f>IF(Y89=1,COUNTIF($Y$27:Y89,1),"")</f>
        <v/>
      </c>
      <c r="AZ89" s="591" t="str">
        <f>IF(Z89=1,COUNTIF($Z$27:Z89,1),"")</f>
        <v/>
      </c>
      <c r="BA89" s="591" t="str">
        <f>IF(AA89=1,COUNTIF($AA$27:AA89,1),"")</f>
        <v/>
      </c>
      <c r="BB89" s="591" t="str">
        <f>IF(AB89=1,COUNTIF($AB$27:AB89,1),"")</f>
        <v/>
      </c>
      <c r="BC89" s="591" t="str">
        <f>IF(AC89=1,COUNTIF($AC$27:AC89,1),"")</f>
        <v/>
      </c>
      <c r="BD89" s="591" t="str">
        <f>IF(AD89=1,COUNTIF($AD$27:AD89,1),"")</f>
        <v/>
      </c>
      <c r="BE89" s="591" t="str">
        <f>IF(AE89=1,COUNTIF($AE$27:AE89,1),"")</f>
        <v/>
      </c>
      <c r="BF89" s="591" t="str">
        <f>IF(AF89=1,COUNTIF($AF$27:AF89,1),"")</f>
        <v/>
      </c>
      <c r="BG89" s="591" t="str">
        <f>IF(AG89=1,COUNTIF($AG$27:AG89,1),"")</f>
        <v/>
      </c>
      <c r="BH89" s="591" t="str">
        <f>IF(AH89=1,COUNTIF($AH$27:AH89,1),"")</f>
        <v/>
      </c>
      <c r="BI89" s="591" t="str">
        <f>IF(AI89=1,COUNTIF($AI$27:AI89,1),"")</f>
        <v/>
      </c>
      <c r="BJ89" s="591" t="str">
        <f>IF(AJ89=1,COUNTIF($AJ$27:AJ89,1),"")</f>
        <v/>
      </c>
      <c r="BK89" s="591" t="str">
        <f>IF(AK89=1,COUNTIF($AK$27:AK89,1),"")</f>
        <v/>
      </c>
    </row>
    <row r="90" spans="3:63" ht="35.1" customHeight="1">
      <c r="C90" s="17" t="str">
        <f t="shared" si="1"/>
        <v>-</v>
      </c>
      <c r="D90" s="17"/>
      <c r="E90" s="17"/>
      <c r="J90" s="1220" t="str">
        <f t="shared" si="3"/>
        <v>-</v>
      </c>
      <c r="N90" s="658"/>
      <c r="O90" s="658"/>
      <c r="P90" s="658"/>
      <c r="Q90" s="658"/>
      <c r="R90" s="658"/>
      <c r="S90" s="658"/>
      <c r="T90" s="658"/>
      <c r="U90" s="658"/>
      <c r="V90" s="658"/>
      <c r="W90" s="658"/>
      <c r="X90" s="658"/>
      <c r="Y90" s="658"/>
      <c r="Z90" s="658"/>
      <c r="AA90" s="658"/>
      <c r="AB90" s="658"/>
      <c r="AC90" s="658"/>
      <c r="AD90" s="658"/>
      <c r="AE90" s="658"/>
      <c r="AF90" s="658"/>
      <c r="AG90" s="658"/>
      <c r="AH90" s="658"/>
      <c r="AI90" s="658"/>
      <c r="AJ90" s="658"/>
      <c r="AK90" s="658"/>
      <c r="AN90" s="591" t="str">
        <f>IF(N90=1,COUNTIF($N$27:N90,1),"")</f>
        <v/>
      </c>
      <c r="AO90" s="591" t="str">
        <f>IF(O90=1,COUNTIF($O$27:O90,1),"")</f>
        <v/>
      </c>
      <c r="AP90" s="591" t="str">
        <f>IF(P90=1,COUNTIF($P$27:P90,1),"")</f>
        <v/>
      </c>
      <c r="AQ90" s="591" t="str">
        <f>IF(Q90=1,COUNTIF($Q$27:Q90,1),"")</f>
        <v/>
      </c>
      <c r="AR90" s="591" t="str">
        <f>IF(R90=1,COUNTIF($R$27:R90,1),"")</f>
        <v/>
      </c>
      <c r="AS90" s="591" t="str">
        <f>IF(S90=1,COUNTIF($S$27:S90,1),"")</f>
        <v/>
      </c>
      <c r="AT90" s="591" t="str">
        <f>IF(T90=1,COUNTIF($T$27:T90,1),"")</f>
        <v/>
      </c>
      <c r="AU90" s="591" t="str">
        <f>IF(U90=1,COUNTIF($U$27:U90,1),"")</f>
        <v/>
      </c>
      <c r="AV90" s="591" t="str">
        <f>IF(V90=1,COUNTIF($V$27:V90,1),"")</f>
        <v/>
      </c>
      <c r="AW90" s="591" t="str">
        <f>IF(W90=1,COUNTIF($W$27:W90,1),"")</f>
        <v/>
      </c>
      <c r="AX90" s="591" t="str">
        <f>IF(X90=1,COUNTIF($X$27:X90,1),"")</f>
        <v/>
      </c>
      <c r="AY90" s="591" t="str">
        <f>IF(Y90=1,COUNTIF($Y$27:Y90,1),"")</f>
        <v/>
      </c>
      <c r="AZ90" s="591" t="str">
        <f>IF(Z90=1,COUNTIF($Z$27:Z90,1),"")</f>
        <v/>
      </c>
      <c r="BA90" s="591" t="str">
        <f>IF(AA90=1,COUNTIF($AA$27:AA90,1),"")</f>
        <v/>
      </c>
      <c r="BB90" s="591" t="str">
        <f>IF(AB90=1,COUNTIF($AB$27:AB90,1),"")</f>
        <v/>
      </c>
      <c r="BC90" s="591" t="str">
        <f>IF(AC90=1,COUNTIF($AC$27:AC90,1),"")</f>
        <v/>
      </c>
      <c r="BD90" s="591" t="str">
        <f>IF(AD90=1,COUNTIF($AD$27:AD90,1),"")</f>
        <v/>
      </c>
      <c r="BE90" s="591" t="str">
        <f>IF(AE90=1,COUNTIF($AE$27:AE90,1),"")</f>
        <v/>
      </c>
      <c r="BF90" s="591" t="str">
        <f>IF(AF90=1,COUNTIF($AF$27:AF90,1),"")</f>
        <v/>
      </c>
      <c r="BG90" s="591" t="str">
        <f>IF(AG90=1,COUNTIF($AG$27:AG90,1),"")</f>
        <v/>
      </c>
      <c r="BH90" s="591" t="str">
        <f>IF(AH90=1,COUNTIF($AH$27:AH90,1),"")</f>
        <v/>
      </c>
      <c r="BI90" s="591" t="str">
        <f>IF(AI90=1,COUNTIF($AI$27:AI90,1),"")</f>
        <v/>
      </c>
      <c r="BJ90" s="591" t="str">
        <f>IF(AJ90=1,COUNTIF($AJ$27:AJ90,1),"")</f>
        <v/>
      </c>
      <c r="BK90" s="591" t="str">
        <f>IF(AK90=1,COUNTIF($AK$27:AK90,1),"")</f>
        <v/>
      </c>
    </row>
    <row r="91" spans="3:63" ht="35.1" customHeight="1">
      <c r="C91" s="17" t="str">
        <f t="shared" si="1"/>
        <v>-</v>
      </c>
      <c r="D91" s="17"/>
      <c r="E91" s="17"/>
      <c r="J91" s="1220" t="str">
        <f t="shared" si="3"/>
        <v>-</v>
      </c>
      <c r="N91" s="658"/>
      <c r="O91" s="658"/>
      <c r="P91" s="658"/>
      <c r="Q91" s="658"/>
      <c r="R91" s="658"/>
      <c r="S91" s="658"/>
      <c r="T91" s="658"/>
      <c r="U91" s="658"/>
      <c r="V91" s="658"/>
      <c r="W91" s="658"/>
      <c r="X91" s="658"/>
      <c r="Y91" s="658"/>
      <c r="Z91" s="658"/>
      <c r="AA91" s="658"/>
      <c r="AB91" s="658"/>
      <c r="AC91" s="658"/>
      <c r="AD91" s="658"/>
      <c r="AE91" s="658"/>
      <c r="AF91" s="658"/>
      <c r="AG91" s="658"/>
      <c r="AH91" s="658"/>
      <c r="AI91" s="658"/>
      <c r="AJ91" s="658"/>
      <c r="AK91" s="658"/>
      <c r="AN91" s="591" t="str">
        <f>IF(N91=1,COUNTIF($N$27:N91,1),"")</f>
        <v/>
      </c>
      <c r="AO91" s="591" t="str">
        <f>IF(O91=1,COUNTIF($O$27:O91,1),"")</f>
        <v/>
      </c>
      <c r="AP91" s="591" t="str">
        <f>IF(P91=1,COUNTIF($P$27:P91,1),"")</f>
        <v/>
      </c>
      <c r="AQ91" s="591" t="str">
        <f>IF(Q91=1,COUNTIF($Q$27:Q91,1),"")</f>
        <v/>
      </c>
      <c r="AR91" s="591" t="str">
        <f>IF(R91=1,COUNTIF($R$27:R91,1),"")</f>
        <v/>
      </c>
      <c r="AS91" s="591" t="str">
        <f>IF(S91=1,COUNTIF($S$27:S91,1),"")</f>
        <v/>
      </c>
      <c r="AT91" s="591" t="str">
        <f>IF(T91=1,COUNTIF($T$27:T91,1),"")</f>
        <v/>
      </c>
      <c r="AU91" s="591" t="str">
        <f>IF(U91=1,COUNTIF($U$27:U91,1),"")</f>
        <v/>
      </c>
      <c r="AV91" s="591" t="str">
        <f>IF(V91=1,COUNTIF($V$27:V91,1),"")</f>
        <v/>
      </c>
      <c r="AW91" s="591" t="str">
        <f>IF(W91=1,COUNTIF($W$27:W91,1),"")</f>
        <v/>
      </c>
      <c r="AX91" s="591" t="str">
        <f>IF(X91=1,COUNTIF($X$27:X91,1),"")</f>
        <v/>
      </c>
      <c r="AY91" s="591" t="str">
        <f>IF(Y91=1,COUNTIF($Y$27:Y91,1),"")</f>
        <v/>
      </c>
      <c r="AZ91" s="591" t="str">
        <f>IF(Z91=1,COUNTIF($Z$27:Z91,1),"")</f>
        <v/>
      </c>
      <c r="BA91" s="591" t="str">
        <f>IF(AA91=1,COUNTIF($AA$27:AA91,1),"")</f>
        <v/>
      </c>
      <c r="BB91" s="591" t="str">
        <f>IF(AB91=1,COUNTIF($AB$27:AB91,1),"")</f>
        <v/>
      </c>
      <c r="BC91" s="591" t="str">
        <f>IF(AC91=1,COUNTIF($AC$27:AC91,1),"")</f>
        <v/>
      </c>
      <c r="BD91" s="591" t="str">
        <f>IF(AD91=1,COUNTIF($AD$27:AD91,1),"")</f>
        <v/>
      </c>
      <c r="BE91" s="591" t="str">
        <f>IF(AE91=1,COUNTIF($AE$27:AE91,1),"")</f>
        <v/>
      </c>
      <c r="BF91" s="591" t="str">
        <f>IF(AF91=1,COUNTIF($AF$27:AF91,1),"")</f>
        <v/>
      </c>
      <c r="BG91" s="591" t="str">
        <f>IF(AG91=1,COUNTIF($AG$27:AG91,1),"")</f>
        <v/>
      </c>
      <c r="BH91" s="591" t="str">
        <f>IF(AH91=1,COUNTIF($AH$27:AH91,1),"")</f>
        <v/>
      </c>
      <c r="BI91" s="591" t="str">
        <f>IF(AI91=1,COUNTIF($AI$27:AI91,1),"")</f>
        <v/>
      </c>
      <c r="BJ91" s="591" t="str">
        <f>IF(AJ91=1,COUNTIF($AJ$27:AJ91,1),"")</f>
        <v/>
      </c>
      <c r="BK91" s="591" t="str">
        <f>IF(AK91=1,COUNTIF($AK$27:AK91,1),"")</f>
        <v/>
      </c>
    </row>
    <row r="92" spans="3:63" ht="35.1" customHeight="1">
      <c r="C92" s="17" t="str">
        <f t="shared" ref="C92:C152" si="7">CONCATENATE(F92,"-",G92)</f>
        <v>-</v>
      </c>
      <c r="D92" s="17"/>
      <c r="E92" s="17"/>
      <c r="J92" s="1220" t="str">
        <f t="shared" ref="J92:J152" si="8">IF(AND(K92=0,L92=0),
"-",
TEXT(K92,"0.00")&amp;" - "&amp;TEXT(L92,"0.00")&amp;" m")</f>
        <v>-</v>
      </c>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N92" s="591" t="str">
        <f>IF(N92=1,COUNTIF($N$27:N92,1),"")</f>
        <v/>
      </c>
      <c r="AO92" s="591" t="str">
        <f>IF(O92=1,COUNTIF($O$27:O92,1),"")</f>
        <v/>
      </c>
      <c r="AP92" s="591" t="str">
        <f>IF(P92=1,COUNTIF($P$27:P92,1),"")</f>
        <v/>
      </c>
      <c r="AQ92" s="591" t="str">
        <f>IF(Q92=1,COUNTIF($Q$27:Q92,1),"")</f>
        <v/>
      </c>
      <c r="AR92" s="591" t="str">
        <f>IF(R92=1,COUNTIF($R$27:R92,1),"")</f>
        <v/>
      </c>
      <c r="AS92" s="591" t="str">
        <f>IF(S92=1,COUNTIF($S$27:S92,1),"")</f>
        <v/>
      </c>
      <c r="AT92" s="591" t="str">
        <f>IF(T92=1,COUNTIF($T$27:T92,1),"")</f>
        <v/>
      </c>
      <c r="AU92" s="591" t="str">
        <f>IF(U92=1,COUNTIF($U$27:U92,1),"")</f>
        <v/>
      </c>
      <c r="AV92" s="591" t="str">
        <f>IF(V92=1,COUNTIF($V$27:V92,1),"")</f>
        <v/>
      </c>
      <c r="AW92" s="591" t="str">
        <f>IF(W92=1,COUNTIF($W$27:W92,1),"")</f>
        <v/>
      </c>
      <c r="AX92" s="591" t="str">
        <f>IF(X92=1,COUNTIF($X$27:X92,1),"")</f>
        <v/>
      </c>
      <c r="AY92" s="591" t="str">
        <f>IF(Y92=1,COUNTIF($Y$27:Y92,1),"")</f>
        <v/>
      </c>
      <c r="AZ92" s="591" t="str">
        <f>IF(Z92=1,COUNTIF($Z$27:Z92,1),"")</f>
        <v/>
      </c>
      <c r="BA92" s="591" t="str">
        <f>IF(AA92=1,COUNTIF($AA$27:AA92,1),"")</f>
        <v/>
      </c>
      <c r="BB92" s="591" t="str">
        <f>IF(AB92=1,COUNTIF($AB$27:AB92,1),"")</f>
        <v/>
      </c>
      <c r="BC92" s="591" t="str">
        <f>IF(AC92=1,COUNTIF($AC$27:AC92,1),"")</f>
        <v/>
      </c>
      <c r="BD92" s="591" t="str">
        <f>IF(AD92=1,COUNTIF($AD$27:AD92,1),"")</f>
        <v/>
      </c>
      <c r="BE92" s="591" t="str">
        <f>IF(AE92=1,COUNTIF($AE$27:AE92,1),"")</f>
        <v/>
      </c>
      <c r="BF92" s="591" t="str">
        <f>IF(AF92=1,COUNTIF($AF$27:AF92,1),"")</f>
        <v/>
      </c>
      <c r="BG92" s="591" t="str">
        <f>IF(AG92=1,COUNTIF($AG$27:AG92,1),"")</f>
        <v/>
      </c>
      <c r="BH92" s="591" t="str">
        <f>IF(AH92=1,COUNTIF($AH$27:AH92,1),"")</f>
        <v/>
      </c>
      <c r="BI92" s="591" t="str">
        <f>IF(AI92=1,COUNTIF($AI$27:AI92,1),"")</f>
        <v/>
      </c>
      <c r="BJ92" s="591" t="str">
        <f>IF(AJ92=1,COUNTIF($AJ$27:AJ92,1),"")</f>
        <v/>
      </c>
      <c r="BK92" s="591" t="str">
        <f>IF(AK92=1,COUNTIF($AK$27:AK92,1),"")</f>
        <v/>
      </c>
    </row>
    <row r="93" spans="3:63" ht="35.1" customHeight="1">
      <c r="C93" s="17" t="str">
        <f t="shared" si="7"/>
        <v>-</v>
      </c>
      <c r="D93" s="17"/>
      <c r="E93" s="17"/>
      <c r="J93" s="1220" t="str">
        <f t="shared" si="8"/>
        <v>-</v>
      </c>
      <c r="N93" s="658"/>
      <c r="O93" s="658"/>
      <c r="P93" s="658"/>
      <c r="Q93" s="658"/>
      <c r="R93" s="658"/>
      <c r="S93" s="658"/>
      <c r="T93" s="658"/>
      <c r="U93" s="658"/>
      <c r="V93" s="658"/>
      <c r="W93" s="658"/>
      <c r="X93" s="658"/>
      <c r="Y93" s="658"/>
      <c r="Z93" s="658"/>
      <c r="AA93" s="658"/>
      <c r="AB93" s="658"/>
      <c r="AC93" s="658"/>
      <c r="AD93" s="658"/>
      <c r="AE93" s="658"/>
      <c r="AF93" s="658"/>
      <c r="AG93" s="658"/>
      <c r="AH93" s="658"/>
      <c r="AI93" s="658"/>
      <c r="AJ93" s="658"/>
      <c r="AK93" s="658"/>
      <c r="AN93" s="591" t="str">
        <f>IF(N93=1,COUNTIF($N$27:N93,1),"")</f>
        <v/>
      </c>
      <c r="AO93" s="591" t="str">
        <f>IF(O93=1,COUNTIF($O$27:O93,1),"")</f>
        <v/>
      </c>
      <c r="AP93" s="591" t="str">
        <f>IF(P93=1,COUNTIF($P$27:P93,1),"")</f>
        <v/>
      </c>
      <c r="AQ93" s="591" t="str">
        <f>IF(Q93=1,COUNTIF($Q$27:Q93,1),"")</f>
        <v/>
      </c>
      <c r="AR93" s="591" t="str">
        <f>IF(R93=1,COUNTIF($R$27:R93,1),"")</f>
        <v/>
      </c>
      <c r="AS93" s="591" t="str">
        <f>IF(S93=1,COUNTIF($S$27:S93,1),"")</f>
        <v/>
      </c>
      <c r="AT93" s="591" t="str">
        <f>IF(T93=1,COUNTIF($T$27:T93,1),"")</f>
        <v/>
      </c>
      <c r="AU93" s="591" t="str">
        <f>IF(U93=1,COUNTIF($U$27:U93,1),"")</f>
        <v/>
      </c>
      <c r="AV93" s="591" t="str">
        <f>IF(V93=1,COUNTIF($V$27:V93,1),"")</f>
        <v/>
      </c>
      <c r="AW93" s="591" t="str">
        <f>IF(W93=1,COUNTIF($W$27:W93,1),"")</f>
        <v/>
      </c>
      <c r="AX93" s="591" t="str">
        <f>IF(X93=1,COUNTIF($X$27:X93,1),"")</f>
        <v/>
      </c>
      <c r="AY93" s="591" t="str">
        <f>IF(Y93=1,COUNTIF($Y$27:Y93,1),"")</f>
        <v/>
      </c>
      <c r="AZ93" s="591" t="str">
        <f>IF(Z93=1,COUNTIF($Z$27:Z93,1),"")</f>
        <v/>
      </c>
      <c r="BA93" s="591" t="str">
        <f>IF(AA93=1,COUNTIF($AA$27:AA93,1),"")</f>
        <v/>
      </c>
      <c r="BB93" s="591" t="str">
        <f>IF(AB93=1,COUNTIF($AB$27:AB93,1),"")</f>
        <v/>
      </c>
      <c r="BC93" s="591" t="str">
        <f>IF(AC93=1,COUNTIF($AC$27:AC93,1),"")</f>
        <v/>
      </c>
      <c r="BD93" s="591" t="str">
        <f>IF(AD93=1,COUNTIF($AD$27:AD93,1),"")</f>
        <v/>
      </c>
      <c r="BE93" s="591" t="str">
        <f>IF(AE93=1,COUNTIF($AE$27:AE93,1),"")</f>
        <v/>
      </c>
      <c r="BF93" s="591" t="str">
        <f>IF(AF93=1,COUNTIF($AF$27:AF93,1),"")</f>
        <v/>
      </c>
      <c r="BG93" s="591" t="str">
        <f>IF(AG93=1,COUNTIF($AG$27:AG93,1),"")</f>
        <v/>
      </c>
      <c r="BH93" s="591" t="str">
        <f>IF(AH93=1,COUNTIF($AH$27:AH93,1),"")</f>
        <v/>
      </c>
      <c r="BI93" s="591" t="str">
        <f>IF(AI93=1,COUNTIF($AI$27:AI93,1),"")</f>
        <v/>
      </c>
      <c r="BJ93" s="591" t="str">
        <f>IF(AJ93=1,COUNTIF($AJ$27:AJ93,1),"")</f>
        <v/>
      </c>
      <c r="BK93" s="591" t="str">
        <f>IF(AK93=1,COUNTIF($AK$27:AK93,1),"")</f>
        <v/>
      </c>
    </row>
    <row r="94" spans="3:63" ht="35.1" customHeight="1">
      <c r="C94" s="17" t="str">
        <f t="shared" si="7"/>
        <v>-</v>
      </c>
      <c r="D94" s="17"/>
      <c r="E94" s="17"/>
      <c r="J94" s="1220" t="str">
        <f t="shared" si="8"/>
        <v>-</v>
      </c>
      <c r="N94" s="658"/>
      <c r="O94" s="658"/>
      <c r="P94" s="658"/>
      <c r="Q94" s="658"/>
      <c r="R94" s="658"/>
      <c r="S94" s="658"/>
      <c r="T94" s="658"/>
      <c r="U94" s="658"/>
      <c r="V94" s="658"/>
      <c r="W94" s="658"/>
      <c r="X94" s="658"/>
      <c r="Y94" s="658"/>
      <c r="Z94" s="658"/>
      <c r="AA94" s="658"/>
      <c r="AB94" s="658"/>
      <c r="AC94" s="658"/>
      <c r="AD94" s="658"/>
      <c r="AE94" s="658"/>
      <c r="AF94" s="658"/>
      <c r="AG94" s="658"/>
      <c r="AH94" s="658"/>
      <c r="AI94" s="658"/>
      <c r="AJ94" s="658"/>
      <c r="AK94" s="658"/>
      <c r="AN94" s="591" t="str">
        <f>IF(N94=1,COUNTIF($N$27:N94,1),"")</f>
        <v/>
      </c>
      <c r="AO94" s="591" t="str">
        <f>IF(O94=1,COUNTIF($O$27:O94,1),"")</f>
        <v/>
      </c>
      <c r="AP94" s="591" t="str">
        <f>IF(P94=1,COUNTIF($P$27:P94,1),"")</f>
        <v/>
      </c>
      <c r="AQ94" s="591" t="str">
        <f>IF(Q94=1,COUNTIF($Q$27:Q94,1),"")</f>
        <v/>
      </c>
      <c r="AR94" s="591" t="str">
        <f>IF(R94=1,COUNTIF($R$27:R94,1),"")</f>
        <v/>
      </c>
      <c r="AS94" s="591" t="str">
        <f>IF(S94=1,COUNTIF($S$27:S94,1),"")</f>
        <v/>
      </c>
      <c r="AT94" s="591" t="str">
        <f>IF(T94=1,COUNTIF($T$27:T94,1),"")</f>
        <v/>
      </c>
      <c r="AU94" s="591" t="str">
        <f>IF(U94=1,COUNTIF($U$27:U94,1),"")</f>
        <v/>
      </c>
      <c r="AV94" s="591" t="str">
        <f>IF(V94=1,COUNTIF($V$27:V94,1),"")</f>
        <v/>
      </c>
      <c r="AW94" s="591" t="str">
        <f>IF(W94=1,COUNTIF($W$27:W94,1),"")</f>
        <v/>
      </c>
      <c r="AX94" s="591" t="str">
        <f>IF(X94=1,COUNTIF($X$27:X94,1),"")</f>
        <v/>
      </c>
      <c r="AY94" s="591" t="str">
        <f>IF(Y94=1,COUNTIF($Y$27:Y94,1),"")</f>
        <v/>
      </c>
      <c r="AZ94" s="591" t="str">
        <f>IF(Z94=1,COUNTIF($Z$27:Z94,1),"")</f>
        <v/>
      </c>
      <c r="BA94" s="591" t="str">
        <f>IF(AA94=1,COUNTIF($AA$27:AA94,1),"")</f>
        <v/>
      </c>
      <c r="BB94" s="591" t="str">
        <f>IF(AB94=1,COUNTIF($AB$27:AB94,1),"")</f>
        <v/>
      </c>
      <c r="BC94" s="591" t="str">
        <f>IF(AC94=1,COUNTIF($AC$27:AC94,1),"")</f>
        <v/>
      </c>
      <c r="BD94" s="591" t="str">
        <f>IF(AD94=1,COUNTIF($AD$27:AD94,1),"")</f>
        <v/>
      </c>
      <c r="BE94" s="591" t="str">
        <f>IF(AE94=1,COUNTIF($AE$27:AE94,1),"")</f>
        <v/>
      </c>
      <c r="BF94" s="591" t="str">
        <f>IF(AF94=1,COUNTIF($AF$27:AF94,1),"")</f>
        <v/>
      </c>
      <c r="BG94" s="591" t="str">
        <f>IF(AG94=1,COUNTIF($AG$27:AG94,1),"")</f>
        <v/>
      </c>
      <c r="BH94" s="591" t="str">
        <f>IF(AH94=1,COUNTIF($AH$27:AH94,1),"")</f>
        <v/>
      </c>
      <c r="BI94" s="591" t="str">
        <f>IF(AI94=1,COUNTIF($AI$27:AI94,1),"")</f>
        <v/>
      </c>
      <c r="BJ94" s="591" t="str">
        <f>IF(AJ94=1,COUNTIF($AJ$27:AJ94,1),"")</f>
        <v/>
      </c>
      <c r="BK94" s="591" t="str">
        <f>IF(AK94=1,COUNTIF($AK$27:AK94,1),"")</f>
        <v/>
      </c>
    </row>
    <row r="95" spans="3:63" ht="35.1" customHeight="1">
      <c r="C95" s="17" t="str">
        <f t="shared" si="7"/>
        <v>-</v>
      </c>
      <c r="D95" s="17"/>
      <c r="E95" s="17"/>
      <c r="J95" s="1220" t="str">
        <f t="shared" si="8"/>
        <v>-</v>
      </c>
      <c r="N95" s="658"/>
      <c r="O95" s="658"/>
      <c r="P95" s="658"/>
      <c r="Q95" s="658"/>
      <c r="R95" s="658"/>
      <c r="S95" s="658"/>
      <c r="T95" s="658"/>
      <c r="U95" s="658"/>
      <c r="V95" s="658"/>
      <c r="W95" s="658"/>
      <c r="X95" s="658"/>
      <c r="Y95" s="658"/>
      <c r="Z95" s="658"/>
      <c r="AA95" s="658"/>
      <c r="AB95" s="658"/>
      <c r="AC95" s="658"/>
      <c r="AD95" s="658"/>
      <c r="AE95" s="658"/>
      <c r="AF95" s="658"/>
      <c r="AG95" s="658"/>
      <c r="AH95" s="658"/>
      <c r="AI95" s="658"/>
      <c r="AJ95" s="658"/>
      <c r="AK95" s="658"/>
      <c r="AN95" s="591" t="str">
        <f>IF(N95=1,COUNTIF($N$27:N95,1),"")</f>
        <v/>
      </c>
      <c r="AO95" s="591" t="str">
        <f>IF(O95=1,COUNTIF($O$27:O95,1),"")</f>
        <v/>
      </c>
      <c r="AP95" s="591" t="str">
        <f>IF(P95=1,COUNTIF($P$27:P95,1),"")</f>
        <v/>
      </c>
      <c r="AQ95" s="591" t="str">
        <f>IF(Q95=1,COUNTIF($Q$27:Q95,1),"")</f>
        <v/>
      </c>
      <c r="AR95" s="591" t="str">
        <f>IF(R95=1,COUNTIF($R$27:R95,1),"")</f>
        <v/>
      </c>
      <c r="AS95" s="591" t="str">
        <f>IF(S95=1,COUNTIF($S$27:S95,1),"")</f>
        <v/>
      </c>
      <c r="AT95" s="591" t="str">
        <f>IF(T95=1,COUNTIF($T$27:T95,1),"")</f>
        <v/>
      </c>
      <c r="AU95" s="591" t="str">
        <f>IF(U95=1,COUNTIF($U$27:U95,1),"")</f>
        <v/>
      </c>
      <c r="AV95" s="591" t="str">
        <f>IF(V95=1,COUNTIF($V$27:V95,1),"")</f>
        <v/>
      </c>
      <c r="AW95" s="591" t="str">
        <f>IF(W95=1,COUNTIF($W$27:W95,1),"")</f>
        <v/>
      </c>
      <c r="AX95" s="591" t="str">
        <f>IF(X95=1,COUNTIF($X$27:X95,1),"")</f>
        <v/>
      </c>
      <c r="AY95" s="591" t="str">
        <f>IF(Y95=1,COUNTIF($Y$27:Y95,1),"")</f>
        <v/>
      </c>
      <c r="AZ95" s="591" t="str">
        <f>IF(Z95=1,COUNTIF($Z$27:Z95,1),"")</f>
        <v/>
      </c>
      <c r="BA95" s="591" t="str">
        <f>IF(AA95=1,COUNTIF($AA$27:AA95,1),"")</f>
        <v/>
      </c>
      <c r="BB95" s="591" t="str">
        <f>IF(AB95=1,COUNTIF($AB$27:AB95,1),"")</f>
        <v/>
      </c>
      <c r="BC95" s="591" t="str">
        <f>IF(AC95=1,COUNTIF($AC$27:AC95,1),"")</f>
        <v/>
      </c>
      <c r="BD95" s="591" t="str">
        <f>IF(AD95=1,COUNTIF($AD$27:AD95,1),"")</f>
        <v/>
      </c>
      <c r="BE95" s="591" t="str">
        <f>IF(AE95=1,COUNTIF($AE$27:AE95,1),"")</f>
        <v/>
      </c>
      <c r="BF95" s="591" t="str">
        <f>IF(AF95=1,COUNTIF($AF$27:AF95,1),"")</f>
        <v/>
      </c>
      <c r="BG95" s="591" t="str">
        <f>IF(AG95=1,COUNTIF($AG$27:AG95,1),"")</f>
        <v/>
      </c>
      <c r="BH95" s="591" t="str">
        <f>IF(AH95=1,COUNTIF($AH$27:AH95,1),"")</f>
        <v/>
      </c>
      <c r="BI95" s="591" t="str">
        <f>IF(AI95=1,COUNTIF($AI$27:AI95,1),"")</f>
        <v/>
      </c>
      <c r="BJ95" s="591" t="str">
        <f>IF(AJ95=1,COUNTIF($AJ$27:AJ95,1),"")</f>
        <v/>
      </c>
      <c r="BK95" s="591" t="str">
        <f>IF(AK95=1,COUNTIF($AK$27:AK95,1),"")</f>
        <v/>
      </c>
    </row>
    <row r="96" spans="3:63" ht="35.1" customHeight="1">
      <c r="C96" s="17" t="str">
        <f t="shared" si="7"/>
        <v>-</v>
      </c>
      <c r="D96" s="17"/>
      <c r="E96" s="17"/>
      <c r="J96" s="1220" t="str">
        <f t="shared" si="8"/>
        <v>-</v>
      </c>
      <c r="N96" s="658"/>
      <c r="O96" s="658"/>
      <c r="P96" s="658"/>
      <c r="Q96" s="658"/>
      <c r="R96" s="658"/>
      <c r="S96" s="658"/>
      <c r="T96" s="658"/>
      <c r="U96" s="658"/>
      <c r="V96" s="658"/>
      <c r="W96" s="658"/>
      <c r="X96" s="658"/>
      <c r="Y96" s="658"/>
      <c r="Z96" s="658"/>
      <c r="AA96" s="658"/>
      <c r="AB96" s="658"/>
      <c r="AC96" s="658"/>
      <c r="AD96" s="658"/>
      <c r="AE96" s="658"/>
      <c r="AF96" s="658"/>
      <c r="AG96" s="658"/>
      <c r="AH96" s="658"/>
      <c r="AI96" s="658"/>
      <c r="AJ96" s="658"/>
      <c r="AK96" s="658"/>
      <c r="AN96" s="591" t="str">
        <f>IF(N96=1,COUNTIF($N$27:N96,1),"")</f>
        <v/>
      </c>
      <c r="AO96" s="591" t="str">
        <f>IF(O96=1,COUNTIF($O$27:O96,1),"")</f>
        <v/>
      </c>
      <c r="AP96" s="591" t="str">
        <f>IF(P96=1,COUNTIF($P$27:P96,1),"")</f>
        <v/>
      </c>
      <c r="AQ96" s="591" t="str">
        <f>IF(Q96=1,COUNTIF($Q$27:Q96,1),"")</f>
        <v/>
      </c>
      <c r="AR96" s="591" t="str">
        <f>IF(R96=1,COUNTIF($R$27:R96,1),"")</f>
        <v/>
      </c>
      <c r="AS96" s="591" t="str">
        <f>IF(S96=1,COUNTIF($S$27:S96,1),"")</f>
        <v/>
      </c>
      <c r="AT96" s="591" t="str">
        <f>IF(T96=1,COUNTIF($T$27:T96,1),"")</f>
        <v/>
      </c>
      <c r="AU96" s="591" t="str">
        <f>IF(U96=1,COUNTIF($U$27:U96,1),"")</f>
        <v/>
      </c>
      <c r="AV96" s="591" t="str">
        <f>IF(V96=1,COUNTIF($V$27:V96,1),"")</f>
        <v/>
      </c>
      <c r="AW96" s="591" t="str">
        <f>IF(W96=1,COUNTIF($W$27:W96,1),"")</f>
        <v/>
      </c>
      <c r="AX96" s="591" t="str">
        <f>IF(X96=1,COUNTIF($X$27:X96,1),"")</f>
        <v/>
      </c>
      <c r="AY96" s="591" t="str">
        <f>IF(Y96=1,COUNTIF($Y$27:Y96,1),"")</f>
        <v/>
      </c>
      <c r="AZ96" s="591" t="str">
        <f>IF(Z96=1,COUNTIF($Z$27:Z96,1),"")</f>
        <v/>
      </c>
      <c r="BA96" s="591" t="str">
        <f>IF(AA96=1,COUNTIF($AA$27:AA96,1),"")</f>
        <v/>
      </c>
      <c r="BB96" s="591" t="str">
        <f>IF(AB96=1,COUNTIF($AB$27:AB96,1),"")</f>
        <v/>
      </c>
      <c r="BC96" s="591" t="str">
        <f>IF(AC96=1,COUNTIF($AC$27:AC96,1),"")</f>
        <v/>
      </c>
      <c r="BD96" s="591" t="str">
        <f>IF(AD96=1,COUNTIF($AD$27:AD96,1),"")</f>
        <v/>
      </c>
      <c r="BE96" s="591" t="str">
        <f>IF(AE96=1,COUNTIF($AE$27:AE96,1),"")</f>
        <v/>
      </c>
      <c r="BF96" s="591" t="str">
        <f>IF(AF96=1,COUNTIF($AF$27:AF96,1),"")</f>
        <v/>
      </c>
      <c r="BG96" s="591" t="str">
        <f>IF(AG96=1,COUNTIF($AG$27:AG96,1),"")</f>
        <v/>
      </c>
      <c r="BH96" s="591" t="str">
        <f>IF(AH96=1,COUNTIF($AH$27:AH96,1),"")</f>
        <v/>
      </c>
      <c r="BI96" s="591" t="str">
        <f>IF(AI96=1,COUNTIF($AI$27:AI96,1),"")</f>
        <v/>
      </c>
      <c r="BJ96" s="591" t="str">
        <f>IF(AJ96=1,COUNTIF($AJ$27:AJ96,1),"")</f>
        <v/>
      </c>
      <c r="BK96" s="591" t="str">
        <f>IF(AK96=1,COUNTIF($AK$27:AK96,1),"")</f>
        <v/>
      </c>
    </row>
    <row r="97" spans="3:63" ht="35.1" customHeight="1">
      <c r="C97" s="17" t="str">
        <f t="shared" si="7"/>
        <v>-</v>
      </c>
      <c r="D97" s="17"/>
      <c r="E97" s="17"/>
      <c r="J97" s="1220" t="str">
        <f t="shared" si="8"/>
        <v>-</v>
      </c>
      <c r="N97" s="658"/>
      <c r="O97" s="658"/>
      <c r="P97" s="658"/>
      <c r="Q97" s="658"/>
      <c r="R97" s="658"/>
      <c r="S97" s="658"/>
      <c r="T97" s="658"/>
      <c r="U97" s="658"/>
      <c r="V97" s="658"/>
      <c r="W97" s="658"/>
      <c r="X97" s="658"/>
      <c r="Y97" s="658"/>
      <c r="Z97" s="658"/>
      <c r="AA97" s="658"/>
      <c r="AB97" s="658"/>
      <c r="AC97" s="658"/>
      <c r="AD97" s="658"/>
      <c r="AE97" s="658"/>
      <c r="AF97" s="658"/>
      <c r="AG97" s="658"/>
      <c r="AH97" s="658"/>
      <c r="AI97" s="658"/>
      <c r="AJ97" s="658"/>
      <c r="AK97" s="658"/>
      <c r="AN97" s="591" t="str">
        <f>IF(N97=1,COUNTIF($N$27:N97,1),"")</f>
        <v/>
      </c>
      <c r="AO97" s="591" t="str">
        <f>IF(O97=1,COUNTIF($O$27:O97,1),"")</f>
        <v/>
      </c>
      <c r="AP97" s="591" t="str">
        <f>IF(P97=1,COUNTIF($P$27:P97,1),"")</f>
        <v/>
      </c>
      <c r="AQ97" s="591" t="str">
        <f>IF(Q97=1,COUNTIF($Q$27:Q97,1),"")</f>
        <v/>
      </c>
      <c r="AR97" s="591" t="str">
        <f>IF(R97=1,COUNTIF($R$27:R97,1),"")</f>
        <v/>
      </c>
      <c r="AS97" s="591" t="str">
        <f>IF(S97=1,COUNTIF($S$27:S97,1),"")</f>
        <v/>
      </c>
      <c r="AT97" s="591" t="str">
        <f>IF(T97=1,COUNTIF($T$27:T97,1),"")</f>
        <v/>
      </c>
      <c r="AU97" s="591" t="str">
        <f>IF(U97=1,COUNTIF($U$27:U97,1),"")</f>
        <v/>
      </c>
      <c r="AV97" s="591" t="str">
        <f>IF(V97=1,COUNTIF($V$27:V97,1),"")</f>
        <v/>
      </c>
      <c r="AW97" s="591" t="str">
        <f>IF(W97=1,COUNTIF($W$27:W97,1),"")</f>
        <v/>
      </c>
      <c r="AX97" s="591" t="str">
        <f>IF(X97=1,COUNTIF($X$27:X97,1),"")</f>
        <v/>
      </c>
      <c r="AY97" s="591" t="str">
        <f>IF(Y97=1,COUNTIF($Y$27:Y97,1),"")</f>
        <v/>
      </c>
      <c r="AZ97" s="591" t="str">
        <f>IF(Z97=1,COUNTIF($Z$27:Z97,1),"")</f>
        <v/>
      </c>
      <c r="BA97" s="591" t="str">
        <f>IF(AA97=1,COUNTIF($AA$27:AA97,1),"")</f>
        <v/>
      </c>
      <c r="BB97" s="591" t="str">
        <f>IF(AB97=1,COUNTIF($AB$27:AB97,1),"")</f>
        <v/>
      </c>
      <c r="BC97" s="591" t="str">
        <f>IF(AC97=1,COUNTIF($AC$27:AC97,1),"")</f>
        <v/>
      </c>
      <c r="BD97" s="591" t="str">
        <f>IF(AD97=1,COUNTIF($AD$27:AD97,1),"")</f>
        <v/>
      </c>
      <c r="BE97" s="591" t="str">
        <f>IF(AE97=1,COUNTIF($AE$27:AE97,1),"")</f>
        <v/>
      </c>
      <c r="BF97" s="591" t="str">
        <f>IF(AF97=1,COUNTIF($AF$27:AF97,1),"")</f>
        <v/>
      </c>
      <c r="BG97" s="591" t="str">
        <f>IF(AG97=1,COUNTIF($AG$27:AG97,1),"")</f>
        <v/>
      </c>
      <c r="BH97" s="591" t="str">
        <f>IF(AH97=1,COUNTIF($AH$27:AH97,1),"")</f>
        <v/>
      </c>
      <c r="BI97" s="591" t="str">
        <f>IF(AI97=1,COUNTIF($AI$27:AI97,1),"")</f>
        <v/>
      </c>
      <c r="BJ97" s="591" t="str">
        <f>IF(AJ97=1,COUNTIF($AJ$27:AJ97,1),"")</f>
        <v/>
      </c>
      <c r="BK97" s="591" t="str">
        <f>IF(AK97=1,COUNTIF($AK$27:AK97,1),"")</f>
        <v/>
      </c>
    </row>
    <row r="98" spans="3:63" ht="35.1" customHeight="1">
      <c r="C98" s="17" t="str">
        <f t="shared" si="7"/>
        <v>-</v>
      </c>
      <c r="D98" s="17"/>
      <c r="E98" s="17"/>
      <c r="J98" s="1220" t="str">
        <f t="shared" si="8"/>
        <v>-</v>
      </c>
      <c r="N98" s="658"/>
      <c r="O98" s="658"/>
      <c r="P98" s="658"/>
      <c r="Q98" s="658"/>
      <c r="R98" s="658"/>
      <c r="S98" s="658"/>
      <c r="T98" s="658"/>
      <c r="U98" s="658"/>
      <c r="V98" s="658"/>
      <c r="W98" s="658"/>
      <c r="X98" s="658"/>
      <c r="Y98" s="658"/>
      <c r="Z98" s="658"/>
      <c r="AA98" s="658"/>
      <c r="AB98" s="658"/>
      <c r="AC98" s="658"/>
      <c r="AD98" s="658"/>
      <c r="AE98" s="658"/>
      <c r="AF98" s="658"/>
      <c r="AG98" s="658"/>
      <c r="AH98" s="658"/>
      <c r="AI98" s="658"/>
      <c r="AJ98" s="658"/>
      <c r="AK98" s="658"/>
      <c r="AN98" s="591" t="str">
        <f>IF(N98=1,COUNTIF($N$27:N98,1),"")</f>
        <v/>
      </c>
      <c r="AO98" s="591" t="str">
        <f>IF(O98=1,COUNTIF($O$27:O98,1),"")</f>
        <v/>
      </c>
      <c r="AP98" s="591" t="str">
        <f>IF(P98=1,COUNTIF($P$27:P98,1),"")</f>
        <v/>
      </c>
      <c r="AQ98" s="591" t="str">
        <f>IF(Q98=1,COUNTIF($Q$27:Q98,1),"")</f>
        <v/>
      </c>
      <c r="AR98" s="591" t="str">
        <f>IF(R98=1,COUNTIF($R$27:R98,1),"")</f>
        <v/>
      </c>
      <c r="AS98" s="591" t="str">
        <f>IF(S98=1,COUNTIF($S$27:S98,1),"")</f>
        <v/>
      </c>
      <c r="AT98" s="591" t="str">
        <f>IF(T98=1,COUNTIF($T$27:T98,1),"")</f>
        <v/>
      </c>
      <c r="AU98" s="591" t="str">
        <f>IF(U98=1,COUNTIF($U$27:U98,1),"")</f>
        <v/>
      </c>
      <c r="AV98" s="591" t="str">
        <f>IF(V98=1,COUNTIF($V$27:V98,1),"")</f>
        <v/>
      </c>
      <c r="AW98" s="591" t="str">
        <f>IF(W98=1,COUNTIF($W$27:W98,1),"")</f>
        <v/>
      </c>
      <c r="AX98" s="591" t="str">
        <f>IF(X98=1,COUNTIF($X$27:X98,1),"")</f>
        <v/>
      </c>
      <c r="AY98" s="591" t="str">
        <f>IF(Y98=1,COUNTIF($Y$27:Y98,1),"")</f>
        <v/>
      </c>
      <c r="AZ98" s="591" t="str">
        <f>IF(Z98=1,COUNTIF($Z$27:Z98,1),"")</f>
        <v/>
      </c>
      <c r="BA98" s="591" t="str">
        <f>IF(AA98=1,COUNTIF($AA$27:AA98,1),"")</f>
        <v/>
      </c>
      <c r="BB98" s="591" t="str">
        <f>IF(AB98=1,COUNTIF($AB$27:AB98,1),"")</f>
        <v/>
      </c>
      <c r="BC98" s="591" t="str">
        <f>IF(AC98=1,COUNTIF($AC$27:AC98,1),"")</f>
        <v/>
      </c>
      <c r="BD98" s="591" t="str">
        <f>IF(AD98=1,COUNTIF($AD$27:AD98,1),"")</f>
        <v/>
      </c>
      <c r="BE98" s="591" t="str">
        <f>IF(AE98=1,COUNTIF($AE$27:AE98,1),"")</f>
        <v/>
      </c>
      <c r="BF98" s="591" t="str">
        <f>IF(AF98=1,COUNTIF($AF$27:AF98,1),"")</f>
        <v/>
      </c>
      <c r="BG98" s="591" t="str">
        <f>IF(AG98=1,COUNTIF($AG$27:AG98,1),"")</f>
        <v/>
      </c>
      <c r="BH98" s="591" t="str">
        <f>IF(AH98=1,COUNTIF($AH$27:AH98,1),"")</f>
        <v/>
      </c>
      <c r="BI98" s="591" t="str">
        <f>IF(AI98=1,COUNTIF($AI$27:AI98,1),"")</f>
        <v/>
      </c>
      <c r="BJ98" s="591" t="str">
        <f>IF(AJ98=1,COUNTIF($AJ$27:AJ98,1),"")</f>
        <v/>
      </c>
      <c r="BK98" s="591" t="str">
        <f>IF(AK98=1,COUNTIF($AK$27:AK98,1),"")</f>
        <v/>
      </c>
    </row>
    <row r="99" spans="3:63" ht="35.1" customHeight="1">
      <c r="C99" s="17" t="str">
        <f t="shared" si="7"/>
        <v>-</v>
      </c>
      <c r="D99" s="17"/>
      <c r="E99" s="17"/>
      <c r="J99" s="1220" t="str">
        <f t="shared" si="8"/>
        <v>-</v>
      </c>
      <c r="N99" s="658"/>
      <c r="O99" s="658"/>
      <c r="P99" s="658"/>
      <c r="Q99" s="658"/>
      <c r="R99" s="658"/>
      <c r="S99" s="658"/>
      <c r="T99" s="658"/>
      <c r="U99" s="658"/>
      <c r="V99" s="658"/>
      <c r="W99" s="658"/>
      <c r="X99" s="658"/>
      <c r="Y99" s="658"/>
      <c r="Z99" s="658"/>
      <c r="AA99" s="658"/>
      <c r="AB99" s="658"/>
      <c r="AC99" s="658"/>
      <c r="AD99" s="658"/>
      <c r="AE99" s="658"/>
      <c r="AF99" s="658"/>
      <c r="AG99" s="658"/>
      <c r="AH99" s="658"/>
      <c r="AI99" s="658"/>
      <c r="AJ99" s="658"/>
      <c r="AK99" s="658"/>
      <c r="AN99" s="591" t="str">
        <f>IF(N99=1,COUNTIF($N$27:N99,1),"")</f>
        <v/>
      </c>
      <c r="AO99" s="591" t="str">
        <f>IF(O99=1,COUNTIF($O$27:O99,1),"")</f>
        <v/>
      </c>
      <c r="AP99" s="591" t="str">
        <f>IF(P99=1,COUNTIF($P$27:P99,1),"")</f>
        <v/>
      </c>
      <c r="AQ99" s="591" t="str">
        <f>IF(Q99=1,COUNTIF($Q$27:Q99,1),"")</f>
        <v/>
      </c>
      <c r="AR99" s="591" t="str">
        <f>IF(R99=1,COUNTIF($R$27:R99,1),"")</f>
        <v/>
      </c>
      <c r="AS99" s="591" t="str">
        <f>IF(S99=1,COUNTIF($S$27:S99,1),"")</f>
        <v/>
      </c>
      <c r="AT99" s="591" t="str">
        <f>IF(T99=1,COUNTIF($T$27:T99,1),"")</f>
        <v/>
      </c>
      <c r="AU99" s="591" t="str">
        <f>IF(U99=1,COUNTIF($U$27:U99,1),"")</f>
        <v/>
      </c>
      <c r="AV99" s="591" t="str">
        <f>IF(V99=1,COUNTIF($V$27:V99,1),"")</f>
        <v/>
      </c>
      <c r="AW99" s="591" t="str">
        <f>IF(W99=1,COUNTIF($W$27:W99,1),"")</f>
        <v/>
      </c>
      <c r="AX99" s="591" t="str">
        <f>IF(X99=1,COUNTIF($X$27:X99,1),"")</f>
        <v/>
      </c>
      <c r="AY99" s="591" t="str">
        <f>IF(Y99=1,COUNTIF($Y$27:Y99,1),"")</f>
        <v/>
      </c>
      <c r="AZ99" s="591" t="str">
        <f>IF(Z99=1,COUNTIF($Z$27:Z99,1),"")</f>
        <v/>
      </c>
      <c r="BA99" s="591" t="str">
        <f>IF(AA99=1,COUNTIF($AA$27:AA99,1),"")</f>
        <v/>
      </c>
      <c r="BB99" s="591" t="str">
        <f>IF(AB99=1,COUNTIF($AB$27:AB99,1),"")</f>
        <v/>
      </c>
      <c r="BC99" s="591" t="str">
        <f>IF(AC99=1,COUNTIF($AC$27:AC99,1),"")</f>
        <v/>
      </c>
      <c r="BD99" s="591" t="str">
        <f>IF(AD99=1,COUNTIF($AD$27:AD99,1),"")</f>
        <v/>
      </c>
      <c r="BE99" s="591" t="str">
        <f>IF(AE99=1,COUNTIF($AE$27:AE99,1),"")</f>
        <v/>
      </c>
      <c r="BF99" s="591" t="str">
        <f>IF(AF99=1,COUNTIF($AF$27:AF99,1),"")</f>
        <v/>
      </c>
      <c r="BG99" s="591" t="str">
        <f>IF(AG99=1,COUNTIF($AG$27:AG99,1),"")</f>
        <v/>
      </c>
      <c r="BH99" s="591" t="str">
        <f>IF(AH99=1,COUNTIF($AH$27:AH99,1),"")</f>
        <v/>
      </c>
      <c r="BI99" s="591" t="str">
        <f>IF(AI99=1,COUNTIF($AI$27:AI99,1),"")</f>
        <v/>
      </c>
      <c r="BJ99" s="591" t="str">
        <f>IF(AJ99=1,COUNTIF($AJ$27:AJ99,1),"")</f>
        <v/>
      </c>
      <c r="BK99" s="591" t="str">
        <f>IF(AK99=1,COUNTIF($AK$27:AK99,1),"")</f>
        <v/>
      </c>
    </row>
    <row r="100" spans="3:63" ht="35.1" customHeight="1">
      <c r="C100" s="17" t="str">
        <f t="shared" si="7"/>
        <v>-</v>
      </c>
      <c r="D100" s="17"/>
      <c r="E100" s="17"/>
      <c r="J100" s="1220" t="str">
        <f t="shared" si="8"/>
        <v>-</v>
      </c>
      <c r="N100" s="658"/>
      <c r="O100" s="658"/>
      <c r="P100" s="658"/>
      <c r="Q100" s="658"/>
      <c r="R100" s="658"/>
      <c r="S100" s="658"/>
      <c r="T100" s="658"/>
      <c r="U100" s="658"/>
      <c r="V100" s="658"/>
      <c r="W100" s="658"/>
      <c r="X100" s="658"/>
      <c r="Y100" s="658"/>
      <c r="Z100" s="658"/>
      <c r="AA100" s="658"/>
      <c r="AB100" s="658"/>
      <c r="AC100" s="658"/>
      <c r="AD100" s="658"/>
      <c r="AE100" s="658"/>
      <c r="AF100" s="658"/>
      <c r="AG100" s="658"/>
      <c r="AH100" s="658"/>
      <c r="AI100" s="658"/>
      <c r="AJ100" s="658"/>
      <c r="AK100" s="658"/>
      <c r="AN100" s="591" t="str">
        <f>IF(N100=1,COUNTIF($N$27:N100,1),"")</f>
        <v/>
      </c>
      <c r="AO100" s="591" t="str">
        <f>IF(O100=1,COUNTIF($O$27:O100,1),"")</f>
        <v/>
      </c>
      <c r="AP100" s="591" t="str">
        <f>IF(P100=1,COUNTIF($P$27:P100,1),"")</f>
        <v/>
      </c>
      <c r="AQ100" s="591" t="str">
        <f>IF(Q100=1,COUNTIF($Q$27:Q100,1),"")</f>
        <v/>
      </c>
      <c r="AR100" s="591" t="str">
        <f>IF(R100=1,COUNTIF($R$27:R100,1),"")</f>
        <v/>
      </c>
      <c r="AS100" s="591" t="str">
        <f>IF(S100=1,COUNTIF($S$27:S100,1),"")</f>
        <v/>
      </c>
      <c r="AT100" s="591" t="str">
        <f>IF(T100=1,COUNTIF($T$27:T100,1),"")</f>
        <v/>
      </c>
      <c r="AU100" s="591" t="str">
        <f>IF(U100=1,COUNTIF($U$27:U100,1),"")</f>
        <v/>
      </c>
      <c r="AV100" s="591" t="str">
        <f>IF(V100=1,COUNTIF($V$27:V100,1),"")</f>
        <v/>
      </c>
      <c r="AW100" s="591" t="str">
        <f>IF(W100=1,COUNTIF($W$27:W100,1),"")</f>
        <v/>
      </c>
      <c r="AX100" s="591" t="str">
        <f>IF(X100=1,COUNTIF($X$27:X100,1),"")</f>
        <v/>
      </c>
      <c r="AY100" s="591" t="str">
        <f>IF(Y100=1,COUNTIF($Y$27:Y100,1),"")</f>
        <v/>
      </c>
      <c r="AZ100" s="591" t="str">
        <f>IF(Z100=1,COUNTIF($Z$27:Z100,1),"")</f>
        <v/>
      </c>
      <c r="BA100" s="591" t="str">
        <f>IF(AA100=1,COUNTIF($AA$27:AA100,1),"")</f>
        <v/>
      </c>
      <c r="BB100" s="591" t="str">
        <f>IF(AB100=1,COUNTIF($AB$27:AB100,1),"")</f>
        <v/>
      </c>
      <c r="BC100" s="591" t="str">
        <f>IF(AC100=1,COUNTIF($AC$27:AC100,1),"")</f>
        <v/>
      </c>
      <c r="BD100" s="591" t="str">
        <f>IF(AD100=1,COUNTIF($AD$27:AD100,1),"")</f>
        <v/>
      </c>
      <c r="BE100" s="591" t="str">
        <f>IF(AE100=1,COUNTIF($AE$27:AE100,1),"")</f>
        <v/>
      </c>
      <c r="BF100" s="591" t="str">
        <f>IF(AF100=1,COUNTIF($AF$27:AF100,1),"")</f>
        <v/>
      </c>
      <c r="BG100" s="591" t="str">
        <f>IF(AG100=1,COUNTIF($AG$27:AG100,1),"")</f>
        <v/>
      </c>
      <c r="BH100" s="591" t="str">
        <f>IF(AH100=1,COUNTIF($AH$27:AH100,1),"")</f>
        <v/>
      </c>
      <c r="BI100" s="591" t="str">
        <f>IF(AI100=1,COUNTIF($AI$27:AI100,1),"")</f>
        <v/>
      </c>
      <c r="BJ100" s="591" t="str">
        <f>IF(AJ100=1,COUNTIF($AJ$27:AJ100,1),"")</f>
        <v/>
      </c>
      <c r="BK100" s="591" t="str">
        <f>IF(AK100=1,COUNTIF($AK$27:AK100,1),"")</f>
        <v/>
      </c>
    </row>
    <row r="101" spans="3:63" ht="35.1" customHeight="1">
      <c r="C101" s="17" t="str">
        <f t="shared" si="7"/>
        <v>-</v>
      </c>
      <c r="D101" s="17"/>
      <c r="E101" s="17"/>
      <c r="J101" s="1220" t="str">
        <f t="shared" si="8"/>
        <v>-</v>
      </c>
      <c r="N101" s="658"/>
      <c r="O101" s="658"/>
      <c r="P101" s="658"/>
      <c r="Q101" s="658"/>
      <c r="R101" s="658"/>
      <c r="S101" s="658"/>
      <c r="T101" s="658"/>
      <c r="U101" s="658"/>
      <c r="V101" s="658"/>
      <c r="W101" s="658"/>
      <c r="X101" s="658"/>
      <c r="Y101" s="658"/>
      <c r="Z101" s="658"/>
      <c r="AA101" s="658"/>
      <c r="AB101" s="658"/>
      <c r="AC101" s="658"/>
      <c r="AD101" s="658"/>
      <c r="AE101" s="658"/>
      <c r="AF101" s="658"/>
      <c r="AG101" s="658"/>
      <c r="AH101" s="658"/>
      <c r="AI101" s="658"/>
      <c r="AJ101" s="658"/>
      <c r="AK101" s="658"/>
      <c r="AN101" s="591" t="str">
        <f>IF(N101=1,COUNTIF($N$27:N101,1),"")</f>
        <v/>
      </c>
      <c r="AO101" s="591" t="str">
        <f>IF(O101=1,COUNTIF($O$27:O101,1),"")</f>
        <v/>
      </c>
      <c r="AP101" s="591" t="str">
        <f>IF(P101=1,COUNTIF($P$27:P101,1),"")</f>
        <v/>
      </c>
      <c r="AQ101" s="591" t="str">
        <f>IF(Q101=1,COUNTIF($Q$27:Q101,1),"")</f>
        <v/>
      </c>
      <c r="AR101" s="591" t="str">
        <f>IF(R101=1,COUNTIF($R$27:R101,1),"")</f>
        <v/>
      </c>
      <c r="AS101" s="591" t="str">
        <f>IF(S101=1,COUNTIF($S$27:S101,1),"")</f>
        <v/>
      </c>
      <c r="AT101" s="591" t="str">
        <f>IF(T101=1,COUNTIF($T$27:T101,1),"")</f>
        <v/>
      </c>
      <c r="AU101" s="591" t="str">
        <f>IF(U101=1,COUNTIF($U$27:U101,1),"")</f>
        <v/>
      </c>
      <c r="AV101" s="591" t="str">
        <f>IF(V101=1,COUNTIF($V$27:V101,1),"")</f>
        <v/>
      </c>
      <c r="AW101" s="591" t="str">
        <f>IF(W101=1,COUNTIF($W$27:W101,1),"")</f>
        <v/>
      </c>
      <c r="AX101" s="591" t="str">
        <f>IF(X101=1,COUNTIF($X$27:X101,1),"")</f>
        <v/>
      </c>
      <c r="AY101" s="591" t="str">
        <f>IF(Y101=1,COUNTIF($Y$27:Y101,1),"")</f>
        <v/>
      </c>
      <c r="AZ101" s="591" t="str">
        <f>IF(Z101=1,COUNTIF($Z$27:Z101,1),"")</f>
        <v/>
      </c>
      <c r="BA101" s="591" t="str">
        <f>IF(AA101=1,COUNTIF($AA$27:AA101,1),"")</f>
        <v/>
      </c>
      <c r="BB101" s="591" t="str">
        <f>IF(AB101=1,COUNTIF($AB$27:AB101,1),"")</f>
        <v/>
      </c>
      <c r="BC101" s="591" t="str">
        <f>IF(AC101=1,COUNTIF($AC$27:AC101,1),"")</f>
        <v/>
      </c>
      <c r="BD101" s="591" t="str">
        <f>IF(AD101=1,COUNTIF($AD$27:AD101,1),"")</f>
        <v/>
      </c>
      <c r="BE101" s="591" t="str">
        <f>IF(AE101=1,COUNTIF($AE$27:AE101,1),"")</f>
        <v/>
      </c>
      <c r="BF101" s="591" t="str">
        <f>IF(AF101=1,COUNTIF($AF$27:AF101,1),"")</f>
        <v/>
      </c>
      <c r="BG101" s="591" t="str">
        <f>IF(AG101=1,COUNTIF($AG$27:AG101,1),"")</f>
        <v/>
      </c>
      <c r="BH101" s="591" t="str">
        <f>IF(AH101=1,COUNTIF($AH$27:AH101,1),"")</f>
        <v/>
      </c>
      <c r="BI101" s="591" t="str">
        <f>IF(AI101=1,COUNTIF($AI$27:AI101,1),"")</f>
        <v/>
      </c>
      <c r="BJ101" s="591" t="str">
        <f>IF(AJ101=1,COUNTIF($AJ$27:AJ101,1),"")</f>
        <v/>
      </c>
      <c r="BK101" s="591" t="str">
        <f>IF(AK101=1,COUNTIF($AK$27:AK101,1),"")</f>
        <v/>
      </c>
    </row>
    <row r="102" spans="3:63" ht="35.1" customHeight="1">
      <c r="C102" s="17" t="str">
        <f t="shared" si="7"/>
        <v>-</v>
      </c>
      <c r="D102" s="17"/>
      <c r="E102" s="17"/>
      <c r="J102" s="1220" t="str">
        <f t="shared" si="8"/>
        <v>-</v>
      </c>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7"/>
      <c r="AN102" s="591" t="str">
        <f>IF(N102=1,COUNTIF($N$27:N202,1),"")</f>
        <v/>
      </c>
      <c r="AO102" s="591" t="str">
        <f>IF(O102=1,COUNTIF($O$27:O102,1),"")</f>
        <v/>
      </c>
      <c r="AP102" s="591" t="str">
        <f>IF(P102=1,COUNTIF($P$27:P102,1),"")</f>
        <v/>
      </c>
      <c r="AQ102" s="591" t="str">
        <f>IF(Q102=1,COUNTIF($Q$27:Q102,1),"")</f>
        <v/>
      </c>
      <c r="AR102" s="591" t="str">
        <f>IF(R102=1,COUNTIF($R$27:R102,1),"")</f>
        <v/>
      </c>
      <c r="AS102" s="591" t="str">
        <f>IF(S102=1,COUNTIF($S$27:S102,1),"")</f>
        <v/>
      </c>
      <c r="AT102" s="591" t="str">
        <f>IF(T102=1,COUNTIF($T$27:T102,1),"")</f>
        <v/>
      </c>
      <c r="AU102" s="591" t="str">
        <f>IF(U102=1,COUNTIF($U$27:U102,1),"")</f>
        <v/>
      </c>
      <c r="AV102" s="591" t="str">
        <f>IF(V102=1,COUNTIF($V$27:V102,1),"")</f>
        <v/>
      </c>
      <c r="AW102" s="591" t="str">
        <f>IF(W102=1,COUNTIF($W$27:W102,1),"")</f>
        <v/>
      </c>
      <c r="AX102" s="591" t="str">
        <f>IF(X102=1,COUNTIF($X$27:X102,1),"")</f>
        <v/>
      </c>
      <c r="AY102" s="591" t="str">
        <f>IF(Y102=1,COUNTIF($Y$27:Y102,1),"")</f>
        <v/>
      </c>
      <c r="AZ102" s="591" t="str">
        <f>IF(Z102=1,COUNTIF($Z$27:Z102,1),"")</f>
        <v/>
      </c>
      <c r="BA102" s="591" t="str">
        <f>IF(AA102=1,COUNTIF($AA$27:AA102,1),"")</f>
        <v/>
      </c>
      <c r="BB102" s="591" t="str">
        <f>IF(AB102=1,COUNTIF($AB$27:AB102,1),"")</f>
        <v/>
      </c>
      <c r="BC102" s="591" t="str">
        <f>IF(AC102=1,COUNTIF($AC$27:AC102,1),"")</f>
        <v/>
      </c>
      <c r="BD102" s="591" t="str">
        <f>IF(AD102=1,COUNTIF($AD$27:AD102,1),"")</f>
        <v/>
      </c>
      <c r="BE102" s="591" t="str">
        <f>IF(AE102=1,COUNTIF($AE$27:AE102,1),"")</f>
        <v/>
      </c>
      <c r="BF102" s="591" t="str">
        <f>IF(AF102=1,COUNTIF($AF$27:AF102,1),"")</f>
        <v/>
      </c>
      <c r="BG102" s="591" t="str">
        <f>IF(AG102=1,COUNTIF($AG$27:AG102,1),"")</f>
        <v/>
      </c>
      <c r="BH102" s="591" t="str">
        <f>IF(AH102=1,COUNTIF($AH$27:AH102,1),"")</f>
        <v/>
      </c>
      <c r="BI102" s="591" t="str">
        <f>IF(AI102=1,COUNTIF($AI$27:AI102,1),"")</f>
        <v/>
      </c>
      <c r="BJ102" s="591" t="str">
        <f>IF(AJ102=1,COUNTIF($AJ$27:AJ102,1),"")</f>
        <v/>
      </c>
      <c r="BK102" s="591" t="str">
        <f>IF(AK102=1,COUNTIF($AK$27:AK102,1),"")</f>
        <v/>
      </c>
    </row>
    <row r="103" spans="3:63" ht="35.1" customHeight="1">
      <c r="C103" s="17" t="str">
        <f t="shared" si="7"/>
        <v>-</v>
      </c>
      <c r="D103" s="17"/>
      <c r="J103" s="1220" t="str">
        <f t="shared" si="8"/>
        <v>-</v>
      </c>
      <c r="N103" s="659"/>
      <c r="O103" s="659"/>
      <c r="P103" s="659"/>
      <c r="Q103" s="659"/>
      <c r="R103" s="659"/>
      <c r="S103" s="659"/>
      <c r="T103" s="659"/>
      <c r="U103" s="659"/>
      <c r="V103" s="659"/>
      <c r="W103" s="659"/>
      <c r="X103" s="659"/>
      <c r="Y103" s="659"/>
      <c r="Z103" s="659"/>
      <c r="AA103" s="659"/>
      <c r="AB103" s="659"/>
      <c r="AC103" s="659"/>
      <c r="AD103" s="659"/>
      <c r="AE103" s="659"/>
      <c r="AF103" s="659"/>
      <c r="AG103" s="659"/>
      <c r="AH103" s="659"/>
      <c r="AI103" s="659"/>
      <c r="AJ103" s="659"/>
      <c r="BF103" s="591" t="str">
        <f>IF(AF103=1,COUNTIF($AF$27:AF103,1),"")</f>
        <v/>
      </c>
    </row>
    <row r="104" spans="3:63" ht="35.1" customHeight="1">
      <c r="C104" s="17" t="str">
        <f t="shared" si="7"/>
        <v>-</v>
      </c>
      <c r="D104" s="17"/>
      <c r="J104" s="1220" t="str">
        <f t="shared" si="8"/>
        <v>-</v>
      </c>
      <c r="N104" s="659"/>
      <c r="O104" s="659"/>
      <c r="P104" s="659"/>
      <c r="Q104" s="659"/>
      <c r="R104" s="659"/>
      <c r="S104" s="659"/>
      <c r="T104" s="659"/>
      <c r="U104" s="659"/>
      <c r="V104" s="659"/>
      <c r="W104" s="659"/>
      <c r="X104" s="659"/>
      <c r="Y104" s="659"/>
      <c r="Z104" s="659"/>
      <c r="AA104" s="659"/>
      <c r="AB104" s="659"/>
      <c r="AC104" s="659"/>
      <c r="AD104" s="659"/>
      <c r="AE104" s="659"/>
      <c r="AF104" s="659"/>
      <c r="AG104" s="659"/>
      <c r="AH104" s="659"/>
      <c r="AI104" s="659"/>
      <c r="AJ104" s="659"/>
      <c r="BF104" s="591" t="str">
        <f>IF(AF104=1,COUNTIF($AF$27:AF104,1),"")</f>
        <v/>
      </c>
    </row>
    <row r="105" spans="3:63" ht="35.1" customHeight="1">
      <c r="C105" s="17" t="str">
        <f t="shared" si="7"/>
        <v>-</v>
      </c>
      <c r="D105" s="17"/>
      <c r="J105" s="1220" t="str">
        <f t="shared" si="8"/>
        <v>-</v>
      </c>
      <c r="N105" s="659"/>
      <c r="O105" s="659"/>
      <c r="P105" s="659"/>
      <c r="Q105" s="659"/>
      <c r="R105" s="659"/>
      <c r="S105" s="659"/>
      <c r="T105" s="659"/>
      <c r="U105" s="659"/>
      <c r="V105" s="659"/>
      <c r="W105" s="659"/>
      <c r="X105" s="659"/>
      <c r="Y105" s="659"/>
      <c r="Z105" s="659"/>
      <c r="AA105" s="659"/>
      <c r="AB105" s="659"/>
      <c r="AC105" s="659"/>
      <c r="AD105" s="659"/>
      <c r="AE105" s="659"/>
      <c r="AF105" s="659"/>
      <c r="AG105" s="659"/>
      <c r="AH105" s="659"/>
      <c r="AI105" s="659"/>
      <c r="AJ105" s="659"/>
      <c r="BF105" s="591" t="str">
        <f>IF(AF105=1,COUNTIF($AF$27:AF105,1),"")</f>
        <v/>
      </c>
    </row>
    <row r="106" spans="3:63" ht="35.1" customHeight="1">
      <c r="C106" s="17" t="str">
        <f t="shared" si="7"/>
        <v>-</v>
      </c>
      <c r="D106" s="17"/>
      <c r="J106" s="1220" t="str">
        <f t="shared" si="8"/>
        <v>-</v>
      </c>
      <c r="N106" s="659"/>
      <c r="O106" s="659"/>
      <c r="P106" s="659"/>
      <c r="Q106" s="659"/>
      <c r="R106" s="659"/>
      <c r="S106" s="659"/>
      <c r="T106" s="659"/>
      <c r="U106" s="659"/>
      <c r="V106" s="659"/>
      <c r="W106" s="659"/>
      <c r="X106" s="659"/>
      <c r="Y106" s="659"/>
      <c r="Z106" s="659"/>
      <c r="AA106" s="659"/>
      <c r="AB106" s="659"/>
      <c r="AC106" s="659"/>
      <c r="AD106" s="659"/>
      <c r="AE106" s="659"/>
      <c r="AF106" s="659"/>
      <c r="AG106" s="659"/>
      <c r="AH106" s="659"/>
      <c r="AI106" s="659"/>
      <c r="AJ106" s="659"/>
      <c r="BF106" s="591" t="str">
        <f>IF(AF106=1,COUNTIF($AF$27:AF106,1),"")</f>
        <v/>
      </c>
    </row>
    <row r="107" spans="3:63" ht="35.1" customHeight="1">
      <c r="C107" s="17" t="str">
        <f t="shared" si="7"/>
        <v>-</v>
      </c>
      <c r="D107" s="17"/>
      <c r="J107" s="1220" t="str">
        <f t="shared" si="8"/>
        <v>-</v>
      </c>
      <c r="BF107" s="591" t="str">
        <f>IF(AF107=1,COUNTIF($AF$27:AF107,1),"")</f>
        <v/>
      </c>
    </row>
    <row r="108" spans="3:63" ht="35.1" customHeight="1">
      <c r="C108" s="17" t="str">
        <f t="shared" si="7"/>
        <v>-</v>
      </c>
      <c r="D108" s="17"/>
      <c r="J108" s="1220" t="str">
        <f t="shared" si="8"/>
        <v>-</v>
      </c>
      <c r="BF108" s="591" t="str">
        <f>IF(AF108=1,COUNTIF($AF$27:AF108,1),"")</f>
        <v/>
      </c>
    </row>
    <row r="109" spans="3:63" ht="35.1" customHeight="1">
      <c r="C109" s="17" t="str">
        <f t="shared" si="7"/>
        <v>-</v>
      </c>
      <c r="D109" s="17"/>
      <c r="J109" s="1220" t="str">
        <f t="shared" si="8"/>
        <v>-</v>
      </c>
      <c r="BF109" s="591" t="str">
        <f>IF(AF109=1,COUNTIF($AF$27:AF109,1),"")</f>
        <v/>
      </c>
    </row>
    <row r="110" spans="3:63" ht="35.1" customHeight="1">
      <c r="C110" s="17" t="str">
        <f t="shared" si="7"/>
        <v>-</v>
      </c>
      <c r="D110" s="17"/>
      <c r="J110" s="1220" t="str">
        <f t="shared" si="8"/>
        <v>-</v>
      </c>
      <c r="BF110" s="591" t="str">
        <f>IF(AF110=1,COUNTIF($AF$27:AF110,1),"")</f>
        <v/>
      </c>
    </row>
    <row r="111" spans="3:63" ht="35.1" customHeight="1">
      <c r="C111" s="17" t="str">
        <f t="shared" si="7"/>
        <v>-</v>
      </c>
      <c r="D111" s="17"/>
      <c r="J111" s="1220" t="str">
        <f t="shared" si="8"/>
        <v>-</v>
      </c>
      <c r="BF111" s="591" t="str">
        <f>IF(AF111=1,COUNTIF($AF$27:AF111,1),"")</f>
        <v/>
      </c>
    </row>
    <row r="112" spans="3:63" ht="35.1" customHeight="1">
      <c r="C112" s="17" t="str">
        <f t="shared" si="7"/>
        <v>-</v>
      </c>
      <c r="D112" s="17"/>
      <c r="J112" s="1220" t="str">
        <f t="shared" si="8"/>
        <v>-</v>
      </c>
      <c r="BF112" s="591" t="str">
        <f>IF(AF112=1,COUNTIF($AF$27:AF112,1),"")</f>
        <v/>
      </c>
    </row>
    <row r="113" spans="3:58" ht="35.1" customHeight="1">
      <c r="C113" s="17" t="str">
        <f t="shared" si="7"/>
        <v>-</v>
      </c>
      <c r="D113" s="17"/>
      <c r="J113" s="1220" t="str">
        <f t="shared" si="8"/>
        <v>-</v>
      </c>
      <c r="BF113" s="591" t="str">
        <f>IF(AF113=1,COUNTIF($AF$27:AF113,1),"")</f>
        <v/>
      </c>
    </row>
    <row r="114" spans="3:58" ht="35.1" customHeight="1">
      <c r="C114" s="17" t="str">
        <f t="shared" si="7"/>
        <v>-</v>
      </c>
      <c r="D114" s="17"/>
      <c r="J114" s="1220" t="str">
        <f t="shared" si="8"/>
        <v>-</v>
      </c>
      <c r="BF114" s="591" t="str">
        <f>IF(AF114=1,COUNTIF($AF$27:AF114,1),"")</f>
        <v/>
      </c>
    </row>
    <row r="115" spans="3:58" ht="35.1" customHeight="1">
      <c r="C115" s="17" t="str">
        <f t="shared" si="7"/>
        <v>-</v>
      </c>
      <c r="D115" s="17"/>
      <c r="J115" s="1220" t="str">
        <f t="shared" si="8"/>
        <v>-</v>
      </c>
      <c r="BF115" s="591" t="str">
        <f>IF(AF115=1,COUNTIF($AF$27:AF115,1),"")</f>
        <v/>
      </c>
    </row>
    <row r="116" spans="3:58" ht="35.1" customHeight="1">
      <c r="C116" s="17" t="str">
        <f t="shared" si="7"/>
        <v>-</v>
      </c>
      <c r="D116" s="17"/>
      <c r="J116" s="1220" t="str">
        <f t="shared" si="8"/>
        <v>-</v>
      </c>
      <c r="BF116" s="591" t="str">
        <f>IF(AF116=1,COUNTIF($AF$27:AF116,1),"")</f>
        <v/>
      </c>
    </row>
    <row r="117" spans="3:58" ht="35.1" customHeight="1">
      <c r="C117" s="17" t="str">
        <f t="shared" si="7"/>
        <v>-</v>
      </c>
      <c r="D117" s="17"/>
      <c r="J117" s="1220" t="str">
        <f t="shared" si="8"/>
        <v>-</v>
      </c>
      <c r="BF117" s="591" t="str">
        <f>IF(AF117=1,COUNTIF($AF$27:AF117,1),"")</f>
        <v/>
      </c>
    </row>
    <row r="118" spans="3:58" ht="35.1" customHeight="1">
      <c r="C118" s="17" t="str">
        <f t="shared" si="7"/>
        <v>-</v>
      </c>
      <c r="D118" s="17"/>
      <c r="J118" s="1220" t="str">
        <f t="shared" si="8"/>
        <v>-</v>
      </c>
      <c r="BF118" s="591" t="str">
        <f>IF(AF118=1,COUNTIF($AF$27:AF118,1),"")</f>
        <v/>
      </c>
    </row>
    <row r="119" spans="3:58" ht="35.1" customHeight="1">
      <c r="C119" s="17" t="str">
        <f t="shared" si="7"/>
        <v>-</v>
      </c>
      <c r="D119" s="17"/>
      <c r="J119" s="1220" t="str">
        <f t="shared" si="8"/>
        <v>-</v>
      </c>
      <c r="BF119" s="591" t="str">
        <f>IF(AF119=1,COUNTIF($AF$27:AF119,1),"")</f>
        <v/>
      </c>
    </row>
    <row r="120" spans="3:58" ht="35.1" customHeight="1">
      <c r="C120" s="17" t="str">
        <f t="shared" si="7"/>
        <v>-</v>
      </c>
      <c r="D120" s="17"/>
      <c r="J120" s="1220" t="str">
        <f t="shared" si="8"/>
        <v>-</v>
      </c>
      <c r="BF120" s="591" t="str">
        <f>IF(AF120=1,COUNTIF($AF$27:AF120,1),"")</f>
        <v/>
      </c>
    </row>
    <row r="121" spans="3:58" ht="35.1" customHeight="1">
      <c r="C121" s="17" t="str">
        <f t="shared" si="7"/>
        <v>-</v>
      </c>
      <c r="D121" s="17"/>
      <c r="J121" s="1220" t="str">
        <f t="shared" si="8"/>
        <v>-</v>
      </c>
      <c r="BF121" s="591" t="str">
        <f>IF(AF121=1,COUNTIF($AF$27:AF121,1),"")</f>
        <v/>
      </c>
    </row>
    <row r="122" spans="3:58" ht="35.1" customHeight="1">
      <c r="C122" s="17" t="str">
        <f t="shared" si="7"/>
        <v>-</v>
      </c>
      <c r="D122" s="17"/>
      <c r="J122" s="1220" t="str">
        <f t="shared" si="8"/>
        <v>-</v>
      </c>
      <c r="BF122" s="591" t="str">
        <f>IF(AF122=1,COUNTIF($AF$27:AF122,1),"")</f>
        <v/>
      </c>
    </row>
    <row r="123" spans="3:58" ht="35.1" customHeight="1">
      <c r="C123" s="17" t="str">
        <f t="shared" si="7"/>
        <v>-</v>
      </c>
      <c r="D123" s="17"/>
      <c r="J123" s="1220" t="str">
        <f t="shared" si="8"/>
        <v>-</v>
      </c>
      <c r="BF123" s="591" t="str">
        <f>IF(AF123=1,COUNTIF($AF$27:AF123,1),"")</f>
        <v/>
      </c>
    </row>
    <row r="124" spans="3:58" ht="35.1" customHeight="1">
      <c r="C124" s="17" t="str">
        <f t="shared" si="7"/>
        <v>-</v>
      </c>
      <c r="D124" s="17"/>
      <c r="J124" s="1220" t="str">
        <f t="shared" si="8"/>
        <v>-</v>
      </c>
      <c r="BF124" s="591" t="str">
        <f>IF(AF124=1,COUNTIF($AF$27:AF124,1),"")</f>
        <v/>
      </c>
    </row>
    <row r="125" spans="3:58" ht="35.1" customHeight="1">
      <c r="C125" s="17" t="str">
        <f t="shared" si="7"/>
        <v>-</v>
      </c>
      <c r="D125" s="17"/>
      <c r="J125" s="1220" t="str">
        <f t="shared" si="8"/>
        <v>-</v>
      </c>
      <c r="BF125" s="591" t="str">
        <f>IF(AF125=1,COUNTIF($AF$27:AF125,1),"")</f>
        <v/>
      </c>
    </row>
    <row r="126" spans="3:58" ht="35.1" customHeight="1">
      <c r="C126" s="17" t="str">
        <f t="shared" si="7"/>
        <v>-</v>
      </c>
      <c r="D126" s="17"/>
      <c r="J126" s="1220" t="str">
        <f t="shared" si="8"/>
        <v>-</v>
      </c>
      <c r="BF126" s="591" t="str">
        <f>IF(AF126=1,COUNTIF($AF$27:AF126,1),"")</f>
        <v/>
      </c>
    </row>
    <row r="127" spans="3:58" ht="35.1" customHeight="1">
      <c r="C127" s="17" t="str">
        <f t="shared" si="7"/>
        <v>-</v>
      </c>
      <c r="D127" s="17"/>
      <c r="J127" s="1220" t="str">
        <f t="shared" si="8"/>
        <v>-</v>
      </c>
      <c r="BF127" s="591" t="str">
        <f>IF(AF127=1,COUNTIF($AF$27:AF127,1),"")</f>
        <v/>
      </c>
    </row>
    <row r="128" spans="3:58" ht="35.1" customHeight="1">
      <c r="C128" s="17" t="str">
        <f t="shared" si="7"/>
        <v>-</v>
      </c>
      <c r="D128" s="17"/>
      <c r="J128" s="1220" t="str">
        <f t="shared" si="8"/>
        <v>-</v>
      </c>
      <c r="BF128" s="591" t="str">
        <f>IF(AF128=1,COUNTIF($AF$27:AF128,1),"")</f>
        <v/>
      </c>
    </row>
    <row r="129" spans="3:58" ht="35.1" customHeight="1">
      <c r="C129" s="17" t="str">
        <f t="shared" si="7"/>
        <v>-</v>
      </c>
      <c r="D129" s="17"/>
      <c r="J129" s="1220" t="str">
        <f t="shared" si="8"/>
        <v>-</v>
      </c>
      <c r="BF129" s="591" t="str">
        <f>IF(AF129=1,COUNTIF($AF$27:AF129,1),"")</f>
        <v/>
      </c>
    </row>
    <row r="130" spans="3:58" ht="35.1" customHeight="1">
      <c r="C130" s="17" t="str">
        <f t="shared" si="7"/>
        <v>-</v>
      </c>
      <c r="D130" s="17"/>
      <c r="J130" s="1220" t="str">
        <f t="shared" si="8"/>
        <v>-</v>
      </c>
      <c r="BF130" s="591" t="str">
        <f>IF(AF130=1,COUNTIF($AF$27:AF130,1),"")</f>
        <v/>
      </c>
    </row>
    <row r="131" spans="3:58" ht="35.1" customHeight="1">
      <c r="C131" s="17" t="str">
        <f t="shared" si="7"/>
        <v>-</v>
      </c>
      <c r="D131" s="17"/>
      <c r="J131" s="1220" t="str">
        <f t="shared" si="8"/>
        <v>-</v>
      </c>
      <c r="BF131" s="591" t="str">
        <f>IF(AF131=1,COUNTIF($AF$27:AF131,1),"")</f>
        <v/>
      </c>
    </row>
    <row r="132" spans="3:58" ht="35.1" customHeight="1">
      <c r="C132" s="17" t="str">
        <f t="shared" si="7"/>
        <v>-</v>
      </c>
      <c r="D132" s="17"/>
      <c r="J132" s="1220" t="str">
        <f t="shared" si="8"/>
        <v>-</v>
      </c>
      <c r="BF132" s="591" t="str">
        <f>IF(AF132=1,COUNTIF($AF$27:AF132,1),"")</f>
        <v/>
      </c>
    </row>
    <row r="133" spans="3:58" ht="35.1" customHeight="1">
      <c r="C133" s="17" t="str">
        <f t="shared" si="7"/>
        <v>-</v>
      </c>
      <c r="D133" s="17"/>
      <c r="J133" s="1220" t="str">
        <f t="shared" si="8"/>
        <v>-</v>
      </c>
      <c r="BF133" s="591" t="str">
        <f>IF(AF133=1,COUNTIF($AF$27:AF133,1),"")</f>
        <v/>
      </c>
    </row>
    <row r="134" spans="3:58" ht="35.1" customHeight="1">
      <c r="C134" s="17" t="str">
        <f t="shared" si="7"/>
        <v>-</v>
      </c>
      <c r="D134" s="17"/>
      <c r="J134" s="1220" t="str">
        <f t="shared" si="8"/>
        <v>-</v>
      </c>
      <c r="BF134" s="591" t="str">
        <f>IF(AF134=1,COUNTIF($AF$27:AF134,1),"")</f>
        <v/>
      </c>
    </row>
    <row r="135" spans="3:58" ht="35.1" customHeight="1">
      <c r="C135" s="17" t="str">
        <f t="shared" si="7"/>
        <v>-</v>
      </c>
      <c r="D135" s="17"/>
      <c r="J135" s="1220" t="str">
        <f t="shared" si="8"/>
        <v>-</v>
      </c>
      <c r="BF135" s="591" t="str">
        <f>IF(AF135=1,COUNTIF($AF$27:AF135,1),"")</f>
        <v/>
      </c>
    </row>
    <row r="136" spans="3:58" ht="35.1" customHeight="1">
      <c r="C136" s="17" t="str">
        <f t="shared" si="7"/>
        <v>-</v>
      </c>
      <c r="D136" s="17"/>
      <c r="J136" s="1220" t="str">
        <f t="shared" si="8"/>
        <v>-</v>
      </c>
      <c r="BF136" s="591" t="str">
        <f>IF(AF136=1,COUNTIF($AF$27:AF136,1),"")</f>
        <v/>
      </c>
    </row>
    <row r="137" spans="3:58" ht="35.1" customHeight="1">
      <c r="C137" s="17" t="str">
        <f t="shared" si="7"/>
        <v>-</v>
      </c>
      <c r="D137" s="17"/>
      <c r="J137" s="1220" t="str">
        <f t="shared" si="8"/>
        <v>-</v>
      </c>
      <c r="BF137" s="591" t="str">
        <f>IF(AF137=1,COUNTIF($AF$27:AF137,1),"")</f>
        <v/>
      </c>
    </row>
    <row r="138" spans="3:58" ht="35.1" customHeight="1">
      <c r="C138" s="17" t="str">
        <f t="shared" si="7"/>
        <v>-</v>
      </c>
      <c r="D138" s="17"/>
      <c r="J138" s="1220" t="str">
        <f t="shared" si="8"/>
        <v>-</v>
      </c>
      <c r="BF138" s="591" t="str">
        <f>IF(AF138=1,COUNTIF($AF$27:AF138,1),"")</f>
        <v/>
      </c>
    </row>
    <row r="139" spans="3:58" ht="35.1" customHeight="1">
      <c r="C139" s="17" t="str">
        <f t="shared" si="7"/>
        <v>-</v>
      </c>
      <c r="D139" s="17"/>
      <c r="J139" s="1220" t="str">
        <f t="shared" si="8"/>
        <v>-</v>
      </c>
      <c r="BF139" s="591" t="str">
        <f>IF(AF139=1,COUNTIF($AF$27:AF139,1),"")</f>
        <v/>
      </c>
    </row>
    <row r="140" spans="3:58" ht="35.1" customHeight="1">
      <c r="C140" s="17" t="str">
        <f t="shared" si="7"/>
        <v>-</v>
      </c>
      <c r="D140" s="17"/>
      <c r="J140" s="1220" t="str">
        <f t="shared" si="8"/>
        <v>-</v>
      </c>
      <c r="BF140" s="591" t="str">
        <f>IF(AF140=1,COUNTIF($AF$27:AF140,1),"")</f>
        <v/>
      </c>
    </row>
    <row r="141" spans="3:58" ht="35.1" customHeight="1">
      <c r="C141" s="17" t="str">
        <f t="shared" si="7"/>
        <v>-</v>
      </c>
      <c r="D141" s="17"/>
      <c r="J141" s="1220" t="str">
        <f t="shared" si="8"/>
        <v>-</v>
      </c>
      <c r="BF141" s="591" t="str">
        <f>IF(AF141=1,COUNTIF($AF$27:AF141,1),"")</f>
        <v/>
      </c>
    </row>
    <row r="142" spans="3:58" ht="35.1" customHeight="1">
      <c r="C142" s="17" t="str">
        <f t="shared" si="7"/>
        <v>-</v>
      </c>
      <c r="D142" s="17"/>
      <c r="J142" s="1220" t="str">
        <f t="shared" si="8"/>
        <v>-</v>
      </c>
      <c r="BF142" s="591" t="str">
        <f>IF(AF142=1,COUNTIF($AF$27:AF142,1),"")</f>
        <v/>
      </c>
    </row>
    <row r="143" spans="3:58" ht="35.1" customHeight="1">
      <c r="C143" s="17" t="str">
        <f t="shared" si="7"/>
        <v>-</v>
      </c>
      <c r="D143" s="17"/>
      <c r="J143" s="1220" t="str">
        <f t="shared" si="8"/>
        <v>-</v>
      </c>
      <c r="BF143" s="591" t="str">
        <f>IF(AF143=1,COUNTIF($AF$27:AF143,1),"")</f>
        <v/>
      </c>
    </row>
    <row r="144" spans="3:58" ht="35.1" customHeight="1">
      <c r="C144" s="17" t="str">
        <f t="shared" si="7"/>
        <v>-</v>
      </c>
      <c r="D144" s="17"/>
      <c r="J144" s="1220" t="str">
        <f t="shared" si="8"/>
        <v>-</v>
      </c>
      <c r="BF144" s="591" t="str">
        <f>IF(AF144=1,COUNTIF($AF$27:AF144,1),"")</f>
        <v/>
      </c>
    </row>
    <row r="145" spans="3:58" ht="35.1" customHeight="1">
      <c r="C145" s="17" t="str">
        <f t="shared" si="7"/>
        <v>-</v>
      </c>
      <c r="D145" s="17"/>
      <c r="J145" s="1220" t="str">
        <f t="shared" si="8"/>
        <v>-</v>
      </c>
      <c r="BF145" s="591" t="str">
        <f>IF(AF145=1,COUNTIF($AF$27:AF145,1),"")</f>
        <v/>
      </c>
    </row>
    <row r="146" spans="3:58" ht="35.1" customHeight="1">
      <c r="C146" s="17" t="str">
        <f t="shared" si="7"/>
        <v>-</v>
      </c>
      <c r="D146" s="17"/>
      <c r="J146" s="1220" t="str">
        <f t="shared" si="8"/>
        <v>-</v>
      </c>
      <c r="BF146" s="591" t="str">
        <f>IF(AF146=1,COUNTIF($AF$27:AF146,1),"")</f>
        <v/>
      </c>
    </row>
    <row r="147" spans="3:58" ht="35.1" customHeight="1">
      <c r="C147" s="17" t="str">
        <f t="shared" si="7"/>
        <v>-</v>
      </c>
      <c r="D147" s="17"/>
      <c r="J147" s="1220" t="str">
        <f t="shared" si="8"/>
        <v>-</v>
      </c>
      <c r="BF147" s="591" t="str">
        <f>IF(AF147=1,COUNTIF($AF$27:AF147,1),"")</f>
        <v/>
      </c>
    </row>
    <row r="148" spans="3:58" ht="35.1" customHeight="1">
      <c r="C148" s="17" t="str">
        <f t="shared" si="7"/>
        <v>-</v>
      </c>
      <c r="D148" s="17"/>
      <c r="J148" s="1220" t="str">
        <f t="shared" si="8"/>
        <v>-</v>
      </c>
      <c r="BF148" s="591" t="str">
        <f>IF(AF148=1,COUNTIF($AF$27:AF148,1),"")</f>
        <v/>
      </c>
    </row>
    <row r="149" spans="3:58" ht="35.1" customHeight="1">
      <c r="C149" s="17" t="str">
        <f t="shared" si="7"/>
        <v>-</v>
      </c>
      <c r="D149" s="17"/>
      <c r="J149" s="1220" t="str">
        <f t="shared" si="8"/>
        <v>-</v>
      </c>
      <c r="BF149" s="591" t="str">
        <f>IF(AF149=1,COUNTIF($AF$27:AF149,1),"")</f>
        <v/>
      </c>
    </row>
    <row r="150" spans="3:58" ht="35.1" customHeight="1">
      <c r="C150" s="17" t="str">
        <f t="shared" si="7"/>
        <v>-</v>
      </c>
      <c r="D150" s="17"/>
      <c r="J150" s="1220" t="str">
        <f t="shared" si="8"/>
        <v>-</v>
      </c>
      <c r="BF150" s="591" t="str">
        <f>IF(AF150=1,COUNTIF($AF$27:AF150,1),"")</f>
        <v/>
      </c>
    </row>
    <row r="151" spans="3:58" ht="35.1" customHeight="1">
      <c r="C151" s="17" t="str">
        <f t="shared" si="7"/>
        <v>-</v>
      </c>
      <c r="D151" s="17"/>
      <c r="J151" s="1220" t="str">
        <f t="shared" si="8"/>
        <v>-</v>
      </c>
      <c r="BF151" s="591" t="str">
        <f>IF(AF151=1,COUNTIF($AF$27:AF151,1),"")</f>
        <v/>
      </c>
    </row>
    <row r="152" spans="3:58" ht="35.1" customHeight="1">
      <c r="C152" s="17" t="str">
        <f t="shared" si="7"/>
        <v>-</v>
      </c>
      <c r="D152" s="17"/>
      <c r="J152" s="1220" t="str">
        <f t="shared" si="8"/>
        <v>-</v>
      </c>
      <c r="BF152" s="591" t="str">
        <f>IF(AF152=1,COUNTIF($AF$27:AF152,1),"")</f>
        <v/>
      </c>
    </row>
    <row r="153" spans="3:58" ht="35.1" customHeight="1"/>
    <row r="154" spans="3:58" ht="35.1" customHeight="1"/>
    <row r="155" spans="3:58" ht="35.1" customHeight="1"/>
    <row r="156" spans="3:58" ht="35.1" customHeight="1"/>
    <row r="157" spans="3:58" ht="35.1" customHeight="1"/>
    <row r="158" spans="3:58" ht="35.1" customHeight="1"/>
    <row r="159" spans="3:58" ht="35.1" customHeight="1"/>
    <row r="160" spans="3:58" ht="35.1" customHeight="1"/>
    <row r="161" ht="35.1" customHeight="1"/>
    <row r="162" ht="35.1" customHeight="1"/>
    <row r="163" ht="35.1" customHeight="1"/>
    <row r="164" ht="35.1" customHeight="1"/>
    <row r="165" ht="35.1" customHeight="1"/>
    <row r="166" ht="35.1" customHeight="1"/>
    <row r="167" ht="35.1" customHeight="1"/>
    <row r="168" ht="35.1" customHeight="1"/>
    <row r="169" ht="35.1" customHeight="1"/>
    <row r="170" ht="35.1" customHeight="1"/>
    <row r="171" ht="35.1" customHeight="1"/>
    <row r="172" ht="35.1" customHeight="1"/>
    <row r="173" ht="35.1" customHeight="1"/>
    <row r="174" ht="35.1" customHeight="1"/>
    <row r="175" ht="35.1" customHeight="1"/>
    <row r="176" ht="35.1" customHeight="1"/>
    <row r="177" ht="35.1" customHeight="1"/>
    <row r="178" ht="35.1" customHeight="1"/>
    <row r="179" ht="35.1" customHeight="1"/>
    <row r="180" ht="35.1" customHeight="1"/>
    <row r="181" ht="35.1" customHeight="1"/>
    <row r="182" ht="35.1" customHeight="1"/>
    <row r="183" ht="35.1" customHeight="1"/>
    <row r="184" ht="35.1" customHeight="1"/>
    <row r="185" ht="35.1" customHeight="1"/>
    <row r="186" ht="35.1" customHeight="1"/>
    <row r="187" ht="35.1" customHeight="1"/>
    <row r="188" ht="35.1" customHeight="1"/>
    <row r="189" ht="35.1" customHeight="1"/>
    <row r="190" ht="35.1" customHeight="1"/>
    <row r="191" ht="35.1" customHeight="1"/>
    <row r="192" ht="35.1" customHeight="1"/>
    <row r="193" ht="35.1" customHeight="1"/>
    <row r="194" ht="35.1" customHeight="1"/>
    <row r="195" ht="35.1" customHeight="1"/>
    <row r="196" ht="35.1" customHeight="1"/>
    <row r="197" ht="35.1" customHeight="1"/>
    <row r="198" ht="35.1" customHeight="1"/>
    <row r="199" ht="35.1" customHeight="1"/>
    <row r="200" ht="35.1" customHeight="1"/>
    <row r="201" ht="35.1" customHeight="1"/>
    <row r="202" ht="35.1" customHeight="1"/>
    <row r="203" ht="35.1" customHeight="1"/>
    <row r="204" ht="35.1" customHeight="1"/>
    <row r="205" ht="35.1" customHeight="1"/>
    <row r="206" ht="35.1" customHeight="1"/>
    <row r="207" ht="35.1" customHeight="1"/>
    <row r="208" ht="35.1" customHeight="1"/>
    <row r="209" ht="35.1" customHeight="1"/>
    <row r="210" ht="35.1" customHeight="1"/>
    <row r="211" ht="35.1" customHeight="1"/>
    <row r="212" ht="35.1" customHeight="1"/>
    <row r="213" ht="35.1" customHeight="1"/>
    <row r="214" ht="35.1" customHeight="1"/>
    <row r="215" ht="35.1" customHeight="1"/>
    <row r="216" ht="35.1" customHeight="1"/>
    <row r="217" ht="35.1" customHeight="1"/>
    <row r="218" ht="35.1" customHeight="1"/>
    <row r="219" ht="35.1" customHeight="1"/>
    <row r="220" ht="35.1" customHeight="1"/>
    <row r="221" ht="35.1" customHeight="1"/>
    <row r="222" ht="35.1" customHeight="1"/>
    <row r="223" ht="35.1" customHeight="1"/>
    <row r="224" ht="35.1" customHeight="1"/>
    <row r="225" ht="35.1" customHeight="1"/>
    <row r="226" ht="35.1" customHeight="1"/>
    <row r="227" ht="35.1" customHeight="1"/>
    <row r="228" ht="35.1" customHeight="1"/>
    <row r="229" ht="35.1" customHeight="1"/>
    <row r="230" ht="35.1" customHeight="1"/>
    <row r="231" ht="35.1" customHeight="1"/>
    <row r="232" ht="35.1" customHeight="1"/>
    <row r="233" ht="35.1" customHeight="1"/>
    <row r="234" ht="35.1" customHeight="1"/>
    <row r="235" ht="35.1" customHeight="1"/>
    <row r="236" ht="35.1" customHeight="1"/>
    <row r="237" ht="35.1" customHeight="1"/>
    <row r="238" ht="35.1" customHeight="1"/>
    <row r="239" ht="35.1" customHeight="1"/>
    <row r="240" ht="35.1" customHeight="1"/>
    <row r="241" ht="35.1" customHeight="1"/>
    <row r="242" ht="35.1" customHeight="1"/>
    <row r="243" ht="35.1" customHeight="1"/>
    <row r="244" ht="35.1" customHeight="1"/>
    <row r="245" ht="35.1" customHeight="1"/>
    <row r="246" ht="35.1" customHeight="1"/>
    <row r="247" ht="35.1" customHeight="1"/>
    <row r="248" ht="35.1" customHeight="1"/>
    <row r="249" ht="35.1" customHeight="1"/>
    <row r="250" ht="35.1" customHeight="1"/>
    <row r="251" ht="35.1" customHeight="1"/>
    <row r="252" ht="35.1" customHeight="1"/>
    <row r="253" ht="35.1" customHeight="1"/>
    <row r="254" ht="35.1" customHeight="1"/>
    <row r="255" ht="35.1" customHeight="1"/>
    <row r="256" ht="35.1" customHeight="1"/>
    <row r="257" ht="35.1" customHeight="1"/>
    <row r="258" ht="35.1" customHeight="1"/>
    <row r="259" ht="35.1" customHeight="1"/>
    <row r="260" ht="35.1" customHeight="1"/>
    <row r="261" ht="35.1" customHeight="1"/>
    <row r="262" ht="35.1" customHeight="1"/>
    <row r="263" ht="35.1" customHeight="1"/>
    <row r="264" ht="35.1" customHeight="1"/>
    <row r="265" ht="35.1" customHeight="1"/>
    <row r="266" ht="35.1" customHeight="1"/>
    <row r="267" ht="35.1" customHeight="1"/>
    <row r="268" ht="35.1" customHeight="1"/>
    <row r="269" ht="35.1" customHeight="1"/>
    <row r="270" ht="35.1" customHeight="1"/>
    <row r="271" ht="35.1" customHeight="1"/>
    <row r="272" ht="35.1" customHeight="1"/>
    <row r="273" ht="35.1" customHeight="1"/>
    <row r="274" ht="35.1" customHeight="1"/>
    <row r="275" ht="35.1" customHeight="1"/>
    <row r="276" ht="35.1" customHeight="1"/>
    <row r="277" ht="35.1" customHeight="1"/>
    <row r="278" ht="35.1" customHeight="1"/>
    <row r="279" ht="35.1" customHeight="1"/>
    <row r="280" ht="35.1" customHeight="1"/>
    <row r="281" ht="35.1" customHeight="1"/>
    <row r="282" ht="35.1" customHeight="1"/>
    <row r="283" ht="35.1" customHeight="1"/>
    <row r="284" ht="35.1" customHeight="1"/>
    <row r="285" ht="35.1" customHeight="1"/>
    <row r="286" ht="35.1" customHeight="1"/>
    <row r="287" ht="35.1" customHeight="1"/>
    <row r="288" ht="35.1" customHeight="1"/>
    <row r="289" ht="35.1" customHeight="1"/>
    <row r="290" ht="35.1" customHeight="1"/>
    <row r="291" ht="35.1" customHeight="1"/>
    <row r="292" ht="35.1" customHeight="1"/>
    <row r="293" ht="35.1" customHeight="1"/>
    <row r="294" ht="35.1" customHeight="1"/>
    <row r="295" ht="35.1" customHeight="1"/>
    <row r="296" ht="35.1" customHeight="1"/>
    <row r="297" ht="35.1" customHeight="1"/>
    <row r="298" ht="35.1" customHeight="1"/>
    <row r="299" ht="35.1" customHeight="1"/>
    <row r="300" ht="35.1" customHeight="1"/>
    <row r="301" ht="35.1" customHeight="1"/>
    <row r="302" ht="35.1" customHeight="1"/>
    <row r="303" ht="35.1" customHeight="1"/>
    <row r="304" ht="35.1" customHeight="1"/>
  </sheetData>
  <mergeCells count="87">
    <mergeCell ref="M22:M25"/>
    <mergeCell ref="BK22:BK25"/>
    <mergeCell ref="BC23:BC25"/>
    <mergeCell ref="BD23:BD25"/>
    <mergeCell ref="BE23:BE25"/>
    <mergeCell ref="BG23:BG25"/>
    <mergeCell ref="BH23:BH25"/>
    <mergeCell ref="BI23:BI25"/>
    <mergeCell ref="BJ22:BJ25"/>
    <mergeCell ref="AY22:BC22"/>
    <mergeCell ref="BD22:BG22"/>
    <mergeCell ref="BH22:BI22"/>
    <mergeCell ref="AY23:AY25"/>
    <mergeCell ref="AZ23:AZ25"/>
    <mergeCell ref="BA23:BA25"/>
    <mergeCell ref="BB23:BB25"/>
    <mergeCell ref="BF23:BF25"/>
    <mergeCell ref="AN22:AN25"/>
    <mergeCell ref="AO22:AO25"/>
    <mergeCell ref="AD22:AG22"/>
    <mergeCell ref="Y22:AC22"/>
    <mergeCell ref="AH23:AH25"/>
    <mergeCell ref="AI23:AI25"/>
    <mergeCell ref="AH22:AI22"/>
    <mergeCell ref="AB23:AB25"/>
    <mergeCell ref="AC23:AC25"/>
    <mergeCell ref="AD23:AD25"/>
    <mergeCell ref="AE23:AE25"/>
    <mergeCell ref="AG23:AG25"/>
    <mergeCell ref="AA23:AA25"/>
    <mergeCell ref="AF23:AF25"/>
    <mergeCell ref="Y23:Y25"/>
    <mergeCell ref="Z23:Z25"/>
    <mergeCell ref="AP22:AP25"/>
    <mergeCell ref="AQ22:AQ25"/>
    <mergeCell ref="AR22:AR25"/>
    <mergeCell ref="AS22:AS25"/>
    <mergeCell ref="AT22:AU22"/>
    <mergeCell ref="AV22:AV25"/>
    <mergeCell ref="AW22:AW25"/>
    <mergeCell ref="AX22:AX25"/>
    <mergeCell ref="AT23:AT25"/>
    <mergeCell ref="AU23:AU25"/>
    <mergeCell ref="J23:J25"/>
    <mergeCell ref="G22:G25"/>
    <mergeCell ref="F22:F25"/>
    <mergeCell ref="B12:G12"/>
    <mergeCell ref="AK22:AK25"/>
    <mergeCell ref="AJ22:AJ25"/>
    <mergeCell ref="X22:X25"/>
    <mergeCell ref="V22:V25"/>
    <mergeCell ref="W22:W25"/>
    <mergeCell ref="P22:P25"/>
    <mergeCell ref="Q22:Q25"/>
    <mergeCell ref="R22:R25"/>
    <mergeCell ref="S22:S25"/>
    <mergeCell ref="T22:U22"/>
    <mergeCell ref="T23:T25"/>
    <mergeCell ref="U23:U25"/>
    <mergeCell ref="B21:G21"/>
    <mergeCell ref="B19:G19"/>
    <mergeCell ref="F6:G6"/>
    <mergeCell ref="B13:G13"/>
    <mergeCell ref="B14:G14"/>
    <mergeCell ref="B17:G17"/>
    <mergeCell ref="B18:G18"/>
    <mergeCell ref="B7:G7"/>
    <mergeCell ref="B8:G8"/>
    <mergeCell ref="B9:G9"/>
    <mergeCell ref="B10:G10"/>
    <mergeCell ref="B11:G11"/>
    <mergeCell ref="I22:I25"/>
    <mergeCell ref="O22:O25"/>
    <mergeCell ref="B2:G2"/>
    <mergeCell ref="B3:G3"/>
    <mergeCell ref="B4:G4"/>
    <mergeCell ref="N22:N25"/>
    <mergeCell ref="E22:E25"/>
    <mergeCell ref="C22:C25"/>
    <mergeCell ref="B22:B25"/>
    <mergeCell ref="H22:H25"/>
    <mergeCell ref="D22:D25"/>
    <mergeCell ref="J22:L22"/>
    <mergeCell ref="B16:G16"/>
    <mergeCell ref="K23:K25"/>
    <mergeCell ref="L23:L25"/>
    <mergeCell ref="B5:G5"/>
  </mergeCells>
  <conditionalFormatting sqref="N34 AK34">
    <cfRule type="cellIs" dxfId="363" priority="2" operator="equal">
      <formula>1</formula>
    </cfRule>
  </conditionalFormatting>
  <conditionalFormatting sqref="N27:AK102">
    <cfRule type="containsText" dxfId="362" priority="1" operator="containsText" text="1">
      <formula>NOT(ISERROR(SEARCH("1",N27)))</formula>
    </cfRule>
  </conditionalFormatting>
  <dataValidations disablePrompts="1" count="2">
    <dataValidation type="list" allowBlank="1" showInputMessage="1" showErrorMessage="1" sqref="E28:E102" xr:uid="{B2531DDB-32BA-5340-BC61-5BDB83B71210}">
      <formula1>$A$27:$A$30</formula1>
    </dataValidation>
    <dataValidation type="list" allowBlank="1" showInputMessage="1" showErrorMessage="1" sqref="E27" xr:uid="{F22E05B2-9E6D-3E49-8A58-4BD6305E590C}">
      <formula1>$A$27:$A$31</formula1>
    </dataValidation>
  </dataValidations>
  <pageMargins left="0.7" right="0.7" top="0.75" bottom="0.75" header="0.3" footer="0.3"/>
  <pageSetup paperSize="14"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4622-7962-DF4A-ACF7-2CFD1C2C0DA8}">
  <dimension ref="A1:AL154"/>
  <sheetViews>
    <sheetView topLeftCell="X1" zoomScale="64" zoomScaleNormal="64" workbookViewId="0">
      <selection activeCell="H80" sqref="H80"/>
    </sheetView>
  </sheetViews>
  <sheetFormatPr defaultColWidth="11" defaultRowHeight="15.75"/>
  <cols>
    <col min="4" max="4" width="14.625" customWidth="1"/>
  </cols>
  <sheetData>
    <row r="1" spans="1:25" ht="18">
      <c r="A1" s="708" t="s">
        <v>701</v>
      </c>
      <c r="B1" s="708"/>
      <c r="C1" s="708"/>
      <c r="D1" s="708"/>
      <c r="E1" s="708"/>
      <c r="F1" s="708"/>
      <c r="G1" s="708"/>
      <c r="H1" s="708"/>
      <c r="I1" s="708"/>
      <c r="J1" s="708"/>
      <c r="K1" s="708"/>
      <c r="L1" s="708"/>
      <c r="M1" s="708"/>
      <c r="N1" s="708"/>
      <c r="O1" s="708"/>
      <c r="P1" s="708"/>
      <c r="Q1" s="708"/>
      <c r="R1" s="708"/>
      <c r="S1" s="708"/>
      <c r="T1" s="708"/>
      <c r="U1" s="708"/>
      <c r="V1" s="708"/>
      <c r="W1" s="708"/>
      <c r="X1" s="708"/>
      <c r="Y1" s="708"/>
    </row>
    <row r="2" spans="1:25" ht="23.25">
      <c r="A2" s="663" t="s">
        <v>1165</v>
      </c>
      <c r="B2" s="663"/>
      <c r="C2" s="663"/>
      <c r="D2" s="663"/>
      <c r="E2" s="663"/>
      <c r="F2" s="663"/>
      <c r="G2" s="663"/>
      <c r="H2" s="663"/>
      <c r="I2" s="663"/>
      <c r="J2" s="663"/>
      <c r="K2" s="663"/>
      <c r="L2" s="663"/>
      <c r="M2" s="663"/>
      <c r="N2" s="663"/>
      <c r="O2" s="663"/>
      <c r="P2" s="663"/>
      <c r="Q2" s="663"/>
      <c r="R2" s="663"/>
      <c r="S2" s="663"/>
      <c r="T2" s="663"/>
      <c r="U2" s="663"/>
      <c r="V2" s="663"/>
      <c r="W2" s="663"/>
      <c r="X2" s="663"/>
      <c r="Y2" s="663"/>
    </row>
    <row r="3" spans="1:25" ht="23.25">
      <c r="A3" s="664" t="s">
        <v>1166</v>
      </c>
      <c r="B3" s="662"/>
      <c r="C3" s="662"/>
      <c r="D3" s="662"/>
      <c r="E3" s="662"/>
      <c r="F3" s="662"/>
      <c r="G3" s="662"/>
      <c r="H3" s="662"/>
      <c r="I3" s="662"/>
      <c r="J3" s="662"/>
      <c r="K3" s="662"/>
      <c r="L3" s="662"/>
      <c r="M3" s="662"/>
      <c r="N3" s="662"/>
      <c r="O3" s="662"/>
      <c r="P3" s="662"/>
      <c r="Q3" s="662"/>
      <c r="R3" s="662"/>
      <c r="S3" s="662"/>
      <c r="T3" s="662"/>
      <c r="U3" s="662"/>
      <c r="V3" s="662"/>
      <c r="W3" s="662"/>
      <c r="X3" s="662"/>
      <c r="Y3" s="662"/>
    </row>
    <row r="4" spans="1:25" ht="23.25">
      <c r="A4" s="616"/>
      <c r="B4" s="616"/>
      <c r="C4" s="616"/>
      <c r="D4" s="616"/>
      <c r="E4" s="616"/>
      <c r="F4" s="616"/>
      <c r="G4" s="616"/>
      <c r="H4" s="616"/>
      <c r="I4" s="616"/>
      <c r="J4" s="616"/>
      <c r="K4" s="616"/>
      <c r="L4" s="616"/>
      <c r="M4" s="616"/>
      <c r="N4" s="616"/>
      <c r="O4" s="616"/>
      <c r="P4" s="616"/>
      <c r="Q4" s="616"/>
      <c r="R4" s="616"/>
      <c r="S4" s="616"/>
      <c r="T4" s="616"/>
      <c r="U4" s="616"/>
      <c r="V4" s="616"/>
      <c r="W4" s="616"/>
      <c r="X4" s="616"/>
      <c r="Y4" s="616"/>
    </row>
    <row r="5" spans="1:25">
      <c r="A5" s="335" t="s">
        <v>1163</v>
      </c>
      <c r="B5" s="335"/>
      <c r="C5" s="335"/>
      <c r="D5" s="335"/>
      <c r="E5" s="335"/>
      <c r="F5" s="335"/>
      <c r="G5" s="335"/>
      <c r="H5" s="335"/>
      <c r="I5" s="335"/>
      <c r="J5" s="335"/>
      <c r="K5" s="335"/>
      <c r="L5" s="335"/>
      <c r="M5" s="335"/>
      <c r="N5" s="335"/>
      <c r="O5" s="335"/>
      <c r="P5" s="335"/>
      <c r="Q5" s="335"/>
      <c r="R5" s="335"/>
      <c r="S5" s="335"/>
      <c r="T5" s="335"/>
      <c r="U5" s="335"/>
      <c r="V5" s="335"/>
      <c r="W5" s="335"/>
      <c r="X5" s="335"/>
      <c r="Y5" s="335"/>
    </row>
    <row r="6" spans="1:25">
      <c r="A6" s="335"/>
      <c r="B6" s="335"/>
      <c r="C6" s="335"/>
      <c r="D6" s="335"/>
      <c r="E6" s="335"/>
      <c r="F6" s="335"/>
      <c r="G6" s="335"/>
      <c r="H6" s="335"/>
      <c r="I6" s="335"/>
      <c r="J6" s="335"/>
      <c r="K6" s="335"/>
      <c r="L6" s="335"/>
      <c r="M6" s="335"/>
      <c r="N6" s="335"/>
      <c r="O6" s="335"/>
      <c r="P6" s="335"/>
      <c r="Q6" s="335"/>
      <c r="R6" s="335"/>
      <c r="S6" s="335"/>
      <c r="T6" s="335"/>
      <c r="U6" s="335"/>
      <c r="V6" s="335"/>
      <c r="W6" s="335"/>
      <c r="X6" s="335"/>
      <c r="Y6" s="335"/>
    </row>
    <row r="7" spans="1:25">
      <c r="A7" s="1" t="s">
        <v>775</v>
      </c>
      <c r="B7" s="1"/>
      <c r="C7" s="1"/>
      <c r="D7" s="539" t="str">
        <f>IFERROR(INDEX('DATA INDUK'!$H$27:$H$152,MATCH(ROW(D1),'DATA INDUK'!$AN$27:$AN$152,0)),"")</f>
        <v>26-001-DS-001</v>
      </c>
      <c r="E7" s="13"/>
      <c r="F7" s="13"/>
      <c r="G7" s="13"/>
      <c r="H7" s="15"/>
      <c r="I7" s="15"/>
      <c r="J7" s="15"/>
      <c r="K7" s="15"/>
      <c r="L7" s="15"/>
      <c r="M7" s="15"/>
      <c r="N7" s="15"/>
      <c r="O7" s="15"/>
      <c r="P7" s="15"/>
      <c r="Q7" s="15"/>
      <c r="R7" s="15"/>
      <c r="S7" s="15"/>
      <c r="T7" s="15"/>
      <c r="U7" s="15"/>
      <c r="V7" s="15"/>
      <c r="W7" s="15"/>
      <c r="X7" s="15"/>
      <c r="Y7" s="15"/>
    </row>
    <row r="8" spans="1:25">
      <c r="A8" s="13"/>
      <c r="B8" s="13"/>
      <c r="C8" s="13"/>
      <c r="D8" s="540" t="str">
        <f>IFERROR(INDEX('DATA INDUK'!$H$27:$H$38,MATCH(ROW(D2),'DATA INDUK'!$Z$27:$Z$38,0)),"")</f>
        <v/>
      </c>
      <c r="E8" s="15"/>
      <c r="F8" s="15"/>
      <c r="G8" s="15"/>
      <c r="H8" s="15"/>
      <c r="I8" s="15"/>
      <c r="J8" s="15"/>
      <c r="K8" s="15"/>
      <c r="L8" s="15"/>
      <c r="M8" s="15"/>
      <c r="N8" s="15"/>
      <c r="O8" s="15"/>
      <c r="P8" s="15"/>
      <c r="Q8" s="15"/>
      <c r="R8" s="15"/>
      <c r="S8" s="15"/>
      <c r="T8" s="15"/>
      <c r="U8" s="15"/>
      <c r="V8" s="15"/>
      <c r="W8" s="15"/>
      <c r="X8" s="15"/>
      <c r="Y8" s="15"/>
    </row>
    <row r="9" spans="1:25">
      <c r="A9" s="1735" t="s">
        <v>1780</v>
      </c>
      <c r="B9" s="1735"/>
      <c r="C9" s="1735"/>
      <c r="D9" s="1575" t="e" cm="1">
        <f t="array" ref="D9">IF(
INDEX('DATA INDUK'!$I$28:$I$151,
MATCH($D$7,'DATA INDUK'!$H$28:$H$151,0))="",
$D$7,
_xlfn.TEXTJOIN(CHAR(10),TRUE,
_xlfn._xlws.FILTER('DATA INDUK'!$C$28:$C$151,
'DATA INDUK'!$I$28:$I$151=
INDEX('DATA INDUK'!$I$28:$I$151,
MATCH($D$7,'DATA INDUK'!$H$28:$H$151,0))
))
)</f>
        <v>#N/A</v>
      </c>
      <c r="E9" s="15"/>
      <c r="F9" s="1571"/>
      <c r="G9" s="15" t="e">
        <f>INDEX('DATA INDUK'!$I$28:$I$151,
MATCH($D$7,'DATA INDUK'!$H$28:$H$151,0))</f>
        <v>#N/A</v>
      </c>
      <c r="H9" s="15"/>
      <c r="I9" s="15"/>
      <c r="J9" s="15"/>
      <c r="K9" s="15"/>
      <c r="L9" s="15"/>
      <c r="M9" s="15"/>
      <c r="N9" s="15"/>
      <c r="O9" s="15"/>
      <c r="P9" s="15"/>
      <c r="Q9" s="1" t="s">
        <v>703</v>
      </c>
      <c r="R9" s="1"/>
      <c r="S9" s="1"/>
      <c r="T9" s="15" t="str">
        <f>IF($D$7="","",U9)</f>
        <v>RIZKI</v>
      </c>
      <c r="U9" s="1574" t="s">
        <v>1055</v>
      </c>
      <c r="V9" s="15"/>
      <c r="W9" s="15"/>
      <c r="X9" s="15"/>
      <c r="Y9" s="15" t="str">
        <f>"TTD_"&amp;T9&amp;""</f>
        <v>TTD_RIZKI</v>
      </c>
    </row>
    <row r="10" spans="1:25" ht="37.5" customHeight="1">
      <c r="A10" s="1736" t="s">
        <v>1779</v>
      </c>
      <c r="B10" s="1736"/>
      <c r="C10" s="1736"/>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t="s">
        <v>1659</v>
      </c>
      <c r="H10" s="15"/>
      <c r="I10" s="15"/>
      <c r="J10" s="15"/>
      <c r="K10" s="15"/>
      <c r="L10" s="15"/>
      <c r="M10" s="15"/>
      <c r="N10" s="15"/>
      <c r="O10" s="15"/>
      <c r="P10" s="15"/>
      <c r="Q10" s="1" t="s">
        <v>704</v>
      </c>
      <c r="R10" s="1"/>
      <c r="S10" s="1"/>
      <c r="T10" s="15" t="str">
        <f t="shared" ref="T10:T11" si="0">IF($D$7="","",U10)</f>
        <v>NOUFAL</v>
      </c>
      <c r="U10" s="15" t="s">
        <v>1051</v>
      </c>
      <c r="V10" s="15"/>
      <c r="W10" s="15"/>
      <c r="X10" s="15"/>
      <c r="Y10" s="15" t="str">
        <f>IF(T9=T10,"TTD_","TTD_"&amp;T10&amp;"")</f>
        <v>TTD_NOUFAL</v>
      </c>
    </row>
    <row r="11" spans="1:25">
      <c r="A11" s="1" t="s">
        <v>778</v>
      </c>
      <c r="B11" s="1"/>
      <c r="C11" s="1"/>
      <c r="D11" s="13" t="str">
        <f>IFERROR(INDEX('DATA INDUK'!$D$27:$D$152,MATCH(ROW(D1),'DATA INDUK'!$AQ$27:$AQ$152,0)),"")</f>
        <v>Disturbed Sample</v>
      </c>
      <c r="E11" s="15"/>
      <c r="F11" s="15"/>
      <c r="G11" s="15" t="str">
        <f>IFERROR(INDEX($R$23:$R$34,
MATCH(D12,$U$23:$U$34,0)),
"CHECK DESKRIPSI")</f>
        <v>CL</v>
      </c>
      <c r="H11" s="15"/>
      <c r="I11" s="15"/>
      <c r="J11" s="15"/>
      <c r="K11" s="15"/>
      <c r="L11" s="15"/>
      <c r="M11" s="15"/>
      <c r="N11" s="15"/>
      <c r="O11" s="15"/>
      <c r="P11" s="15"/>
      <c r="Q11" s="13" t="s">
        <v>716</v>
      </c>
      <c r="R11" s="15"/>
      <c r="S11" s="15"/>
      <c r="T11" s="15" t="str">
        <f t="shared" si="0"/>
        <v>A.SUMARTADJI</v>
      </c>
      <c r="U11" s="15" t="s">
        <v>766</v>
      </c>
      <c r="V11" s="15"/>
      <c r="W11" s="15"/>
      <c r="X11" s="15"/>
      <c r="Y11" s="15" t="str">
        <f>"TTD_"&amp;T11&amp;""</f>
        <v>TTD_A.SUMARTADJI</v>
      </c>
    </row>
    <row r="12" spans="1:25">
      <c r="A12" s="1" t="s">
        <v>779</v>
      </c>
      <c r="B12" s="1"/>
      <c r="C12" s="1"/>
      <c r="D12" s="1573" t="s">
        <v>1510</v>
      </c>
      <c r="E12" s="15"/>
      <c r="F12" s="15"/>
      <c r="G12" s="15"/>
      <c r="H12" s="15"/>
      <c r="I12" s="15"/>
      <c r="J12" s="15"/>
      <c r="K12" s="15"/>
      <c r="L12" s="15"/>
      <c r="M12" s="15"/>
      <c r="N12" s="15"/>
      <c r="O12" s="15"/>
      <c r="P12" s="15"/>
      <c r="Q12" s="1" t="s">
        <v>705</v>
      </c>
      <c r="R12" s="1"/>
      <c r="S12" s="1"/>
      <c r="T12" s="715">
        <v>46027</v>
      </c>
      <c r="U12" s="15"/>
      <c r="V12" s="15"/>
      <c r="W12" s="15"/>
      <c r="X12" s="15"/>
      <c r="Y12" s="15"/>
    </row>
    <row r="13" spans="1:25">
      <c r="A13" s="1733" t="s">
        <v>780</v>
      </c>
      <c r="B13" s="1733"/>
      <c r="C13" s="1733"/>
      <c r="D13" s="1274" t="s">
        <v>1511</v>
      </c>
      <c r="E13" s="1182"/>
      <c r="F13" s="1182"/>
      <c r="G13" s="1182"/>
      <c r="H13" s="1182"/>
      <c r="I13" s="1182"/>
      <c r="J13" s="1182"/>
      <c r="K13" s="1182"/>
      <c r="L13" s="1182"/>
      <c r="M13" s="1182"/>
      <c r="N13" s="1182"/>
      <c r="O13" s="1182"/>
      <c r="P13" s="1182"/>
      <c r="Q13" s="1182"/>
      <c r="R13" s="1182"/>
      <c r="S13" s="1182"/>
      <c r="T13" s="1182"/>
      <c r="U13" s="1182"/>
      <c r="V13" s="1182"/>
      <c r="W13" s="1182"/>
      <c r="X13" s="1182"/>
      <c r="Y13" s="1182"/>
    </row>
    <row r="21" spans="2:38">
      <c r="B21" s="1133" t="s">
        <v>1056</v>
      </c>
      <c r="C21" s="1133"/>
      <c r="D21" s="1133"/>
      <c r="E21" s="1133"/>
      <c r="F21" s="1133"/>
      <c r="G21" s="1133"/>
      <c r="H21" s="1133"/>
      <c r="I21" s="1133"/>
      <c r="J21" s="1133"/>
      <c r="K21" s="1133"/>
      <c r="L21" s="1133"/>
      <c r="M21" s="1133"/>
      <c r="N21" s="1133"/>
      <c r="O21" s="1133"/>
      <c r="P21" s="1133"/>
      <c r="Q21" s="1133"/>
      <c r="R21" s="370" t="s">
        <v>1641</v>
      </c>
      <c r="S21" s="370"/>
      <c r="T21" s="370"/>
      <c r="U21" s="370"/>
      <c r="V21" s="370"/>
      <c r="W21" s="1133"/>
    </row>
    <row r="22" spans="2:38">
      <c r="B22" s="1133"/>
      <c r="C22" s="1133"/>
      <c r="D22" s="1133"/>
      <c r="E22" s="1133"/>
      <c r="F22" s="1133"/>
      <c r="G22" s="1133"/>
      <c r="H22" s="1133"/>
      <c r="I22" s="1133"/>
      <c r="J22" s="1133"/>
      <c r="K22" s="1133"/>
      <c r="L22" s="1133"/>
      <c r="M22" s="1133"/>
      <c r="N22" s="1133"/>
      <c r="O22" s="1133"/>
      <c r="P22" s="1133"/>
      <c r="Q22" s="1133"/>
      <c r="R22" s="370" t="s">
        <v>1611</v>
      </c>
      <c r="S22" s="370" t="s">
        <v>1642</v>
      </c>
      <c r="T22" s="370" t="s">
        <v>1632</v>
      </c>
      <c r="U22" s="370" t="s">
        <v>1633</v>
      </c>
      <c r="V22" s="370"/>
      <c r="W22" s="1133"/>
    </row>
    <row r="23" spans="2:38">
      <c r="B23" s="1135" t="s">
        <v>1057</v>
      </c>
      <c r="C23" s="1136"/>
      <c r="D23" s="1136"/>
      <c r="E23" s="1136"/>
      <c r="F23" s="1136"/>
      <c r="G23" s="1137"/>
      <c r="H23" s="1141">
        <v>1</v>
      </c>
      <c r="I23" s="1458">
        <v>2</v>
      </c>
      <c r="P23" s="1464"/>
      <c r="Q23" s="1464"/>
      <c r="R23" s="370" t="s">
        <v>1612</v>
      </c>
      <c r="S23" s="370" t="s">
        <v>1613</v>
      </c>
      <c r="T23" s="370" t="s">
        <v>1610</v>
      </c>
      <c r="U23" s="370" t="s">
        <v>1510</v>
      </c>
      <c r="V23" s="370"/>
      <c r="W23" s="1568"/>
    </row>
    <row r="24" spans="2:38">
      <c r="B24" s="1138" t="s">
        <v>1058</v>
      </c>
      <c r="C24" s="1139"/>
      <c r="D24" s="1139"/>
      <c r="E24" s="1139"/>
      <c r="F24" s="1139"/>
      <c r="G24" s="1140" t="s">
        <v>22</v>
      </c>
      <c r="H24" s="1221">
        <v>10.487</v>
      </c>
      <c r="I24" s="1459">
        <v>10.138999999999999</v>
      </c>
      <c r="P24" s="1466"/>
      <c r="Q24" s="1466"/>
      <c r="R24" s="370" t="s">
        <v>1614</v>
      </c>
      <c r="S24" s="370" t="s">
        <v>1615</v>
      </c>
      <c r="T24" s="370" t="s">
        <v>1634</v>
      </c>
      <c r="U24" s="370" t="s">
        <v>1635</v>
      </c>
      <c r="V24" s="370"/>
      <c r="W24" s="1568"/>
    </row>
    <row r="25" spans="2:38" ht="16.5">
      <c r="B25" s="1138" t="s">
        <v>1059</v>
      </c>
      <c r="C25" s="1139"/>
      <c r="D25" s="1139"/>
      <c r="E25" s="1139"/>
      <c r="F25" s="1139"/>
      <c r="G25" s="1142" t="s">
        <v>1060</v>
      </c>
      <c r="H25" s="1222">
        <v>22</v>
      </c>
      <c r="I25" s="1460">
        <v>22</v>
      </c>
      <c r="P25" s="1466"/>
      <c r="Q25" s="1466"/>
      <c r="R25" s="370" t="s">
        <v>1617</v>
      </c>
      <c r="S25" s="370" t="s">
        <v>1618</v>
      </c>
      <c r="T25" s="370" t="s">
        <v>1636</v>
      </c>
      <c r="U25" s="370" t="s">
        <v>1637</v>
      </c>
      <c r="V25" s="370"/>
      <c r="W25" s="1568"/>
    </row>
    <row r="26" spans="2:38">
      <c r="B26" s="1138" t="s">
        <v>1061</v>
      </c>
      <c r="C26" s="1139"/>
      <c r="D26" s="1139"/>
      <c r="E26" s="1139"/>
      <c r="F26" s="1139"/>
      <c r="G26" s="1140" t="s">
        <v>22</v>
      </c>
      <c r="H26" s="1221">
        <v>170.13</v>
      </c>
      <c r="I26" s="1459">
        <v>144.18299999999999</v>
      </c>
      <c r="P26" s="1466"/>
      <c r="Q26" s="1466"/>
      <c r="R26" s="370" t="s">
        <v>1643</v>
      </c>
      <c r="S26" s="370" t="s">
        <v>1644</v>
      </c>
      <c r="T26" s="370" t="s">
        <v>1645</v>
      </c>
      <c r="U26" s="370" t="s">
        <v>1646</v>
      </c>
      <c r="V26" s="370"/>
      <c r="W26" s="1568"/>
      <c r="Z26" s="1162" t="s">
        <v>1087</v>
      </c>
      <c r="AA26" s="1162" t="s">
        <v>1088</v>
      </c>
      <c r="AB26" s="1162" t="s">
        <v>1089</v>
      </c>
      <c r="AD26" s="1131"/>
      <c r="AE26" s="1164">
        <v>45819.675335648149</v>
      </c>
      <c r="AF26" s="1131"/>
      <c r="AG26" s="1165">
        <v>0</v>
      </c>
      <c r="AH26" s="1132"/>
      <c r="AI26" s="1132"/>
    </row>
    <row r="27" spans="2:38" ht="16.5">
      <c r="B27" s="1138" t="s">
        <v>1062</v>
      </c>
      <c r="C27" s="1139"/>
      <c r="D27" s="1139"/>
      <c r="E27" s="1139"/>
      <c r="F27" s="1139"/>
      <c r="G27" s="1140" t="s">
        <v>22</v>
      </c>
      <c r="H27" s="1143">
        <f>IF(OR(H23="",H24="",H25="",H26=""),"",((VLOOKUP(H25,$Z$27:$AB$40,2)/$AA$30)*(VLOOKUP(H23,$AD$28:$AE$85,2)-VLOOKUP(H23,$AH$29:$AI$86,2)))+VLOOKUP(H23,$AH$29:$AI$86,2,FALSE))</f>
        <v>163.55390364176026</v>
      </c>
      <c r="I27" s="1202">
        <f>IF(OR(I23="",I24="",I25="",I26=""),"",((VLOOKUP(I25,$Z$27:$AB$40,2)/$AA$30)*(VLOOKUP(I23,$AD$28:$AE$85,2)-VLOOKUP(I23,$AH$29:$AI$86,2)))+VLOOKUP(I23,$AH$29:$AI$86,2,FALSE))</f>
        <v>137.81939910439863</v>
      </c>
      <c r="P27" s="1468"/>
      <c r="Q27" s="1468"/>
      <c r="R27" s="370" t="s">
        <v>1620</v>
      </c>
      <c r="S27" s="370" t="s">
        <v>1616</v>
      </c>
      <c r="T27" s="370" t="s">
        <v>509</v>
      </c>
      <c r="U27" s="370" t="s">
        <v>1638</v>
      </c>
      <c r="V27" s="370"/>
      <c r="W27" s="1568"/>
      <c r="Z27" s="1162"/>
      <c r="AA27" s="1162" t="s">
        <v>1090</v>
      </c>
      <c r="AB27" s="1162" t="s">
        <v>1091</v>
      </c>
      <c r="AD27" s="1132" t="s">
        <v>1092</v>
      </c>
      <c r="AE27" s="1132"/>
      <c r="AF27" s="1132"/>
      <c r="AG27" s="1132"/>
      <c r="AH27" s="1131" t="s">
        <v>1093</v>
      </c>
      <c r="AI27" s="1131"/>
      <c r="AK27" t="s">
        <v>366</v>
      </c>
    </row>
    <row r="28" spans="2:38">
      <c r="B28" s="1138" t="s">
        <v>1063</v>
      </c>
      <c r="C28" s="1139"/>
      <c r="D28" s="1139"/>
      <c r="E28" s="1139"/>
      <c r="F28" s="1144"/>
      <c r="G28" s="1140" t="s">
        <v>22</v>
      </c>
      <c r="H28" s="1143">
        <f>IF(OR(H23="",H24="",H25="",H26=""),"",H24+(H27-H26))</f>
        <v>3.9109036417602621</v>
      </c>
      <c r="I28" s="1202">
        <f>IF(OR(I23="",I24="",I25="",I26=""),"",I24+(I27-I26))</f>
        <v>3.7753991043986339</v>
      </c>
      <c r="P28" s="1468"/>
      <c r="Q28" s="1468"/>
      <c r="R28" s="370" t="s">
        <v>1621</v>
      </c>
      <c r="S28" s="370" t="s">
        <v>1622</v>
      </c>
      <c r="T28" s="370" t="s">
        <v>1639</v>
      </c>
      <c r="U28" s="370" t="s">
        <v>1640</v>
      </c>
      <c r="V28" s="370"/>
      <c r="W28" s="1568"/>
      <c r="Z28" s="1162">
        <v>18</v>
      </c>
      <c r="AA28" s="1162">
        <v>0.99862439999999997</v>
      </c>
      <c r="AB28" s="1162">
        <v>1.0004</v>
      </c>
      <c r="AD28" s="1163" t="s">
        <v>1</v>
      </c>
      <c r="AE28" s="1163" t="s">
        <v>1094</v>
      </c>
      <c r="AF28" s="1132"/>
      <c r="AG28" s="1132"/>
      <c r="AH28" s="1132" t="s">
        <v>405</v>
      </c>
      <c r="AI28" s="1132" t="s">
        <v>1095</v>
      </c>
      <c r="AK28" s="383">
        <v>1</v>
      </c>
      <c r="AL28" s="384">
        <v>9.0299999999999994</v>
      </c>
    </row>
    <row r="29" spans="2:38">
      <c r="B29" s="1138" t="s">
        <v>1064</v>
      </c>
      <c r="C29" s="1139"/>
      <c r="D29" s="1139"/>
      <c r="E29" s="1139"/>
      <c r="F29" s="1144"/>
      <c r="G29" s="1140"/>
      <c r="H29" s="1143">
        <f>IF(OR(H24="",H25="",H26=""),"",(H24/H28)*(VLOOKUP(H25,$Z$27:$AB$40,3)))</f>
        <v>2.6804048783165073</v>
      </c>
      <c r="I29" s="1202">
        <f>IF(OR(I24="",I25="",I26=""),"",(I24/I28)*(VLOOKUP(I25,$Z$27:$AB$40,3)))</f>
        <v>2.6844696732040858</v>
      </c>
      <c r="P29" s="1470"/>
      <c r="Q29" s="1470"/>
      <c r="R29" s="370" t="s">
        <v>1623</v>
      </c>
      <c r="S29" s="370" t="s">
        <v>1624</v>
      </c>
      <c r="T29" s="370" t="s">
        <v>1647</v>
      </c>
      <c r="U29" s="370" t="s">
        <v>1648</v>
      </c>
      <c r="V29" s="370"/>
      <c r="W29" s="1568"/>
      <c r="Z29" s="1162">
        <v>19</v>
      </c>
      <c r="AA29" s="1162">
        <v>0.99843470000000001</v>
      </c>
      <c r="AB29" s="1162">
        <v>1.0002</v>
      </c>
      <c r="AD29" s="1166">
        <v>1</v>
      </c>
      <c r="AE29" s="1167">
        <v>163.59899999999999</v>
      </c>
      <c r="AF29" s="1168"/>
      <c r="AG29" s="1168"/>
      <c r="AH29" s="1166">
        <v>1</v>
      </c>
      <c r="AI29" s="1167">
        <v>59.49</v>
      </c>
      <c r="AK29" s="385">
        <v>2</v>
      </c>
      <c r="AL29" s="386">
        <v>8.8420000000000005</v>
      </c>
    </row>
    <row r="30" spans="2:38">
      <c r="B30" s="1145" t="s">
        <v>1065</v>
      </c>
      <c r="C30" s="1146"/>
      <c r="D30" s="1146"/>
      <c r="E30" s="1146"/>
      <c r="F30" s="1147"/>
      <c r="G30" s="1148"/>
      <c r="H30" s="1149">
        <f>IF(OR(H23="",H24="",H25="",H26=""),"",AVERAGE(H29:I29))</f>
        <v>2.6824372757602966</v>
      </c>
      <c r="I30" s="1461"/>
      <c r="P30" s="1734"/>
      <c r="Q30" s="1734"/>
      <c r="R30" s="370" t="s">
        <v>1649</v>
      </c>
      <c r="S30" s="370" t="s">
        <v>1650</v>
      </c>
      <c r="T30" s="370" t="s">
        <v>1651</v>
      </c>
      <c r="U30" s="370" t="s">
        <v>1652</v>
      </c>
      <c r="V30" s="370"/>
      <c r="W30" s="1568"/>
      <c r="Z30" s="1162">
        <v>20</v>
      </c>
      <c r="AA30" s="1162">
        <v>0.99823430000000002</v>
      </c>
      <c r="AB30" s="1162">
        <v>1</v>
      </c>
      <c r="AD30" s="1166">
        <v>2</v>
      </c>
      <c r="AE30" s="1167">
        <v>137.86199999999999</v>
      </c>
      <c r="AF30" s="1168"/>
      <c r="AG30" s="1168"/>
      <c r="AH30" s="1166">
        <v>2</v>
      </c>
      <c r="AI30" s="1167">
        <v>39.514000000000003</v>
      </c>
      <c r="AK30" s="385">
        <v>3</v>
      </c>
      <c r="AL30" s="387">
        <v>9.0410000000000004</v>
      </c>
    </row>
    <row r="31" spans="2:38">
      <c r="B31" s="1197"/>
      <c r="C31" s="1197"/>
      <c r="D31" s="1197"/>
      <c r="E31" s="1197"/>
      <c r="F31" s="1197"/>
      <c r="G31" s="1197"/>
      <c r="H31" s="1197"/>
      <c r="I31" s="1197"/>
      <c r="J31" s="1133"/>
      <c r="K31" s="1133"/>
      <c r="L31" s="1133"/>
      <c r="M31" s="1133"/>
      <c r="N31" s="1133"/>
      <c r="O31" s="1133"/>
      <c r="P31" s="1133"/>
      <c r="Q31" s="1133"/>
      <c r="R31" s="370" t="s">
        <v>1690</v>
      </c>
      <c r="S31" s="370" t="s">
        <v>1619</v>
      </c>
      <c r="T31" s="370" t="s">
        <v>510</v>
      </c>
      <c r="U31" s="370" t="s">
        <v>1197</v>
      </c>
      <c r="V31" s="370"/>
      <c r="W31" s="1568"/>
      <c r="Z31" s="1162">
        <v>21</v>
      </c>
      <c r="AA31" s="1162">
        <v>0.99802329999999995</v>
      </c>
      <c r="AB31" s="1162">
        <v>0.99980000000000002</v>
      </c>
      <c r="AD31" s="1166">
        <v>3</v>
      </c>
      <c r="AE31" s="1167">
        <v>151.18299999999999</v>
      </c>
      <c r="AF31" s="1168"/>
      <c r="AG31" s="1168"/>
      <c r="AH31" s="1166">
        <v>3</v>
      </c>
      <c r="AI31" s="1167">
        <v>51.445999999999998</v>
      </c>
      <c r="AK31" s="388">
        <v>4</v>
      </c>
      <c r="AL31" s="389">
        <v>8.9359999999999999</v>
      </c>
    </row>
    <row r="32" spans="2:38">
      <c r="R32" s="370" t="s">
        <v>1626</v>
      </c>
      <c r="S32" s="370" t="s">
        <v>1627</v>
      </c>
      <c r="T32" s="370" t="s">
        <v>1653</v>
      </c>
      <c r="U32" s="370" t="s">
        <v>1654</v>
      </c>
      <c r="V32" s="370"/>
      <c r="W32" s="1568"/>
      <c r="Z32" s="1162">
        <v>22</v>
      </c>
      <c r="AA32" s="1162">
        <v>0.99780190000000002</v>
      </c>
      <c r="AB32" s="1162">
        <v>0.99960000000000004</v>
      </c>
      <c r="AD32" s="1166">
        <v>4</v>
      </c>
      <c r="AE32" s="1167">
        <v>153.06200000000001</v>
      </c>
      <c r="AF32" s="1168"/>
      <c r="AG32" s="1168"/>
      <c r="AH32" s="1166">
        <v>4</v>
      </c>
      <c r="AI32" s="1167">
        <v>53.871000000000002</v>
      </c>
      <c r="AK32" s="388">
        <v>5</v>
      </c>
      <c r="AL32" s="389">
        <v>8.8559999999999999</v>
      </c>
    </row>
    <row r="33" spans="1:38">
      <c r="R33" s="370" t="s">
        <v>1628</v>
      </c>
      <c r="S33" s="370" t="s">
        <v>1629</v>
      </c>
      <c r="T33" s="370" t="s">
        <v>1655</v>
      </c>
      <c r="U33" s="370" t="s">
        <v>1656</v>
      </c>
      <c r="V33" s="370"/>
      <c r="W33" s="1568"/>
      <c r="Z33" s="1162">
        <v>23</v>
      </c>
      <c r="AA33" s="1162">
        <v>0.99757019999999996</v>
      </c>
      <c r="AB33" s="1162">
        <v>0.99929999999999997</v>
      </c>
      <c r="AD33" s="1166">
        <v>5</v>
      </c>
      <c r="AE33" s="1167">
        <v>152.27799999999999</v>
      </c>
      <c r="AF33" s="1168"/>
      <c r="AG33" s="1168"/>
      <c r="AH33" s="1166">
        <v>5</v>
      </c>
      <c r="AI33" s="1167">
        <v>53.021999999999998</v>
      </c>
      <c r="AK33" s="388">
        <v>6</v>
      </c>
      <c r="AL33" s="389">
        <v>8.7260000000000009</v>
      </c>
    </row>
    <row r="34" spans="1:38">
      <c r="R34" s="370" t="s">
        <v>1630</v>
      </c>
      <c r="S34" s="370" t="s">
        <v>1631</v>
      </c>
      <c r="T34" s="370" t="s">
        <v>1657</v>
      </c>
      <c r="U34" s="370" t="s">
        <v>1658</v>
      </c>
      <c r="V34" s="370"/>
      <c r="Z34" s="1162">
        <v>24</v>
      </c>
      <c r="AA34" s="1162">
        <v>0.99732860000000001</v>
      </c>
      <c r="AB34" s="1162">
        <v>0.99909999999999999</v>
      </c>
      <c r="AD34" s="1166">
        <v>6</v>
      </c>
      <c r="AE34" s="1167">
        <v>153.26499999999999</v>
      </c>
      <c r="AF34" s="1168"/>
      <c r="AG34" s="1168"/>
      <c r="AH34" s="1166">
        <v>6</v>
      </c>
      <c r="AI34" s="1167">
        <v>54.015000000000001</v>
      </c>
      <c r="AK34" s="388">
        <v>7</v>
      </c>
      <c r="AL34" s="389">
        <v>8.8819999999999997</v>
      </c>
    </row>
    <row r="35" spans="1:38">
      <c r="Z35" s="1162">
        <v>25</v>
      </c>
      <c r="AA35" s="1162">
        <v>0.99707699999999999</v>
      </c>
      <c r="AB35" s="1162">
        <v>0.99890000000000001</v>
      </c>
      <c r="AD35" s="1166">
        <v>7</v>
      </c>
      <c r="AE35" s="1167">
        <v>153.68899999999999</v>
      </c>
      <c r="AF35" s="1168"/>
      <c r="AG35" s="1168"/>
      <c r="AH35" s="1166">
        <v>7</v>
      </c>
      <c r="AI35" s="1167">
        <v>59.771000000000001</v>
      </c>
      <c r="AK35" s="388">
        <v>8</v>
      </c>
      <c r="AL35" s="389">
        <v>8.8179999999999996</v>
      </c>
    </row>
    <row r="36" spans="1:38">
      <c r="A36" s="1" t="s">
        <v>775</v>
      </c>
      <c r="B36" s="1"/>
      <c r="C36" s="1"/>
      <c r="D36" s="539" t="str">
        <f>IFERROR(INDEX('DATA INDUK'!$H$27:$H$152,MATCH(ROW(D1),'DATA INDUK'!$AO$27:$AO$152,0)),"")</f>
        <v>26-001-DS-001</v>
      </c>
      <c r="Z36" s="1162">
        <v>26</v>
      </c>
      <c r="AA36" s="1162">
        <v>0.99681560000000002</v>
      </c>
      <c r="AB36" s="1162">
        <v>0.99860000000000004</v>
      </c>
      <c r="AD36" s="1166">
        <v>8</v>
      </c>
      <c r="AE36" s="1167">
        <v>158.886</v>
      </c>
      <c r="AF36" s="1168"/>
      <c r="AG36" s="1168"/>
      <c r="AH36" s="1166">
        <v>8</v>
      </c>
      <c r="AI36" s="1167">
        <v>62.706000000000003</v>
      </c>
      <c r="AK36" s="388">
        <v>9</v>
      </c>
      <c r="AL36" s="389">
        <v>8.7989999999999995</v>
      </c>
    </row>
    <row r="37" spans="1:38">
      <c r="A37" t="s">
        <v>1163</v>
      </c>
      <c r="Z37" s="1162">
        <v>27</v>
      </c>
      <c r="AA37" s="1162">
        <v>0.99654509999999996</v>
      </c>
      <c r="AB37" s="1162">
        <v>0.99829999999999997</v>
      </c>
      <c r="AD37" s="1166">
        <v>9</v>
      </c>
      <c r="AE37" s="1167">
        <v>158.67400000000001</v>
      </c>
      <c r="AF37" s="1168"/>
      <c r="AG37" s="1168"/>
      <c r="AH37" s="1166">
        <v>9</v>
      </c>
      <c r="AI37" s="1167">
        <v>61.072000000000003</v>
      </c>
      <c r="AK37" s="383">
        <v>10</v>
      </c>
      <c r="AL37" s="384">
        <v>8.7929999999999993</v>
      </c>
    </row>
    <row r="38" spans="1:38">
      <c r="B38" s="1133" t="s">
        <v>1066</v>
      </c>
      <c r="C38" s="1132"/>
      <c r="D38" s="1132"/>
      <c r="E38" s="1132"/>
      <c r="F38" s="1132"/>
      <c r="G38" s="1132"/>
      <c r="H38" s="1132"/>
      <c r="I38" s="1150"/>
      <c r="J38" s="1472"/>
      <c r="K38" s="1472"/>
      <c r="L38" s="1472"/>
      <c r="M38" s="1472"/>
      <c r="N38" s="1472"/>
      <c r="O38" s="1472"/>
      <c r="P38" s="1473"/>
      <c r="Q38" s="1473"/>
      <c r="R38" s="1474"/>
      <c r="S38" s="1474"/>
      <c r="T38" s="1474"/>
      <c r="U38" s="1474"/>
      <c r="V38" s="1474"/>
      <c r="W38" s="1474"/>
      <c r="Z38" s="1162">
        <v>28</v>
      </c>
      <c r="AA38" s="1162">
        <v>0.99626519999999996</v>
      </c>
      <c r="AB38" s="1162">
        <v>0.998</v>
      </c>
      <c r="AD38" s="1166">
        <v>10</v>
      </c>
      <c r="AE38" s="1167">
        <v>153.58000000000001</v>
      </c>
      <c r="AF38" s="1168"/>
      <c r="AG38" s="1168"/>
      <c r="AH38" s="1166">
        <v>10</v>
      </c>
      <c r="AI38" s="1167">
        <v>53.567999999999998</v>
      </c>
      <c r="AK38" s="383">
        <v>11</v>
      </c>
      <c r="AL38" s="384">
        <v>8.8040000000000003</v>
      </c>
    </row>
    <row r="39" spans="1:38">
      <c r="B39" s="1135" t="s">
        <v>1067</v>
      </c>
      <c r="C39" s="1136"/>
      <c r="D39" s="1136"/>
      <c r="E39" s="1136"/>
      <c r="F39" s="1136"/>
      <c r="G39" s="1137"/>
      <c r="H39" s="1151">
        <v>18</v>
      </c>
      <c r="I39" s="1462">
        <v>77</v>
      </c>
      <c r="J39" s="1475"/>
      <c r="K39" s="1475"/>
      <c r="L39" s="1475"/>
      <c r="M39" s="1475"/>
      <c r="N39" s="1475"/>
      <c r="O39" s="1475"/>
      <c r="P39" s="1464"/>
      <c r="Q39" s="1464"/>
      <c r="R39" s="1465"/>
      <c r="S39" s="1465"/>
      <c r="T39" s="1465"/>
      <c r="U39" s="1465"/>
      <c r="V39" s="1465"/>
      <c r="W39" s="1465"/>
      <c r="Z39" s="1162">
        <v>29</v>
      </c>
      <c r="AA39" s="1162">
        <v>0.99597610000000003</v>
      </c>
      <c r="AB39" s="1162">
        <v>0.99770000000000003</v>
      </c>
      <c r="AD39" s="1166">
        <v>11</v>
      </c>
      <c r="AE39" s="1167">
        <v>156.95099999999999</v>
      </c>
      <c r="AF39" s="1168"/>
      <c r="AG39" s="1168"/>
      <c r="AH39" s="1166">
        <v>11</v>
      </c>
      <c r="AI39" s="1167">
        <v>58.058</v>
      </c>
      <c r="AK39" s="383">
        <v>12</v>
      </c>
      <c r="AL39" s="384">
        <v>8.9280000000000008</v>
      </c>
    </row>
    <row r="40" spans="1:38">
      <c r="B40" s="1138" t="s">
        <v>1068</v>
      </c>
      <c r="C40" s="1139"/>
      <c r="D40" s="1139"/>
      <c r="E40" s="1139"/>
      <c r="F40" s="1139"/>
      <c r="G40" s="1140" t="s">
        <v>22</v>
      </c>
      <c r="H40" s="1223">
        <v>63.231000000000002</v>
      </c>
      <c r="I40" s="1463">
        <v>48.72</v>
      </c>
      <c r="J40" s="1476"/>
      <c r="K40" s="1476"/>
      <c r="L40" s="1476"/>
      <c r="M40" s="1476"/>
      <c r="N40" s="1476"/>
      <c r="O40" s="1476"/>
      <c r="P40" s="1466"/>
      <c r="Q40" s="1466"/>
      <c r="R40" s="1467"/>
      <c r="S40" s="1467"/>
      <c r="T40" s="1467"/>
      <c r="U40" s="1467"/>
      <c r="V40" s="1467"/>
      <c r="W40" s="1467"/>
      <c r="Z40" s="1162">
        <v>30</v>
      </c>
      <c r="AA40" s="1163">
        <v>0.99567799999999995</v>
      </c>
      <c r="AB40" s="1163">
        <v>0.99739999999999995</v>
      </c>
      <c r="AD40" s="1166">
        <v>12</v>
      </c>
      <c r="AE40" s="1167">
        <v>157.65299999999999</v>
      </c>
      <c r="AF40" s="1168"/>
      <c r="AG40" s="1168"/>
      <c r="AH40" s="1166">
        <v>12</v>
      </c>
      <c r="AI40" s="1167">
        <v>63.725999999999999</v>
      </c>
      <c r="AK40" s="383">
        <v>13</v>
      </c>
      <c r="AL40" s="384">
        <v>8.8770000000000007</v>
      </c>
    </row>
    <row r="41" spans="1:38">
      <c r="B41" s="1138" t="s">
        <v>1069</v>
      </c>
      <c r="C41" s="1139"/>
      <c r="D41" s="1139"/>
      <c r="E41" s="1139"/>
      <c r="F41" s="1139"/>
      <c r="G41" s="1140" t="s">
        <v>22</v>
      </c>
      <c r="H41" s="1223">
        <v>49.533000000000001</v>
      </c>
      <c r="I41" s="1463">
        <v>38.822000000000003</v>
      </c>
      <c r="J41" s="1476"/>
      <c r="K41" s="1476"/>
      <c r="L41" s="1476"/>
      <c r="M41" s="1476"/>
      <c r="N41" s="1476"/>
      <c r="O41" s="1476"/>
      <c r="P41" s="1477"/>
      <c r="Q41" s="1477"/>
      <c r="R41" s="1478"/>
      <c r="S41" s="1478"/>
      <c r="T41" s="1478"/>
      <c r="U41" s="1478"/>
      <c r="V41" s="1478"/>
      <c r="W41" s="1478"/>
      <c r="AD41" s="1166">
        <v>13</v>
      </c>
      <c r="AE41" s="1167">
        <v>155.423</v>
      </c>
      <c r="AF41" s="1168"/>
      <c r="AG41" s="1168"/>
      <c r="AH41" s="1166">
        <v>13</v>
      </c>
      <c r="AI41" s="1167">
        <v>60.343000000000004</v>
      </c>
      <c r="AK41" s="383">
        <v>14</v>
      </c>
      <c r="AL41" s="384">
        <v>8.8919999999999995</v>
      </c>
    </row>
    <row r="42" spans="1:38">
      <c r="B42" s="1138" t="s">
        <v>1070</v>
      </c>
      <c r="C42" s="1139"/>
      <c r="D42" s="1139"/>
      <c r="E42" s="1139"/>
      <c r="F42" s="1144"/>
      <c r="G42" s="1140" t="s">
        <v>22</v>
      </c>
      <c r="H42" s="1153">
        <f>IFERROR(VLOOKUP(H39,$AK$28:$AL144,2,0),"")</f>
        <v>8.9339999999999993</v>
      </c>
      <c r="I42" s="1153">
        <f>IFERROR(VLOOKUP(I39,$AK$28:$AL144,2,0),"")</f>
        <v>8.843</v>
      </c>
      <c r="J42" s="1476" t="s">
        <v>1268</v>
      </c>
      <c r="K42" s="1476"/>
      <c r="L42" s="1476"/>
      <c r="M42" s="1476"/>
      <c r="N42" s="1476"/>
      <c r="O42" s="1476"/>
      <c r="P42" s="1466"/>
      <c r="Q42" s="1466"/>
      <c r="R42" s="1467"/>
      <c r="S42" s="1467"/>
      <c r="T42" s="1467"/>
      <c r="U42" s="1467"/>
      <c r="V42" s="1467"/>
      <c r="W42" s="1467"/>
      <c r="AD42" s="1166">
        <v>14</v>
      </c>
      <c r="AE42" s="1167">
        <v>156.63</v>
      </c>
      <c r="AF42" s="1168"/>
      <c r="AG42" s="1168"/>
      <c r="AH42" s="1166">
        <v>14</v>
      </c>
      <c r="AI42" s="1167">
        <v>59.335999999999999</v>
      </c>
      <c r="AK42" s="383">
        <v>15</v>
      </c>
      <c r="AL42" s="384">
        <v>8.9930000000000003</v>
      </c>
    </row>
    <row r="43" spans="1:38">
      <c r="B43" s="1138" t="s">
        <v>1071</v>
      </c>
      <c r="C43" s="1139"/>
      <c r="D43" s="1139"/>
      <c r="E43" s="1139"/>
      <c r="F43" s="1144"/>
      <c r="G43" s="1140" t="s">
        <v>22</v>
      </c>
      <c r="H43" s="1153">
        <f>H40-H41</f>
        <v>13.698</v>
      </c>
      <c r="I43" s="1153">
        <f>I40-I41</f>
        <v>9.8979999999999961</v>
      </c>
      <c r="J43" s="1479" t="str">
        <f t="shared" ref="J43" si="1">IF(OR(J39="",J40="",J41="",J42=""),"",J40-J41)</f>
        <v/>
      </c>
      <c r="K43" s="1479"/>
      <c r="L43" s="1479"/>
      <c r="M43" s="1479"/>
      <c r="N43" s="1479"/>
      <c r="O43" s="1479"/>
      <c r="P43" s="1468"/>
      <c r="Q43" s="1468"/>
      <c r="R43" s="1469"/>
      <c r="S43" s="1469"/>
      <c r="T43" s="1469"/>
      <c r="U43" s="1469"/>
      <c r="V43" s="1469"/>
      <c r="W43" s="1469"/>
      <c r="AD43" s="1166">
        <v>15</v>
      </c>
      <c r="AE43" s="1167">
        <v>159.75</v>
      </c>
      <c r="AF43" s="1168"/>
      <c r="AG43" s="1168"/>
      <c r="AH43" s="1166">
        <v>15</v>
      </c>
      <c r="AI43" s="1167">
        <v>63.115000000000002</v>
      </c>
      <c r="AK43" s="383">
        <v>16</v>
      </c>
      <c r="AL43" s="384">
        <v>8.9090000000000007</v>
      </c>
    </row>
    <row r="44" spans="1:38">
      <c r="B44" s="1138" t="s">
        <v>1072</v>
      </c>
      <c r="C44" s="1139"/>
      <c r="D44" s="1139"/>
      <c r="E44" s="1139"/>
      <c r="F44" s="1144"/>
      <c r="G44" s="1140" t="s">
        <v>22</v>
      </c>
      <c r="H44" s="1153">
        <f>+H41-H42</f>
        <v>40.599000000000004</v>
      </c>
      <c r="I44" s="1153">
        <f>+I41-I42</f>
        <v>29.979000000000003</v>
      </c>
      <c r="J44" s="1479" t="str">
        <f t="shared" ref="J44" si="2">IF(OR(J39="",J40="",J41="",J42=""),"",J41-J42)</f>
        <v/>
      </c>
      <c r="K44" s="1479"/>
      <c r="L44" s="1479"/>
      <c r="M44" s="1479"/>
      <c r="N44" s="1479"/>
      <c r="O44" s="1479"/>
      <c r="P44" s="1468"/>
      <c r="Q44" s="1468"/>
      <c r="R44" s="1469"/>
      <c r="S44" s="1469"/>
      <c r="T44" s="1469"/>
      <c r="U44" s="1469"/>
      <c r="V44" s="1469"/>
      <c r="W44" s="1469"/>
      <c r="AD44" s="1166">
        <v>16</v>
      </c>
      <c r="AE44" s="1167">
        <v>159.77199999999999</v>
      </c>
      <c r="AF44" s="1168"/>
      <c r="AG44" s="1168"/>
      <c r="AH44" s="1166">
        <v>16</v>
      </c>
      <c r="AI44" s="1167">
        <v>62.985999999999997</v>
      </c>
      <c r="AK44" s="383">
        <v>17</v>
      </c>
      <c r="AL44" s="384">
        <v>9.0489999999999995</v>
      </c>
    </row>
    <row r="45" spans="1:38">
      <c r="B45" s="1138" t="s">
        <v>1073</v>
      </c>
      <c r="C45" s="1139"/>
      <c r="D45" s="1139"/>
      <c r="E45" s="1139"/>
      <c r="F45" s="1144"/>
      <c r="G45" s="1154" t="s">
        <v>34</v>
      </c>
      <c r="H45" s="1153">
        <f>+(H43/H44)*100</f>
        <v>33.73974728441587</v>
      </c>
      <c r="I45" s="1153">
        <f>+(I43/I44)*100</f>
        <v>33.016444844724624</v>
      </c>
      <c r="J45" s="1479" t="str">
        <f t="shared" ref="J45" si="3">IF(OR(J39="",J40="",J41="",J42=""),"",(J43/J44)*100)</f>
        <v/>
      </c>
      <c r="K45" s="1479"/>
      <c r="L45" s="1479"/>
      <c r="M45" s="1479"/>
      <c r="N45" s="1479"/>
      <c r="O45" s="1479"/>
      <c r="P45" s="1468"/>
      <c r="Q45" s="1468"/>
      <c r="R45" s="1469"/>
      <c r="S45" s="1469"/>
      <c r="T45" s="1469"/>
      <c r="U45" s="1469"/>
      <c r="V45" s="1469"/>
      <c r="W45" s="1469"/>
      <c r="AD45" s="1166">
        <v>17</v>
      </c>
      <c r="AE45" s="1169">
        <v>156.251</v>
      </c>
      <c r="AF45" s="1132"/>
      <c r="AG45" s="1132"/>
      <c r="AH45" s="1166">
        <v>17</v>
      </c>
      <c r="AI45" s="1169">
        <v>59.396000000000001</v>
      </c>
      <c r="AK45" s="383">
        <v>18</v>
      </c>
      <c r="AL45" s="384">
        <v>8.9339999999999993</v>
      </c>
    </row>
    <row r="46" spans="1:38">
      <c r="B46" s="1145" t="s">
        <v>1074</v>
      </c>
      <c r="C46" s="1146"/>
      <c r="D46" s="1146"/>
      <c r="E46" s="1146"/>
      <c r="F46" s="1147"/>
      <c r="G46" s="1155" t="s">
        <v>34</v>
      </c>
      <c r="H46" s="1198"/>
      <c r="I46" s="1199">
        <f>IF(OR(I39="",I40="",I41="",I42=""),"",AVERAGE(H45:I45))</f>
        <v>33.378096064570244</v>
      </c>
      <c r="J46" s="1480"/>
      <c r="K46" s="1480"/>
      <c r="L46" s="1480"/>
      <c r="M46" s="1480"/>
      <c r="N46" s="1480"/>
      <c r="O46" s="1480"/>
      <c r="P46" s="1481"/>
      <c r="Q46" s="1481"/>
      <c r="R46" s="1482"/>
      <c r="S46" s="1482"/>
      <c r="T46" s="1482"/>
      <c r="U46" s="1482"/>
      <c r="V46" s="1482"/>
      <c r="W46" s="1482"/>
      <c r="AD46" s="1166">
        <v>18</v>
      </c>
      <c r="AE46" s="1169">
        <v>155.57499999999999</v>
      </c>
      <c r="AF46" s="1132"/>
      <c r="AG46" s="1132"/>
      <c r="AH46" s="1166">
        <v>18</v>
      </c>
      <c r="AI46" s="1169">
        <v>59.033999999999999</v>
      </c>
      <c r="AK46" s="388">
        <v>19</v>
      </c>
      <c r="AL46" s="389">
        <v>8.9610000000000003</v>
      </c>
    </row>
    <row r="47" spans="1:38">
      <c r="AD47" s="1166">
        <v>19</v>
      </c>
      <c r="AE47" s="1169">
        <v>156.809</v>
      </c>
      <c r="AF47" s="1132"/>
      <c r="AG47" s="1132"/>
      <c r="AH47" s="1166">
        <v>19</v>
      </c>
      <c r="AI47" s="1169">
        <v>60.026000000000003</v>
      </c>
      <c r="AK47" s="388">
        <v>20</v>
      </c>
      <c r="AL47" s="389">
        <v>8.7759999999999998</v>
      </c>
    </row>
    <row r="48" spans="1:38">
      <c r="A48" s="1" t="s">
        <v>775</v>
      </c>
      <c r="B48" s="1"/>
      <c r="C48" s="1"/>
      <c r="D48" s="539" t="str">
        <f>IFERROR(INDEX('DATA INDUK'!$H$27:$H$152,MATCH(ROW(D1),'DATA INDUK'!$AP$27:$AP$152,0)),"")</f>
        <v>26-001-DS-001</v>
      </c>
      <c r="AD48" s="1166">
        <v>20</v>
      </c>
      <c r="AE48" s="1169">
        <v>155.06200000000001</v>
      </c>
      <c r="AF48" s="1132"/>
      <c r="AG48" s="1132"/>
      <c r="AH48" s="1166">
        <v>20</v>
      </c>
      <c r="AI48" s="1169">
        <v>55.040999999999997</v>
      </c>
      <c r="AK48" s="388">
        <v>21</v>
      </c>
      <c r="AL48" s="389">
        <v>8.9030000000000005</v>
      </c>
    </row>
    <row r="49" spans="1:38">
      <c r="A49" t="s">
        <v>1164</v>
      </c>
      <c r="Z49" t="s">
        <v>1096</v>
      </c>
      <c r="AA49" t="s">
        <v>1095</v>
      </c>
      <c r="AB49" t="s">
        <v>1097</v>
      </c>
      <c r="AD49" s="1163"/>
      <c r="AE49" s="1170"/>
      <c r="AF49" s="1132"/>
      <c r="AG49" s="1132"/>
      <c r="AH49" s="1163"/>
      <c r="AI49" s="1170"/>
      <c r="AK49" s="388">
        <v>22</v>
      </c>
      <c r="AL49" s="389">
        <v>8.843</v>
      </c>
    </row>
    <row r="50" spans="1:38">
      <c r="B50" s="1133" t="s">
        <v>1075</v>
      </c>
      <c r="C50" s="1132"/>
      <c r="D50" s="1132"/>
      <c r="E50" s="1132"/>
      <c r="F50" s="1134"/>
      <c r="G50" s="1156"/>
      <c r="H50" s="1156"/>
      <c r="I50" s="1157"/>
      <c r="J50" s="1483"/>
      <c r="K50" s="1483"/>
      <c r="L50" s="1483"/>
      <c r="M50" s="1483"/>
      <c r="N50" s="1483"/>
      <c r="O50" s="1483"/>
      <c r="P50" s="1484"/>
      <c r="Q50" s="1483"/>
      <c r="R50" s="1485"/>
      <c r="S50" s="1486"/>
      <c r="T50" s="1485"/>
      <c r="U50" s="1486"/>
      <c r="V50" s="1485"/>
      <c r="W50" s="1486"/>
      <c r="Z50">
        <v>1</v>
      </c>
      <c r="AA50" s="42">
        <v>36.499000000000002</v>
      </c>
      <c r="AB50" s="42">
        <v>34.70071298263835</v>
      </c>
      <c r="AK50" s="388">
        <v>23</v>
      </c>
      <c r="AL50" s="389">
        <v>8.84</v>
      </c>
    </row>
    <row r="51" spans="1:38">
      <c r="B51" s="1135" t="s">
        <v>1076</v>
      </c>
      <c r="C51" s="1136"/>
      <c r="D51" s="1136"/>
      <c r="E51" s="1136"/>
      <c r="F51" s="1158"/>
      <c r="G51" s="1159"/>
      <c r="H51" s="1200"/>
      <c r="I51" s="1201">
        <v>2</v>
      </c>
      <c r="J51" s="1487"/>
      <c r="K51" s="1487"/>
      <c r="L51" s="1487"/>
      <c r="M51" s="1487"/>
      <c r="N51" s="1487"/>
      <c r="O51" s="1487"/>
      <c r="P51" s="1488"/>
      <c r="Q51" s="1487"/>
      <c r="R51" s="1489"/>
      <c r="S51" s="1490"/>
      <c r="T51" s="1489"/>
      <c r="U51" s="1490"/>
      <c r="V51" s="1489"/>
      <c r="W51" s="1490"/>
      <c r="Z51">
        <v>2</v>
      </c>
      <c r="AA51" s="42">
        <v>36.805</v>
      </c>
      <c r="AB51" s="42">
        <v>35.056617731178228</v>
      </c>
      <c r="AK51" s="390">
        <v>24</v>
      </c>
      <c r="AL51" s="389">
        <v>9.01</v>
      </c>
    </row>
    <row r="52" spans="1:38">
      <c r="B52" s="1138" t="s">
        <v>1077</v>
      </c>
      <c r="C52" s="1139"/>
      <c r="D52" s="1139"/>
      <c r="E52" s="1139"/>
      <c r="F52" s="1144"/>
      <c r="G52" s="1140" t="s">
        <v>22</v>
      </c>
      <c r="H52" s="1152"/>
      <c r="I52" s="1225">
        <v>95.165000000000006</v>
      </c>
      <c r="J52" s="1491"/>
      <c r="K52" s="1491"/>
      <c r="L52" s="1491"/>
      <c r="M52" s="1491"/>
      <c r="N52" s="1491"/>
      <c r="O52" s="1491"/>
      <c r="P52" s="1468"/>
      <c r="Q52" s="1466"/>
      <c r="R52" s="1469"/>
      <c r="S52" s="1467"/>
      <c r="T52" s="1469"/>
      <c r="U52" s="1467"/>
      <c r="V52" s="1469"/>
      <c r="W52" s="1467"/>
      <c r="Z52">
        <v>3</v>
      </c>
      <c r="AA52" s="42">
        <v>36.847000000000001</v>
      </c>
      <c r="AB52" s="42">
        <v>34.878665356908293</v>
      </c>
      <c r="AK52" s="388">
        <v>25</v>
      </c>
      <c r="AL52" s="389">
        <v>8.8119999999999994</v>
      </c>
    </row>
    <row r="53" spans="1:38">
      <c r="B53" s="1138" t="s">
        <v>1078</v>
      </c>
      <c r="C53" s="1139"/>
      <c r="D53" s="1139"/>
      <c r="E53" s="1139"/>
      <c r="F53" s="1139"/>
      <c r="G53" s="1140" t="s">
        <v>22</v>
      </c>
      <c r="H53" s="1152"/>
      <c r="I53" s="1202">
        <f>IF(OR(I51="",I52=""),"",VLOOKUP(I51,$Z$49:$AB$56,2,FALSE))</f>
        <v>36.805</v>
      </c>
      <c r="J53" s="1492"/>
      <c r="K53" s="1492"/>
      <c r="L53" s="1492"/>
      <c r="M53" s="1492"/>
      <c r="N53" s="1492"/>
      <c r="O53" s="1492"/>
      <c r="P53" s="1493"/>
      <c r="Q53" s="1468"/>
      <c r="R53" s="1494"/>
      <c r="S53" s="1469"/>
      <c r="T53" s="1494"/>
      <c r="U53" s="1469"/>
      <c r="V53" s="1494"/>
      <c r="W53" s="1469"/>
      <c r="Z53">
        <v>4</v>
      </c>
      <c r="AA53" s="42">
        <v>36.923999999999999</v>
      </c>
      <c r="AB53" s="42">
        <v>35.234570105448178</v>
      </c>
      <c r="AK53" s="388">
        <v>26</v>
      </c>
      <c r="AL53" s="389">
        <v>8.8460000000000001</v>
      </c>
    </row>
    <row r="54" spans="1:38" ht="16.5">
      <c r="B54" s="1138" t="s">
        <v>1079</v>
      </c>
      <c r="C54" s="1139"/>
      <c r="D54" s="1139"/>
      <c r="E54" s="1139"/>
      <c r="F54" s="1139"/>
      <c r="G54" s="1140" t="s">
        <v>1080</v>
      </c>
      <c r="H54" s="1152"/>
      <c r="I54" s="1202">
        <f>IF(OR(I51="",I52=""),"",VLOOKUP(I51,$Z$50:$AB$56,3,FALSE))</f>
        <v>35.056617731178228</v>
      </c>
      <c r="J54" s="1492"/>
      <c r="K54" s="1492"/>
      <c r="L54" s="1492"/>
      <c r="M54" s="1492"/>
      <c r="N54" s="1492"/>
      <c r="O54" s="1492"/>
      <c r="P54" s="1468"/>
      <c r="Q54" s="1468"/>
      <c r="R54" s="1468"/>
      <c r="S54" s="1468"/>
      <c r="T54" s="1468"/>
      <c r="U54" s="1468"/>
      <c r="V54" s="1468"/>
      <c r="W54" s="1468"/>
      <c r="Z54">
        <v>5</v>
      </c>
      <c r="AA54" s="42">
        <v>37.892000000000003</v>
      </c>
      <c r="AB54" s="42">
        <v>36.124331976797876</v>
      </c>
      <c r="AK54" s="388">
        <v>27</v>
      </c>
      <c r="AL54" s="389">
        <v>8.9139999999999997</v>
      </c>
    </row>
    <row r="55" spans="1:38" ht="16.5">
      <c r="B55" s="1145" t="s">
        <v>1081</v>
      </c>
      <c r="C55" s="1146"/>
      <c r="D55" s="1146"/>
      <c r="E55" s="1146"/>
      <c r="F55" s="1146"/>
      <c r="G55" s="1160" t="s">
        <v>1082</v>
      </c>
      <c r="H55" s="1203"/>
      <c r="I55" s="1199">
        <f>IF(OR(I51="",I52=""),"",(I52-I53)/I54)</f>
        <v>1.6647356127598272</v>
      </c>
      <c r="J55" s="1481"/>
      <c r="K55" s="1481"/>
      <c r="L55" s="1481"/>
      <c r="M55" s="1481"/>
      <c r="N55" s="1481"/>
      <c r="O55" s="1481"/>
      <c r="P55" s="1495"/>
      <c r="Q55" s="1496"/>
      <c r="R55" s="1495"/>
      <c r="S55" s="1496"/>
      <c r="T55" s="1495"/>
      <c r="U55" s="1496"/>
      <c r="V55" s="1495"/>
      <c r="W55" s="1496"/>
      <c r="Z55">
        <v>6</v>
      </c>
      <c r="AA55" s="42">
        <v>36.616999999999997</v>
      </c>
      <c r="AB55" s="42">
        <v>34.878665356908293</v>
      </c>
      <c r="AK55" s="388">
        <v>28</v>
      </c>
      <c r="AL55" s="389">
        <v>9.9</v>
      </c>
    </row>
    <row r="56" spans="1:38">
      <c r="B56" s="1132"/>
      <c r="C56" s="1132"/>
      <c r="D56" s="1132"/>
      <c r="E56" s="1132"/>
      <c r="F56" s="1132"/>
      <c r="G56" s="1134"/>
      <c r="H56" s="1204"/>
      <c r="I56" s="1161"/>
      <c r="J56" s="1468"/>
      <c r="K56" s="1468"/>
      <c r="L56" s="1468"/>
      <c r="M56" s="1468"/>
      <c r="N56" s="1468"/>
      <c r="O56" s="1468"/>
      <c r="P56" s="1468"/>
      <c r="Q56" s="1468"/>
      <c r="R56" s="1468"/>
      <c r="S56" s="1468"/>
      <c r="T56" s="1468"/>
      <c r="U56" s="1468"/>
      <c r="V56" s="1468"/>
      <c r="W56" s="1468"/>
      <c r="Z56">
        <v>7</v>
      </c>
      <c r="AA56" s="42">
        <v>37.048000000000002</v>
      </c>
      <c r="AB56" s="42">
        <v>35.234570105448178</v>
      </c>
      <c r="AK56" s="388">
        <v>29</v>
      </c>
      <c r="AL56" s="389">
        <v>8.9</v>
      </c>
    </row>
    <row r="57" spans="1:38" ht="16.5">
      <c r="B57" s="1135" t="s">
        <v>1083</v>
      </c>
      <c r="C57" s="1136"/>
      <c r="D57" s="1136"/>
      <c r="E57" s="1136"/>
      <c r="F57" s="1136"/>
      <c r="G57" s="1159" t="s">
        <v>1082</v>
      </c>
      <c r="H57" s="1205"/>
      <c r="I57" s="1206">
        <f>IF(OR(I46="",I51="",I52=""),"",I55/(1+(I46/100)))</f>
        <v>1.2481326858601316</v>
      </c>
      <c r="J57" s="1471"/>
      <c r="K57" s="1471"/>
      <c r="L57" s="1471"/>
      <c r="M57" s="1471"/>
      <c r="N57" s="1471"/>
      <c r="O57" s="1471"/>
      <c r="P57" s="1495"/>
      <c r="Q57" s="1495"/>
      <c r="R57" s="1495"/>
      <c r="S57" s="1495"/>
      <c r="T57" s="1495"/>
      <c r="U57" s="1495"/>
      <c r="V57" s="1495"/>
      <c r="W57" s="1495"/>
      <c r="AA57" s="42"/>
      <c r="AB57" s="42"/>
      <c r="AK57" s="385">
        <v>30</v>
      </c>
      <c r="AL57" s="391">
        <v>8.8539999999999992</v>
      </c>
    </row>
    <row r="58" spans="1:38">
      <c r="B58" s="1138" t="s">
        <v>1084</v>
      </c>
      <c r="C58" s="1139"/>
      <c r="D58" s="1139"/>
      <c r="E58" s="1139"/>
      <c r="F58" s="1139"/>
      <c r="G58" s="1140"/>
      <c r="H58" s="1153"/>
      <c r="I58" s="1207">
        <f>IF(OR(H30="",I46="",I51="",I52=""),"",((H30*1)/I57)-1)</f>
        <v>1.1491603466114948</v>
      </c>
      <c r="J58" s="1481"/>
      <c r="K58" s="1481"/>
      <c r="L58" s="1481"/>
      <c r="M58" s="1481"/>
      <c r="N58" s="1481"/>
      <c r="O58" s="1481"/>
      <c r="P58" s="1496"/>
      <c r="Q58" s="1496"/>
      <c r="R58" s="1496"/>
      <c r="S58" s="1496"/>
      <c r="T58" s="1496"/>
      <c r="U58" s="1496"/>
      <c r="V58" s="1496"/>
      <c r="W58" s="1496"/>
      <c r="AA58" s="42"/>
      <c r="AB58" s="42"/>
      <c r="AK58" s="388">
        <v>31</v>
      </c>
      <c r="AL58" s="389">
        <v>8.8149999999999995</v>
      </c>
    </row>
    <row r="59" spans="1:38">
      <c r="B59" s="1138" t="s">
        <v>1085</v>
      </c>
      <c r="C59" s="1139"/>
      <c r="D59" s="1139"/>
      <c r="E59" s="1139"/>
      <c r="F59" s="1139"/>
      <c r="G59" s="1140"/>
      <c r="H59" s="1153"/>
      <c r="I59" s="1207">
        <f>IF(OR(I46="",I51="",I52="",I58=""),"",I58/(1+I58))</f>
        <v>0.53470200509856569</v>
      </c>
      <c r="J59" s="1481"/>
      <c r="K59" s="1481"/>
      <c r="L59" s="1481"/>
      <c r="M59" s="1481"/>
      <c r="N59" s="1481"/>
      <c r="O59" s="1481"/>
      <c r="P59" s="1496"/>
      <c r="Q59" s="1496"/>
      <c r="R59" s="1496"/>
      <c r="S59" s="1496"/>
      <c r="T59" s="1496"/>
      <c r="U59" s="1496"/>
      <c r="V59" s="1496"/>
      <c r="W59" s="1496"/>
      <c r="AA59" s="42"/>
      <c r="AB59" s="42"/>
      <c r="AK59" s="388">
        <v>32</v>
      </c>
      <c r="AL59" s="389">
        <v>8.9849999999999994</v>
      </c>
    </row>
    <row r="60" spans="1:38">
      <c r="B60" s="1145" t="s">
        <v>1086</v>
      </c>
      <c r="C60" s="1146"/>
      <c r="D60" s="1146"/>
      <c r="E60" s="1146"/>
      <c r="F60" s="1146"/>
      <c r="G60" s="1160" t="s">
        <v>34</v>
      </c>
      <c r="H60" s="1203"/>
      <c r="I60" s="1199">
        <f>IF(OR(I46="",I51="",I52="",I61=""),"",IF(I61&gt;=100,100,I61))</f>
        <v>77.913103546881189</v>
      </c>
      <c r="J60" s="1481"/>
      <c r="K60" s="1481"/>
      <c r="L60" s="1481"/>
      <c r="M60" s="1481"/>
      <c r="N60" s="1481"/>
      <c r="O60" s="1481"/>
      <c r="P60" s="1496"/>
      <c r="Q60" s="1496"/>
      <c r="R60" s="1496"/>
      <c r="S60" s="1496"/>
      <c r="T60" s="1496"/>
      <c r="U60" s="1496"/>
      <c r="V60" s="1496"/>
      <c r="W60" s="1496"/>
      <c r="AA60" s="42"/>
      <c r="AB60" s="42"/>
      <c r="AK60" s="388">
        <v>33</v>
      </c>
      <c r="AL60" s="389">
        <v>8.8970000000000002</v>
      </c>
    </row>
    <row r="61" spans="1:38">
      <c r="B61" s="1132"/>
      <c r="C61" s="1132"/>
      <c r="D61" s="1132"/>
      <c r="E61" s="1132"/>
      <c r="F61" s="1132"/>
      <c r="G61" s="1132"/>
      <c r="H61" s="1132"/>
      <c r="I61" s="1208">
        <f>IF(OR(H30="",I46="",I51="",I52=""),"",(I46*H30)/I58)</f>
        <v>77.913103546881189</v>
      </c>
      <c r="J61" s="1473"/>
      <c r="K61" s="1473"/>
      <c r="L61" s="1473"/>
      <c r="M61" s="1473"/>
      <c r="N61" s="1473"/>
      <c r="O61" s="1473"/>
      <c r="P61" s="1497" t="str">
        <f>IF(OR(P30="",P46="",P51="",P52=""),"",(P46*P30)/P58)</f>
        <v/>
      </c>
      <c r="Q61" s="1473"/>
      <c r="R61" s="1497"/>
      <c r="S61" s="1473"/>
      <c r="T61" s="1497"/>
      <c r="U61" s="1473"/>
      <c r="V61" s="1497"/>
      <c r="W61" s="1473"/>
      <c r="AA61" s="42"/>
      <c r="AB61" s="42"/>
      <c r="AK61" s="388">
        <v>34</v>
      </c>
      <c r="AL61" s="389">
        <v>8.91</v>
      </c>
    </row>
    <row r="62" spans="1:38">
      <c r="AA62" s="42"/>
      <c r="AB62" s="42"/>
      <c r="AK62" s="383">
        <v>35</v>
      </c>
      <c r="AL62" s="384">
        <v>8.7249999999999996</v>
      </c>
    </row>
    <row r="63" spans="1:38">
      <c r="AA63" s="42"/>
      <c r="AB63" s="42"/>
      <c r="AK63" s="383">
        <v>36</v>
      </c>
      <c r="AL63" s="384">
        <v>8.7149999999999999</v>
      </c>
    </row>
    <row r="64" spans="1:38">
      <c r="AA64" s="42"/>
      <c r="AB64" s="42"/>
      <c r="AK64" s="383">
        <v>37</v>
      </c>
      <c r="AL64" s="384">
        <v>8.7520000000000007</v>
      </c>
    </row>
    <row r="65" spans="2:38">
      <c r="B65" s="116" t="s">
        <v>575</v>
      </c>
      <c r="F65" s="116" t="s">
        <v>1160</v>
      </c>
      <c r="H65" s="116" t="s">
        <v>1148</v>
      </c>
      <c r="AA65" s="42"/>
      <c r="AB65" s="42"/>
      <c r="AK65" s="383">
        <v>38</v>
      </c>
      <c r="AL65" s="384">
        <v>8.73</v>
      </c>
    </row>
    <row r="66" spans="2:38">
      <c r="B66" t="s">
        <v>1162</v>
      </c>
      <c r="H66" s="43">
        <f>IF($D$7="","TIDAK DIUJI / NOT TESTED",H30)</f>
        <v>2.6824372757602966</v>
      </c>
      <c r="AA66" s="42"/>
      <c r="AB66" s="42"/>
      <c r="AK66" s="383">
        <v>39</v>
      </c>
      <c r="AL66" s="384">
        <v>8.8610000000000007</v>
      </c>
    </row>
    <row r="67" spans="2:38">
      <c r="B67" t="s">
        <v>1161</v>
      </c>
      <c r="H67" s="43">
        <f>I46</f>
        <v>33.378096064570244</v>
      </c>
      <c r="AA67" s="42"/>
      <c r="AB67" s="42"/>
      <c r="AK67" s="383">
        <v>40</v>
      </c>
      <c r="AL67" s="384">
        <v>8.8580000000000005</v>
      </c>
    </row>
    <row r="68" spans="2:38">
      <c r="B68" t="s">
        <v>1725</v>
      </c>
      <c r="H68" s="43">
        <f>I55</f>
        <v>1.6647356127598272</v>
      </c>
      <c r="AA68" s="42"/>
      <c r="AB68" s="42"/>
      <c r="AK68" s="383">
        <v>41</v>
      </c>
      <c r="AL68" s="384">
        <v>8.7590000000000003</v>
      </c>
    </row>
    <row r="69" spans="2:38">
      <c r="B69" t="s">
        <v>1726</v>
      </c>
      <c r="H69" s="43">
        <f>IF($D$48="","TIDAK DIUJI / NOT TESTED / ",I57)</f>
        <v>1.2481326858601316</v>
      </c>
      <c r="AA69" s="42"/>
      <c r="AB69" s="42"/>
      <c r="AK69" s="383">
        <v>42</v>
      </c>
      <c r="AL69" s="384">
        <v>8.8000000000000007</v>
      </c>
    </row>
    <row r="70" spans="2:38">
      <c r="AA70" s="42"/>
      <c r="AB70" s="42"/>
      <c r="AK70" s="383">
        <v>43</v>
      </c>
      <c r="AL70" s="384">
        <v>8.8610000000000007</v>
      </c>
    </row>
    <row r="71" spans="2:38">
      <c r="AA71" s="42"/>
      <c r="AB71" s="42"/>
      <c r="AK71" s="383">
        <v>44</v>
      </c>
      <c r="AL71" s="384">
        <v>8.8780000000000001</v>
      </c>
    </row>
    <row r="72" spans="2:38">
      <c r="AA72" s="42"/>
      <c r="AB72" s="42"/>
      <c r="AK72" s="383">
        <v>45</v>
      </c>
      <c r="AL72" s="384">
        <v>8.9410000000000007</v>
      </c>
    </row>
    <row r="73" spans="2:38">
      <c r="AA73" s="42"/>
      <c r="AB73" s="42"/>
      <c r="AK73" s="383">
        <v>46</v>
      </c>
      <c r="AL73" s="384">
        <v>9.01</v>
      </c>
    </row>
    <row r="74" spans="2:38">
      <c r="B74" s="1566" t="s">
        <v>1719</v>
      </c>
      <c r="C74" s="862"/>
      <c r="D74" s="14"/>
      <c r="E74" s="370"/>
      <c r="F74" s="370"/>
      <c r="G74" s="370"/>
      <c r="H74" s="370"/>
      <c r="I74" s="370"/>
      <c r="J74" s="370"/>
      <c r="K74" s="370"/>
      <c r="L74" s="370"/>
      <c r="M74" s="370"/>
      <c r="N74" s="370"/>
      <c r="O74" s="370"/>
      <c r="P74" s="370"/>
      <c r="Q74" s="370"/>
      <c r="R74" s="370"/>
      <c r="S74" s="370"/>
      <c r="T74" s="370"/>
      <c r="U74" s="370"/>
      <c r="AA74" s="42"/>
      <c r="AB74" s="42"/>
      <c r="AK74" s="383">
        <v>47</v>
      </c>
      <c r="AL74" s="384">
        <v>8.8993000000000002</v>
      </c>
    </row>
    <row r="75" spans="2:38">
      <c r="B75" s="1570" t="s">
        <v>1720</v>
      </c>
      <c r="C75" s="862"/>
      <c r="D75" s="14"/>
      <c r="E75" s="370"/>
      <c r="F75" s="370"/>
      <c r="G75" s="370"/>
      <c r="H75" s="370"/>
      <c r="I75" s="370"/>
      <c r="J75" s="370"/>
      <c r="K75" s="370"/>
      <c r="L75" s="370"/>
      <c r="M75" s="370"/>
      <c r="N75" s="370"/>
      <c r="O75" s="370"/>
      <c r="P75" s="370"/>
      <c r="Q75" s="370"/>
      <c r="R75" s="370"/>
      <c r="S75" s="370"/>
      <c r="T75" s="370"/>
      <c r="U75" s="370"/>
      <c r="AA75" s="42"/>
      <c r="AB75" s="42"/>
      <c r="AK75" s="383">
        <v>48</v>
      </c>
      <c r="AL75" s="384">
        <v>8.7490000000000006</v>
      </c>
    </row>
    <row r="76" spans="2:38">
      <c r="B76" s="1566" t="s">
        <v>1719</v>
      </c>
      <c r="C76" s="862"/>
      <c r="D76" s="14"/>
      <c r="E76" s="370"/>
      <c r="F76" s="370"/>
      <c r="G76" s="370"/>
      <c r="H76" s="370"/>
      <c r="I76" s="370"/>
      <c r="J76" s="370"/>
      <c r="K76" s="370"/>
      <c r="L76" s="370"/>
      <c r="M76" s="370"/>
      <c r="N76" s="370"/>
      <c r="O76" s="370"/>
      <c r="P76" s="370"/>
      <c r="Q76" s="370"/>
      <c r="R76" s="370"/>
      <c r="S76" s="370"/>
      <c r="T76" s="370"/>
      <c r="U76" s="370"/>
      <c r="AA76" s="42"/>
      <c r="AB76" s="42"/>
      <c r="AK76" s="383">
        <v>49</v>
      </c>
      <c r="AL76" s="384">
        <v>8.8219999999999992</v>
      </c>
    </row>
    <row r="77" spans="2:38">
      <c r="B77" s="370"/>
      <c r="C77" s="862"/>
      <c r="D77" s="14"/>
      <c r="E77" s="370"/>
      <c r="F77" s="370"/>
      <c r="G77" s="370"/>
      <c r="H77" s="370"/>
      <c r="I77" s="370"/>
      <c r="J77" s="370"/>
      <c r="K77" s="370"/>
      <c r="L77" s="370"/>
      <c r="M77" s="370"/>
      <c r="N77" s="370"/>
      <c r="O77" s="370"/>
      <c r="P77" s="370"/>
      <c r="Q77" s="370"/>
      <c r="R77" s="370"/>
      <c r="S77" s="370"/>
      <c r="T77" s="370"/>
      <c r="U77" s="370"/>
      <c r="AA77" s="42"/>
      <c r="AB77" s="42"/>
      <c r="AK77" s="383">
        <v>50</v>
      </c>
      <c r="AL77" s="384">
        <v>8.7810000000000006</v>
      </c>
    </row>
    <row r="78" spans="2:38">
      <c r="B78" s="370" t="s">
        <v>1662</v>
      </c>
      <c r="C78" s="7"/>
      <c r="D78" s="14"/>
      <c r="E78" s="370"/>
      <c r="F78" s="370"/>
      <c r="G78" s="370"/>
      <c r="H78" s="370"/>
      <c r="I78" s="370"/>
      <c r="Q78" s="370" t="s">
        <v>575</v>
      </c>
      <c r="R78" s="370" t="s">
        <v>1667</v>
      </c>
      <c r="S78" s="370" t="s">
        <v>1611</v>
      </c>
      <c r="T78" s="370" t="s">
        <v>1607</v>
      </c>
      <c r="U78" s="370" t="s">
        <v>1608</v>
      </c>
      <c r="V78" s="370"/>
      <c r="W78" s="370"/>
      <c r="AA78" s="42"/>
      <c r="AB78" s="42"/>
      <c r="AK78" s="383">
        <v>51</v>
      </c>
      <c r="AL78" s="384">
        <v>8.843</v>
      </c>
    </row>
    <row r="79" spans="2:38">
      <c r="B79" s="370"/>
      <c r="C79" s="7"/>
      <c r="D79" s="14"/>
      <c r="E79" s="370"/>
      <c r="F79" s="370"/>
      <c r="G79" s="370"/>
      <c r="H79" s="370"/>
      <c r="I79" s="370"/>
      <c r="Q79" s="370" t="s">
        <v>1727</v>
      </c>
      <c r="R79" s="370" t="s">
        <v>1680</v>
      </c>
      <c r="S79" s="370">
        <v>1</v>
      </c>
      <c r="T79" s="370">
        <v>1.5</v>
      </c>
      <c r="U79" s="370">
        <v>2.2000000000000002</v>
      </c>
      <c r="V79" s="370"/>
      <c r="W79" s="370"/>
      <c r="AA79" s="42"/>
      <c r="AB79" s="42"/>
      <c r="AK79" s="383">
        <v>52</v>
      </c>
      <c r="AL79" s="384">
        <v>8.8580000000000005</v>
      </c>
    </row>
    <row r="80" spans="2:38">
      <c r="B80" s="370" t="s">
        <v>1611</v>
      </c>
      <c r="C80" s="7" t="str">
        <f>G11</f>
        <v>CL</v>
      </c>
      <c r="D80" s="14"/>
      <c r="E80" s="370"/>
      <c r="F80" s="370"/>
      <c r="G80" s="370"/>
      <c r="H80" s="370"/>
      <c r="I80" s="370"/>
      <c r="Q80" s="370" t="s">
        <v>1727</v>
      </c>
      <c r="R80" s="370" t="s">
        <v>1670</v>
      </c>
      <c r="S80" s="370">
        <v>2</v>
      </c>
      <c r="T80" s="370">
        <v>2.2000000000000002</v>
      </c>
      <c r="U80" s="370">
        <v>2.5</v>
      </c>
      <c r="V80" s="370"/>
      <c r="W80" s="370"/>
      <c r="AA80" s="42"/>
      <c r="AB80" s="42"/>
      <c r="AK80" s="383">
        <v>53</v>
      </c>
      <c r="AL80" s="384">
        <v>8.7810000000000006</v>
      </c>
    </row>
    <row r="81" spans="2:38">
      <c r="B81" s="370"/>
      <c r="C81" s="7"/>
      <c r="D81" s="14"/>
      <c r="E81" s="370"/>
      <c r="F81" s="370"/>
      <c r="G81" s="370"/>
      <c r="H81" s="370"/>
      <c r="I81" s="370"/>
      <c r="Q81" s="370" t="s">
        <v>1727</v>
      </c>
      <c r="R81" s="370" t="s">
        <v>1480</v>
      </c>
      <c r="S81" s="370">
        <v>3</v>
      </c>
      <c r="T81" s="370">
        <v>2.5</v>
      </c>
      <c r="U81" s="370">
        <v>2.75</v>
      </c>
      <c r="V81" s="370"/>
      <c r="W81" s="370"/>
      <c r="AA81" s="42"/>
      <c r="AB81" s="42"/>
      <c r="AK81" s="383">
        <v>54</v>
      </c>
      <c r="AL81" s="384">
        <v>8.9179999999999993</v>
      </c>
    </row>
    <row r="82" spans="2:38">
      <c r="B82" s="370" t="s">
        <v>1663</v>
      </c>
      <c r="C82" s="7"/>
      <c r="D82" s="14"/>
      <c r="E82" s="370"/>
      <c r="F82" s="370"/>
      <c r="G82" s="370"/>
      <c r="H82" s="370"/>
      <c r="I82" s="370"/>
      <c r="Q82" s="370" t="s">
        <v>1727</v>
      </c>
      <c r="R82" s="370" t="s">
        <v>338</v>
      </c>
      <c r="S82" s="370">
        <v>4</v>
      </c>
      <c r="T82" s="370">
        <v>2.75</v>
      </c>
      <c r="U82" s="370">
        <v>2.9</v>
      </c>
      <c r="V82" s="370"/>
      <c r="W82" s="370"/>
      <c r="AA82" s="42"/>
      <c r="AB82" s="42"/>
      <c r="AK82" s="383">
        <v>55</v>
      </c>
      <c r="AL82" s="384">
        <v>9.0299999999999994</v>
      </c>
    </row>
    <row r="83" spans="2:38">
      <c r="B83" s="370"/>
      <c r="C83" s="7"/>
      <c r="D83" s="14"/>
      <c r="E83" s="370"/>
      <c r="F83" s="370"/>
      <c r="G83" s="370"/>
      <c r="H83" s="370"/>
      <c r="I83" s="370"/>
      <c r="Q83" s="370" t="s">
        <v>1727</v>
      </c>
      <c r="R83" s="370" t="s">
        <v>1681</v>
      </c>
      <c r="S83" s="370">
        <v>5</v>
      </c>
      <c r="T83" s="370">
        <v>2.9</v>
      </c>
      <c r="U83" s="370">
        <v>3.5</v>
      </c>
      <c r="V83" s="370"/>
      <c r="W83" s="370"/>
      <c r="AA83" s="42"/>
      <c r="AB83" s="42"/>
      <c r="AK83" s="383">
        <v>56</v>
      </c>
      <c r="AL83" s="384">
        <v>8.9239999999999995</v>
      </c>
    </row>
    <row r="84" spans="2:38">
      <c r="B84" s="1570" t="s">
        <v>1664</v>
      </c>
      <c r="C84" s="7"/>
      <c r="D84" s="14"/>
      <c r="E84" s="370"/>
      <c r="F84" s="370"/>
      <c r="G84" s="370"/>
      <c r="H84" s="370"/>
      <c r="I84" s="370"/>
      <c r="Q84" s="370"/>
      <c r="R84" s="370"/>
      <c r="S84" s="370"/>
      <c r="T84" s="370"/>
      <c r="U84" s="370"/>
      <c r="V84" s="370"/>
      <c r="W84" s="370"/>
      <c r="AA84" s="42"/>
      <c r="AB84" s="42"/>
      <c r="AK84" s="383">
        <v>57</v>
      </c>
      <c r="AL84" s="384">
        <v>9.0109999999999992</v>
      </c>
    </row>
    <row r="85" spans="2:38">
      <c r="B85" s="370"/>
      <c r="C85" s="7"/>
      <c r="D85" s="14" t="s">
        <v>1721</v>
      </c>
      <c r="E85" s="370" t="s">
        <v>1714</v>
      </c>
      <c r="F85" s="370" t="s">
        <v>1722</v>
      </c>
      <c r="G85" s="370" t="s">
        <v>1684</v>
      </c>
      <c r="H85" s="370" t="s">
        <v>1683</v>
      </c>
      <c r="I85" s="370" t="s">
        <v>1607</v>
      </c>
      <c r="J85" s="370" t="s">
        <v>1608</v>
      </c>
      <c r="K85" s="370" t="s">
        <v>1598</v>
      </c>
      <c r="L85" s="370" t="s">
        <v>1723</v>
      </c>
      <c r="N85" s="370" t="s">
        <v>1724</v>
      </c>
      <c r="O85" s="370"/>
      <c r="Q85" s="14" t="s">
        <v>575</v>
      </c>
      <c r="R85" s="370" t="s">
        <v>1667</v>
      </c>
      <c r="S85" s="14" t="s">
        <v>1611</v>
      </c>
      <c r="T85" s="370" t="s">
        <v>1607</v>
      </c>
      <c r="U85" s="370" t="s">
        <v>1608</v>
      </c>
      <c r="V85" s="370"/>
      <c r="W85" s="370"/>
      <c r="AA85" s="42"/>
      <c r="AB85" s="42"/>
      <c r="AK85" s="383">
        <v>58</v>
      </c>
      <c r="AL85" s="384">
        <v>8.8539999999999992</v>
      </c>
    </row>
    <row r="86" spans="2:38" ht="64.5" customHeight="1">
      <c r="B86" s="14" t="s">
        <v>1727</v>
      </c>
      <c r="C86" s="864">
        <f>H66</f>
        <v>2.6824372757602966</v>
      </c>
      <c r="D86" s="14" t="str">
        <f>IF(ISNUMBER(C86),"PASS","CHECK")</f>
        <v>PASS</v>
      </c>
      <c r="E86" s="14" t="str">
        <f>IF(AND(C86&gt;=1.5,C86&lt;=2.75),"PASS","CHECK")</f>
        <v>PASS</v>
      </c>
      <c r="F86" s="14" t="str" cm="1">
        <f t="array" ref="F86">IFERROR(
INDEX($R$79:$R$83,
MATCH(1,
($Q$79:$Q$83=$B86)*
($U$79:$U$83&gt;=C86)*
($T$79:$T$83&lt;=C86),
0)),
"")</f>
        <v>Normal</v>
      </c>
      <c r="G86" s="14" cm="1">
        <f t="array" ref="G86">IFERROR(
INDEX($S$79:$S$83,
MATCH(1,
($Q$79:$Q$83=$B86)*
($U$79:$U$83&gt;=C86)*
($T$79:$T$83&lt;=C86),
0)),
"")</f>
        <v>3</v>
      </c>
      <c r="H86" s="1569" t="str" cm="1">
        <f t="array" ref="H86">IFERROR(
INDEX($S$107:$S$154,
MATCH(1,
($Q$107:$Q$154=$C$80)*
($R$107:$R$154=$B86),
0)),
"")</f>
        <v>Normal</v>
      </c>
      <c r="I86" s="1569" cm="1">
        <f t="array" ref="I86">IFERROR(
INDEX($T$107:$T$146,
MATCH(1,
($Q$107:$Q$146=$C$80)*
($R$107:$R$146=$B86),
0)),
"")</f>
        <v>2.6</v>
      </c>
      <c r="J86" s="1569" cm="1">
        <f t="array" ref="J86">IFERROR(
INDEX($U$107:$U$146,
MATCH(1,
($Q$107:$Q$146=$C$80)*
($R$107:$R$146=$B86),
0)),
"")</f>
        <v>2.8</v>
      </c>
      <c r="K86" s="3" t="str">
        <f>IF(C86="","CHECK",
IF(AND(C86&gt;=I86,C86&lt;J86),"PASS","REVIEW"))</f>
        <v>PASS</v>
      </c>
      <c r="L86" s="1732" t="str" cm="1">
        <f t="array" ref="L86">IFERROR(
INDEX($V$107:$V$146,
MATCH(1,
($Q$107:$Q$146=$C$80)*
($R$107:$R$146=$B86),
0)),
"")</f>
        <v>Nilai di luar kisaran perlu verifikasi mineralogi, kandungan organik, atau prosedur pengujian.</v>
      </c>
      <c r="M86" s="1732"/>
      <c r="N86" s="14" t="str" cm="1">
        <f t="array" ref="N86">IFERROR(
INDEX($W$107:$W$146,
MATCH(1,
($Q$107:$Q$146=$C$80)*
($R$107:$R$146=$B86),
0)),
"")</f>
        <v>ASTM D854; Das (2017)</v>
      </c>
      <c r="Q86" s="7" t="s">
        <v>1728</v>
      </c>
      <c r="R86" s="370" t="s">
        <v>1680</v>
      </c>
      <c r="S86" s="370">
        <v>1</v>
      </c>
      <c r="T86" s="370">
        <v>0</v>
      </c>
      <c r="U86" s="370">
        <v>10</v>
      </c>
      <c r="V86" s="370"/>
      <c r="W86" s="370"/>
      <c r="AA86" s="42"/>
      <c r="AB86" s="42"/>
      <c r="AK86" s="383">
        <v>59</v>
      </c>
      <c r="AL86" s="384">
        <v>8.8989999999999991</v>
      </c>
    </row>
    <row r="87" spans="2:38">
      <c r="B87" s="370"/>
      <c r="C87" s="7"/>
      <c r="D87" s="14"/>
      <c r="E87" s="370"/>
      <c r="F87" s="370"/>
      <c r="G87" s="370"/>
      <c r="H87" s="370"/>
      <c r="I87" s="1564"/>
      <c r="Q87" s="370" t="s">
        <v>1728</v>
      </c>
      <c r="R87" s="370" t="s">
        <v>1670</v>
      </c>
      <c r="S87" s="370">
        <v>2</v>
      </c>
      <c r="T87" s="370">
        <v>10</v>
      </c>
      <c r="U87" s="370">
        <v>20</v>
      </c>
      <c r="V87" s="370"/>
      <c r="W87" s="370"/>
      <c r="AA87" s="42"/>
      <c r="AB87" s="42"/>
      <c r="AK87" s="383">
        <v>60</v>
      </c>
      <c r="AL87" s="384">
        <v>8.8209999999999997</v>
      </c>
    </row>
    <row r="88" spans="2:38" ht="72.75" customHeight="1">
      <c r="B88" s="14" t="s">
        <v>1728</v>
      </c>
      <c r="C88" s="864">
        <f>H67</f>
        <v>33.378096064570244</v>
      </c>
      <c r="D88" s="14" t="str">
        <f>IF(ISNUMBER(C88),"PASS","CHECK")</f>
        <v>PASS</v>
      </c>
      <c r="E88" s="14" t="str">
        <f>IF(AND(C88&gt;=0,C88&lt;=100),"PASS","CHECK")</f>
        <v>PASS</v>
      </c>
      <c r="F88" s="14" t="str" cm="1">
        <f t="array" ref="F88">IFERROR(
INDEX($R$86:$R$90,
MATCH(1,
($Q$86:$Q$90=$B88)*
($U$86:$U$90&gt;=C88)*
($T$86:$T$90&lt;=C88),
0)),
"")</f>
        <v>Sedang</v>
      </c>
      <c r="G88" s="14" cm="1">
        <f t="array" ref="G88">IFERROR(
INDEX($S$86:$S$90,
MATCH(1,
($Q$86:$Q$90=$B88)*
($U$86:$U$90&gt;=C88)*
($T$86:$T$90&lt;=C88),
0)),
"")</f>
        <v>3</v>
      </c>
      <c r="H88" s="1569" t="str" cm="1">
        <f t="array" ref="H88">IFERROR(
INDEX($S$107:$S$146,
MATCH(1,
($Q$107:$Q$146=$C$80)*
($R$107:$R$146=$B88),
0)),
"")</f>
        <v>Tinggi</v>
      </c>
      <c r="I88" s="1569" cm="1">
        <f t="array" ref="I88">IFERROR(
INDEX($T$107:$T$146,
MATCH(1,
($Q$107:$Q$146=$C$80)*
($R$107:$R$146=$B88),
0)),
"")</f>
        <v>20</v>
      </c>
      <c r="J88" s="1569" cm="1">
        <f t="array" ref="J88">IFERROR(
INDEX($U$107:$U$146,
MATCH(1,
($Q$107:$Q$146=$C$80)*
($R$107:$R$146=$B88),
0)),
"")</f>
        <v>60</v>
      </c>
      <c r="K88" s="3" t="str">
        <f>IF(C88="","CHECK",
IF(AND(C88&gt;=I88,C88&lt;J88),"PASS","REVIEW"))</f>
        <v>PASS</v>
      </c>
      <c r="L88" s="1732" t="str" cm="1">
        <f t="array" ref="L88">IFERROR(
INDEX($V$107:$V$146,
MATCH(1,
($Q$107:$Q$146=$C$80)*
($R$107:$R$146=$B88),
0)),
"")</f>
        <v>Bandingkan dengan LL, PI, dan kondisi lapangan.</v>
      </c>
      <c r="M88" s="1732"/>
      <c r="N88" s="1569" t="str" cm="1">
        <f t="array" ref="N88">IFERROR(
INDEX($W$107:$W$146,
MATCH(1,
($Q$107:$Q$146=$C$80)*
($R$107:$R$146=$B88),
0)),
"")</f>
        <v>Das (2017)</v>
      </c>
      <c r="Q88" s="7" t="s">
        <v>1728</v>
      </c>
      <c r="R88" s="370" t="s">
        <v>1672</v>
      </c>
      <c r="S88" s="370">
        <v>3</v>
      </c>
      <c r="T88" s="370">
        <v>20</v>
      </c>
      <c r="U88" s="370">
        <v>40</v>
      </c>
      <c r="V88" s="370"/>
      <c r="W88" s="370"/>
      <c r="AA88" s="42"/>
      <c r="AB88" s="42"/>
      <c r="AK88" s="383">
        <v>61</v>
      </c>
      <c r="AL88" s="384">
        <v>8.8450000000000006</v>
      </c>
    </row>
    <row r="89" spans="2:38">
      <c r="B89" s="370"/>
      <c r="C89" s="7"/>
      <c r="D89" s="14"/>
      <c r="E89" s="370"/>
      <c r="F89" s="370"/>
      <c r="G89" s="370"/>
      <c r="H89" s="370"/>
      <c r="I89" s="1564"/>
      <c r="Q89" s="370" t="s">
        <v>1728</v>
      </c>
      <c r="R89" s="370" t="s">
        <v>338</v>
      </c>
      <c r="S89" s="370">
        <v>4</v>
      </c>
      <c r="T89" s="370">
        <v>40</v>
      </c>
      <c r="U89" s="370">
        <v>70</v>
      </c>
      <c r="V89" s="370"/>
      <c r="W89" s="370"/>
      <c r="AA89" s="42"/>
      <c r="AB89" s="42"/>
      <c r="AK89" s="383">
        <v>62</v>
      </c>
      <c r="AL89" s="384">
        <v>8.76</v>
      </c>
    </row>
    <row r="90" spans="2:38" ht="30" customHeight="1">
      <c r="B90" s="14" t="s">
        <v>456</v>
      </c>
      <c r="C90" s="864">
        <f>H68</f>
        <v>1.6647356127598272</v>
      </c>
      <c r="D90" s="14" t="str">
        <f>IF(ISNUMBER(C90),"PASS","CHECK")</f>
        <v>PASS</v>
      </c>
      <c r="E90" s="14" t="str">
        <f>IF(AND(C90&gt;=0.8,C90&lt;=3),"PASS","CHECK")</f>
        <v>PASS</v>
      </c>
      <c r="F90" s="14" t="str" cm="1">
        <f t="array" ref="F90">IFERROR(
INDEX($R$93:$R$97,
MATCH(1,
($Q$93:$Q$97=$B90)*
($U$93:$U$97&gt;=C90)*
($T$93:$T$97&lt;=C90),
0)),
"")</f>
        <v>Normal</v>
      </c>
      <c r="G90" s="14" cm="1">
        <f t="array" ref="G90">IFERROR(
INDEX($S$93:$S$97,
MATCH(1,
($Q$93:$Q$97=$B90)*
($U$93:$U$97&gt;=C90)*
($T$93:$T$97&lt;=C90),
0)),
"")</f>
        <v>3</v>
      </c>
      <c r="H90" s="1569" t="str" cm="1">
        <f t="array" ref="H90">IFERROR(
INDEX($S$107:$S$146,
MATCH(1,
($Q$107:$Q$146=$C$80)*
($R$107:$R$146=$B90),
0)),
"")</f>
        <v>Sedang</v>
      </c>
      <c r="I90" s="1569" cm="1">
        <f t="array" ref="I90">IFERROR(
INDEX($T$107:$T$146,
MATCH(1,
($Q$107:$Q$146=$C$80)*
($R$107:$R$146=$B90),
0)),
"")</f>
        <v>1.5</v>
      </c>
      <c r="J90" s="1569" cm="1">
        <f t="array" ref="J90">IFERROR(
INDEX($U$107:$U$146,
MATCH(1,
($Q$107:$Q$146=$C$80)*
($R$107:$R$146=$B90),
0)),
"")</f>
        <v>2.1</v>
      </c>
      <c r="K90" s="3" t="str">
        <f>IF(C90="","CHECK",
IF(AND(C90&gt;=I90,C90&lt;J90),"PASS","REVIEW"))</f>
        <v>PASS</v>
      </c>
      <c r="L90" s="1732" t="str" cm="1">
        <f t="array" ref="L90">IFERROR(
INDEX($V$107:$V$146,
MATCH(1,
($Q$107:$Q$146=$C$80)*
($R$107:$R$146=$B90),
0)),
"")</f>
        <v>Evaluasi bersama Dry Density dan MC.</v>
      </c>
      <c r="M90" s="1732"/>
      <c r="N90" s="14" t="str" cm="1">
        <f t="array" ref="N90">IFERROR(
INDEX($W$107:$W$146,
MATCH(1,
($Q$107:$Q$146=$C$80)*
($R$107:$R$146=$B90),
0)),
"")</f>
        <v>Bowles (1992)</v>
      </c>
      <c r="Q90" s="7" t="s">
        <v>1728</v>
      </c>
      <c r="R90" s="370" t="s">
        <v>1681</v>
      </c>
      <c r="S90" s="370">
        <v>5</v>
      </c>
      <c r="T90" s="370">
        <v>70</v>
      </c>
      <c r="U90" s="370">
        <v>200</v>
      </c>
      <c r="V90" s="370"/>
      <c r="W90" s="370"/>
      <c r="AA90" s="42"/>
      <c r="AB90" s="42"/>
      <c r="AK90" s="383">
        <v>63</v>
      </c>
      <c r="AL90" s="384">
        <v>8.86</v>
      </c>
    </row>
    <row r="91" spans="2:38">
      <c r="B91" s="370"/>
      <c r="C91" s="7"/>
      <c r="D91" s="14"/>
      <c r="E91" s="370"/>
      <c r="F91" s="370"/>
      <c r="G91" s="370"/>
      <c r="H91" s="370"/>
      <c r="I91" s="370"/>
      <c r="Q91" s="370"/>
      <c r="R91" s="370"/>
      <c r="S91" s="370"/>
      <c r="T91" s="370"/>
      <c r="U91" s="370"/>
      <c r="V91" s="370"/>
      <c r="W91" s="370"/>
      <c r="AA91" s="42"/>
      <c r="AB91" s="42"/>
      <c r="AK91" s="383">
        <v>64</v>
      </c>
      <c r="AL91" s="384">
        <v>8.8089999999999993</v>
      </c>
    </row>
    <row r="92" spans="2:38" ht="47.25" customHeight="1">
      <c r="B92" s="1361" t="s">
        <v>457</v>
      </c>
      <c r="C92" s="864">
        <f>H69</f>
        <v>1.2481326858601316</v>
      </c>
      <c r="D92" s="14" t="str">
        <f>IF(ISNUMBER(C92),"PASS","CHECK")</f>
        <v>PASS</v>
      </c>
      <c r="E92" s="14" t="str">
        <f>IF(AND(C92&gt;=0.6,C92&lt;=2),"PASS","CHECK")</f>
        <v>PASS</v>
      </c>
      <c r="F92" s="14" t="str" cm="1">
        <f t="array" ref="F92">IFERROR(
INDEX($R$100:$R$104,
MATCH(1,
($Q$100:$Q$104=$B92)*
($U$100:$U$104&gt;=C92)*
($T$100:$T$104&lt;=C92),
0)),
"")</f>
        <v>Rendah</v>
      </c>
      <c r="G92" s="14" cm="1">
        <f t="array" ref="G92">IFERROR(
INDEX($S$100:$S$104,
MATCH(1,
($Q$100:$Q$104=$B92)*
($U$100:$U$104&gt;=C92)*
($T$100:$T$104&lt;=C92),
0)),
"")</f>
        <v>2</v>
      </c>
      <c r="H92" s="1569" t="str" cm="1">
        <f t="array" ref="H92">IFERROR(
INDEX($S$107:$S$146,
MATCH(1,
($Q$107:$Q$146=$C$80)*
($R$107:$R$146=$B92),
0)),
"")</f>
        <v>Rendah–Sedang</v>
      </c>
      <c r="I92" s="1569" cm="1">
        <f t="array" ref="I92">IFERROR(
INDEX($T$107:$T$146,
MATCH(1,
($Q$107:$Q$146=$C$80)*
($R$107:$R$146=$B92),
0)),
"")</f>
        <v>1.1000000000000001</v>
      </c>
      <c r="J92" s="1569" cm="1">
        <f t="array" ref="J92">IFERROR(
INDEX($U$107:$U$146,
MATCH(1,
($Q$107:$Q$146=$C$80)*
($R$107:$R$146=$B92),
0)),
"")</f>
        <v>1.8</v>
      </c>
      <c r="K92" s="3" t="str">
        <f>IF(C92="","CHECK",
IF(AND(C92&gt;=I92,C92&lt;J92),"PASS","REVIEW"))</f>
        <v>PASS</v>
      </c>
      <c r="L92" s="1732" t="str" cm="1">
        <f t="array" ref="L92">IFERROR(
INDEX($V$107:$V$146,
MATCH(1,
($Q$107:$Q$146=$C$80)*
($R$107:$R$146=$B92),
0)),
"")</f>
        <v>Konsisten terhadap Wet Density dan MC.</v>
      </c>
      <c r="M92" s="1732"/>
      <c r="N92" s="14" t="str" cm="1">
        <f t="array" ref="N92">IFERROR(
INDEX($W$107:$W$146,
MATCH(1,
($Q$107:$Q$146=$C$80)*
($R$107:$R$146=$B92),
0)),
"")</f>
        <v>Bowles (1992)</v>
      </c>
      <c r="Q92" s="7" t="s">
        <v>575</v>
      </c>
      <c r="R92" s="370" t="s">
        <v>1667</v>
      </c>
      <c r="S92" s="370" t="s">
        <v>1611</v>
      </c>
      <c r="T92" s="370" t="s">
        <v>1607</v>
      </c>
      <c r="U92" s="370" t="s">
        <v>1608</v>
      </c>
      <c r="V92" s="370"/>
      <c r="W92" s="370"/>
      <c r="AA92" s="42"/>
      <c r="AB92" s="42"/>
      <c r="AK92" s="383">
        <v>65</v>
      </c>
      <c r="AL92" s="384">
        <v>8.8840000000000003</v>
      </c>
    </row>
    <row r="93" spans="2:38">
      <c r="B93" s="370"/>
      <c r="C93" s="7"/>
      <c r="D93" s="14"/>
      <c r="E93" s="370"/>
      <c r="F93" s="370"/>
      <c r="G93" s="370"/>
      <c r="H93" s="370"/>
      <c r="I93" s="370"/>
      <c r="Q93" s="370" t="s">
        <v>456</v>
      </c>
      <c r="R93" s="370" t="s">
        <v>1680</v>
      </c>
      <c r="S93" s="370">
        <v>1</v>
      </c>
      <c r="T93" s="370">
        <v>0.8</v>
      </c>
      <c r="U93" s="370">
        <v>1.2</v>
      </c>
      <c r="V93" s="370"/>
      <c r="W93" s="370"/>
      <c r="AA93" s="42"/>
      <c r="AB93" s="42"/>
      <c r="AK93" s="383">
        <v>66</v>
      </c>
      <c r="AL93" s="384">
        <v>8.923</v>
      </c>
    </row>
    <row r="94" spans="2:38">
      <c r="Q94" t="s">
        <v>456</v>
      </c>
      <c r="R94" t="s">
        <v>1670</v>
      </c>
      <c r="S94">
        <v>2</v>
      </c>
      <c r="T94">
        <v>1.2</v>
      </c>
      <c r="U94">
        <v>1.6</v>
      </c>
      <c r="AA94" s="42"/>
      <c r="AB94" s="42"/>
      <c r="AK94" s="383">
        <v>76</v>
      </c>
      <c r="AL94" s="384">
        <v>8.7460000000000004</v>
      </c>
    </row>
    <row r="95" spans="2:38">
      <c r="B95" t="s">
        <v>1598</v>
      </c>
      <c r="C95" t="s">
        <v>1732</v>
      </c>
      <c r="Q95" t="s">
        <v>456</v>
      </c>
      <c r="R95" t="s">
        <v>1480</v>
      </c>
      <c r="S95">
        <v>3</v>
      </c>
      <c r="T95">
        <v>1.6</v>
      </c>
      <c r="U95">
        <v>2</v>
      </c>
      <c r="AA95" s="42"/>
      <c r="AB95" s="42"/>
      <c r="AK95" s="383">
        <v>77</v>
      </c>
      <c r="AL95" s="384">
        <v>8.843</v>
      </c>
    </row>
    <row r="96" spans="2:38">
      <c r="B96" t="s">
        <v>1733</v>
      </c>
      <c r="C96" t="s">
        <v>1734</v>
      </c>
      <c r="Q96" t="s">
        <v>456</v>
      </c>
      <c r="R96" t="s">
        <v>338</v>
      </c>
      <c r="S96">
        <v>4</v>
      </c>
      <c r="T96">
        <v>2</v>
      </c>
      <c r="U96">
        <v>2.2999999999999998</v>
      </c>
      <c r="AA96" s="42"/>
      <c r="AB96" s="42"/>
      <c r="AK96" s="383">
        <v>78</v>
      </c>
      <c r="AL96" s="384">
        <v>8.8279999999999994</v>
      </c>
    </row>
    <row r="97" spans="2:38">
      <c r="B97" t="s">
        <v>1735</v>
      </c>
      <c r="C97" t="s">
        <v>1736</v>
      </c>
      <c r="Q97" t="s">
        <v>456</v>
      </c>
      <c r="R97" t="s">
        <v>1681</v>
      </c>
      <c r="S97">
        <v>5</v>
      </c>
      <c r="T97">
        <v>2.2999999999999998</v>
      </c>
      <c r="U97">
        <v>3</v>
      </c>
      <c r="AA97" s="42"/>
      <c r="AB97" s="42"/>
      <c r="AK97" s="383">
        <v>79</v>
      </c>
      <c r="AL97" s="384">
        <v>8.9149999999999991</v>
      </c>
    </row>
    <row r="98" spans="2:38">
      <c r="AA98" s="42"/>
      <c r="AB98" s="42"/>
      <c r="AK98" s="383">
        <v>80</v>
      </c>
      <c r="AL98" s="384">
        <v>8.8130000000000006</v>
      </c>
    </row>
    <row r="99" spans="2:38">
      <c r="Q99" t="s">
        <v>575</v>
      </c>
      <c r="R99" t="s">
        <v>1667</v>
      </c>
      <c r="S99" t="s">
        <v>1611</v>
      </c>
      <c r="T99" t="s">
        <v>1607</v>
      </c>
      <c r="U99" t="s">
        <v>1608</v>
      </c>
      <c r="AA99" s="42"/>
      <c r="AB99" s="42"/>
      <c r="AK99" s="383">
        <v>81</v>
      </c>
      <c r="AL99" s="384">
        <v>8.9649999999999999</v>
      </c>
    </row>
    <row r="100" spans="2:38">
      <c r="Q100" t="s">
        <v>457</v>
      </c>
      <c r="R100" t="s">
        <v>1680</v>
      </c>
      <c r="S100">
        <v>1</v>
      </c>
      <c r="T100">
        <v>0.6</v>
      </c>
      <c r="U100">
        <v>1</v>
      </c>
      <c r="AA100" s="42"/>
      <c r="AB100" s="42"/>
      <c r="AK100" s="383">
        <v>82</v>
      </c>
      <c r="AL100" s="384">
        <v>8.7970000000000006</v>
      </c>
    </row>
    <row r="101" spans="2:38">
      <c r="Q101" t="s">
        <v>457</v>
      </c>
      <c r="R101" t="s">
        <v>1670</v>
      </c>
      <c r="S101">
        <v>2</v>
      </c>
      <c r="T101">
        <v>1</v>
      </c>
      <c r="U101">
        <v>1.4</v>
      </c>
      <c r="AK101" s="383">
        <v>83</v>
      </c>
      <c r="AL101" s="384">
        <v>8.9280000000000008</v>
      </c>
    </row>
    <row r="102" spans="2:38">
      <c r="Q102" t="s">
        <v>457</v>
      </c>
      <c r="R102" t="s">
        <v>1480</v>
      </c>
      <c r="S102">
        <v>3</v>
      </c>
      <c r="T102">
        <v>1.4</v>
      </c>
      <c r="U102">
        <v>1.8</v>
      </c>
      <c r="AK102" s="383">
        <v>84</v>
      </c>
      <c r="AL102" s="384">
        <v>8.9039999999999999</v>
      </c>
    </row>
    <row r="103" spans="2:38">
      <c r="Q103" t="s">
        <v>457</v>
      </c>
      <c r="R103" t="s">
        <v>338</v>
      </c>
      <c r="S103">
        <v>4</v>
      </c>
      <c r="T103">
        <v>1.8</v>
      </c>
      <c r="U103">
        <v>2.1</v>
      </c>
      <c r="AK103" s="383">
        <v>85</v>
      </c>
      <c r="AL103" s="384">
        <v>8.7690000000000001</v>
      </c>
    </row>
    <row r="104" spans="2:38">
      <c r="Q104" t="s">
        <v>457</v>
      </c>
      <c r="R104" t="s">
        <v>1681</v>
      </c>
      <c r="S104">
        <v>5</v>
      </c>
      <c r="T104">
        <v>2.1</v>
      </c>
      <c r="U104">
        <v>2.8</v>
      </c>
      <c r="AK104" s="383">
        <v>86</v>
      </c>
      <c r="AL104" s="384">
        <v>8.8079999999999998</v>
      </c>
    </row>
    <row r="105" spans="2:38">
      <c r="AK105" s="383">
        <v>87</v>
      </c>
      <c r="AL105" s="384">
        <v>8.8320000000000007</v>
      </c>
    </row>
    <row r="106" spans="2:38">
      <c r="Q106" t="s">
        <v>2201</v>
      </c>
      <c r="R106" t="s">
        <v>575</v>
      </c>
      <c r="S106" t="s">
        <v>1683</v>
      </c>
      <c r="T106" t="s">
        <v>1607</v>
      </c>
      <c r="U106" t="s">
        <v>1608</v>
      </c>
      <c r="V106" t="s">
        <v>1685</v>
      </c>
      <c r="W106" t="s">
        <v>2033</v>
      </c>
      <c r="AK106" s="383">
        <v>88</v>
      </c>
      <c r="AL106" s="384">
        <v>8.9280000000000008</v>
      </c>
    </row>
    <row r="107" spans="2:38">
      <c r="Q107" t="s">
        <v>1612</v>
      </c>
      <c r="R107" t="s">
        <v>1727</v>
      </c>
      <c r="S107" t="s">
        <v>1480</v>
      </c>
      <c r="T107">
        <v>2.6</v>
      </c>
      <c r="U107">
        <v>2.8</v>
      </c>
      <c r="V107" t="s">
        <v>2350</v>
      </c>
      <c r="W107" t="s">
        <v>2275</v>
      </c>
      <c r="AK107" s="383">
        <v>89</v>
      </c>
      <c r="AL107" s="384">
        <v>9.0719999999999992</v>
      </c>
    </row>
    <row r="108" spans="2:38">
      <c r="Q108" t="s">
        <v>1612</v>
      </c>
      <c r="R108" t="s">
        <v>1728</v>
      </c>
      <c r="S108" t="s">
        <v>338</v>
      </c>
      <c r="T108">
        <v>20</v>
      </c>
      <c r="U108">
        <v>60</v>
      </c>
      <c r="V108" t="s">
        <v>2351</v>
      </c>
      <c r="W108" t="s">
        <v>2229</v>
      </c>
      <c r="AK108" s="383">
        <v>90</v>
      </c>
      <c r="AL108" s="384">
        <v>8.9060000000000006</v>
      </c>
    </row>
    <row r="109" spans="2:38">
      <c r="Q109" t="s">
        <v>1612</v>
      </c>
      <c r="R109" t="s">
        <v>456</v>
      </c>
      <c r="S109" t="s">
        <v>1672</v>
      </c>
      <c r="T109">
        <v>1.5</v>
      </c>
      <c r="U109">
        <v>2.1</v>
      </c>
      <c r="V109" t="s">
        <v>2284</v>
      </c>
      <c r="W109" t="s">
        <v>2246</v>
      </c>
      <c r="AK109" s="383">
        <v>91</v>
      </c>
      <c r="AL109" s="384">
        <v>8.8390000000000004</v>
      </c>
    </row>
    <row r="110" spans="2:38">
      <c r="Q110" t="s">
        <v>1612</v>
      </c>
      <c r="R110" t="s">
        <v>457</v>
      </c>
      <c r="S110" t="s">
        <v>1742</v>
      </c>
      <c r="T110">
        <v>1.1000000000000001</v>
      </c>
      <c r="U110">
        <v>1.8</v>
      </c>
      <c r="V110" t="s">
        <v>2352</v>
      </c>
      <c r="W110" t="s">
        <v>2246</v>
      </c>
      <c r="AK110" s="383">
        <v>92</v>
      </c>
      <c r="AL110" s="384">
        <v>8.8219999999999992</v>
      </c>
    </row>
    <row r="111" spans="2:38">
      <c r="Q111" t="s">
        <v>1614</v>
      </c>
      <c r="R111" t="s">
        <v>1727</v>
      </c>
      <c r="S111" t="s">
        <v>1480</v>
      </c>
      <c r="T111">
        <v>2.6</v>
      </c>
      <c r="U111">
        <v>2.8</v>
      </c>
      <c r="V111" t="s">
        <v>2353</v>
      </c>
      <c r="W111" t="s">
        <v>2276</v>
      </c>
      <c r="AK111" s="383">
        <v>93</v>
      </c>
      <c r="AL111" s="384">
        <v>8.8539999999999992</v>
      </c>
    </row>
    <row r="112" spans="2:38">
      <c r="Q112" t="s">
        <v>1614</v>
      </c>
      <c r="R112" t="s">
        <v>1728</v>
      </c>
      <c r="S112" t="s">
        <v>1672</v>
      </c>
      <c r="T112">
        <v>15</v>
      </c>
      <c r="U112">
        <v>45</v>
      </c>
      <c r="V112" t="s">
        <v>2285</v>
      </c>
      <c r="W112" t="s">
        <v>2229</v>
      </c>
      <c r="AK112" s="383">
        <v>94</v>
      </c>
      <c r="AL112" s="384">
        <v>8.8260000000000005</v>
      </c>
    </row>
    <row r="113" spans="17:38">
      <c r="Q113" t="s">
        <v>1614</v>
      </c>
      <c r="R113" t="s">
        <v>456</v>
      </c>
      <c r="S113" t="s">
        <v>1672</v>
      </c>
      <c r="T113">
        <v>1.6</v>
      </c>
      <c r="U113">
        <v>2.15</v>
      </c>
      <c r="V113" t="s">
        <v>2286</v>
      </c>
      <c r="W113" t="s">
        <v>1730</v>
      </c>
      <c r="AK113" s="383">
        <v>95</v>
      </c>
      <c r="AL113" s="384">
        <v>8.8789999999999996</v>
      </c>
    </row>
    <row r="114" spans="17:38">
      <c r="Q114" t="s">
        <v>1614</v>
      </c>
      <c r="R114" t="s">
        <v>457</v>
      </c>
      <c r="S114" t="s">
        <v>1672</v>
      </c>
      <c r="T114">
        <v>1.2</v>
      </c>
      <c r="U114">
        <v>1.9</v>
      </c>
      <c r="V114" t="s">
        <v>2354</v>
      </c>
      <c r="W114" t="s">
        <v>1730</v>
      </c>
      <c r="AK114" s="383">
        <v>96</v>
      </c>
      <c r="AL114" s="384">
        <v>11.742000000000001</v>
      </c>
    </row>
    <row r="115" spans="17:38">
      <c r="Q115" t="s">
        <v>1617</v>
      </c>
      <c r="R115" t="s">
        <v>1727</v>
      </c>
      <c r="S115" t="s">
        <v>1480</v>
      </c>
      <c r="T115">
        <v>2.6</v>
      </c>
      <c r="U115">
        <v>2.8</v>
      </c>
      <c r="V115" t="s">
        <v>2277</v>
      </c>
      <c r="W115" t="s">
        <v>2276</v>
      </c>
      <c r="AK115" s="383">
        <v>97</v>
      </c>
      <c r="AL115" s="384">
        <v>11.648</v>
      </c>
    </row>
    <row r="116" spans="17:38">
      <c r="Q116" t="s">
        <v>1617</v>
      </c>
      <c r="R116" t="s">
        <v>1728</v>
      </c>
      <c r="S116" t="s">
        <v>1771</v>
      </c>
      <c r="T116">
        <v>20</v>
      </c>
      <c r="U116">
        <v>50</v>
      </c>
      <c r="V116" t="s">
        <v>2287</v>
      </c>
      <c r="W116" t="s">
        <v>1731</v>
      </c>
      <c r="AK116" s="383">
        <v>98</v>
      </c>
      <c r="AL116" s="384">
        <v>11.9</v>
      </c>
    </row>
    <row r="117" spans="17:38">
      <c r="Q117" t="s">
        <v>1617</v>
      </c>
      <c r="R117" t="s">
        <v>456</v>
      </c>
      <c r="S117" t="s">
        <v>1672</v>
      </c>
      <c r="T117">
        <v>1.5</v>
      </c>
      <c r="U117">
        <v>2.1</v>
      </c>
      <c r="V117" t="s">
        <v>2286</v>
      </c>
      <c r="W117" t="s">
        <v>1730</v>
      </c>
      <c r="AK117" s="383">
        <v>99</v>
      </c>
      <c r="AL117" s="384">
        <v>11.936</v>
      </c>
    </row>
    <row r="118" spans="17:38">
      <c r="Q118" t="s">
        <v>1617</v>
      </c>
      <c r="R118" t="s">
        <v>457</v>
      </c>
      <c r="S118" t="s">
        <v>1742</v>
      </c>
      <c r="T118">
        <v>1.1000000000000001</v>
      </c>
      <c r="U118">
        <v>1.8</v>
      </c>
      <c r="V118" t="s">
        <v>2354</v>
      </c>
      <c r="W118" t="s">
        <v>1730</v>
      </c>
      <c r="AK118" s="383">
        <v>100</v>
      </c>
      <c r="AL118" s="384">
        <v>11.704000000000001</v>
      </c>
    </row>
    <row r="119" spans="17:38">
      <c r="Q119" t="s">
        <v>1643</v>
      </c>
      <c r="R119" t="s">
        <v>1727</v>
      </c>
      <c r="S119" t="s">
        <v>1480</v>
      </c>
      <c r="T119">
        <v>2.6</v>
      </c>
      <c r="U119">
        <v>2.85</v>
      </c>
      <c r="V119" t="s">
        <v>2355</v>
      </c>
      <c r="W119" t="s">
        <v>2276</v>
      </c>
      <c r="AK119" s="383">
        <v>101</v>
      </c>
      <c r="AL119" s="384">
        <v>11.682</v>
      </c>
    </row>
    <row r="120" spans="17:38">
      <c r="Q120" t="s">
        <v>1643</v>
      </c>
      <c r="R120" t="s">
        <v>1728</v>
      </c>
      <c r="S120" t="s">
        <v>1672</v>
      </c>
      <c r="T120">
        <v>15</v>
      </c>
      <c r="U120">
        <v>40</v>
      </c>
      <c r="V120" t="s">
        <v>2356</v>
      </c>
      <c r="W120" t="s">
        <v>1731</v>
      </c>
      <c r="AK120" s="383">
        <v>102</v>
      </c>
      <c r="AL120" s="384">
        <v>11.487</v>
      </c>
    </row>
    <row r="121" spans="17:38">
      <c r="Q121" t="s">
        <v>1643</v>
      </c>
      <c r="R121" t="s">
        <v>456</v>
      </c>
      <c r="S121" t="s">
        <v>338</v>
      </c>
      <c r="T121">
        <v>1.7</v>
      </c>
      <c r="U121">
        <v>2.2999999999999998</v>
      </c>
      <c r="V121" t="s">
        <v>2286</v>
      </c>
      <c r="W121" t="s">
        <v>1730</v>
      </c>
      <c r="AK121" s="383">
        <v>103</v>
      </c>
      <c r="AL121" s="384">
        <v>11.670999999999999</v>
      </c>
    </row>
    <row r="122" spans="17:38">
      <c r="Q122" t="s">
        <v>1643</v>
      </c>
      <c r="R122" t="s">
        <v>457</v>
      </c>
      <c r="S122" t="s">
        <v>1771</v>
      </c>
      <c r="T122">
        <v>1.3</v>
      </c>
      <c r="U122">
        <v>2</v>
      </c>
      <c r="V122" t="s">
        <v>2288</v>
      </c>
      <c r="W122" t="s">
        <v>1730</v>
      </c>
      <c r="AK122" s="383">
        <v>104</v>
      </c>
      <c r="AL122" s="384">
        <v>11.765000000000001</v>
      </c>
    </row>
    <row r="123" spans="17:38">
      <c r="Q123" t="s">
        <v>1620</v>
      </c>
      <c r="R123" t="s">
        <v>1727</v>
      </c>
      <c r="S123" t="s">
        <v>1480</v>
      </c>
      <c r="T123">
        <v>2.6</v>
      </c>
      <c r="U123">
        <v>2.75</v>
      </c>
      <c r="V123" t="s">
        <v>2278</v>
      </c>
      <c r="W123" t="s">
        <v>2276</v>
      </c>
      <c r="AK123" s="383">
        <v>105</v>
      </c>
      <c r="AL123" s="384">
        <v>11.739000000000001</v>
      </c>
    </row>
    <row r="124" spans="17:38">
      <c r="Q124" t="s">
        <v>1620</v>
      </c>
      <c r="R124" t="s">
        <v>1728</v>
      </c>
      <c r="S124" t="s">
        <v>1670</v>
      </c>
      <c r="T124">
        <v>0</v>
      </c>
      <c r="U124">
        <v>20</v>
      </c>
      <c r="V124" t="s">
        <v>2279</v>
      </c>
      <c r="W124" t="s">
        <v>1731</v>
      </c>
      <c r="AK124" s="383">
        <v>106</v>
      </c>
      <c r="AL124" s="384">
        <v>11.691000000000001</v>
      </c>
    </row>
    <row r="125" spans="17:38">
      <c r="Q125" t="s">
        <v>1620</v>
      </c>
      <c r="R125" t="s">
        <v>456</v>
      </c>
      <c r="S125" t="s">
        <v>338</v>
      </c>
      <c r="T125">
        <v>1.6</v>
      </c>
      <c r="U125">
        <v>2.2999999999999998</v>
      </c>
      <c r="V125" t="s">
        <v>2286</v>
      </c>
      <c r="W125" t="s">
        <v>1730</v>
      </c>
      <c r="AK125" s="383">
        <v>107</v>
      </c>
      <c r="AL125" s="384">
        <v>11.662000000000001</v>
      </c>
    </row>
    <row r="126" spans="17:38">
      <c r="Q126" t="s">
        <v>1620</v>
      </c>
      <c r="R126" t="s">
        <v>457</v>
      </c>
      <c r="S126" t="s">
        <v>338</v>
      </c>
      <c r="T126">
        <v>1.4</v>
      </c>
      <c r="U126">
        <v>2.1</v>
      </c>
      <c r="V126" t="s">
        <v>2354</v>
      </c>
      <c r="W126" t="s">
        <v>1730</v>
      </c>
      <c r="AK126" s="383">
        <v>108</v>
      </c>
      <c r="AL126" s="384">
        <v>11.763999999999999</v>
      </c>
    </row>
    <row r="127" spans="17:38">
      <c r="Q127" t="s">
        <v>1621</v>
      </c>
      <c r="R127" t="s">
        <v>1727</v>
      </c>
      <c r="S127" t="s">
        <v>1480</v>
      </c>
      <c r="T127">
        <v>2.6</v>
      </c>
      <c r="U127">
        <v>2.8</v>
      </c>
      <c r="V127" t="s">
        <v>2289</v>
      </c>
      <c r="W127" t="s">
        <v>2276</v>
      </c>
      <c r="AK127" s="383">
        <v>109</v>
      </c>
      <c r="AL127" s="384">
        <v>11.73</v>
      </c>
    </row>
    <row r="128" spans="17:38">
      <c r="Q128" t="s">
        <v>1621</v>
      </c>
      <c r="R128" t="s">
        <v>1728</v>
      </c>
      <c r="S128" t="s">
        <v>1742</v>
      </c>
      <c r="T128">
        <v>5</v>
      </c>
      <c r="U128">
        <v>25</v>
      </c>
      <c r="V128" t="s">
        <v>2280</v>
      </c>
      <c r="W128" t="s">
        <v>1731</v>
      </c>
      <c r="AK128" s="383">
        <v>110</v>
      </c>
      <c r="AL128" s="384">
        <v>11.663</v>
      </c>
    </row>
    <row r="129" spans="17:38">
      <c r="Q129" t="s">
        <v>1621</v>
      </c>
      <c r="R129" t="s">
        <v>456</v>
      </c>
      <c r="S129" t="s">
        <v>338</v>
      </c>
      <c r="T129">
        <v>1.6</v>
      </c>
      <c r="U129">
        <v>2.25</v>
      </c>
      <c r="V129" t="s">
        <v>2286</v>
      </c>
      <c r="W129" t="s">
        <v>1730</v>
      </c>
      <c r="AK129" s="383">
        <v>111</v>
      </c>
      <c r="AL129" s="384">
        <v>11.741</v>
      </c>
    </row>
    <row r="130" spans="17:38">
      <c r="Q130" t="s">
        <v>1621</v>
      </c>
      <c r="R130" t="s">
        <v>457</v>
      </c>
      <c r="S130" t="s">
        <v>1771</v>
      </c>
      <c r="T130">
        <v>1.3</v>
      </c>
      <c r="U130">
        <v>2</v>
      </c>
      <c r="V130" t="s">
        <v>2354</v>
      </c>
      <c r="W130" t="s">
        <v>1730</v>
      </c>
      <c r="AK130" s="383">
        <v>112</v>
      </c>
      <c r="AL130" s="384">
        <v>11.68</v>
      </c>
    </row>
    <row r="131" spans="17:38">
      <c r="Q131" t="s">
        <v>1623</v>
      </c>
      <c r="R131" t="s">
        <v>1727</v>
      </c>
      <c r="S131" t="s">
        <v>1480</v>
      </c>
      <c r="T131">
        <v>2.6</v>
      </c>
      <c r="U131">
        <v>2.8</v>
      </c>
      <c r="V131" t="s">
        <v>2312</v>
      </c>
      <c r="W131" t="s">
        <v>2276</v>
      </c>
      <c r="AK131" s="383">
        <v>113</v>
      </c>
      <c r="AL131" s="384">
        <v>8.9589999999999996</v>
      </c>
    </row>
    <row r="132" spans="17:38">
      <c r="Q132" t="s">
        <v>1623</v>
      </c>
      <c r="R132" t="s">
        <v>1728</v>
      </c>
      <c r="S132" t="s">
        <v>1742</v>
      </c>
      <c r="T132">
        <v>5</v>
      </c>
      <c r="U132">
        <v>30</v>
      </c>
      <c r="V132" t="s">
        <v>2357</v>
      </c>
      <c r="W132" t="s">
        <v>1731</v>
      </c>
      <c r="AK132" s="383">
        <v>114</v>
      </c>
      <c r="AL132" s="384">
        <v>8.8190000000000008</v>
      </c>
    </row>
    <row r="133" spans="17:38">
      <c r="Q133" t="s">
        <v>1623</v>
      </c>
      <c r="R133" t="s">
        <v>456</v>
      </c>
      <c r="S133" t="s">
        <v>1771</v>
      </c>
      <c r="T133">
        <v>1.6</v>
      </c>
      <c r="U133">
        <v>2.2000000000000002</v>
      </c>
      <c r="V133" t="s">
        <v>2286</v>
      </c>
      <c r="W133" t="s">
        <v>1730</v>
      </c>
      <c r="AK133" s="392">
        <v>115</v>
      </c>
      <c r="AL133" s="393">
        <v>11.619</v>
      </c>
    </row>
    <row r="134" spans="17:38">
      <c r="Q134" t="s">
        <v>1623</v>
      </c>
      <c r="R134" t="s">
        <v>457</v>
      </c>
      <c r="S134" t="s">
        <v>1672</v>
      </c>
      <c r="T134">
        <v>1.3</v>
      </c>
      <c r="U134">
        <v>1.95</v>
      </c>
      <c r="V134" t="s">
        <v>2354</v>
      </c>
      <c r="W134" t="s">
        <v>1730</v>
      </c>
      <c r="AK134" s="392">
        <v>116</v>
      </c>
      <c r="AL134" s="393">
        <v>8.8699999999999992</v>
      </c>
    </row>
    <row r="135" spans="17:38">
      <c r="Q135" t="s">
        <v>1649</v>
      </c>
      <c r="R135" t="s">
        <v>1727</v>
      </c>
      <c r="S135" t="s">
        <v>1480</v>
      </c>
      <c r="T135">
        <v>2.6</v>
      </c>
      <c r="U135">
        <v>2.85</v>
      </c>
      <c r="V135" t="s">
        <v>2281</v>
      </c>
      <c r="W135" t="s">
        <v>2276</v>
      </c>
      <c r="AK135" s="392">
        <v>117</v>
      </c>
      <c r="AL135" s="393">
        <v>9</v>
      </c>
    </row>
    <row r="136" spans="17:38">
      <c r="Q136" t="s">
        <v>1649</v>
      </c>
      <c r="R136" t="s">
        <v>1728</v>
      </c>
      <c r="S136" t="s">
        <v>1670</v>
      </c>
      <c r="T136">
        <v>0</v>
      </c>
      <c r="U136">
        <v>15</v>
      </c>
      <c r="V136" t="s">
        <v>2279</v>
      </c>
      <c r="W136" t="s">
        <v>1731</v>
      </c>
      <c r="AK136" s="392">
        <v>118</v>
      </c>
      <c r="AL136" s="393">
        <v>8.8339999999999996</v>
      </c>
    </row>
    <row r="137" spans="17:38">
      <c r="Q137" t="s">
        <v>1649</v>
      </c>
      <c r="R137" t="s">
        <v>456</v>
      </c>
      <c r="S137" t="s">
        <v>338</v>
      </c>
      <c r="T137">
        <v>1.8</v>
      </c>
      <c r="U137">
        <v>2.4</v>
      </c>
      <c r="V137" t="s">
        <v>2286</v>
      </c>
      <c r="W137" t="s">
        <v>1730</v>
      </c>
      <c r="AK137" s="392">
        <v>119</v>
      </c>
      <c r="AL137" s="393">
        <v>8.9469999999999992</v>
      </c>
    </row>
    <row r="138" spans="17:38">
      <c r="Q138" t="s">
        <v>1649</v>
      </c>
      <c r="R138" t="s">
        <v>457</v>
      </c>
      <c r="S138" t="s">
        <v>338</v>
      </c>
      <c r="T138">
        <v>1.5</v>
      </c>
      <c r="U138">
        <v>2.2000000000000002</v>
      </c>
      <c r="V138" t="s">
        <v>2358</v>
      </c>
      <c r="W138" t="s">
        <v>1730</v>
      </c>
      <c r="AK138" s="392">
        <v>120</v>
      </c>
      <c r="AL138" s="393">
        <v>11.666</v>
      </c>
    </row>
    <row r="139" spans="17:38">
      <c r="Q139" t="s">
        <v>1690</v>
      </c>
      <c r="R139" t="s">
        <v>1727</v>
      </c>
      <c r="S139" t="s">
        <v>1480</v>
      </c>
      <c r="T139">
        <v>2.6</v>
      </c>
      <c r="U139">
        <v>2.75</v>
      </c>
      <c r="V139" t="s">
        <v>2359</v>
      </c>
      <c r="W139" t="s">
        <v>2276</v>
      </c>
      <c r="AK139" s="392">
        <v>121</v>
      </c>
      <c r="AL139" s="393">
        <v>8.7379999999999995</v>
      </c>
    </row>
    <row r="140" spans="17:38">
      <c r="Q140" t="s">
        <v>1690</v>
      </c>
      <c r="R140" t="s">
        <v>1728</v>
      </c>
      <c r="S140" t="s">
        <v>1672</v>
      </c>
      <c r="T140">
        <v>15</v>
      </c>
      <c r="U140">
        <v>40</v>
      </c>
      <c r="V140" t="s">
        <v>2282</v>
      </c>
      <c r="W140" t="s">
        <v>1731</v>
      </c>
      <c r="AK140" s="392">
        <v>122</v>
      </c>
      <c r="AL140" s="393">
        <v>8.9849999999999994</v>
      </c>
    </row>
    <row r="141" spans="17:38">
      <c r="Q141" t="s">
        <v>1690</v>
      </c>
      <c r="R141" t="s">
        <v>456</v>
      </c>
      <c r="S141" t="s">
        <v>1672</v>
      </c>
      <c r="T141">
        <v>1.5</v>
      </c>
      <c r="U141">
        <v>2.1</v>
      </c>
      <c r="V141" t="s">
        <v>2286</v>
      </c>
      <c r="W141" t="s">
        <v>1730</v>
      </c>
    </row>
    <row r="142" spans="17:38">
      <c r="Q142" t="s">
        <v>1690</v>
      </c>
      <c r="R142" t="s">
        <v>457</v>
      </c>
      <c r="S142" t="s">
        <v>1672</v>
      </c>
      <c r="T142">
        <v>1.2</v>
      </c>
      <c r="U142">
        <v>1.8</v>
      </c>
      <c r="V142" t="s">
        <v>2354</v>
      </c>
      <c r="W142" t="s">
        <v>1730</v>
      </c>
    </row>
    <row r="143" spans="17:38">
      <c r="Q143" t="s">
        <v>1626</v>
      </c>
      <c r="R143" t="s">
        <v>1727</v>
      </c>
      <c r="S143" t="s">
        <v>1480</v>
      </c>
      <c r="T143">
        <v>2.6</v>
      </c>
      <c r="U143">
        <v>2.8</v>
      </c>
      <c r="V143" t="s">
        <v>2289</v>
      </c>
      <c r="W143" t="s">
        <v>2276</v>
      </c>
    </row>
    <row r="144" spans="17:38">
      <c r="Q144" t="s">
        <v>1626</v>
      </c>
      <c r="R144" t="s">
        <v>1728</v>
      </c>
      <c r="S144" t="s">
        <v>1771</v>
      </c>
      <c r="T144">
        <v>15</v>
      </c>
      <c r="U144">
        <v>45</v>
      </c>
      <c r="V144" t="s">
        <v>2282</v>
      </c>
      <c r="W144" t="s">
        <v>1731</v>
      </c>
    </row>
    <row r="145" spans="17:23">
      <c r="Q145" t="s">
        <v>1626</v>
      </c>
      <c r="R145" t="s">
        <v>456</v>
      </c>
      <c r="S145" t="s">
        <v>1672</v>
      </c>
      <c r="T145">
        <v>1.5</v>
      </c>
      <c r="U145">
        <v>2.15</v>
      </c>
      <c r="V145" t="s">
        <v>2286</v>
      </c>
      <c r="W145" t="s">
        <v>1730</v>
      </c>
    </row>
    <row r="146" spans="17:23">
      <c r="Q146" t="s">
        <v>1626</v>
      </c>
      <c r="R146" t="s">
        <v>457</v>
      </c>
      <c r="S146" t="s">
        <v>1672</v>
      </c>
      <c r="T146">
        <v>1.2</v>
      </c>
      <c r="U146">
        <v>1.9</v>
      </c>
      <c r="V146" t="s">
        <v>2354</v>
      </c>
      <c r="W146" t="s">
        <v>1730</v>
      </c>
    </row>
    <row r="147" spans="17:23">
      <c r="Q147" t="s">
        <v>1628</v>
      </c>
      <c r="R147" t="s">
        <v>1727</v>
      </c>
      <c r="S147" t="s">
        <v>1480</v>
      </c>
      <c r="T147">
        <v>2.6</v>
      </c>
      <c r="U147">
        <v>2.8</v>
      </c>
      <c r="V147" t="s">
        <v>2290</v>
      </c>
      <c r="W147" t="s">
        <v>2276</v>
      </c>
    </row>
    <row r="148" spans="17:23">
      <c r="Q148" t="s">
        <v>1628</v>
      </c>
      <c r="R148" t="s">
        <v>1728</v>
      </c>
      <c r="S148" t="s">
        <v>1672</v>
      </c>
      <c r="T148">
        <v>10</v>
      </c>
      <c r="U148">
        <v>35</v>
      </c>
      <c r="V148" t="s">
        <v>2283</v>
      </c>
      <c r="W148" t="s">
        <v>1731</v>
      </c>
    </row>
    <row r="149" spans="17:23">
      <c r="Q149" t="s">
        <v>1628</v>
      </c>
      <c r="R149" t="s">
        <v>456</v>
      </c>
      <c r="S149" t="s">
        <v>1672</v>
      </c>
      <c r="T149">
        <v>1.6</v>
      </c>
      <c r="U149">
        <v>2.15</v>
      </c>
      <c r="V149" t="s">
        <v>2286</v>
      </c>
      <c r="W149" t="s">
        <v>1730</v>
      </c>
    </row>
    <row r="150" spans="17:23">
      <c r="Q150" t="s">
        <v>1628</v>
      </c>
      <c r="R150" t="s">
        <v>457</v>
      </c>
      <c r="S150" t="s">
        <v>1672</v>
      </c>
      <c r="T150">
        <v>1.3</v>
      </c>
      <c r="U150">
        <v>1.9</v>
      </c>
      <c r="V150" t="s">
        <v>2354</v>
      </c>
      <c r="W150" t="s">
        <v>1730</v>
      </c>
    </row>
    <row r="151" spans="17:23">
      <c r="Q151" t="s">
        <v>1630</v>
      </c>
      <c r="R151" t="s">
        <v>1727</v>
      </c>
      <c r="S151" t="s">
        <v>1480</v>
      </c>
      <c r="T151">
        <v>2.6</v>
      </c>
      <c r="U151">
        <v>2.9</v>
      </c>
      <c r="V151" t="s">
        <v>2360</v>
      </c>
      <c r="W151" t="s">
        <v>2276</v>
      </c>
    </row>
    <row r="152" spans="17:23">
      <c r="Q152" t="s">
        <v>1630</v>
      </c>
      <c r="R152" t="s">
        <v>1728</v>
      </c>
      <c r="S152" t="s">
        <v>1680</v>
      </c>
      <c r="T152">
        <v>0</v>
      </c>
      <c r="U152">
        <v>10</v>
      </c>
      <c r="V152" t="s">
        <v>2279</v>
      </c>
      <c r="W152" t="s">
        <v>1731</v>
      </c>
    </row>
    <row r="153" spans="17:23">
      <c r="Q153" t="s">
        <v>1630</v>
      </c>
      <c r="R153" t="s">
        <v>456</v>
      </c>
      <c r="S153" t="s">
        <v>338</v>
      </c>
      <c r="T153">
        <v>1.8</v>
      </c>
      <c r="U153">
        <v>2.5</v>
      </c>
      <c r="V153" t="s">
        <v>2286</v>
      </c>
      <c r="W153" t="s">
        <v>1730</v>
      </c>
    </row>
    <row r="154" spans="17:23">
      <c r="Q154" t="s">
        <v>1630</v>
      </c>
      <c r="R154" t="s">
        <v>457</v>
      </c>
      <c r="S154" t="s">
        <v>338</v>
      </c>
      <c r="T154">
        <v>1.6</v>
      </c>
      <c r="U154">
        <v>2.2999999999999998</v>
      </c>
      <c r="V154" t="s">
        <v>2354</v>
      </c>
      <c r="W154" t="s">
        <v>1730</v>
      </c>
    </row>
  </sheetData>
  <mergeCells count="16">
    <mergeCell ref="A7:C7"/>
    <mergeCell ref="A9:C9"/>
    <mergeCell ref="Q9:S9"/>
    <mergeCell ref="A10:C10"/>
    <mergeCell ref="Q10:S10"/>
    <mergeCell ref="A11:C11"/>
    <mergeCell ref="A12:C12"/>
    <mergeCell ref="Q12:S12"/>
    <mergeCell ref="A13:C13"/>
    <mergeCell ref="P30:Q30"/>
    <mergeCell ref="L86:M86"/>
    <mergeCell ref="L92:M92"/>
    <mergeCell ref="L90:M90"/>
    <mergeCell ref="A36:C36"/>
    <mergeCell ref="A48:C48"/>
    <mergeCell ref="L88:M88"/>
  </mergeCells>
  <conditionalFormatting sqref="K86">
    <cfRule type="expression" dxfId="361" priority="13">
      <formula>ISNUMBER(SEARCH("RE-ANALYZE",$L86))</formula>
    </cfRule>
    <cfRule type="expression" dxfId="360" priority="14">
      <formula>ISNUMBER(SEARCH("REVIEW",$L86))</formula>
    </cfRule>
    <cfRule type="expression" dxfId="359" priority="15">
      <formula>ISNUMBER(SEARCH("CHECK",$L86))</formula>
    </cfRule>
    <cfRule type="expression" dxfId="358" priority="16">
      <formula>ISNUMBER(SEARCH("PASS",$L86))</formula>
    </cfRule>
  </conditionalFormatting>
  <conditionalFormatting sqref="K88">
    <cfRule type="expression" dxfId="357" priority="9">
      <formula>ISNUMBER(SEARCH("RE-ANALYZE",$L88))</formula>
    </cfRule>
    <cfRule type="expression" dxfId="356" priority="10">
      <formula>ISNUMBER(SEARCH("REVIEW",$L88))</formula>
    </cfRule>
    <cfRule type="expression" dxfId="355" priority="11">
      <formula>ISNUMBER(SEARCH("CHECK",$L88))</formula>
    </cfRule>
    <cfRule type="expression" dxfId="354" priority="12">
      <formula>ISNUMBER(SEARCH("PASS",$L88))</formula>
    </cfRule>
  </conditionalFormatting>
  <conditionalFormatting sqref="K90">
    <cfRule type="expression" dxfId="353" priority="5">
      <formula>ISNUMBER(SEARCH("RE-ANALYZE",$L90))</formula>
    </cfRule>
    <cfRule type="expression" dxfId="352" priority="6">
      <formula>ISNUMBER(SEARCH("REVIEW",$L90))</formula>
    </cfRule>
    <cfRule type="expression" dxfId="351" priority="7">
      <formula>ISNUMBER(SEARCH("CHECK",$L90))</formula>
    </cfRule>
    <cfRule type="expression" dxfId="350" priority="8">
      <formula>ISNUMBER(SEARCH("PASS",$L90))</formula>
    </cfRule>
  </conditionalFormatting>
  <conditionalFormatting sqref="K92">
    <cfRule type="expression" dxfId="349" priority="1">
      <formula>ISNUMBER(SEARCH("RE-ANALYZE",$L92))</formula>
    </cfRule>
    <cfRule type="expression" dxfId="348" priority="2">
      <formula>ISNUMBER(SEARCH("REVIEW",$L92))</formula>
    </cfRule>
    <cfRule type="expression" dxfId="347" priority="3">
      <formula>ISNUMBER(SEARCH("CHECK",$L92))</formula>
    </cfRule>
    <cfRule type="expression" dxfId="346" priority="4">
      <formula>ISNUMBER(SEARCH("PASS",$L92))</formula>
    </cfRule>
  </conditionalFormatting>
  <dataValidations count="2">
    <dataValidation type="list" allowBlank="1" showInputMessage="1" showErrorMessage="1" sqref="U9" xr:uid="{9D683D52-363C-43FF-B6EF-97D2DA9A1D76}">
      <formula1>"RAFLY,RIZKI,NOUFAL"</formula1>
    </dataValidation>
    <dataValidation type="list" allowBlank="1" showInputMessage="1" showErrorMessage="1" sqref="D12" xr:uid="{0C954EBA-A972-4CE3-BFDB-35B581E3610F}">
      <formula1>$U$23:$U$34</formula1>
    </dataValidation>
  </dataValidations>
  <pageMargins left="0.7" right="0.7" top="0.75" bottom="0.75" header="0.3" footer="0.3"/>
  <pageSetup paperSize="14" orientation="portrait"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6B0B8-EC54-5A43-AF49-619680C7D369}">
  <sheetPr>
    <tabColor rgb="FFFFC000"/>
  </sheetPr>
  <dimension ref="A1:AC150"/>
  <sheetViews>
    <sheetView view="pageBreakPreview" topLeftCell="A33" zoomScaleNormal="100" zoomScaleSheetLayoutView="100" zoomScalePageLayoutView="62" workbookViewId="0">
      <selection activeCell="O39" sqref="O39:Q39"/>
    </sheetView>
  </sheetViews>
  <sheetFormatPr defaultColWidth="11" defaultRowHeight="15.75"/>
  <cols>
    <col min="1" max="2" width="4.875" customWidth="1"/>
    <col min="3" max="3" width="5.5" customWidth="1"/>
    <col min="4" max="8" width="4.875" customWidth="1"/>
    <col min="9" max="9" width="4.875" style="4" customWidth="1"/>
    <col min="10" max="11" width="4.875" customWidth="1"/>
    <col min="12" max="12" width="8.5" customWidth="1"/>
    <col min="13" max="13" width="1.875" customWidth="1"/>
    <col min="14" max="18" width="4.875" customWidth="1"/>
    <col min="19" max="19" width="1.25" customWidth="1"/>
    <col min="20" max="24" width="4.875" customWidth="1"/>
    <col min="25" max="25" width="5" customWidth="1"/>
    <col min="26" max="26" width="4.875" customWidth="1"/>
  </cols>
  <sheetData>
    <row r="1" spans="1:26">
      <c r="D1" s="1737" t="s">
        <v>302</v>
      </c>
      <c r="E1" s="1737"/>
      <c r="F1" s="1737"/>
      <c r="G1" s="1737"/>
      <c r="H1" s="1737"/>
      <c r="I1" s="1737"/>
      <c r="J1" s="1737"/>
      <c r="K1" s="1737"/>
      <c r="L1" s="1737"/>
      <c r="M1" s="1737"/>
      <c r="N1" s="1737"/>
      <c r="O1" s="1737"/>
      <c r="P1" s="1737"/>
      <c r="Q1" s="1737"/>
      <c r="R1" s="1737"/>
      <c r="S1" s="1737"/>
      <c r="T1" s="1737"/>
      <c r="U1" s="1737"/>
    </row>
    <row r="2" spans="1:26" ht="18">
      <c r="D2" s="1738" t="s">
        <v>1585</v>
      </c>
      <c r="E2" s="1738"/>
      <c r="F2" s="1738"/>
      <c r="G2" s="1738"/>
      <c r="H2" s="1738"/>
      <c r="I2" s="1738"/>
      <c r="J2" s="1738"/>
      <c r="K2" s="1738"/>
      <c r="L2" s="1738"/>
      <c r="M2" s="1738"/>
      <c r="N2" s="1738"/>
      <c r="O2" s="1738"/>
      <c r="P2" s="1738"/>
      <c r="Q2" s="1738"/>
      <c r="R2" s="1738"/>
      <c r="S2" s="1738"/>
      <c r="T2" s="1738"/>
      <c r="U2" s="1738"/>
    </row>
    <row r="3" spans="1:26">
      <c r="A3" s="333"/>
      <c r="B3" s="333"/>
      <c r="C3" s="333"/>
      <c r="D3" s="333"/>
      <c r="E3" s="333"/>
      <c r="F3" s="1745" t="s">
        <v>304</v>
      </c>
      <c r="G3" s="1745"/>
      <c r="H3" s="1745"/>
      <c r="I3" s="1745"/>
      <c r="J3" s="1745"/>
      <c r="K3" s="1745"/>
      <c r="L3" s="1745"/>
      <c r="M3" s="1745"/>
      <c r="N3" s="1745"/>
      <c r="O3" s="1745"/>
      <c r="P3" s="1745"/>
      <c r="Q3" s="1745"/>
      <c r="R3" s="1745"/>
      <c r="S3" s="1745"/>
      <c r="T3" s="1745"/>
      <c r="U3" s="1745"/>
      <c r="V3" s="333"/>
      <c r="W3" s="333"/>
      <c r="X3" s="333"/>
      <c r="Y3" s="333"/>
    </row>
    <row r="4" spans="1:26" ht="8.1" customHeight="1"/>
    <row r="5" spans="1:26" ht="8.1" customHeight="1"/>
    <row r="6" spans="1:26"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c r="Y6" s="335"/>
    </row>
    <row r="7" spans="1:26">
      <c r="A7" s="1635" t="s">
        <v>1347</v>
      </c>
      <c r="B7" s="1635"/>
      <c r="C7" s="1635"/>
      <c r="D7" s="1635"/>
      <c r="E7" s="794" t="str">
        <f>":  "&amp;IF('DATA INDUK'!H18="","",'DATA INDUK'!H18)</f>
        <v>:  R0</v>
      </c>
      <c r="G7" s="672"/>
      <c r="H7" s="672"/>
      <c r="I7" s="1791" t="s">
        <v>1348</v>
      </c>
      <c r="J7" s="1791"/>
      <c r="K7" s="1791"/>
      <c r="L7" s="1791"/>
      <c r="M7" s="1636" t="str">
        <f>":  "&amp;IF('DATA INDUK'!H19="","",TEXT('DATA INDUK'!H19,"dd mmmm yyyy"))</f>
        <v>:  29 January 2026</v>
      </c>
      <c r="N7" s="1636"/>
      <c r="O7" s="1636"/>
      <c r="P7" s="1636"/>
      <c r="Q7" s="1636"/>
      <c r="R7" s="1194"/>
      <c r="S7" s="1194"/>
      <c r="T7" s="1127"/>
      <c r="U7" s="1746" t="s">
        <v>1351</v>
      </c>
      <c r="V7" s="1746"/>
      <c r="W7" s="1746"/>
      <c r="X7" s="1635" t="str">
        <f>":  1 dari 1"</f>
        <v>:  1 dari 1</v>
      </c>
      <c r="Y7" s="1635"/>
      <c r="Z7" s="327"/>
    </row>
    <row r="8" spans="1:26"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c r="Y8" s="339"/>
    </row>
    <row r="9" spans="1:26">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5"/>
      <c r="Y9" s="1307"/>
      <c r="Z9" s="335"/>
    </row>
    <row r="10" spans="1:26"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255"/>
      <c r="Y10" s="1357"/>
    </row>
    <row r="11" spans="1:26">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340"/>
      <c r="Y11" s="1301"/>
    </row>
    <row r="12" spans="1:26" ht="36" customHeight="1">
      <c r="A12" s="1707" t="str">
        <f>IF('DATA INDUK'!H2="","",'DATA INDUK'!H2)</f>
        <v>BSI Candrian Waste Dump Extension Study</v>
      </c>
      <c r="B12" s="1708"/>
      <c r="C12" s="1708"/>
      <c r="D12" s="1708"/>
      <c r="E12" s="1708"/>
      <c r="F12" s="1708"/>
      <c r="G12" s="1708"/>
      <c r="H12" s="1708"/>
      <c r="I12" s="1708"/>
      <c r="J12" s="1708"/>
      <c r="K12" s="1708"/>
      <c r="L12" s="1709"/>
      <c r="M12" s="340"/>
      <c r="N12" s="1707" t="str">
        <f>IF('WS-PP'!D7="","",'WS-PP'!D7)</f>
        <v>26-001-DS-001</v>
      </c>
      <c r="O12" s="1708"/>
      <c r="P12" s="1708"/>
      <c r="Q12" s="1708"/>
      <c r="R12" s="1708"/>
      <c r="S12" s="1708"/>
      <c r="T12" s="1708"/>
      <c r="U12" s="1708"/>
      <c r="V12" s="1708"/>
      <c r="W12" s="1708"/>
      <c r="X12" s="1708"/>
      <c r="Y12" s="1709"/>
    </row>
    <row r="13" spans="1:26" ht="21.75" customHeight="1">
      <c r="A13" s="1641" t="s">
        <v>1490</v>
      </c>
      <c r="B13" s="1637"/>
      <c r="C13" s="1637"/>
      <c r="D13" s="1637"/>
      <c r="E13" s="1637" t="str">
        <f>":  "&amp;IF('DATA INDUK'!H3="","",'DATA INDUK'!H3)</f>
        <v>:  Banyuwangi - JAWA TIMUR</v>
      </c>
      <c r="F13" s="1637"/>
      <c r="G13" s="1637"/>
      <c r="H13" s="1637"/>
      <c r="I13" s="1637"/>
      <c r="J13" s="1637"/>
      <c r="K13" s="1637"/>
      <c r="L13" s="1638"/>
      <c r="M13" s="340"/>
      <c r="N13" s="1812" t="s">
        <v>1737</v>
      </c>
      <c r="O13" s="1632"/>
      <c r="P13" s="1632"/>
      <c r="Q13" s="1632"/>
      <c r="R13" s="1632"/>
      <c r="S13" s="1632" t="s">
        <v>0</v>
      </c>
      <c r="T13" s="1813" t="e">
        <f>IF('WS-PP'!D10="","",'WS-PP'!D10)</f>
        <v>#N/A</v>
      </c>
      <c r="U13" s="1813"/>
      <c r="V13" s="1813"/>
      <c r="W13" s="1813"/>
      <c r="X13" s="1813"/>
      <c r="Y13" s="1813"/>
    </row>
    <row r="14" spans="1:26" ht="21" customHeight="1">
      <c r="A14" s="1641" t="s">
        <v>1491</v>
      </c>
      <c r="B14" s="1637"/>
      <c r="C14" s="1637"/>
      <c r="D14" s="1637"/>
      <c r="E14" s="1637" t="str">
        <f>":  "&amp;IF('DATA INDUK'!H9="","",'DATA INDUK'!H9)</f>
        <v>:  PO-GQT-001</v>
      </c>
      <c r="F14" s="1637"/>
      <c r="G14" s="1637"/>
      <c r="H14" s="1637"/>
      <c r="I14" s="1637"/>
      <c r="J14" s="1637"/>
      <c r="K14" s="1637"/>
      <c r="L14" s="1638"/>
      <c r="M14" s="340"/>
      <c r="N14" s="1812"/>
      <c r="O14" s="1632"/>
      <c r="P14" s="1632"/>
      <c r="Q14" s="1632"/>
      <c r="R14" s="1632"/>
      <c r="S14" s="1632"/>
      <c r="T14" s="1813"/>
      <c r="U14" s="1813"/>
      <c r="V14" s="1813"/>
      <c r="W14" s="1813"/>
      <c r="X14" s="1813"/>
      <c r="Y14" s="1813"/>
    </row>
    <row r="15" spans="1:26" ht="8.1" customHeight="1">
      <c r="A15" s="909"/>
      <c r="B15" s="1302"/>
      <c r="C15" s="1302"/>
      <c r="D15" s="1302"/>
      <c r="E15" s="1302"/>
      <c r="F15" s="1302"/>
      <c r="G15" s="1302"/>
      <c r="H15" s="1302"/>
      <c r="I15" s="1302"/>
      <c r="J15" s="1302"/>
      <c r="K15" s="1302"/>
      <c r="L15" s="1303"/>
      <c r="M15" s="340"/>
      <c r="N15" s="1641" t="s">
        <v>1494</v>
      </c>
      <c r="O15" s="1637"/>
      <c r="P15" s="1637"/>
      <c r="Q15" s="1637"/>
      <c r="R15" s="1637"/>
      <c r="S15" s="1632" t="s">
        <v>0</v>
      </c>
      <c r="T15" s="1637" t="str">
        <f>IF('WS-PP'!D11="","",'WS-PP'!D11)</f>
        <v>Disturbed Sample</v>
      </c>
      <c r="U15" s="1637"/>
      <c r="V15" s="1637"/>
      <c r="W15" s="1637"/>
      <c r="X15" s="1637"/>
      <c r="Y15" s="1638"/>
    </row>
    <row r="16" spans="1:26" ht="8.1" customHeight="1">
      <c r="B16" s="340"/>
      <c r="C16" s="340"/>
      <c r="D16" s="340"/>
      <c r="E16" s="340"/>
      <c r="F16" s="340"/>
      <c r="G16" s="340"/>
      <c r="H16" s="340"/>
      <c r="I16" s="340"/>
      <c r="J16" s="340"/>
      <c r="K16" s="340"/>
      <c r="L16" s="340"/>
      <c r="M16" s="340"/>
      <c r="N16" s="1641"/>
      <c r="O16" s="1637"/>
      <c r="P16" s="1637"/>
      <c r="Q16" s="1637"/>
      <c r="R16" s="1637"/>
      <c r="S16" s="1632"/>
      <c r="T16" s="1637"/>
      <c r="U16" s="1637"/>
      <c r="V16" s="1637"/>
      <c r="W16" s="1637"/>
      <c r="X16" s="1637"/>
      <c r="Y16" s="1638"/>
    </row>
    <row r="17" spans="1:25">
      <c r="A17" s="1654" t="s">
        <v>1279</v>
      </c>
      <c r="B17" s="1655"/>
      <c r="C17" s="1655"/>
      <c r="D17" s="1655"/>
      <c r="E17" s="1655"/>
      <c r="F17" s="1655"/>
      <c r="G17" s="1655"/>
      <c r="H17" s="1655"/>
      <c r="I17" s="1655"/>
      <c r="J17" s="1655"/>
      <c r="K17" s="1655"/>
      <c r="L17" s="1656"/>
      <c r="M17" s="340"/>
      <c r="N17" s="1641" t="s">
        <v>1495</v>
      </c>
      <c r="O17" s="1637"/>
      <c r="P17" s="1637"/>
      <c r="Q17" s="1637"/>
      <c r="R17" s="1637"/>
      <c r="S17" s="794" t="s">
        <v>0</v>
      </c>
      <c r="T17" s="1637" t="str">
        <f>IF('WS-PP'!D12="","",'WS-PP'!D12)</f>
        <v>Lempung / Clay</v>
      </c>
      <c r="U17" s="1637"/>
      <c r="V17" s="1637"/>
      <c r="W17" s="1637"/>
      <c r="X17" s="1637"/>
      <c r="Y17" s="1638"/>
    </row>
    <row r="18" spans="1:25" ht="8.1" customHeight="1">
      <c r="A18" s="901"/>
      <c r="B18" s="550"/>
      <c r="C18" s="550"/>
      <c r="D18" s="550"/>
      <c r="E18" s="550"/>
      <c r="F18" s="550"/>
      <c r="G18" s="550"/>
      <c r="H18" s="550"/>
      <c r="I18" s="550"/>
      <c r="J18" s="550"/>
      <c r="K18" s="550"/>
      <c r="L18" s="1308"/>
      <c r="M18" s="340"/>
      <c r="N18" s="1641" t="s">
        <v>1496</v>
      </c>
      <c r="O18" s="1637"/>
      <c r="P18" s="1637"/>
      <c r="Q18" s="1637"/>
      <c r="R18" s="1637"/>
      <c r="S18" s="1632" t="s">
        <v>0</v>
      </c>
      <c r="T18" s="1637" t="str">
        <f>IF('WS-PP'!D13="","",'WS-PP'!D13)</f>
        <v>Coklat Kekuningan / Yellowish Brown</v>
      </c>
      <c r="U18" s="1637"/>
      <c r="V18" s="1637"/>
      <c r="W18" s="1637"/>
      <c r="X18" s="1637"/>
      <c r="Y18" s="1638"/>
    </row>
    <row r="19" spans="1:25"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2"/>
      <c r="T19" s="1637"/>
      <c r="U19" s="1637"/>
      <c r="V19" s="1637"/>
      <c r="W19" s="1637"/>
      <c r="X19" s="1637"/>
      <c r="Y19" s="1638"/>
    </row>
    <row r="20" spans="1:25" ht="8.1" customHeight="1">
      <c r="A20" s="1634"/>
      <c r="B20" s="1635"/>
      <c r="C20" s="1635"/>
      <c r="D20" s="1635"/>
      <c r="E20" s="1639"/>
      <c r="F20" s="1639"/>
      <c r="G20" s="1639"/>
      <c r="H20" s="1639"/>
      <c r="I20" s="1639"/>
      <c r="J20" s="1639"/>
      <c r="K20" s="1639"/>
      <c r="L20" s="1640"/>
      <c r="M20" s="340"/>
      <c r="N20" s="1641" t="s">
        <v>1497</v>
      </c>
      <c r="O20" s="1637"/>
      <c r="P20" s="1637"/>
      <c r="Q20" s="1637"/>
      <c r="R20" s="1637"/>
      <c r="S20" s="1632" t="s">
        <v>0</v>
      </c>
      <c r="T20" s="1637" t="str">
        <f>IF('DATA INDUK'!H13="","",TEXT('DATA INDUK'!H13,"dd mmmm yyyy"))</f>
        <v>05 January 2026</v>
      </c>
      <c r="U20" s="1637"/>
      <c r="V20" s="1637"/>
      <c r="W20" s="1637"/>
      <c r="X20" s="1637"/>
      <c r="Y20" s="1638"/>
    </row>
    <row r="21" spans="1:25"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2"/>
      <c r="T21" s="1637"/>
      <c r="U21" s="1637"/>
      <c r="V21" s="1637"/>
      <c r="W21" s="1637"/>
      <c r="X21" s="1637"/>
      <c r="Y21" s="1638"/>
    </row>
    <row r="22" spans="1:25" ht="8.1" customHeight="1">
      <c r="A22" s="1634"/>
      <c r="B22" s="1635"/>
      <c r="C22" s="1635"/>
      <c r="D22" s="1635"/>
      <c r="E22" s="1639"/>
      <c r="F22" s="1639"/>
      <c r="G22" s="1639"/>
      <c r="H22" s="1639"/>
      <c r="I22" s="1639"/>
      <c r="J22" s="1639"/>
      <c r="K22" s="1639"/>
      <c r="L22" s="1640"/>
      <c r="M22" s="340"/>
      <c r="N22" s="1641" t="s">
        <v>1350</v>
      </c>
      <c r="O22" s="1637"/>
      <c r="P22" s="1637"/>
      <c r="Q22" s="1637"/>
      <c r="R22" s="1637"/>
      <c r="S22" s="1632" t="s">
        <v>0</v>
      </c>
      <c r="T22" s="1637" t="str">
        <f>IF('WS-PP'!T12="","",TEXT('WS-PP'!T12,"dd mmmm yyyy"))</f>
        <v>05 January 2026</v>
      </c>
      <c r="U22" s="1637"/>
      <c r="V22" s="1637"/>
      <c r="W22" s="1637"/>
      <c r="X22" s="1637"/>
      <c r="Y22" s="1638"/>
    </row>
    <row r="23" spans="1:25" ht="8.1" customHeight="1">
      <c r="A23" s="1309"/>
      <c r="B23" s="1302"/>
      <c r="C23" s="1302"/>
      <c r="D23" s="1302"/>
      <c r="E23" s="1302"/>
      <c r="F23" s="1302"/>
      <c r="G23" s="1302"/>
      <c r="H23" s="1302"/>
      <c r="I23" s="1302"/>
      <c r="J23" s="1302"/>
      <c r="K23" s="1302"/>
      <c r="L23" s="1303"/>
      <c r="M23" s="340"/>
      <c r="N23" s="1642"/>
      <c r="O23" s="1643"/>
      <c r="P23" s="1643"/>
      <c r="Q23" s="1643"/>
      <c r="R23" s="1643"/>
      <c r="S23" s="1811"/>
      <c r="T23" s="1643"/>
      <c r="U23" s="1643"/>
      <c r="V23" s="1643"/>
      <c r="W23" s="1643"/>
      <c r="X23" s="1643"/>
      <c r="Y23" s="1644"/>
    </row>
    <row r="24" spans="1:25"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c r="Y24" s="340"/>
    </row>
    <row r="25" spans="1:25"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c r="Y25" s="340"/>
    </row>
    <row r="26" spans="1:25">
      <c r="A26" s="1706" t="str">
        <f>'WS-PP'!A2</f>
        <v>UJI SIFAT FISIK TANAH</v>
      </c>
      <c r="B26" s="1706"/>
      <c r="C26" s="1706"/>
      <c r="D26" s="1706"/>
      <c r="E26" s="1706"/>
      <c r="F26" s="1706"/>
      <c r="G26" s="1706"/>
      <c r="H26" s="1706"/>
      <c r="I26" s="1706"/>
      <c r="J26" s="1706"/>
      <c r="K26" s="1706"/>
      <c r="L26" s="1706"/>
      <c r="M26" s="1706"/>
      <c r="N26" s="1706"/>
      <c r="O26" s="1706"/>
      <c r="P26" s="1706"/>
      <c r="Q26" s="1706"/>
      <c r="R26" s="1706"/>
      <c r="S26" s="1706"/>
      <c r="T26" s="1706"/>
      <c r="U26" s="1706"/>
      <c r="V26" s="1706"/>
      <c r="W26" s="1706"/>
      <c r="X26" s="1706"/>
      <c r="Y26" s="1706"/>
    </row>
    <row r="27" spans="1:25">
      <c r="A27" s="1750" t="str">
        <f>'WS-PP'!A3</f>
        <v>SOIL PHYSICAL PROPERTIES TEST</v>
      </c>
      <c r="B27" s="1750"/>
      <c r="C27" s="1750"/>
      <c r="D27" s="1750"/>
      <c r="E27" s="1750"/>
      <c r="F27" s="1750"/>
      <c r="G27" s="1750"/>
      <c r="H27" s="1750"/>
      <c r="I27" s="1750"/>
      <c r="J27" s="1750"/>
      <c r="K27" s="1750"/>
      <c r="L27" s="1750"/>
      <c r="M27" s="1750"/>
      <c r="N27" s="1750"/>
      <c r="O27" s="1750"/>
      <c r="P27" s="1750"/>
      <c r="Q27" s="1750"/>
      <c r="R27" s="1750"/>
      <c r="S27" s="1750"/>
      <c r="T27" s="1750"/>
      <c r="U27" s="1750"/>
      <c r="V27" s="1750"/>
      <c r="W27" s="1750"/>
      <c r="X27" s="1750"/>
      <c r="Y27" s="1750"/>
    </row>
    <row r="28" spans="1:25"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c r="Y28" s="335"/>
    </row>
    <row r="29" spans="1:25">
      <c r="A29" s="335"/>
      <c r="B29" s="335"/>
      <c r="C29" s="335"/>
      <c r="D29" s="335"/>
      <c r="E29" s="335"/>
      <c r="F29" s="335"/>
      <c r="G29" s="335"/>
      <c r="H29" s="335"/>
      <c r="I29" s="338"/>
      <c r="J29" s="335"/>
      <c r="K29" s="335"/>
      <c r="L29" s="335"/>
      <c r="M29" s="335"/>
      <c r="N29" s="335"/>
      <c r="O29" s="335"/>
      <c r="P29" s="335"/>
      <c r="Q29" s="335"/>
      <c r="R29" s="335"/>
      <c r="S29" s="335"/>
      <c r="T29" s="335"/>
      <c r="U29" s="335"/>
      <c r="V29" s="335"/>
      <c r="W29" s="335"/>
      <c r="X29" s="335"/>
      <c r="Y29" s="335"/>
    </row>
    <row r="30" spans="1:25">
      <c r="A30" s="335"/>
      <c r="B30" s="335"/>
      <c r="C30" s="335"/>
      <c r="D30" s="335"/>
      <c r="E30" s="335"/>
      <c r="F30" s="335"/>
      <c r="G30" s="335"/>
      <c r="H30" s="335"/>
      <c r="I30" s="338"/>
      <c r="J30" s="335"/>
      <c r="K30" s="335"/>
      <c r="L30" s="335"/>
      <c r="M30" s="335"/>
      <c r="N30" s="335"/>
      <c r="O30" s="335"/>
      <c r="P30" s="335"/>
      <c r="Q30" s="335"/>
      <c r="R30" s="335"/>
      <c r="S30" s="335"/>
      <c r="T30" s="335"/>
      <c r="U30" s="335"/>
      <c r="V30" s="335"/>
      <c r="W30" s="335"/>
      <c r="X30" s="335"/>
      <c r="Y30" s="335"/>
    </row>
    <row r="31" spans="1:25">
      <c r="A31" s="335"/>
      <c r="B31" s="335"/>
      <c r="C31" s="335"/>
      <c r="D31" s="335"/>
      <c r="E31" s="335"/>
      <c r="F31" s="335"/>
      <c r="G31" s="335"/>
      <c r="H31" s="335"/>
      <c r="I31" s="338"/>
      <c r="J31" s="335"/>
      <c r="K31" s="335"/>
      <c r="L31" s="335"/>
      <c r="M31" s="335"/>
      <c r="N31" s="335"/>
      <c r="O31" s="335"/>
      <c r="P31" s="335"/>
      <c r="Q31" s="335"/>
      <c r="R31" s="335"/>
      <c r="S31" s="335"/>
      <c r="T31" s="335"/>
      <c r="U31" s="335"/>
      <c r="V31" s="335"/>
      <c r="W31" s="335"/>
      <c r="X31" s="335"/>
      <c r="Y31" s="335"/>
    </row>
    <row r="32" spans="1:25">
      <c r="A32" s="335"/>
      <c r="B32" s="335"/>
      <c r="C32" s="335"/>
      <c r="D32" s="335"/>
      <c r="E32" s="335"/>
      <c r="F32" s="335"/>
      <c r="G32" s="335"/>
      <c r="H32" s="335"/>
      <c r="I32" s="338"/>
      <c r="J32" s="335"/>
      <c r="K32" s="335"/>
      <c r="L32" s="335"/>
      <c r="M32" s="335"/>
      <c r="N32" s="335"/>
      <c r="O32" s="335"/>
      <c r="P32" s="335"/>
      <c r="Q32" s="335"/>
      <c r="R32" s="335"/>
      <c r="S32" s="335"/>
      <c r="T32" s="335"/>
      <c r="U32" s="335"/>
      <c r="V32" s="335"/>
      <c r="W32" s="335"/>
      <c r="X32" s="335"/>
      <c r="Y32" s="335"/>
    </row>
    <row r="33" spans="1:29">
      <c r="A33" s="335"/>
      <c r="B33" s="335"/>
      <c r="C33" s="335"/>
      <c r="E33" s="1006"/>
      <c r="F33" s="1006"/>
      <c r="G33" s="1128"/>
      <c r="H33" s="1128"/>
      <c r="I33" s="1128"/>
      <c r="J33" s="1128"/>
      <c r="K33" s="1128"/>
      <c r="L33" s="1128"/>
      <c r="M33" s="1128"/>
      <c r="N33" s="1128"/>
      <c r="O33" s="1128"/>
      <c r="P33" s="1128"/>
      <c r="Q33" s="1128"/>
      <c r="R33" s="335"/>
      <c r="S33" s="335"/>
      <c r="T33" s="335"/>
      <c r="U33" s="335"/>
      <c r="V33" s="335"/>
      <c r="W33" s="335"/>
      <c r="X33" s="335"/>
      <c r="Y33" s="335"/>
    </row>
    <row r="34" spans="1:29">
      <c r="A34" s="335"/>
      <c r="B34" s="335"/>
      <c r="C34" s="335"/>
      <c r="D34" s="1224"/>
      <c r="E34" s="1739" t="s">
        <v>575</v>
      </c>
      <c r="F34" s="1740"/>
      <c r="G34" s="1740"/>
      <c r="H34" s="1740"/>
      <c r="I34" s="1740"/>
      <c r="J34" s="1740"/>
      <c r="K34" s="1741"/>
      <c r="L34" s="1762" t="s">
        <v>1160</v>
      </c>
      <c r="M34" s="1763"/>
      <c r="N34" s="1764"/>
      <c r="O34" s="1739" t="s">
        <v>1148</v>
      </c>
      <c r="P34" s="1740"/>
      <c r="Q34" s="1741"/>
      <c r="R34" s="335"/>
      <c r="S34" s="335"/>
      <c r="T34" s="335"/>
      <c r="U34" s="335"/>
      <c r="V34" s="335"/>
      <c r="W34" s="335"/>
      <c r="X34" s="335"/>
      <c r="Y34" s="335"/>
    </row>
    <row r="35" spans="1:29">
      <c r="A35" s="335"/>
      <c r="B35" s="335"/>
      <c r="C35" s="335"/>
      <c r="D35" s="1224"/>
      <c r="E35" s="1742"/>
      <c r="F35" s="1743"/>
      <c r="G35" s="1743"/>
      <c r="H35" s="1743"/>
      <c r="I35" s="1743"/>
      <c r="J35" s="1743"/>
      <c r="K35" s="1744"/>
      <c r="L35" s="1765"/>
      <c r="M35" s="1766"/>
      <c r="N35" s="1767"/>
      <c r="O35" s="1742"/>
      <c r="P35" s="1743"/>
      <c r="Q35" s="1744"/>
      <c r="R35" s="335"/>
      <c r="S35" s="335"/>
      <c r="T35" s="335"/>
      <c r="U35" s="335"/>
      <c r="V35" s="335"/>
      <c r="W35" s="335"/>
      <c r="X35" s="335"/>
      <c r="Y35" s="335"/>
    </row>
    <row r="36" spans="1:29">
      <c r="D36" s="1224"/>
      <c r="E36" s="1751" t="s">
        <v>1162</v>
      </c>
      <c r="F36" s="1752"/>
      <c r="G36" s="1752"/>
      <c r="H36" s="1752"/>
      <c r="I36" s="1752"/>
      <c r="J36" s="1752"/>
      <c r="K36" s="1753"/>
      <c r="L36" s="1747" t="str">
        <f>'DATA INDUK'!$BS$30</f>
        <v>1964:2008</v>
      </c>
      <c r="M36" s="1748"/>
      <c r="N36" s="1749"/>
      <c r="O36" s="1756">
        <f>'WS-PP'!H66</f>
        <v>2.6824372757602966</v>
      </c>
      <c r="P36" s="1757"/>
      <c r="Q36" s="1758"/>
    </row>
    <row r="37" spans="1:29">
      <c r="D37" s="1224"/>
      <c r="E37" s="1751" t="s">
        <v>1161</v>
      </c>
      <c r="F37" s="1752"/>
      <c r="G37" s="1752"/>
      <c r="H37" s="1752"/>
      <c r="I37" s="1752"/>
      <c r="J37" s="1752"/>
      <c r="K37" s="1753"/>
      <c r="L37" s="1747" t="str">
        <f>'DATA INDUK'!$BS$31</f>
        <v>1965:2008</v>
      </c>
      <c r="M37" s="1748"/>
      <c r="N37" s="1749"/>
      <c r="O37" s="1759">
        <f>'WS-PP'!H67</f>
        <v>33.378096064570244</v>
      </c>
      <c r="P37" s="1760"/>
      <c r="Q37" s="1761"/>
    </row>
    <row r="38" spans="1:29">
      <c r="D38" s="1224"/>
      <c r="E38" s="1751" t="s">
        <v>1498</v>
      </c>
      <c r="F38" s="1752"/>
      <c r="G38" s="1752"/>
      <c r="H38" s="1752"/>
      <c r="I38" s="1752"/>
      <c r="J38" s="1752"/>
      <c r="K38" s="1753"/>
      <c r="L38" s="1747" t="str">
        <f>'DATA INDUK'!$BS$35</f>
        <v>03-3637-1994</v>
      </c>
      <c r="M38" s="1748"/>
      <c r="N38" s="1749"/>
      <c r="O38" s="1759">
        <f>'WS-PP'!H68</f>
        <v>1.6647356127598272</v>
      </c>
      <c r="P38" s="1760"/>
      <c r="Q38" s="1761"/>
    </row>
    <row r="39" spans="1:29">
      <c r="D39" s="1224"/>
      <c r="E39" s="1751" t="s">
        <v>1167</v>
      </c>
      <c r="F39" s="1752"/>
      <c r="G39" s="1752"/>
      <c r="H39" s="1752"/>
      <c r="I39" s="1752"/>
      <c r="J39" s="1752"/>
      <c r="K39" s="1753"/>
      <c r="L39" s="1747" t="str">
        <f>'DATA INDUK'!$BS$35</f>
        <v>03-3637-1994</v>
      </c>
      <c r="M39" s="1748"/>
      <c r="N39" s="1749"/>
      <c r="O39" s="1759">
        <f>'WS-PP'!H69</f>
        <v>1.2481326858601316</v>
      </c>
      <c r="P39" s="1760"/>
      <c r="Q39" s="1761"/>
      <c r="AA39" s="1012"/>
      <c r="AB39" s="656" t="str">
        <f>"LHU No.   : "&amp; IF('DATA INDUK'!$H$17="","",'DATA INDUK'!$H$17)</f>
        <v>LHU No.   : 23/MGS/53/II/2026</v>
      </c>
      <c r="AC39" s="1012"/>
    </row>
    <row r="40" spans="1:29">
      <c r="AA40" s="1012"/>
      <c r="AB40" s="1275" t="str">
        <f>"LAB ID.        : "&amp;$N$12&amp;""</f>
        <v>LAB ID.        : 26-001-DS-001</v>
      </c>
      <c r="AC40" s="1012"/>
    </row>
    <row r="41" spans="1:29">
      <c r="AA41" s="1012" t="s">
        <v>1208</v>
      </c>
      <c r="AB41" s="1275" t="str">
        <f>"TEST TYPE   : "&amp;AA41&amp;""</f>
        <v>TEST TYPE   : Physical Properties</v>
      </c>
      <c r="AC41" s="1012"/>
    </row>
    <row r="42" spans="1:29">
      <c r="AA42" s="1276"/>
      <c r="AB42" s="1275" t="str">
        <f>"DATE           : "&amp;TEXT('DATA INDUK'!$H$19,"yyyy-mm-dd")</f>
        <v>DATE           : 2026-01-29</v>
      </c>
      <c r="AC42" s="1012"/>
    </row>
    <row r="58" spans="3:24">
      <c r="U58" s="20" t="s">
        <v>1537</v>
      </c>
    </row>
    <row r="59" spans="3:24">
      <c r="C59" s="1768" t="s">
        <v>623</v>
      </c>
      <c r="D59" s="1769"/>
      <c r="E59" s="1769"/>
      <c r="F59" s="1769"/>
      <c r="G59" s="1770"/>
      <c r="H59" s="1768" t="s">
        <v>292</v>
      </c>
      <c r="I59" s="1769"/>
      <c r="J59" s="1769"/>
      <c r="K59" s="1769"/>
      <c r="L59" s="1769"/>
      <c r="M59" s="1768" t="s">
        <v>294</v>
      </c>
      <c r="N59" s="1769"/>
      <c r="O59" s="1769"/>
      <c r="P59" s="1769"/>
      <c r="Q59" s="1769"/>
      <c r="R59" s="1770"/>
      <c r="S59" s="1529"/>
      <c r="U59" s="328"/>
      <c r="V59" s="329"/>
      <c r="W59" s="329"/>
      <c r="X59" s="330"/>
    </row>
    <row r="60" spans="3:24" ht="15.95" customHeight="1">
      <c r="C60" s="1771" t="s">
        <v>624</v>
      </c>
      <c r="D60" s="1646"/>
      <c r="E60" s="1646"/>
      <c r="F60" s="1646"/>
      <c r="G60" s="1772"/>
      <c r="H60" s="1773" t="s">
        <v>293</v>
      </c>
      <c r="I60" s="1652"/>
      <c r="J60" s="1652"/>
      <c r="K60" s="1652"/>
      <c r="L60" s="1652"/>
      <c r="M60" s="1773" t="s">
        <v>295</v>
      </c>
      <c r="N60" s="1652"/>
      <c r="O60" s="1652"/>
      <c r="P60" s="1652"/>
      <c r="Q60" s="1652"/>
      <c r="R60" s="1774"/>
      <c r="S60" s="1531"/>
      <c r="U60" s="357"/>
      <c r="X60" s="331"/>
    </row>
    <row r="61" spans="3:24" ht="15.95" customHeight="1">
      <c r="C61" s="357"/>
      <c r="D61" s="359"/>
      <c r="E61" s="359"/>
      <c r="F61" s="359"/>
      <c r="G61" s="360"/>
      <c r="H61" s="357"/>
      <c r="I61"/>
      <c r="K61" s="4"/>
      <c r="M61" s="357"/>
      <c r="R61" s="331"/>
      <c r="U61" s="357"/>
      <c r="X61" s="331"/>
    </row>
    <row r="62" spans="3:24">
      <c r="C62" s="357"/>
      <c r="G62" s="331"/>
      <c r="H62" s="357"/>
      <c r="I62"/>
      <c r="K62" s="4"/>
      <c r="M62" s="357"/>
      <c r="R62" s="331"/>
      <c r="U62" s="357"/>
      <c r="X62" s="331"/>
    </row>
    <row r="63" spans="3:24">
      <c r="C63" s="357"/>
      <c r="G63" s="331"/>
      <c r="H63" s="357"/>
      <c r="I63"/>
      <c r="K63" s="4"/>
      <c r="M63" s="357"/>
      <c r="R63" s="331"/>
      <c r="U63" s="357"/>
      <c r="X63" s="331"/>
    </row>
    <row r="64" spans="3:24">
      <c r="C64" s="1777" t="str">
        <f>IF('WS-PP'!T9="","",'WS-PP'!T9)</f>
        <v>RIZKI</v>
      </c>
      <c r="D64" s="1632"/>
      <c r="E64" s="1632"/>
      <c r="F64" s="1632"/>
      <c r="G64" s="1778"/>
      <c r="H64" s="1777" t="str">
        <f>IF(C64='WS-PP'!T10," - ",'WS-PP'!T10)</f>
        <v>NOUFAL</v>
      </c>
      <c r="I64" s="1632"/>
      <c r="J64" s="1632"/>
      <c r="K64" s="1632"/>
      <c r="L64" s="1632"/>
      <c r="M64" s="1777" t="str">
        <f>IF('WS-PP'!T11="","",'WS-PP'!T11)</f>
        <v>A.SUMARTADJI</v>
      </c>
      <c r="N64" s="1632"/>
      <c r="O64" s="1632"/>
      <c r="P64" s="1632"/>
      <c r="Q64" s="1632"/>
      <c r="R64" s="1778"/>
      <c r="S64" s="786"/>
      <c r="U64" s="357"/>
      <c r="X64" s="331"/>
    </row>
    <row r="65" spans="1:25" s="15" customFormat="1" ht="12">
      <c r="C65" s="1779" t="s">
        <v>299</v>
      </c>
      <c r="D65" s="1685"/>
      <c r="E65" s="1685"/>
      <c r="F65" s="1685"/>
      <c r="G65" s="1780"/>
      <c r="H65" s="1779" t="s">
        <v>305</v>
      </c>
      <c r="I65" s="1685"/>
      <c r="J65" s="1685"/>
      <c r="K65" s="1685"/>
      <c r="L65" s="1685"/>
      <c r="M65" s="1779" t="s">
        <v>298</v>
      </c>
      <c r="N65" s="1685"/>
      <c r="O65" s="1685"/>
      <c r="P65" s="1685"/>
      <c r="Q65" s="1685"/>
      <c r="R65" s="1780"/>
      <c r="S65" s="1530"/>
      <c r="T65" s="364"/>
      <c r="U65" s="366"/>
      <c r="V65" s="364"/>
      <c r="W65" s="364"/>
      <c r="X65" s="365"/>
      <c r="Y65" s="364"/>
    </row>
    <row r="66" spans="1:25" ht="15.95" customHeight="1">
      <c r="C66" s="1781" t="s">
        <v>291</v>
      </c>
      <c r="D66" s="1782"/>
      <c r="E66" s="1775">
        <f>IF('DATA INDUK'!$H$19="","",'DATA INDUK'!$H$19-1)</f>
        <v>46050</v>
      </c>
      <c r="F66" s="1775"/>
      <c r="G66" s="1776"/>
      <c r="H66" s="1783" t="s">
        <v>291</v>
      </c>
      <c r="I66" s="1784"/>
      <c r="J66" s="1775">
        <f>IF('DATA INDUK'!$H$19="","",'DATA INDUK'!$H$19-1)</f>
        <v>46050</v>
      </c>
      <c r="K66" s="1775"/>
      <c r="L66" s="1776"/>
      <c r="M66" s="1783" t="s">
        <v>291</v>
      </c>
      <c r="N66" s="1784"/>
      <c r="O66" s="1784"/>
      <c r="P66" s="1775">
        <f>IF('DATA INDUK'!$H$19="","",'DATA INDUK'!$H$19-1)</f>
        <v>46050</v>
      </c>
      <c r="Q66" s="1775"/>
      <c r="R66" s="1776"/>
      <c r="S66" s="1532"/>
      <c r="U66" s="332"/>
      <c r="V66" s="333"/>
      <c r="W66" s="333"/>
      <c r="X66" s="334"/>
    </row>
    <row r="67" spans="1:25" ht="8.1" customHeight="1">
      <c r="A67" s="897"/>
      <c r="B67" s="898"/>
      <c r="C67" s="898"/>
      <c r="D67" s="898"/>
      <c r="E67" s="898"/>
      <c r="F67" s="898"/>
      <c r="G67" s="898"/>
      <c r="H67" s="897"/>
      <c r="I67" s="899"/>
      <c r="J67" s="898"/>
      <c r="K67" s="898"/>
      <c r="L67" s="898"/>
      <c r="M67" s="898"/>
      <c r="N67" s="898"/>
      <c r="O67" s="898"/>
      <c r="P67" s="900"/>
      <c r="Q67" s="897"/>
      <c r="R67" s="897"/>
      <c r="S67" s="897"/>
      <c r="T67" s="897"/>
      <c r="U67" s="897"/>
      <c r="V67" s="897"/>
      <c r="W67" s="897"/>
      <c r="X67" s="897"/>
      <c r="Y67" s="897"/>
    </row>
    <row r="68" spans="1:25" ht="15.95" customHeight="1">
      <c r="A68" s="1691" t="s">
        <v>899</v>
      </c>
      <c r="B68" s="1692"/>
      <c r="C68" s="1693"/>
      <c r="D68" s="965" t="s">
        <v>895</v>
      </c>
      <c r="E68" s="915"/>
      <c r="F68" s="916"/>
      <c r="G68" s="916"/>
      <c r="H68" s="916"/>
      <c r="I68" s="917"/>
      <c r="J68" s="916"/>
      <c r="K68" s="916"/>
      <c r="L68" s="918"/>
      <c r="M68" s="951" t="s">
        <v>90</v>
      </c>
      <c r="N68" s="916" t="s">
        <v>891</v>
      </c>
      <c r="O68" s="920"/>
      <c r="P68" s="920"/>
      <c r="Q68" s="920"/>
      <c r="R68" s="921"/>
      <c r="S68" s="921"/>
      <c r="T68" s="921"/>
      <c r="U68" s="921"/>
      <c r="V68" s="921"/>
      <c r="W68" s="921"/>
      <c r="X68" s="921"/>
      <c r="Y68" s="922"/>
    </row>
    <row r="69" spans="1:25">
      <c r="A69" s="1694"/>
      <c r="B69" s="1695"/>
      <c r="C69" s="1696"/>
      <c r="D69" s="966" t="s">
        <v>904</v>
      </c>
      <c r="E69" s="923"/>
      <c r="F69" s="923"/>
      <c r="G69" s="923"/>
      <c r="H69" s="923"/>
      <c r="I69" s="923"/>
      <c r="J69" s="923"/>
      <c r="K69" s="923"/>
      <c r="L69" s="924"/>
      <c r="M69" s="952" t="s">
        <v>90</v>
      </c>
      <c r="N69" s="926" t="s">
        <v>912</v>
      </c>
      <c r="O69" s="927"/>
      <c r="P69" s="927"/>
      <c r="Q69" s="927"/>
      <c r="R69" s="928"/>
      <c r="S69" s="928"/>
      <c r="T69" s="928"/>
      <c r="U69" s="928"/>
      <c r="V69" s="928"/>
      <c r="W69" s="928"/>
      <c r="X69" s="928"/>
      <c r="Y69" s="929"/>
    </row>
    <row r="70" spans="1:25" ht="15.95" customHeight="1">
      <c r="A70" s="1694"/>
      <c r="B70" s="1695"/>
      <c r="C70" s="1696"/>
      <c r="D70" s="966" t="s">
        <v>1580</v>
      </c>
      <c r="E70" s="923"/>
      <c r="F70" s="923"/>
      <c r="G70" s="923"/>
      <c r="H70" s="923"/>
      <c r="I70" s="923"/>
      <c r="J70" s="923"/>
      <c r="K70" s="923"/>
      <c r="L70" s="924"/>
      <c r="M70" s="953"/>
      <c r="N70" s="926" t="s">
        <v>1581</v>
      </c>
      <c r="O70" s="927"/>
      <c r="P70" s="927"/>
      <c r="Q70" s="927"/>
      <c r="R70" s="928"/>
      <c r="S70" s="928"/>
      <c r="T70" s="928"/>
      <c r="U70" s="928"/>
      <c r="V70" s="928"/>
      <c r="W70" s="928"/>
      <c r="X70" s="928"/>
      <c r="Y70" s="929"/>
    </row>
    <row r="71" spans="1:25" ht="15.95" customHeight="1">
      <c r="A71" s="1694"/>
      <c r="B71" s="1695"/>
      <c r="C71" s="1696"/>
      <c r="D71" s="966" t="s">
        <v>1322</v>
      </c>
      <c r="E71" s="923"/>
      <c r="F71" s="923"/>
      <c r="G71" s="923"/>
      <c r="H71" s="923"/>
      <c r="I71" s="923"/>
      <c r="J71" s="923"/>
      <c r="K71" s="923"/>
      <c r="L71" s="924"/>
      <c r="M71" s="952" t="s">
        <v>90</v>
      </c>
      <c r="N71" s="926" t="s">
        <v>898</v>
      </c>
      <c r="O71" s="931"/>
      <c r="P71" s="932"/>
      <c r="Q71" s="933"/>
      <c r="R71" s="934"/>
      <c r="S71" s="934"/>
      <c r="T71" s="934"/>
      <c r="U71" s="934"/>
      <c r="V71" s="934"/>
      <c r="W71" s="934"/>
      <c r="X71" s="934"/>
      <c r="Y71" s="935"/>
    </row>
    <row r="72" spans="1:25" ht="15.95" customHeight="1">
      <c r="A72" s="1697"/>
      <c r="B72" s="1698"/>
      <c r="C72" s="1699"/>
      <c r="D72" s="967" t="s">
        <v>897</v>
      </c>
      <c r="E72" s="936"/>
      <c r="F72" s="936"/>
      <c r="G72" s="936"/>
      <c r="H72" s="936"/>
      <c r="I72" s="936"/>
      <c r="J72" s="936"/>
      <c r="K72" s="936"/>
      <c r="L72" s="937"/>
      <c r="M72" s="954"/>
      <c r="N72" s="939" t="s">
        <v>894</v>
      </c>
      <c r="O72" s="940"/>
      <c r="P72" s="940"/>
      <c r="Q72" s="940"/>
      <c r="R72" s="940"/>
      <c r="S72" s="940"/>
      <c r="T72" s="941"/>
      <c r="U72" s="940"/>
      <c r="V72" s="940"/>
      <c r="W72" s="941"/>
      <c r="X72" s="941"/>
      <c r="Y72" s="942"/>
    </row>
    <row r="73" spans="1:25" ht="12" customHeight="1">
      <c r="B73" s="353"/>
      <c r="C73" s="353"/>
      <c r="D73" s="353"/>
      <c r="E73" s="353"/>
      <c r="F73" s="353"/>
      <c r="G73" s="353"/>
      <c r="J73" s="353"/>
      <c r="K73" s="353"/>
      <c r="L73" s="353"/>
      <c r="M73" s="353"/>
      <c r="N73" s="353"/>
      <c r="O73" s="353"/>
      <c r="P73" s="19"/>
      <c r="U73" s="943" t="str">
        <f>'DATA INDUK'!$BT$30</f>
        <v>23-MINEARTH-RM-LHU-PP-R0</v>
      </c>
    </row>
    <row r="74" spans="1:25" s="326" customFormat="1" ht="15" customHeight="1">
      <c r="A74" s="361" t="s">
        <v>892</v>
      </c>
      <c r="B74" s="893"/>
      <c r="C74" s="893"/>
      <c r="D74" s="893"/>
      <c r="E74" s="893"/>
      <c r="F74" s="893"/>
      <c r="G74" s="893"/>
      <c r="H74" s="893"/>
      <c r="I74" s="894"/>
      <c r="J74" s="893"/>
      <c r="K74" s="361" t="s">
        <v>1330</v>
      </c>
      <c r="L74" s="893"/>
      <c r="M74" s="893"/>
      <c r="N74" s="893"/>
      <c r="O74" s="893"/>
      <c r="P74" s="893"/>
      <c r="Q74" s="893"/>
      <c r="R74" s="893"/>
      <c r="S74" s="893"/>
      <c r="T74" s="361" t="s">
        <v>285</v>
      </c>
      <c r="U74" s="893"/>
      <c r="V74" s="895"/>
      <c r="W74" s="893"/>
      <c r="X74" s="893"/>
      <c r="Y74" s="893"/>
    </row>
    <row r="75" spans="1:25" ht="15" customHeight="1">
      <c r="A75" s="361" t="s">
        <v>283</v>
      </c>
      <c r="B75" s="892"/>
      <c r="C75" s="892"/>
      <c r="D75" s="892"/>
      <c r="E75" s="892"/>
      <c r="F75" s="892"/>
      <c r="G75" s="892"/>
      <c r="H75" s="892"/>
      <c r="I75" s="891"/>
      <c r="J75" s="892"/>
      <c r="K75" s="361" t="s">
        <v>296</v>
      </c>
      <c r="L75" s="892"/>
      <c r="M75" s="892"/>
      <c r="N75" s="892"/>
      <c r="O75" s="892"/>
      <c r="P75" s="892"/>
      <c r="Q75" s="892"/>
      <c r="R75" s="892"/>
      <c r="S75" s="892"/>
      <c r="T75" s="361" t="s">
        <v>289</v>
      </c>
      <c r="U75" s="892"/>
      <c r="V75" s="892"/>
      <c r="W75" s="892"/>
      <c r="X75" s="892"/>
      <c r="Y75" s="892"/>
    </row>
    <row r="76" spans="1:25">
      <c r="A76" s="892"/>
      <c r="B76" s="361"/>
      <c r="C76" s="361"/>
      <c r="D76" s="361"/>
      <c r="E76" s="361"/>
      <c r="F76" s="361"/>
      <c r="G76" s="361"/>
      <c r="H76" s="336"/>
      <c r="I76" s="891"/>
      <c r="J76" s="336"/>
      <c r="K76" s="892"/>
      <c r="L76" s="336"/>
      <c r="M76" s="336"/>
      <c r="N76" s="336"/>
      <c r="O76" s="336"/>
      <c r="P76" s="892"/>
      <c r="Q76" s="336"/>
      <c r="R76" s="892"/>
      <c r="S76" s="892"/>
      <c r="T76" s="892"/>
      <c r="U76" s="336"/>
      <c r="V76" s="336"/>
      <c r="W76" s="336"/>
      <c r="X76" s="336"/>
      <c r="Y76" s="336"/>
    </row>
    <row r="77" spans="1:25" ht="8.1" customHeight="1">
      <c r="A77" s="892"/>
      <c r="B77" s="892"/>
      <c r="C77" s="892"/>
      <c r="D77" s="892"/>
      <c r="E77" s="892"/>
      <c r="F77" s="892"/>
      <c r="G77" s="892"/>
      <c r="H77" s="892"/>
      <c r="I77" s="891"/>
      <c r="J77" s="892"/>
      <c r="K77" s="892"/>
      <c r="L77" s="892"/>
      <c r="M77" s="892"/>
      <c r="N77" s="892"/>
      <c r="O77" s="892"/>
      <c r="P77" s="892"/>
      <c r="Q77" s="892"/>
      <c r="R77" s="892"/>
      <c r="S77" s="892"/>
      <c r="T77" s="892"/>
      <c r="U77" s="892"/>
      <c r="V77" s="892"/>
      <c r="W77" s="892"/>
      <c r="X77" s="892"/>
      <c r="Y77" s="892"/>
    </row>
    <row r="78" spans="1:25" ht="23.25">
      <c r="F78" s="1681" t="s">
        <v>302</v>
      </c>
      <c r="G78" s="1681"/>
      <c r="H78" s="1681"/>
      <c r="I78" s="1681"/>
      <c r="J78" s="1681"/>
      <c r="K78" s="1681"/>
      <c r="L78" s="1681"/>
      <c r="M78" s="1681"/>
      <c r="N78" s="1681"/>
      <c r="O78" s="1681"/>
      <c r="P78" s="1681"/>
      <c r="Q78" s="1681"/>
      <c r="R78" s="1681"/>
      <c r="S78" s="1681"/>
      <c r="T78" s="1681"/>
      <c r="U78" s="1681"/>
    </row>
    <row r="79" spans="1:25" ht="20.25">
      <c r="F79" s="1682" t="s">
        <v>1582</v>
      </c>
      <c r="G79" s="1682"/>
      <c r="H79" s="1682"/>
      <c r="I79" s="1682"/>
      <c r="J79" s="1682"/>
      <c r="K79" s="1682"/>
      <c r="L79" s="1682"/>
      <c r="M79" s="1682"/>
      <c r="N79" s="1682"/>
      <c r="O79" s="1682"/>
      <c r="P79" s="1682"/>
      <c r="Q79" s="1682"/>
      <c r="R79" s="1682"/>
      <c r="S79" s="1682"/>
      <c r="T79" s="1682"/>
      <c r="U79" s="1682"/>
    </row>
    <row r="80" spans="1:25">
      <c r="F80" s="1683" t="s">
        <v>304</v>
      </c>
      <c r="G80" s="1683"/>
      <c r="H80" s="1683"/>
      <c r="I80" s="1683"/>
      <c r="J80" s="1683"/>
      <c r="K80" s="1683"/>
      <c r="L80" s="1683"/>
      <c r="M80" s="1683"/>
      <c r="N80" s="1683"/>
      <c r="O80" s="1683"/>
      <c r="P80" s="1683"/>
      <c r="Q80" s="1683"/>
      <c r="R80" s="1683"/>
      <c r="S80" s="1683"/>
      <c r="T80" s="1683"/>
      <c r="U80" s="1683"/>
    </row>
    <row r="81" spans="1:25" ht="8.1" customHeight="1">
      <c r="A81" s="333"/>
      <c r="B81" s="333"/>
      <c r="C81" s="333"/>
      <c r="D81" s="333"/>
      <c r="E81" s="333"/>
      <c r="F81" s="333"/>
      <c r="G81" s="333"/>
      <c r="H81" s="333"/>
      <c r="I81" s="337"/>
      <c r="J81" s="333"/>
      <c r="K81" s="333"/>
      <c r="L81" s="333"/>
      <c r="M81" s="333"/>
      <c r="N81" s="333"/>
      <c r="O81" s="333"/>
      <c r="P81" s="333"/>
      <c r="Q81" s="333"/>
      <c r="R81" s="333"/>
      <c r="S81" s="333"/>
      <c r="T81" s="333"/>
      <c r="U81" s="333"/>
      <c r="V81" s="333"/>
      <c r="W81" s="333"/>
      <c r="X81" s="333"/>
      <c r="Y81" s="333"/>
    </row>
    <row r="82" spans="1:25" ht="8.1" customHeight="1"/>
    <row r="83" spans="1:25">
      <c r="A83" s="1789" t="s">
        <v>765</v>
      </c>
      <c r="B83" s="1790"/>
      <c r="C83" s="1790"/>
      <c r="D83" s="1790"/>
      <c r="E83" s="1790"/>
      <c r="F83" s="1790">
        <f>F6</f>
        <v>0</v>
      </c>
      <c r="G83" s="1790"/>
      <c r="H83" s="1790"/>
      <c r="I83" s="1790"/>
      <c r="J83" s="1790"/>
      <c r="K83" s="707"/>
      <c r="L83" s="707"/>
      <c r="M83" s="707"/>
      <c r="N83" s="707"/>
      <c r="O83" s="707"/>
      <c r="P83" s="707"/>
      <c r="Q83" s="707"/>
      <c r="R83" s="707"/>
      <c r="S83" s="707"/>
      <c r="T83" s="707"/>
      <c r="U83" s="707"/>
      <c r="V83" s="707"/>
      <c r="W83" s="707"/>
      <c r="X83" s="707"/>
      <c r="Y83" s="354"/>
    </row>
    <row r="84" spans="1:25">
      <c r="A84" s="1786" t="s">
        <v>764</v>
      </c>
      <c r="B84" s="1787"/>
      <c r="C84" s="1787"/>
      <c r="D84" s="1787"/>
      <c r="E84" s="1787"/>
      <c r="F84" s="1787">
        <f>F7</f>
        <v>0</v>
      </c>
      <c r="G84" s="1787"/>
      <c r="H84" s="1787"/>
      <c r="I84" s="1787"/>
      <c r="J84" s="1787"/>
      <c r="K84" s="1788" t="s">
        <v>286</v>
      </c>
      <c r="L84" s="1788"/>
      <c r="M84" s="1788"/>
      <c r="N84" s="1788"/>
      <c r="O84" s="1788"/>
      <c r="P84" s="1795">
        <f>N7</f>
        <v>0</v>
      </c>
      <c r="Q84" s="1795"/>
      <c r="R84" s="1795"/>
      <c r="S84" s="1528"/>
      <c r="T84" s="350" t="s">
        <v>287</v>
      </c>
      <c r="U84" s="350"/>
      <c r="V84" s="350"/>
      <c r="W84" s="350" t="s">
        <v>730</v>
      </c>
      <c r="X84" s="350"/>
      <c r="Y84" s="355"/>
    </row>
    <row r="85" spans="1:25" ht="8.1" customHeight="1"/>
    <row r="86" spans="1:25">
      <c r="A86" s="1679" t="s">
        <v>288</v>
      </c>
      <c r="B86" s="1679"/>
      <c r="C86" s="1679"/>
      <c r="D86" s="1679"/>
      <c r="E86" s="1679"/>
      <c r="F86" s="1679"/>
      <c r="G86" s="1679"/>
      <c r="H86" s="1679"/>
      <c r="I86" s="1679"/>
      <c r="J86" s="1679"/>
      <c r="K86" s="1679"/>
      <c r="L86" s="1679"/>
      <c r="M86" s="1679"/>
      <c r="N86" s="1679"/>
      <c r="O86" s="1679"/>
      <c r="P86" s="1679"/>
      <c r="Q86" s="1679"/>
      <c r="R86" s="1679"/>
      <c r="S86" s="1679"/>
      <c r="T86" s="1679"/>
      <c r="U86" s="1679"/>
      <c r="V86" s="1679"/>
      <c r="W86" s="1679"/>
      <c r="X86" s="1679"/>
      <c r="Y86" s="1679"/>
    </row>
    <row r="138" spans="1:25">
      <c r="H138" s="686"/>
      <c r="I138" s="687"/>
      <c r="J138" s="686"/>
      <c r="K138" s="686"/>
      <c r="L138" s="686"/>
      <c r="M138" s="686"/>
      <c r="N138" s="686"/>
      <c r="O138" s="686"/>
      <c r="P138" s="686"/>
      <c r="Q138" s="686"/>
      <c r="R138" s="686"/>
      <c r="S138" s="686"/>
      <c r="T138" s="686"/>
      <c r="V138" s="686"/>
      <c r="W138" s="686"/>
      <c r="X138" s="686"/>
      <c r="Y138" s="686"/>
    </row>
    <row r="139" spans="1:25">
      <c r="A139" s="700" t="s">
        <v>297</v>
      </c>
      <c r="B139" s="338"/>
      <c r="C139" s="338"/>
      <c r="D139" s="4"/>
      <c r="E139" s="4"/>
      <c r="F139" s="4"/>
      <c r="G139" s="690"/>
      <c r="H139" s="1798" t="s">
        <v>623</v>
      </c>
      <c r="I139" s="1798"/>
      <c r="J139" s="1798"/>
      <c r="K139" s="1799"/>
      <c r="L139" s="1800" t="s">
        <v>292</v>
      </c>
      <c r="M139" s="1800"/>
      <c r="N139" s="1800"/>
      <c r="O139" s="1801"/>
      <c r="P139" s="1802" t="s">
        <v>294</v>
      </c>
      <c r="Q139" s="1798"/>
      <c r="R139" s="1798"/>
      <c r="S139" s="1798"/>
      <c r="T139" s="1799"/>
      <c r="V139" s="698"/>
      <c r="W139" s="688"/>
      <c r="X139" s="688"/>
      <c r="Y139" s="694"/>
    </row>
    <row r="140" spans="1:25" ht="15.95" customHeight="1">
      <c r="G140" s="691"/>
      <c r="H140" s="1675" t="s">
        <v>624</v>
      </c>
      <c r="I140" s="1675"/>
      <c r="J140" s="1675"/>
      <c r="K140" s="1785"/>
      <c r="L140" s="1675" t="s">
        <v>293</v>
      </c>
      <c r="M140" s="1675"/>
      <c r="N140" s="1675"/>
      <c r="O140" s="1785"/>
      <c r="P140" s="1794" t="s">
        <v>295</v>
      </c>
      <c r="Q140" s="1675"/>
      <c r="R140" s="1675"/>
      <c r="S140" s="1675"/>
      <c r="T140" s="1785"/>
      <c r="V140" s="697"/>
      <c r="Y140" s="691"/>
    </row>
    <row r="141" spans="1:25">
      <c r="G141" s="691"/>
      <c r="H141" s="1665" t="str">
        <f>C64</f>
        <v>RIZKI</v>
      </c>
      <c r="I141" s="1665"/>
      <c r="J141" s="1665"/>
      <c r="K141" s="1796"/>
      <c r="O141" s="690"/>
      <c r="P141" s="697"/>
      <c r="T141" s="691"/>
      <c r="V141" s="697"/>
      <c r="Y141" s="691"/>
    </row>
    <row r="142" spans="1:25">
      <c r="G142" s="691"/>
      <c r="H142" s="1665"/>
      <c r="I142" s="1665"/>
      <c r="J142" s="1665"/>
      <c r="K142" s="1796"/>
      <c r="O142" s="690"/>
      <c r="P142" s="697"/>
      <c r="T142" s="691"/>
      <c r="V142" s="697"/>
      <c r="Y142" s="691"/>
    </row>
    <row r="143" spans="1:25">
      <c r="G143" s="691"/>
      <c r="H143" s="1665"/>
      <c r="I143" s="1665"/>
      <c r="J143" s="1665"/>
      <c r="K143" s="1796"/>
      <c r="O143" s="690"/>
      <c r="P143" s="697"/>
      <c r="T143" s="691"/>
      <c r="V143" s="697"/>
      <c r="Y143" s="691"/>
    </row>
    <row r="144" spans="1:25">
      <c r="G144" s="691"/>
      <c r="H144" s="1665"/>
      <c r="I144" s="1665"/>
      <c r="J144" s="1665"/>
      <c r="K144" s="1796"/>
      <c r="L144" s="1665" t="str">
        <f>H64</f>
        <v>NOUFAL</v>
      </c>
      <c r="M144" s="1665"/>
      <c r="N144" s="1665"/>
      <c r="O144" s="1796"/>
      <c r="P144" s="1797" t="str">
        <f>M64</f>
        <v>A.SUMARTADJI</v>
      </c>
      <c r="Q144" s="1665"/>
      <c r="R144" s="1665"/>
      <c r="S144" s="1665"/>
      <c r="T144" s="1796"/>
      <c r="V144" s="697"/>
      <c r="Y144" s="691"/>
    </row>
    <row r="145" spans="1:28">
      <c r="G145" s="691"/>
      <c r="H145" s="1668" t="str">
        <f>C65</f>
        <v>Teknisi/Analis</v>
      </c>
      <c r="I145" s="1668"/>
      <c r="J145" s="1668"/>
      <c r="K145" s="1755"/>
      <c r="L145" s="1668" t="str">
        <f>H65</f>
        <v>Koordinator Teknis</v>
      </c>
      <c r="M145" s="1668"/>
      <c r="N145" s="1668"/>
      <c r="O145" s="1755"/>
      <c r="P145" s="1754" t="str">
        <f>M65</f>
        <v>Kepala Laboratorium</v>
      </c>
      <c r="Q145" s="1668"/>
      <c r="R145" s="1668"/>
      <c r="S145" s="1668"/>
      <c r="T145" s="1755"/>
      <c r="V145" s="699"/>
      <c r="W145" s="358"/>
      <c r="X145" s="358"/>
      <c r="Y145" s="695"/>
      <c r="Z145" s="358"/>
      <c r="AA145" s="358"/>
      <c r="AB145" s="358"/>
    </row>
    <row r="146" spans="1:28" ht="15.95" customHeight="1">
      <c r="G146" s="691"/>
      <c r="H146" s="1803" t="s">
        <v>291</v>
      </c>
      <c r="I146" s="1803"/>
      <c r="J146" s="1804">
        <f>E66</f>
        <v>46050</v>
      </c>
      <c r="K146" s="1805"/>
      <c r="L146" s="1806" t="s">
        <v>300</v>
      </c>
      <c r="M146" s="1806"/>
      <c r="N146" s="1807">
        <f>J66</f>
        <v>46050</v>
      </c>
      <c r="O146" s="1808"/>
      <c r="P146" s="1809" t="s">
        <v>301</v>
      </c>
      <c r="Q146" s="1810"/>
      <c r="R146" s="1792">
        <f>P66</f>
        <v>46050</v>
      </c>
      <c r="S146" s="1792"/>
      <c r="T146" s="1793"/>
      <c r="V146" s="692"/>
      <c r="W146" s="693"/>
      <c r="X146" s="693"/>
      <c r="Y146" s="696"/>
    </row>
    <row r="147" spans="1:28" ht="8.1" customHeight="1">
      <c r="H147" s="688"/>
      <c r="I147" s="689"/>
      <c r="J147" s="688"/>
      <c r="K147" s="688"/>
      <c r="L147" s="688"/>
      <c r="M147" s="688"/>
      <c r="N147" s="688"/>
      <c r="O147" s="688"/>
      <c r="P147" s="688"/>
      <c r="Q147" s="688"/>
      <c r="R147" s="688"/>
      <c r="S147" s="688"/>
      <c r="T147" s="688"/>
    </row>
    <row r="148" spans="1:28" ht="18" customHeight="1">
      <c r="B148" s="356"/>
      <c r="C148" s="356"/>
      <c r="D148" s="356"/>
      <c r="E148" s="356"/>
      <c r="U148" s="684" t="e">
        <f>#REF!</f>
        <v>#REF!</v>
      </c>
      <c r="V148" s="367"/>
      <c r="W148" s="367"/>
      <c r="X148" s="367"/>
      <c r="Y148" s="367"/>
    </row>
    <row r="149" spans="1:28" ht="18" customHeight="1">
      <c r="A149" s="362"/>
      <c r="B149" s="362"/>
      <c r="C149" s="362"/>
      <c r="D149" s="362"/>
      <c r="E149" s="362"/>
    </row>
    <row r="150" spans="1:28" ht="8.1" customHeight="1"/>
  </sheetData>
  <mergeCells count="102">
    <mergeCell ref="N13:R14"/>
    <mergeCell ref="S13:S14"/>
    <mergeCell ref="T15:Y16"/>
    <mergeCell ref="T17:Y17"/>
    <mergeCell ref="S15:S16"/>
    <mergeCell ref="A9:L9"/>
    <mergeCell ref="A12:L12"/>
    <mergeCell ref="N12:Y12"/>
    <mergeCell ref="T13:Y14"/>
    <mergeCell ref="A6:D6"/>
    <mergeCell ref="A7:D7"/>
    <mergeCell ref="M7:Q7"/>
    <mergeCell ref="I7:L7"/>
    <mergeCell ref="R146:T146"/>
    <mergeCell ref="P140:T140"/>
    <mergeCell ref="P84:R84"/>
    <mergeCell ref="A86:Y86"/>
    <mergeCell ref="H141:K144"/>
    <mergeCell ref="L144:O144"/>
    <mergeCell ref="P144:T144"/>
    <mergeCell ref="H139:K139"/>
    <mergeCell ref="L139:O139"/>
    <mergeCell ref="P139:T139"/>
    <mergeCell ref="H146:I146"/>
    <mergeCell ref="J146:K146"/>
    <mergeCell ref="L146:M146"/>
    <mergeCell ref="N146:O146"/>
    <mergeCell ref="P146:Q146"/>
    <mergeCell ref="H145:K145"/>
    <mergeCell ref="C59:G59"/>
    <mergeCell ref="S20:S21"/>
    <mergeCell ref="S22:S23"/>
    <mergeCell ref="L145:O145"/>
    <mergeCell ref="H140:K140"/>
    <mergeCell ref="L140:O140"/>
    <mergeCell ref="A84:E84"/>
    <mergeCell ref="F84:J84"/>
    <mergeCell ref="K84:O84"/>
    <mergeCell ref="F80:U80"/>
    <mergeCell ref="A83:E83"/>
    <mergeCell ref="F83:J83"/>
    <mergeCell ref="F78:U78"/>
    <mergeCell ref="P66:R66"/>
    <mergeCell ref="C64:G64"/>
    <mergeCell ref="H64:L64"/>
    <mergeCell ref="M64:R64"/>
    <mergeCell ref="C65:G65"/>
    <mergeCell ref="H65:L65"/>
    <mergeCell ref="M65:R65"/>
    <mergeCell ref="C66:D66"/>
    <mergeCell ref="E66:G66"/>
    <mergeCell ref="H66:I66"/>
    <mergeCell ref="J66:L66"/>
    <mergeCell ref="M66:O66"/>
    <mergeCell ref="L36:N36"/>
    <mergeCell ref="A26:Y26"/>
    <mergeCell ref="A27:Y27"/>
    <mergeCell ref="E37:K37"/>
    <mergeCell ref="L37:N37"/>
    <mergeCell ref="E36:K36"/>
    <mergeCell ref="E34:K35"/>
    <mergeCell ref="P145:T145"/>
    <mergeCell ref="F79:U79"/>
    <mergeCell ref="E38:K38"/>
    <mergeCell ref="E39:K39"/>
    <mergeCell ref="L38:N38"/>
    <mergeCell ref="L39:N39"/>
    <mergeCell ref="O36:Q36"/>
    <mergeCell ref="O37:Q37"/>
    <mergeCell ref="O38:Q38"/>
    <mergeCell ref="O39:Q39"/>
    <mergeCell ref="L34:N35"/>
    <mergeCell ref="H59:L59"/>
    <mergeCell ref="M59:R59"/>
    <mergeCell ref="C60:G60"/>
    <mergeCell ref="H60:L60"/>
    <mergeCell ref="M60:R60"/>
    <mergeCell ref="A68:C72"/>
    <mergeCell ref="D1:U1"/>
    <mergeCell ref="D2:U2"/>
    <mergeCell ref="O34:Q35"/>
    <mergeCell ref="E21:L22"/>
    <mergeCell ref="N18:R19"/>
    <mergeCell ref="A19:D20"/>
    <mergeCell ref="E19:L20"/>
    <mergeCell ref="A21:D22"/>
    <mergeCell ref="A14:D14"/>
    <mergeCell ref="E14:L14"/>
    <mergeCell ref="N15:R16"/>
    <mergeCell ref="N17:R17"/>
    <mergeCell ref="A17:L17"/>
    <mergeCell ref="A13:D13"/>
    <mergeCell ref="E13:L13"/>
    <mergeCell ref="T18:Y19"/>
    <mergeCell ref="N20:R21"/>
    <mergeCell ref="T20:Y21"/>
    <mergeCell ref="N22:R23"/>
    <mergeCell ref="T22:Y23"/>
    <mergeCell ref="S18:S19"/>
    <mergeCell ref="F3:U3"/>
    <mergeCell ref="X7:Y7"/>
    <mergeCell ref="U7:W7"/>
  </mergeCells>
  <pageMargins left="0.72" right="0.47" top="0.59" bottom="0.51" header="0.28000000000000003" footer="0.28000000000000003"/>
  <pageSetup paperSize="8" scale="6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123-6E92-3B4D-B1FF-11F7F4907DD4}">
  <sheetPr>
    <tabColor theme="8" tint="0.79998168889431442"/>
  </sheetPr>
  <dimension ref="A1:AB213"/>
  <sheetViews>
    <sheetView topLeftCell="A156" zoomScale="64" zoomScaleNormal="64" workbookViewId="0">
      <selection activeCell="K163" sqref="K163"/>
    </sheetView>
  </sheetViews>
  <sheetFormatPr defaultColWidth="11" defaultRowHeight="15.75"/>
  <cols>
    <col min="5" max="5" width="11.875" customWidth="1"/>
    <col min="14" max="14" width="14.375" customWidth="1"/>
  </cols>
  <sheetData>
    <row r="1" spans="1:21" ht="18">
      <c r="A1" s="708" t="s">
        <v>701</v>
      </c>
      <c r="B1" s="708"/>
      <c r="C1" s="708"/>
      <c r="D1" s="708"/>
      <c r="E1" s="708"/>
      <c r="F1" s="708"/>
      <c r="G1" s="708"/>
      <c r="H1" s="708"/>
      <c r="I1" s="708"/>
      <c r="J1" s="708"/>
      <c r="K1" s="708"/>
      <c r="L1" s="708"/>
      <c r="M1" s="708"/>
      <c r="N1" s="708"/>
      <c r="O1" s="708"/>
      <c r="P1" s="708"/>
      <c r="Q1" s="708"/>
      <c r="R1" s="708"/>
      <c r="S1" s="708"/>
      <c r="T1" s="708"/>
      <c r="U1" s="708"/>
    </row>
    <row r="2" spans="1:21" ht="23.25">
      <c r="A2" s="663" t="s">
        <v>1154</v>
      </c>
      <c r="B2" s="663"/>
      <c r="C2" s="663"/>
      <c r="D2" s="663"/>
      <c r="E2" s="663"/>
      <c r="F2" s="663"/>
      <c r="G2" s="663"/>
      <c r="H2" s="663"/>
      <c r="I2" s="663"/>
      <c r="J2" s="663"/>
      <c r="K2" s="663"/>
      <c r="L2" s="663"/>
      <c r="M2" s="663"/>
      <c r="N2" s="663"/>
      <c r="O2" s="663"/>
      <c r="P2" s="663"/>
      <c r="Q2" s="663"/>
      <c r="R2" s="663"/>
      <c r="S2" s="663"/>
      <c r="T2" s="663"/>
      <c r="U2" s="663"/>
    </row>
    <row r="3" spans="1:21" ht="23.25">
      <c r="A3" s="664" t="s">
        <v>1155</v>
      </c>
      <c r="B3" s="662"/>
      <c r="C3" s="662"/>
      <c r="D3" s="662"/>
      <c r="E3" s="662"/>
      <c r="F3" s="662"/>
      <c r="G3" s="662"/>
      <c r="H3" s="662"/>
      <c r="I3" s="662"/>
      <c r="J3" s="662"/>
      <c r="K3" s="662"/>
      <c r="L3" s="662"/>
      <c r="M3" s="662"/>
      <c r="N3" s="662"/>
      <c r="O3" s="662"/>
      <c r="P3" s="662"/>
      <c r="Q3" s="662"/>
      <c r="R3" s="662"/>
      <c r="S3" s="662"/>
      <c r="T3" s="662"/>
      <c r="U3" s="662"/>
    </row>
    <row r="4" spans="1:21" ht="23.25">
      <c r="A4" s="616"/>
      <c r="B4" s="616"/>
      <c r="C4" s="616"/>
      <c r="D4" s="616"/>
      <c r="E4" s="616"/>
      <c r="F4" s="616"/>
      <c r="G4" s="616"/>
      <c r="H4" s="616"/>
      <c r="I4" s="616"/>
      <c r="J4" s="616"/>
      <c r="K4" s="616"/>
      <c r="L4" s="616"/>
      <c r="M4" s="616"/>
      <c r="N4" s="616"/>
      <c r="O4" s="616"/>
      <c r="P4" s="616"/>
      <c r="Q4" s="616"/>
      <c r="R4" s="616"/>
      <c r="S4" s="616"/>
      <c r="T4" s="616"/>
      <c r="U4" s="616"/>
    </row>
    <row r="5" spans="1:21">
      <c r="A5" s="335" t="s">
        <v>1138</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 t="s">
        <v>775</v>
      </c>
      <c r="B7" s="1"/>
      <c r="C7" s="1"/>
      <c r="D7" s="539" t="str">
        <f>IFERROR(INDEX('DATA INDUK'!$H$27:$H$152,MATCH(ROW(D1),'DATA INDUK'!$AQ$27:$AQ$152,0)),"")</f>
        <v>26-001-DS-001</v>
      </c>
      <c r="E7" s="13"/>
      <c r="F7" s="13"/>
      <c r="G7" s="13"/>
      <c r="H7" s="15"/>
      <c r="I7" s="15"/>
      <c r="J7" s="15"/>
      <c r="K7" s="15"/>
      <c r="L7" s="15"/>
      <c r="M7" s="15"/>
      <c r="N7" s="15"/>
      <c r="O7" s="15"/>
      <c r="P7" s="15"/>
      <c r="Q7" s="15"/>
      <c r="R7" s="15"/>
      <c r="S7" s="15"/>
      <c r="T7" s="15"/>
      <c r="U7" s="15"/>
    </row>
    <row r="8" spans="1:21">
      <c r="A8" s="13"/>
      <c r="B8" s="13"/>
      <c r="C8" s="13"/>
      <c r="D8" s="540" t="str">
        <f>IFERROR(INDEX('DATA INDUK'!$H$27:$H$38,MATCH(ROW(D2),'DATA INDUK'!$Z$27:$Z$38,0)),"")</f>
        <v/>
      </c>
      <c r="E8" s="15"/>
      <c r="F8" s="15"/>
      <c r="G8" s="15"/>
      <c r="H8" s="15"/>
      <c r="I8" s="15"/>
      <c r="J8" s="15"/>
      <c r="K8" s="15"/>
      <c r="L8" s="15"/>
      <c r="M8" s="15"/>
      <c r="N8" s="15"/>
      <c r="O8" s="15"/>
      <c r="P8" s="15"/>
      <c r="Q8" s="15"/>
      <c r="R8" s="15"/>
      <c r="S8" s="15"/>
      <c r="T8" s="15"/>
      <c r="U8" s="15"/>
    </row>
    <row r="9" spans="1:21">
      <c r="A9" s="1" t="s">
        <v>776</v>
      </c>
      <c r="B9" s="1"/>
      <c r="C9" s="1"/>
      <c r="D9" s="782" t="e" cm="1">
        <f t="array" ref="D9">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9" s="15"/>
      <c r="F9" s="15"/>
      <c r="G9" s="15"/>
      <c r="H9" s="15"/>
      <c r="I9" s="15"/>
      <c r="J9" s="15"/>
      <c r="K9" s="15"/>
      <c r="L9" s="1" t="s">
        <v>703</v>
      </c>
      <c r="M9" s="1"/>
      <c r="N9" s="1"/>
      <c r="O9" s="15" t="str">
        <f>IF($D$7="","",P9)</f>
        <v>NOUFAL</v>
      </c>
      <c r="P9" s="588" t="s">
        <v>1051</v>
      </c>
      <c r="Q9" s="15"/>
      <c r="R9" s="15"/>
      <c r="S9" s="15"/>
      <c r="T9" s="15" t="str">
        <f>"TTD_"&amp;O9&amp;""</f>
        <v>TTD_NOUFAL</v>
      </c>
      <c r="U9" s="15"/>
    </row>
    <row r="10" spans="1:21">
      <c r="A10" s="1" t="s">
        <v>777</v>
      </c>
      <c r="B10" s="1"/>
      <c r="C10" s="1"/>
      <c r="D10" s="782"/>
      <c r="E10" s="15"/>
      <c r="F10" s="15"/>
      <c r="G10" s="15"/>
      <c r="H10" s="15"/>
      <c r="I10" s="15"/>
      <c r="J10" s="15"/>
      <c r="K10" s="15"/>
      <c r="L10" s="1" t="s">
        <v>704</v>
      </c>
      <c r="M10" s="1"/>
      <c r="N10" s="1"/>
      <c r="O10" s="15" t="str">
        <f t="shared" ref="O10:O11" si="0">IF($D$7="","",P10)</f>
        <v>NOUFAL</v>
      </c>
      <c r="P10" s="15" t="s">
        <v>1051</v>
      </c>
      <c r="Q10" s="15"/>
      <c r="R10" s="15"/>
      <c r="S10" s="15"/>
      <c r="T10" s="15" t="str">
        <f>IF(O9=O10,"TTD_","TTD_"&amp;O10&amp;"")</f>
        <v>TTD_</v>
      </c>
      <c r="U10" s="15"/>
    </row>
    <row r="11" spans="1:21">
      <c r="A11" s="1" t="s">
        <v>778</v>
      </c>
      <c r="B11" s="1"/>
      <c r="C11" s="1"/>
      <c r="D11" s="13" t="str">
        <f>IFERROR(INDEX('DATA INDUK'!$D$27:$D$152,MATCH(ROW(D1),'DATA INDUK'!$AQ$27:$AQ$152,0)),"")</f>
        <v>Disturbed Sample</v>
      </c>
      <c r="E11" s="15"/>
      <c r="F11" s="15" t="s">
        <v>1659</v>
      </c>
      <c r="G11" s="15"/>
      <c r="H11" s="15"/>
      <c r="I11" s="15"/>
      <c r="J11" s="15"/>
      <c r="K11" s="15"/>
      <c r="L11" s="13" t="s">
        <v>716</v>
      </c>
      <c r="M11" s="15"/>
      <c r="N11" s="15"/>
      <c r="O11" s="15" t="str">
        <f t="shared" si="0"/>
        <v>A.SUMARTADJI</v>
      </c>
      <c r="P11" s="15" t="s">
        <v>766</v>
      </c>
      <c r="Q11" s="15"/>
      <c r="R11" s="15"/>
      <c r="S11" s="15"/>
      <c r="T11" s="15" t="str">
        <f>"TTD_"&amp;O11&amp;""</f>
        <v>TTD_A.SUMARTADJI</v>
      </c>
      <c r="U11" s="15"/>
    </row>
    <row r="12" spans="1:21">
      <c r="A12" s="1" t="s">
        <v>779</v>
      </c>
      <c r="B12" s="1"/>
      <c r="C12" s="1"/>
      <c r="D12" s="13" t="s">
        <v>1510</v>
      </c>
      <c r="E12" s="15"/>
      <c r="F12" s="15" t="str">
        <f>IFERROR(INDEX($W$29:$W$40,
MATCH(D12,$Z$29:$Z$40,0)),
"CHECK DESKRIPSI")</f>
        <v>CL</v>
      </c>
      <c r="G12" s="15"/>
      <c r="H12" s="15"/>
      <c r="I12" s="15"/>
      <c r="J12" s="15"/>
      <c r="K12" s="15"/>
      <c r="L12" s="1" t="s">
        <v>705</v>
      </c>
      <c r="M12" s="1"/>
      <c r="N12" s="1"/>
      <c r="O12" s="1171">
        <v>46035</v>
      </c>
      <c r="P12" s="15"/>
      <c r="Q12" s="15"/>
      <c r="R12" s="15"/>
      <c r="S12" s="15"/>
      <c r="T12" s="15"/>
      <c r="U12" s="15"/>
    </row>
    <row r="13" spans="1:21">
      <c r="A13" s="1733" t="s">
        <v>780</v>
      </c>
      <c r="B13" s="1733"/>
      <c r="C13" s="1733"/>
      <c r="D13" s="1181" t="s">
        <v>1194</v>
      </c>
      <c r="E13" s="1182"/>
      <c r="F13" s="1182"/>
      <c r="G13" s="1182"/>
      <c r="H13" s="1182"/>
      <c r="I13" s="1182"/>
      <c r="J13" s="1182"/>
      <c r="K13" s="1182"/>
      <c r="L13" s="1182"/>
      <c r="M13" s="1182"/>
      <c r="N13" s="1182"/>
      <c r="O13" s="1182"/>
      <c r="P13" s="1182"/>
      <c r="Q13" s="1182"/>
      <c r="R13" s="1182"/>
      <c r="S13" s="1182"/>
      <c r="T13" s="1182"/>
      <c r="U13" s="1182"/>
    </row>
    <row r="14" spans="1:21">
      <c r="A14" s="1179"/>
      <c r="B14" s="1179"/>
      <c r="C14" s="1179"/>
      <c r="D14" s="1180" t="str">
        <f>IFERROR(INDEX('DATA INDUK'!$H$27:$H$38,MATCH(ROW(D9),'DATA INDUK'!$Z$27:$Z$38,0)),"")</f>
        <v/>
      </c>
      <c r="E14" s="1180"/>
      <c r="F14" s="1180"/>
      <c r="G14" s="1180"/>
      <c r="H14" s="1180"/>
      <c r="I14" s="1180"/>
      <c r="J14" s="1180"/>
      <c r="K14" s="1180"/>
      <c r="L14" s="1180"/>
      <c r="M14" s="1180"/>
      <c r="N14" s="1180"/>
      <c r="O14" s="1180"/>
      <c r="P14" s="1180"/>
      <c r="Q14" s="1180"/>
      <c r="R14" s="1180"/>
      <c r="S14" s="1180"/>
      <c r="T14" s="1180"/>
      <c r="U14" s="1180"/>
    </row>
    <row r="15" spans="1:21">
      <c r="A15" s="539"/>
      <c r="B15" s="539"/>
      <c r="C15" s="539"/>
      <c r="D15" s="540"/>
      <c r="E15" s="540"/>
      <c r="F15" s="540"/>
      <c r="G15" s="540"/>
      <c r="H15" s="540"/>
      <c r="I15" s="540"/>
      <c r="J15" s="540"/>
      <c r="K15" s="540"/>
      <c r="L15" s="540"/>
      <c r="M15" s="540"/>
      <c r="N15" s="540"/>
      <c r="O15" s="540"/>
      <c r="P15" s="540"/>
      <c r="Q15" s="540"/>
      <c r="R15" s="540"/>
      <c r="S15" s="540"/>
      <c r="T15" s="540"/>
      <c r="U15" s="540"/>
    </row>
    <row r="26" spans="1:28">
      <c r="A26" t="s">
        <v>377</v>
      </c>
    </row>
    <row r="27" spans="1:28">
      <c r="Q27" t="s">
        <v>366</v>
      </c>
      <c r="W27" s="370" t="s">
        <v>1641</v>
      </c>
      <c r="X27" s="370"/>
      <c r="Y27" s="370"/>
      <c r="Z27" s="370"/>
      <c r="AA27" s="370"/>
      <c r="AB27" s="1133"/>
    </row>
    <row r="28" spans="1:28">
      <c r="A28" s="396" t="s">
        <v>124</v>
      </c>
      <c r="E28" s="398"/>
      <c r="F28" s="401">
        <v>1</v>
      </c>
      <c r="G28" s="401">
        <v>2</v>
      </c>
      <c r="H28" s="401">
        <v>3</v>
      </c>
      <c r="I28" s="401">
        <v>4</v>
      </c>
      <c r="L28" s="406" t="s">
        <v>386</v>
      </c>
      <c r="M28" s="406"/>
      <c r="N28" s="406" t="s">
        <v>387</v>
      </c>
      <c r="O28" s="406"/>
      <c r="Q28" s="383">
        <v>1</v>
      </c>
      <c r="R28" s="384">
        <v>9.0299999999999994</v>
      </c>
      <c r="T28" t="s">
        <v>601</v>
      </c>
      <c r="U28" t="s">
        <v>133</v>
      </c>
      <c r="W28" s="370" t="s">
        <v>1611</v>
      </c>
      <c r="X28" s="370" t="s">
        <v>1642</v>
      </c>
      <c r="Y28" s="370" t="s">
        <v>1632</v>
      </c>
      <c r="Z28" s="370" t="s">
        <v>1633</v>
      </c>
      <c r="AA28" s="370"/>
      <c r="AB28" s="1133"/>
    </row>
    <row r="29" spans="1:28">
      <c r="A29" s="394" t="s">
        <v>367</v>
      </c>
      <c r="E29" s="399"/>
      <c r="F29" s="534">
        <v>40</v>
      </c>
      <c r="G29" s="534">
        <v>31</v>
      </c>
      <c r="H29" s="534">
        <v>20</v>
      </c>
      <c r="I29" s="535">
        <v>12</v>
      </c>
      <c r="L29" s="122" t="s">
        <v>132</v>
      </c>
      <c r="M29" s="122" t="s">
        <v>133</v>
      </c>
      <c r="N29" s="122" t="s">
        <v>132</v>
      </c>
      <c r="O29" s="122" t="s">
        <v>133</v>
      </c>
      <c r="Q29" s="385">
        <v>2</v>
      </c>
      <c r="R29" s="386">
        <v>8.8420000000000005</v>
      </c>
      <c r="T29" s="80">
        <f>F29</f>
        <v>40</v>
      </c>
      <c r="U29" s="43">
        <f>IF($D$7="",NA(),F37)</f>
        <v>43.333333333333321</v>
      </c>
      <c r="W29" s="370" t="s">
        <v>1612</v>
      </c>
      <c r="X29" s="370" t="s">
        <v>1613</v>
      </c>
      <c r="Y29" s="370" t="s">
        <v>1610</v>
      </c>
      <c r="Z29" s="370" t="s">
        <v>1510</v>
      </c>
      <c r="AA29" s="370"/>
      <c r="AB29" s="1568"/>
    </row>
    <row r="30" spans="1:28">
      <c r="A30" s="394" t="s">
        <v>368</v>
      </c>
      <c r="E30" s="399"/>
      <c r="F30" s="1195">
        <v>50</v>
      </c>
      <c r="G30" s="1195">
        <v>42</v>
      </c>
      <c r="H30" s="1195">
        <v>63</v>
      </c>
      <c r="I30" s="1196">
        <v>22</v>
      </c>
      <c r="L30" s="127">
        <v>25</v>
      </c>
      <c r="M30" s="127">
        <v>0</v>
      </c>
      <c r="N30" s="127">
        <v>1</v>
      </c>
      <c r="O30" s="407">
        <f>L41</f>
        <v>46.879857774765206</v>
      </c>
      <c r="Q30" s="385">
        <v>3</v>
      </c>
      <c r="R30" s="387">
        <v>9.0410000000000004</v>
      </c>
      <c r="T30" s="80">
        <f>G29</f>
        <v>31</v>
      </c>
      <c r="U30" s="43">
        <f>IF($D$7="",NA(),G37)</f>
        <v>45.272466177915518</v>
      </c>
      <c r="W30" s="370" t="s">
        <v>1614</v>
      </c>
      <c r="X30" s="370" t="s">
        <v>1615</v>
      </c>
      <c r="Y30" s="370" t="s">
        <v>1634</v>
      </c>
      <c r="Z30" s="370" t="s">
        <v>1635</v>
      </c>
      <c r="AA30" s="370"/>
      <c r="AB30" s="1568"/>
    </row>
    <row r="31" spans="1:28">
      <c r="A31" s="394" t="s">
        <v>369</v>
      </c>
      <c r="E31" s="400" t="s">
        <v>370</v>
      </c>
      <c r="F31" s="402">
        <f>IFERROR(VLOOKUP(F30,$Q$28:$R$149,2,0),"")</f>
        <v>8.7810000000000006</v>
      </c>
      <c r="G31" s="402">
        <f t="shared" ref="G31:H31" si="1">IFERROR(VLOOKUP(G30,$Q$28:$R$149,2,0),"")</f>
        <v>8.8000000000000007</v>
      </c>
      <c r="H31" s="402">
        <f t="shared" si="1"/>
        <v>8.86</v>
      </c>
      <c r="I31" s="402">
        <f>IFERROR(VLOOKUP(I30,$Q$28:$R$149,2,0),"")</f>
        <v>8.843</v>
      </c>
      <c r="L31" s="127">
        <v>25</v>
      </c>
      <c r="M31" s="407">
        <f>L41</f>
        <v>46.879857774765206</v>
      </c>
      <c r="N31" s="127">
        <v>25</v>
      </c>
      <c r="O31" s="407">
        <f>O30</f>
        <v>46.879857774765206</v>
      </c>
      <c r="Q31" s="388">
        <v>4</v>
      </c>
      <c r="R31" s="389">
        <v>8.9359999999999999</v>
      </c>
      <c r="T31" s="80">
        <f>H29</f>
        <v>20</v>
      </c>
      <c r="U31" s="43">
        <f>IF($D$7="",NA(),H37)</f>
        <v>48.21935077213994</v>
      </c>
      <c r="W31" s="370" t="s">
        <v>1617</v>
      </c>
      <c r="X31" s="370" t="s">
        <v>1618</v>
      </c>
      <c r="Y31" s="370" t="s">
        <v>1636</v>
      </c>
      <c r="Z31" s="370" t="s">
        <v>1637</v>
      </c>
      <c r="AA31" s="370"/>
      <c r="AB31" s="1568"/>
    </row>
    <row r="32" spans="1:28">
      <c r="A32" s="394" t="s">
        <v>371</v>
      </c>
      <c r="E32" s="400" t="s">
        <v>370</v>
      </c>
      <c r="F32" s="532">
        <v>26.324999999999999</v>
      </c>
      <c r="G32" s="532">
        <v>28.021000000000001</v>
      </c>
      <c r="H32" s="532">
        <v>27.672000000000001</v>
      </c>
      <c r="I32" s="533">
        <v>29.367999999999999</v>
      </c>
      <c r="L32" s="408"/>
      <c r="M32" s="408"/>
      <c r="N32" s="408"/>
      <c r="O32" s="408"/>
      <c r="Q32" s="388">
        <v>5</v>
      </c>
      <c r="R32" s="389">
        <v>8.8559999999999999</v>
      </c>
      <c r="T32" s="80">
        <f>I29</f>
        <v>12</v>
      </c>
      <c r="U32" s="43">
        <f>IF($D$7="",NA(),I37)</f>
        <v>51.789676083419621</v>
      </c>
      <c r="W32" s="370" t="s">
        <v>1643</v>
      </c>
      <c r="X32" s="370" t="s">
        <v>1644</v>
      </c>
      <c r="Y32" s="370" t="s">
        <v>1645</v>
      </c>
      <c r="Z32" s="370" t="s">
        <v>1646</v>
      </c>
      <c r="AA32" s="370"/>
      <c r="AB32" s="1568"/>
    </row>
    <row r="33" spans="1:28">
      <c r="A33" s="394" t="s">
        <v>372</v>
      </c>
      <c r="E33" s="400" t="s">
        <v>370</v>
      </c>
      <c r="F33" s="532">
        <v>21.021000000000001</v>
      </c>
      <c r="G33" s="532">
        <v>22.030999999999999</v>
      </c>
      <c r="H33" s="532">
        <v>21.552</v>
      </c>
      <c r="I33" s="533">
        <v>22.364999999999998</v>
      </c>
      <c r="L33" s="409" t="s">
        <v>388</v>
      </c>
      <c r="M33" s="409"/>
      <c r="N33" s="409"/>
      <c r="O33" s="408"/>
      <c r="Q33" s="388">
        <v>6</v>
      </c>
      <c r="R33" s="389">
        <v>8.7260000000000009</v>
      </c>
      <c r="W33" s="370" t="s">
        <v>1620</v>
      </c>
      <c r="X33" s="370" t="s">
        <v>1616</v>
      </c>
      <c r="Y33" s="370" t="s">
        <v>509</v>
      </c>
      <c r="Z33" s="370" t="s">
        <v>1638</v>
      </c>
      <c r="AA33" s="370"/>
      <c r="AB33" s="1568"/>
    </row>
    <row r="34" spans="1:28">
      <c r="A34" s="394" t="s">
        <v>373</v>
      </c>
      <c r="E34" s="400" t="s">
        <v>370</v>
      </c>
      <c r="F34" s="402">
        <f>IF(OR(F31="",F32=""),"",(F32-F31))</f>
        <v>17.543999999999997</v>
      </c>
      <c r="G34" s="402">
        <f>IF(OR(G31="",G32=""),"",(G32-G31))</f>
        <v>19.221</v>
      </c>
      <c r="H34" s="402">
        <f>IF(OR(H31="",H32=""),"",(H32-H31))</f>
        <v>18.812000000000001</v>
      </c>
      <c r="I34" s="397">
        <f>IF(OR(I31="",I32=""),"",(I32-I31))</f>
        <v>20.524999999999999</v>
      </c>
      <c r="L34" s="410"/>
      <c r="M34" s="411"/>
      <c r="N34" s="412"/>
      <c r="O34" s="408"/>
      <c r="Q34" s="388">
        <v>7</v>
      </c>
      <c r="R34" s="389">
        <v>8.8819999999999997</v>
      </c>
      <c r="T34" t="s">
        <v>132</v>
      </c>
      <c r="U34" t="s">
        <v>133</v>
      </c>
      <c r="W34" s="370" t="s">
        <v>1621</v>
      </c>
      <c r="X34" s="370" t="s">
        <v>1622</v>
      </c>
      <c r="Y34" s="370" t="s">
        <v>1639</v>
      </c>
      <c r="Z34" s="370" t="s">
        <v>1640</v>
      </c>
      <c r="AA34" s="370"/>
      <c r="AB34" s="1568"/>
    </row>
    <row r="35" spans="1:28">
      <c r="A35" s="394" t="s">
        <v>374</v>
      </c>
      <c r="E35" s="400" t="s">
        <v>370</v>
      </c>
      <c r="F35" s="402">
        <f>IF(OR(F31="",F33=""),"",(F33-F31))</f>
        <v>12.24</v>
      </c>
      <c r="G35" s="402">
        <f>IF(OR(G31="",G33=""),"",(G33-G31))</f>
        <v>13.230999999999998</v>
      </c>
      <c r="H35" s="402">
        <f>IF(OR(H31="",H33=""),"",(H33-H31))</f>
        <v>12.692</v>
      </c>
      <c r="I35" s="397">
        <f>IF(OR(I31="",I33=""),"",(I33-I31))</f>
        <v>13.521999999999998</v>
      </c>
      <c r="L35" s="413" t="s">
        <v>132</v>
      </c>
      <c r="M35" s="413" t="s">
        <v>133</v>
      </c>
      <c r="N35" s="413"/>
      <c r="O35" s="409"/>
      <c r="Q35" s="388">
        <v>8</v>
      </c>
      <c r="R35" s="389">
        <v>8.8179999999999996</v>
      </c>
      <c r="T35" s="80">
        <f>H29</f>
        <v>20</v>
      </c>
      <c r="U35" s="43">
        <f>IF($D$7="",NA(),H37)</f>
        <v>48.21935077213994</v>
      </c>
      <c r="W35" s="370" t="s">
        <v>1623</v>
      </c>
      <c r="X35" s="370" t="s">
        <v>1624</v>
      </c>
      <c r="Y35" s="370" t="s">
        <v>1647</v>
      </c>
      <c r="Z35" s="370" t="s">
        <v>1648</v>
      </c>
      <c r="AA35" s="370"/>
      <c r="AB35" s="1568"/>
    </row>
    <row r="36" spans="1:28">
      <c r="A36" s="394" t="s">
        <v>375</v>
      </c>
      <c r="E36" s="400" t="s">
        <v>370</v>
      </c>
      <c r="F36" s="402">
        <f>IF(OR(F32="",F33=""),"",F32-F33)</f>
        <v>5.3039999999999985</v>
      </c>
      <c r="G36" s="402">
        <f>IF(OR(G32="",G33=""),"",G32-G33)</f>
        <v>5.990000000000002</v>
      </c>
      <c r="H36" s="402">
        <f>IF(OR(H32="",H33=""),"",H32-H33)</f>
        <v>6.120000000000001</v>
      </c>
      <c r="I36" s="397">
        <f>IF(OR(I32="",I33=""),"",I32-I33)</f>
        <v>7.0030000000000001</v>
      </c>
      <c r="L36" s="414">
        <f>H29</f>
        <v>20</v>
      </c>
      <c r="M36" s="384">
        <f>H37</f>
        <v>48.21935077213994</v>
      </c>
      <c r="N36" s="122"/>
      <c r="O36" s="399"/>
      <c r="Q36" s="388">
        <v>9</v>
      </c>
      <c r="R36" s="389">
        <v>8.7989999999999995</v>
      </c>
      <c r="T36" s="80">
        <f>G29</f>
        <v>31</v>
      </c>
      <c r="U36" s="43">
        <f>IF($D$7="",NA(),G37)</f>
        <v>45.272466177915518</v>
      </c>
      <c r="W36" s="370" t="s">
        <v>1649</v>
      </c>
      <c r="X36" s="370" t="s">
        <v>1650</v>
      </c>
      <c r="Y36" s="370" t="s">
        <v>1651</v>
      </c>
      <c r="Z36" s="370" t="s">
        <v>1652</v>
      </c>
      <c r="AA36" s="370"/>
      <c r="AB36" s="1568"/>
    </row>
    <row r="37" spans="1:28">
      <c r="A37" s="394" t="s">
        <v>376</v>
      </c>
      <c r="E37" s="400" t="s">
        <v>247</v>
      </c>
      <c r="F37" s="402">
        <f>IF(OR(F35="",F36=""),"",F36/F35*100)</f>
        <v>43.333333333333321</v>
      </c>
      <c r="G37" s="402">
        <f>IF(OR(G35="",G36=""),"",G36/G35*100)</f>
        <v>45.272466177915518</v>
      </c>
      <c r="H37" s="402">
        <f>IF(OR(H35="",H36=""),"",H36/H35*100)</f>
        <v>48.21935077213994</v>
      </c>
      <c r="I37" s="397">
        <f>IF(OR(I35="",I36=""),"",I36/I35*100)</f>
        <v>51.789676083419621</v>
      </c>
      <c r="L37" s="414">
        <f>G29</f>
        <v>31</v>
      </c>
      <c r="M37" s="384">
        <f>G37</f>
        <v>45.272466177915518</v>
      </c>
      <c r="N37" s="122"/>
      <c r="O37" s="409"/>
      <c r="Q37" s="383">
        <v>10</v>
      </c>
      <c r="R37" s="384">
        <v>8.7929999999999993</v>
      </c>
      <c r="W37" s="370" t="s">
        <v>1690</v>
      </c>
      <c r="X37" s="370" t="s">
        <v>1619</v>
      </c>
      <c r="Y37" s="370" t="s">
        <v>510</v>
      </c>
      <c r="Z37" s="370" t="s">
        <v>1197</v>
      </c>
      <c r="AA37" s="370"/>
      <c r="AB37" s="1568"/>
    </row>
    <row r="38" spans="1:28">
      <c r="Q38" s="383">
        <v>11</v>
      </c>
      <c r="R38" s="384">
        <v>8.8040000000000003</v>
      </c>
      <c r="T38" t="s">
        <v>132</v>
      </c>
      <c r="U38" t="s">
        <v>133</v>
      </c>
      <c r="W38" s="370" t="s">
        <v>1626</v>
      </c>
      <c r="X38" s="370" t="s">
        <v>1627</v>
      </c>
      <c r="Y38" s="370" t="s">
        <v>1653</v>
      </c>
      <c r="Z38" s="370" t="s">
        <v>1654</v>
      </c>
      <c r="AA38" s="370"/>
      <c r="AB38" s="1568"/>
    </row>
    <row r="39" spans="1:28">
      <c r="Q39" s="383">
        <v>12</v>
      </c>
      <c r="R39" s="384">
        <v>8.9280000000000008</v>
      </c>
      <c r="T39">
        <v>1</v>
      </c>
      <c r="U39" s="42">
        <f>IF($D$7="",NA(),L41)</f>
        <v>46.879857774765206</v>
      </c>
      <c r="W39" s="370" t="s">
        <v>1628</v>
      </c>
      <c r="X39" s="370" t="s">
        <v>1629</v>
      </c>
      <c r="Y39" s="370" t="s">
        <v>1655</v>
      </c>
      <c r="Z39" s="370" t="s">
        <v>1656</v>
      </c>
      <c r="AA39" s="370"/>
      <c r="AB39" s="1568"/>
    </row>
    <row r="40" spans="1:28">
      <c r="L40" s="415" t="s">
        <v>389</v>
      </c>
      <c r="M40" s="415"/>
      <c r="Q40" s="383">
        <v>13</v>
      </c>
      <c r="R40" s="384">
        <v>8.8770000000000007</v>
      </c>
      <c r="T40">
        <v>25</v>
      </c>
      <c r="U40" s="42">
        <f>IF($D$7="",NA(),U39)</f>
        <v>46.879857774765206</v>
      </c>
      <c r="W40" s="370" t="s">
        <v>1630</v>
      </c>
      <c r="X40" s="370" t="s">
        <v>1631</v>
      </c>
      <c r="Y40" s="370" t="s">
        <v>1657</v>
      </c>
      <c r="Z40" s="370" t="s">
        <v>1658</v>
      </c>
      <c r="AA40" s="370"/>
    </row>
    <row r="41" spans="1:28">
      <c r="L41" s="416" cm="1">
        <f t="array" ref="L41">IF(OR(L36="",L37="",M36="",M37=""),"NP",TREND(M36:M37,L36:L37,25))</f>
        <v>46.879857774765206</v>
      </c>
      <c r="M41" s="417" t="s">
        <v>34</v>
      </c>
      <c r="Q41" s="383">
        <v>14</v>
      </c>
      <c r="R41" s="384">
        <v>8.8919999999999995</v>
      </c>
      <c r="T41">
        <v>25</v>
      </c>
      <c r="U41">
        <f>IF($D$7="",NA(),0)</f>
        <v>0</v>
      </c>
    </row>
    <row r="42" spans="1:28">
      <c r="Q42" s="383">
        <v>15</v>
      </c>
      <c r="R42" s="384">
        <v>8.9930000000000003</v>
      </c>
    </row>
    <row r="43" spans="1:28">
      <c r="Q43" s="383">
        <v>16</v>
      </c>
      <c r="R43" s="384">
        <v>8.9090000000000007</v>
      </c>
      <c r="T43" t="s">
        <v>132</v>
      </c>
      <c r="U43" t="s">
        <v>133</v>
      </c>
    </row>
    <row r="44" spans="1:28">
      <c r="Q44" s="383">
        <v>17</v>
      </c>
      <c r="R44" s="384">
        <v>9.0489999999999995</v>
      </c>
      <c r="T44">
        <v>25</v>
      </c>
      <c r="U44" s="42">
        <f>IF($D$7="",NA(),L41)</f>
        <v>46.879857774765206</v>
      </c>
    </row>
    <row r="45" spans="1:28">
      <c r="L45" s="122" t="s">
        <v>385</v>
      </c>
      <c r="M45" s="122" t="s">
        <v>392</v>
      </c>
      <c r="N45" s="122" t="s">
        <v>393</v>
      </c>
      <c r="Q45" s="383">
        <v>18</v>
      </c>
      <c r="R45" s="384">
        <v>8.9339999999999993</v>
      </c>
    </row>
    <row r="46" spans="1:28">
      <c r="L46" s="122">
        <v>0</v>
      </c>
      <c r="M46" s="122"/>
      <c r="N46" s="122"/>
      <c r="Q46" s="388">
        <v>19</v>
      </c>
      <c r="R46" s="389">
        <v>8.9610000000000003</v>
      </c>
    </row>
    <row r="47" spans="1:28">
      <c r="L47" s="122">
        <v>8</v>
      </c>
      <c r="M47" s="122"/>
      <c r="N47" s="122">
        <v>0</v>
      </c>
      <c r="Q47" s="388">
        <v>20</v>
      </c>
      <c r="R47" s="389">
        <v>8.7759999999999998</v>
      </c>
    </row>
    <row r="48" spans="1:28">
      <c r="L48" s="122">
        <v>20</v>
      </c>
      <c r="M48" s="122">
        <v>0</v>
      </c>
      <c r="N48" s="122">
        <v>10.8</v>
      </c>
      <c r="Q48" s="388">
        <v>21</v>
      </c>
      <c r="R48" s="389">
        <v>8.9030000000000005</v>
      </c>
    </row>
    <row r="49" spans="1:18">
      <c r="L49" s="122">
        <v>30</v>
      </c>
      <c r="M49" s="122">
        <v>7.3</v>
      </c>
      <c r="N49" s="122">
        <v>19.8</v>
      </c>
      <c r="Q49" s="388">
        <v>22</v>
      </c>
      <c r="R49" s="389">
        <v>8.843</v>
      </c>
    </row>
    <row r="50" spans="1:18">
      <c r="L50" s="122">
        <v>40</v>
      </c>
      <c r="M50" s="122">
        <v>14.6</v>
      </c>
      <c r="N50" s="122">
        <v>28.8</v>
      </c>
      <c r="Q50" s="388">
        <v>23</v>
      </c>
      <c r="R50" s="389">
        <v>8.84</v>
      </c>
    </row>
    <row r="51" spans="1:18">
      <c r="L51" s="122">
        <v>50</v>
      </c>
      <c r="M51" s="122">
        <v>21.9</v>
      </c>
      <c r="N51" s="122">
        <v>37.800000000000004</v>
      </c>
      <c r="Q51" s="390">
        <v>24</v>
      </c>
      <c r="R51" s="389">
        <v>9.01</v>
      </c>
    </row>
    <row r="52" spans="1:18">
      <c r="L52" s="122">
        <v>60</v>
      </c>
      <c r="M52" s="122">
        <v>29.2</v>
      </c>
      <c r="N52" s="122">
        <v>46.800000000000004</v>
      </c>
      <c r="Q52" s="388">
        <v>25</v>
      </c>
      <c r="R52" s="389">
        <v>8.8119999999999994</v>
      </c>
    </row>
    <row r="53" spans="1:18">
      <c r="L53" s="122">
        <v>70</v>
      </c>
      <c r="M53" s="122">
        <v>36.5</v>
      </c>
      <c r="N53" s="122">
        <v>55.800000000000004</v>
      </c>
      <c r="Q53" s="388">
        <v>26</v>
      </c>
      <c r="R53" s="389">
        <v>8.8460000000000001</v>
      </c>
    </row>
    <row r="54" spans="1:18">
      <c r="L54" s="122">
        <v>80</v>
      </c>
      <c r="M54" s="122">
        <v>43.8</v>
      </c>
      <c r="N54" s="122">
        <v>64.8</v>
      </c>
      <c r="Q54" s="388">
        <v>27</v>
      </c>
      <c r="R54" s="389">
        <v>8.9139999999999997</v>
      </c>
    </row>
    <row r="55" spans="1:18">
      <c r="L55" s="122">
        <v>90</v>
      </c>
      <c r="M55" s="122">
        <v>51.1</v>
      </c>
      <c r="N55" s="122">
        <v>73.8</v>
      </c>
      <c r="Q55" s="388">
        <v>28</v>
      </c>
      <c r="R55" s="389">
        <v>9.9</v>
      </c>
    </row>
    <row r="56" spans="1:18">
      <c r="L56" s="122">
        <v>100</v>
      </c>
      <c r="M56" s="122">
        <v>58.4</v>
      </c>
      <c r="N56" s="122">
        <v>82.8</v>
      </c>
      <c r="Q56" s="388">
        <v>29</v>
      </c>
      <c r="R56" s="389">
        <v>8.9</v>
      </c>
    </row>
    <row r="57" spans="1:18">
      <c r="L57" s="409"/>
      <c r="M57" s="409"/>
      <c r="N57" s="409"/>
      <c r="Q57" s="385">
        <v>30</v>
      </c>
      <c r="R57" s="391">
        <v>8.8539999999999992</v>
      </c>
    </row>
    <row r="58" spans="1:18">
      <c r="L58" s="409"/>
      <c r="M58" s="409"/>
      <c r="N58" s="409"/>
      <c r="Q58" s="388">
        <v>31</v>
      </c>
      <c r="R58" s="389">
        <v>8.8149999999999995</v>
      </c>
    </row>
    <row r="59" spans="1:18">
      <c r="L59" s="409" t="s">
        <v>392</v>
      </c>
      <c r="M59" s="409" t="s">
        <v>394</v>
      </c>
      <c r="N59" s="409"/>
      <c r="Q59" s="388">
        <v>32</v>
      </c>
      <c r="R59" s="389">
        <v>8.9849999999999994</v>
      </c>
    </row>
    <row r="60" spans="1:18">
      <c r="L60" s="409" t="s">
        <v>393</v>
      </c>
      <c r="M60" s="409" t="s">
        <v>395</v>
      </c>
      <c r="N60" s="409"/>
      <c r="Q60" s="388">
        <v>33</v>
      </c>
      <c r="R60" s="389">
        <v>8.8970000000000002</v>
      </c>
    </row>
    <row r="61" spans="1:18">
      <c r="A61" t="s">
        <v>1139</v>
      </c>
      <c r="Q61" s="388">
        <v>34</v>
      </c>
      <c r="R61" s="389">
        <v>8.91</v>
      </c>
    </row>
    <row r="62" spans="1:18">
      <c r="A62" t="s">
        <v>1141</v>
      </c>
      <c r="L62" s="123" t="s">
        <v>396</v>
      </c>
      <c r="M62" s="122"/>
      <c r="N62" s="409"/>
      <c r="O62" s="409"/>
      <c r="Q62" s="383">
        <v>35</v>
      </c>
      <c r="R62" s="384">
        <v>8.7249999999999996</v>
      </c>
    </row>
    <row r="63" spans="1:18">
      <c r="A63" t="s">
        <v>1140</v>
      </c>
      <c r="L63" s="122">
        <v>50</v>
      </c>
      <c r="M63" s="122">
        <v>0</v>
      </c>
      <c r="N63" s="409"/>
      <c r="O63" s="409"/>
      <c r="Q63" s="383">
        <v>36</v>
      </c>
      <c r="R63" s="384">
        <v>8.7149999999999999</v>
      </c>
    </row>
    <row r="64" spans="1:18">
      <c r="A64" t="str">
        <f>"LL = "&amp;TEXT(L41,"0.0")&amp;" %"</f>
        <v>LL = 46.9 %</v>
      </c>
      <c r="L64" s="122">
        <v>50</v>
      </c>
      <c r="M64" s="122">
        <v>60</v>
      </c>
      <c r="N64" s="409"/>
      <c r="O64" s="409"/>
      <c r="Q64" s="383">
        <v>37</v>
      </c>
      <c r="R64" s="384">
        <v>8.7520000000000007</v>
      </c>
    </row>
    <row r="65" spans="1:18">
      <c r="L65" s="409"/>
      <c r="M65" s="409"/>
      <c r="N65" s="409"/>
      <c r="O65" s="409"/>
      <c r="Q65" s="383">
        <v>38</v>
      </c>
      <c r="R65" s="384">
        <v>8.73</v>
      </c>
    </row>
    <row r="66" spans="1:18">
      <c r="L66" s="122" t="s">
        <v>397</v>
      </c>
      <c r="M66" s="122" t="s">
        <v>398</v>
      </c>
      <c r="N66" s="122" t="s">
        <v>392</v>
      </c>
      <c r="O66" s="122" t="s">
        <v>393</v>
      </c>
      <c r="Q66" s="383">
        <v>39</v>
      </c>
      <c r="R66" s="384">
        <v>8.8610000000000007</v>
      </c>
    </row>
    <row r="67" spans="1:18">
      <c r="L67" s="419">
        <v>4</v>
      </c>
      <c r="M67" s="419">
        <v>4</v>
      </c>
      <c r="N67" s="419">
        <v>25.479452054794521</v>
      </c>
      <c r="O67" s="419">
        <v>12.444444444444445</v>
      </c>
      <c r="Q67" s="383">
        <v>40</v>
      </c>
      <c r="R67" s="384">
        <v>8.8580000000000005</v>
      </c>
    </row>
    <row r="68" spans="1:18">
      <c r="L68" s="419">
        <v>7</v>
      </c>
      <c r="M68" s="419">
        <v>7</v>
      </c>
      <c r="N68" s="419">
        <v>29.589041095890412</v>
      </c>
      <c r="O68" s="419">
        <v>15.777777777777779</v>
      </c>
      <c r="Q68" s="383">
        <v>41</v>
      </c>
      <c r="R68" s="384">
        <v>8.7590000000000003</v>
      </c>
    </row>
    <row r="69" spans="1:18">
      <c r="L69" s="409"/>
      <c r="M69" s="409"/>
      <c r="N69" s="409"/>
      <c r="O69" s="409"/>
      <c r="Q69" s="383">
        <v>42</v>
      </c>
      <c r="R69" s="384">
        <v>8.8000000000000007</v>
      </c>
    </row>
    <row r="70" spans="1:18">
      <c r="L70" s="420">
        <v>0</v>
      </c>
      <c r="M70" s="420">
        <v>4</v>
      </c>
      <c r="N70" s="409"/>
      <c r="O70" s="409"/>
      <c r="Q70" s="383">
        <v>43</v>
      </c>
      <c r="R70" s="384">
        <v>8.8610000000000007</v>
      </c>
    </row>
    <row r="71" spans="1:18">
      <c r="F71" s="1183"/>
      <c r="L71" s="420">
        <f>O67</f>
        <v>12.444444444444445</v>
      </c>
      <c r="M71" s="420">
        <v>4</v>
      </c>
      <c r="N71" s="409"/>
      <c r="O71" s="409"/>
      <c r="Q71" s="383">
        <v>44</v>
      </c>
      <c r="R71" s="384">
        <v>8.8780000000000001</v>
      </c>
    </row>
    <row r="72" spans="1:18">
      <c r="L72" s="420"/>
      <c r="M72" s="420"/>
      <c r="N72" s="409"/>
      <c r="O72" s="409"/>
      <c r="Q72" s="383">
        <v>45</v>
      </c>
      <c r="R72" s="384">
        <v>8.9410000000000007</v>
      </c>
    </row>
    <row r="73" spans="1:18">
      <c r="A73" s="399" t="s">
        <v>378</v>
      </c>
      <c r="L73" s="420">
        <v>0</v>
      </c>
      <c r="M73" s="420">
        <v>7</v>
      </c>
      <c r="N73" s="409"/>
      <c r="O73" s="409"/>
      <c r="Q73" s="383">
        <v>46</v>
      </c>
      <c r="R73" s="384">
        <v>9.01</v>
      </c>
    </row>
    <row r="74" spans="1:18">
      <c r="L74" s="420">
        <f>O68</f>
        <v>15.777777777777779</v>
      </c>
      <c r="M74" s="420">
        <v>7</v>
      </c>
      <c r="N74" s="409"/>
      <c r="O74" s="409"/>
      <c r="Q74" s="383">
        <v>47</v>
      </c>
      <c r="R74" s="384">
        <v>8.8993000000000002</v>
      </c>
    </row>
    <row r="75" spans="1:18">
      <c r="A75" s="396" t="s">
        <v>368</v>
      </c>
      <c r="F75" s="401">
        <v>12</v>
      </c>
      <c r="G75" s="401">
        <v>15</v>
      </c>
      <c r="J75" s="1247" t="s">
        <v>1354</v>
      </c>
      <c r="N75" s="409"/>
      <c r="O75" s="409"/>
      <c r="Q75" s="383">
        <v>48</v>
      </c>
      <c r="R75" s="384">
        <v>8.7490000000000006</v>
      </c>
    </row>
    <row r="76" spans="1:18">
      <c r="A76" s="394" t="s">
        <v>379</v>
      </c>
      <c r="F76" s="402">
        <f t="shared" ref="F76:G76" si="2">IFERROR(VLOOKUP(F75,$Q$28:$R$149,2,0),"")</f>
        <v>8.9280000000000008</v>
      </c>
      <c r="G76" s="402">
        <f t="shared" si="2"/>
        <v>8.9930000000000003</v>
      </c>
      <c r="J76" s="1183" t="s">
        <v>1480</v>
      </c>
      <c r="Q76" s="383">
        <v>49</v>
      </c>
      <c r="R76" s="384">
        <v>8.8219999999999992</v>
      </c>
    </row>
    <row r="77" spans="1:18">
      <c r="A77" s="394" t="s">
        <v>371</v>
      </c>
      <c r="F77" s="532">
        <v>16.395</v>
      </c>
      <c r="G77" s="532">
        <v>15.888999999999999</v>
      </c>
      <c r="Q77" s="383">
        <v>50</v>
      </c>
      <c r="R77" s="384">
        <v>8.7810000000000006</v>
      </c>
    </row>
    <row r="78" spans="1:18">
      <c r="A78" s="394" t="s">
        <v>380</v>
      </c>
      <c r="F78" s="532">
        <v>15.003</v>
      </c>
      <c r="G78" s="536">
        <v>14.621</v>
      </c>
      <c r="Q78" s="383">
        <v>51</v>
      </c>
      <c r="R78" s="384">
        <v>8.843</v>
      </c>
    </row>
    <row r="79" spans="1:18">
      <c r="A79" s="403" t="s">
        <v>381</v>
      </c>
      <c r="F79" s="402">
        <f>IF(OR(F76="",F78=""),"",(F78-F76))</f>
        <v>6.0749999999999993</v>
      </c>
      <c r="G79" s="402">
        <f>IF(OR(G76="",G78=""),"",(G78-G76))</f>
        <v>5.6280000000000001</v>
      </c>
      <c r="Q79" s="383">
        <v>52</v>
      </c>
      <c r="R79" s="384">
        <v>8.8580000000000005</v>
      </c>
    </row>
    <row r="80" spans="1:18">
      <c r="A80" s="394" t="s">
        <v>382</v>
      </c>
      <c r="F80" s="402">
        <f>IF(OR(F77="",F78=""),"",(F77-F78))</f>
        <v>1.3919999999999995</v>
      </c>
      <c r="G80" s="402">
        <f>IF(OR(G77="",G78=""),"",(G77-G78))</f>
        <v>1.2679999999999989</v>
      </c>
      <c r="Q80" s="383">
        <v>53</v>
      </c>
      <c r="R80" s="384">
        <v>8.7810000000000006</v>
      </c>
    </row>
    <row r="81" spans="1:18">
      <c r="A81" s="394" t="s">
        <v>383</v>
      </c>
      <c r="F81" s="402">
        <f>IF(OR(F79="",F80=""),"",(F80/F79*100))</f>
        <v>22.913580246913572</v>
      </c>
      <c r="G81" s="402">
        <f>IF(OR(G79="",G80=""),"",(G80/G79*100))</f>
        <v>22.530206112295645</v>
      </c>
      <c r="Q81" s="383">
        <v>54</v>
      </c>
      <c r="R81" s="384">
        <v>8.9179999999999993</v>
      </c>
    </row>
    <row r="82" spans="1:18">
      <c r="A82" s="394" t="s">
        <v>384</v>
      </c>
      <c r="F82" s="538">
        <f>IF(OR(F81="",G81=""),"",AVERAGE(F81:G81))</f>
        <v>22.721893179604606</v>
      </c>
      <c r="G82" s="538"/>
      <c r="Q82" s="383">
        <v>55</v>
      </c>
      <c r="R82" s="384">
        <v>9.0299999999999994</v>
      </c>
    </row>
    <row r="83" spans="1:18">
      <c r="Q83" s="383">
        <v>56</v>
      </c>
      <c r="R83" s="384">
        <v>8.9239999999999995</v>
      </c>
    </row>
    <row r="84" spans="1:18">
      <c r="Q84" s="383">
        <v>57</v>
      </c>
      <c r="R84" s="384">
        <v>9.0109999999999992</v>
      </c>
    </row>
    <row r="85" spans="1:18">
      <c r="C85" s="404" t="s">
        <v>385</v>
      </c>
      <c r="D85" s="404" t="s">
        <v>390</v>
      </c>
      <c r="E85" s="404" t="s">
        <v>391</v>
      </c>
      <c r="Q85" s="383">
        <v>58</v>
      </c>
      <c r="R85" s="384">
        <v>8.8539999999999992</v>
      </c>
    </row>
    <row r="86" spans="1:18">
      <c r="C86" s="394" t="s">
        <v>34</v>
      </c>
      <c r="D86" s="537"/>
      <c r="E86" s="395"/>
      <c r="Q86" s="383">
        <v>59</v>
      </c>
      <c r="R86" s="384">
        <v>8.8989999999999991</v>
      </c>
    </row>
    <row r="87" spans="1:18">
      <c r="C87" s="405">
        <f>IF($J$76="NP","NP",L41)</f>
        <v>46.879857774765206</v>
      </c>
      <c r="D87" s="418">
        <f>IF($J$76="NP","NP",F82)</f>
        <v>22.721893179604606</v>
      </c>
      <c r="E87" s="418">
        <f>IF($J$76="NP","NP",IF(OR(C87="",D87=""),"",C87-D87))</f>
        <v>24.1579645951606</v>
      </c>
      <c r="Q87" s="383">
        <v>60</v>
      </c>
      <c r="R87" s="384">
        <v>8.8209999999999997</v>
      </c>
    </row>
    <row r="88" spans="1:18">
      <c r="Q88" s="383">
        <v>61</v>
      </c>
      <c r="R88" s="384">
        <v>8.8450000000000006</v>
      </c>
    </row>
    <row r="89" spans="1:18">
      <c r="Q89" s="383">
        <v>62</v>
      </c>
      <c r="R89" s="384">
        <v>8.76</v>
      </c>
    </row>
    <row r="90" spans="1:18">
      <c r="Q90" s="383">
        <v>63</v>
      </c>
      <c r="R90" s="384">
        <v>8.86</v>
      </c>
    </row>
    <row r="91" spans="1:18">
      <c r="Q91" s="383">
        <v>64</v>
      </c>
      <c r="R91" s="384">
        <v>8.8089999999999993</v>
      </c>
    </row>
    <row r="92" spans="1:18">
      <c r="Q92" s="383">
        <v>65</v>
      </c>
      <c r="R92" s="384">
        <v>8.8840000000000003</v>
      </c>
    </row>
    <row r="93" spans="1:18">
      <c r="Q93" s="383">
        <v>66</v>
      </c>
      <c r="R93" s="384">
        <v>8.923</v>
      </c>
    </row>
    <row r="94" spans="1:18">
      <c r="Q94" s="383">
        <v>67</v>
      </c>
      <c r="R94" s="384">
        <v>8.9600000000000009</v>
      </c>
    </row>
    <row r="95" spans="1:18">
      <c r="Q95" s="383">
        <v>68</v>
      </c>
      <c r="R95" s="384">
        <v>8.9870000000000001</v>
      </c>
    </row>
    <row r="96" spans="1:18">
      <c r="Q96" s="383">
        <v>69</v>
      </c>
      <c r="R96" s="384">
        <v>8.8239999999999998</v>
      </c>
    </row>
    <row r="97" spans="17:18">
      <c r="Q97" s="383">
        <v>70</v>
      </c>
      <c r="R97" s="384">
        <v>8.923</v>
      </c>
    </row>
    <row r="98" spans="17:18">
      <c r="Q98" s="383">
        <v>71</v>
      </c>
      <c r="R98" s="384">
        <v>8.8940000000000001</v>
      </c>
    </row>
    <row r="99" spans="17:18">
      <c r="Q99" s="383">
        <v>72</v>
      </c>
      <c r="R99" s="384">
        <v>8.8279999999999994</v>
      </c>
    </row>
    <row r="100" spans="17:18">
      <c r="Q100" s="383">
        <v>73</v>
      </c>
      <c r="R100" s="384">
        <v>8.8030000000000008</v>
      </c>
    </row>
    <row r="101" spans="17:18">
      <c r="Q101" s="383">
        <v>74</v>
      </c>
      <c r="R101" s="384">
        <v>8.9489999999999998</v>
      </c>
    </row>
    <row r="102" spans="17:18">
      <c r="Q102" s="383">
        <v>75</v>
      </c>
      <c r="R102" s="384">
        <v>8.8510000000000009</v>
      </c>
    </row>
    <row r="103" spans="17:18">
      <c r="Q103" s="383">
        <v>76</v>
      </c>
      <c r="R103" s="384">
        <v>8.7460000000000004</v>
      </c>
    </row>
    <row r="104" spans="17:18">
      <c r="Q104" s="383">
        <v>77</v>
      </c>
      <c r="R104" s="384">
        <v>8.843</v>
      </c>
    </row>
    <row r="105" spans="17:18">
      <c r="Q105" s="383">
        <v>78</v>
      </c>
      <c r="R105" s="384">
        <v>8.8279999999999994</v>
      </c>
    </row>
    <row r="106" spans="17:18">
      <c r="Q106" s="383">
        <v>79</v>
      </c>
      <c r="R106" s="384">
        <v>8.9149999999999991</v>
      </c>
    </row>
    <row r="107" spans="17:18">
      <c r="Q107" s="383">
        <v>80</v>
      </c>
      <c r="R107" s="384">
        <v>8.8130000000000006</v>
      </c>
    </row>
    <row r="108" spans="17:18">
      <c r="Q108" s="383">
        <v>81</v>
      </c>
      <c r="R108" s="384">
        <v>8.9649999999999999</v>
      </c>
    </row>
    <row r="109" spans="17:18">
      <c r="Q109" s="383">
        <v>82</v>
      </c>
      <c r="R109" s="384">
        <v>8.7970000000000006</v>
      </c>
    </row>
    <row r="110" spans="17:18">
      <c r="Q110" s="383">
        <v>83</v>
      </c>
      <c r="R110" s="384">
        <v>8.9280000000000008</v>
      </c>
    </row>
    <row r="111" spans="17:18">
      <c r="Q111" s="383">
        <v>84</v>
      </c>
      <c r="R111" s="384">
        <v>8.9039999999999999</v>
      </c>
    </row>
    <row r="112" spans="17:18">
      <c r="Q112" s="383">
        <v>85</v>
      </c>
      <c r="R112" s="384">
        <v>8.7690000000000001</v>
      </c>
    </row>
    <row r="113" spans="2:18">
      <c r="D113" s="399" t="s">
        <v>559</v>
      </c>
      <c r="G113" t="str">
        <f>IF($J$76="NP",
"NP",
IF(AND(D115&lt;25,D116&gt;=4,D116&lt;=7),"CL-ML",
IF(D115&lt;50,
IF(D116&gt;=0.73*(D115-20),"CL","ML"),
IF(D116&gt;=0.73*(D115-20),"CH","MH"))))</f>
        <v>CL</v>
      </c>
      <c r="H113" t="str">
        <f>IF($J$76="NP","NP",
IF(G113="CL","Lean Clay",
IF(G113="CH","Fat Clay",
IF(G113="ML","Silt",
IF(G113="MH","Elastic Silt",
IF(G113="CL-ML","Silty Clay",""))))))</f>
        <v>Lean Clay</v>
      </c>
      <c r="Q113" s="383">
        <v>86</v>
      </c>
      <c r="R113" s="384">
        <v>8.8079999999999998</v>
      </c>
    </row>
    <row r="114" spans="2:18">
      <c r="Q114" s="383">
        <v>87</v>
      </c>
      <c r="R114" s="384">
        <v>8.8320000000000007</v>
      </c>
    </row>
    <row r="115" spans="2:18">
      <c r="C115" t="s">
        <v>385</v>
      </c>
      <c r="D115" s="43">
        <f>IF($J$76="NP",NA(),C87)</f>
        <v>46.879857774765206</v>
      </c>
      <c r="Q115" s="383">
        <v>88</v>
      </c>
      <c r="R115" s="384">
        <v>8.9280000000000008</v>
      </c>
    </row>
    <row r="116" spans="2:18">
      <c r="C116" t="s">
        <v>391</v>
      </c>
      <c r="D116" s="43">
        <f>IF($J$76="NP",NA(),E87)</f>
        <v>24.1579645951606</v>
      </c>
      <c r="G116" t="str">
        <f>IF($G$113="NP",
"",
"USCS : "&amp;$G$113&amp;" - "&amp;$H$113)</f>
        <v>USCS : CL - Lean Clay</v>
      </c>
      <c r="Q116" s="383">
        <v>89</v>
      </c>
      <c r="R116" s="384">
        <v>9.0719999999999992</v>
      </c>
    </row>
    <row r="117" spans="2:18">
      <c r="F117" t="s">
        <v>1142</v>
      </c>
      <c r="G117" s="969" t="str">
        <f>IFERROR(G116,"")</f>
        <v>USCS : CL - Lean Clay</v>
      </c>
      <c r="Q117" s="383">
        <v>90</v>
      </c>
      <c r="R117" s="384">
        <v>8.9060000000000006</v>
      </c>
    </row>
    <row r="118" spans="2:18">
      <c r="Q118" s="383">
        <v>91</v>
      </c>
      <c r="R118" s="384">
        <v>8.8390000000000004</v>
      </c>
    </row>
    <row r="119" spans="2:18">
      <c r="B119" t="s">
        <v>1144</v>
      </c>
      <c r="Q119" s="383">
        <v>92</v>
      </c>
      <c r="R119" s="384">
        <v>8.8219999999999992</v>
      </c>
    </row>
    <row r="120" spans="2:18">
      <c r="B120" s="116" t="s">
        <v>1143</v>
      </c>
      <c r="C120" s="116" t="s">
        <v>1108</v>
      </c>
      <c r="Q120" s="383">
        <v>93</v>
      </c>
      <c r="R120" s="384">
        <v>8.8539999999999992</v>
      </c>
    </row>
    <row r="121" spans="2:18">
      <c r="B121" s="80">
        <f>IF($D$7="","",F29)</f>
        <v>40</v>
      </c>
      <c r="C121" s="43">
        <f>IF($D$7="","",F37)</f>
        <v>43.333333333333321</v>
      </c>
      <c r="Q121" s="383">
        <v>94</v>
      </c>
      <c r="R121" s="384">
        <v>8.8260000000000005</v>
      </c>
    </row>
    <row r="122" spans="2:18">
      <c r="B122" s="80">
        <f>IF($D$7="","",G29)</f>
        <v>31</v>
      </c>
      <c r="C122" s="43">
        <f>IF($D$7="","",G37)</f>
        <v>45.272466177915518</v>
      </c>
      <c r="Q122" s="383">
        <v>95</v>
      </c>
      <c r="R122" s="384">
        <v>8.8789999999999996</v>
      </c>
    </row>
    <row r="123" spans="2:18">
      <c r="B123" s="80">
        <f>IF($D$7="","",H29)</f>
        <v>20</v>
      </c>
      <c r="C123" s="43">
        <f>IF($D$7="","",H37)</f>
        <v>48.21935077213994</v>
      </c>
      <c r="Q123" s="383">
        <v>96</v>
      </c>
      <c r="R123" s="384">
        <v>11.742000000000001</v>
      </c>
    </row>
    <row r="124" spans="2:18">
      <c r="B124" s="80">
        <f>IF($D$7="","",I29)</f>
        <v>12</v>
      </c>
      <c r="C124" s="43">
        <f>IF($D$7="","",I37)</f>
        <v>51.789676083419621</v>
      </c>
      <c r="Q124" s="383">
        <v>97</v>
      </c>
      <c r="R124" s="384">
        <v>11.648</v>
      </c>
    </row>
    <row r="125" spans="2:18">
      <c r="B125" t="s">
        <v>1145</v>
      </c>
      <c r="Q125" s="383">
        <v>98</v>
      </c>
      <c r="R125" s="384">
        <v>11.9</v>
      </c>
    </row>
    <row r="126" spans="2:18">
      <c r="Q126" s="383">
        <v>99</v>
      </c>
      <c r="R126" s="384">
        <v>11.936</v>
      </c>
    </row>
    <row r="127" spans="2:18">
      <c r="B127" s="116" t="s">
        <v>1146</v>
      </c>
      <c r="C127" s="116" t="s">
        <v>1108</v>
      </c>
      <c r="Q127" s="383">
        <v>100</v>
      </c>
      <c r="R127" s="384">
        <v>11.704000000000001</v>
      </c>
    </row>
    <row r="128" spans="2:18">
      <c r="B128">
        <v>1</v>
      </c>
      <c r="C128" s="43">
        <f>IF($D$7="","",F81)</f>
        <v>22.913580246913572</v>
      </c>
      <c r="Q128" s="383">
        <v>101</v>
      </c>
      <c r="R128" s="384">
        <v>11.682</v>
      </c>
    </row>
    <row r="129" spans="2:18">
      <c r="B129">
        <v>2</v>
      </c>
      <c r="C129" s="43">
        <f>IF($D$7="","",G81)</f>
        <v>22.530206112295645</v>
      </c>
      <c r="Q129" s="383">
        <v>102</v>
      </c>
      <c r="R129" s="384">
        <v>11.487</v>
      </c>
    </row>
    <row r="130" spans="2:18">
      <c r="Q130" s="383">
        <v>103</v>
      </c>
      <c r="R130" s="384">
        <v>11.670999999999999</v>
      </c>
    </row>
    <row r="131" spans="2:18">
      <c r="Q131" s="383">
        <v>104</v>
      </c>
      <c r="R131" s="384">
        <v>11.765000000000001</v>
      </c>
    </row>
    <row r="132" spans="2:18">
      <c r="B132" t="s">
        <v>1147</v>
      </c>
      <c r="Q132" s="383">
        <v>105</v>
      </c>
      <c r="R132" s="384">
        <v>11.739000000000001</v>
      </c>
    </row>
    <row r="133" spans="2:18">
      <c r="B133" s="116" t="s">
        <v>575</v>
      </c>
      <c r="C133" s="116" t="s">
        <v>1148</v>
      </c>
      <c r="Q133" s="383">
        <v>106</v>
      </c>
      <c r="R133" s="384">
        <v>11.691000000000001</v>
      </c>
    </row>
    <row r="134" spans="2:18">
      <c r="B134" t="s">
        <v>1149</v>
      </c>
      <c r="E134" s="43">
        <f>IF($D$7="","",C87)</f>
        <v>46.879857774765206</v>
      </c>
      <c r="Q134" s="383">
        <v>107</v>
      </c>
      <c r="R134" s="384">
        <v>11.662000000000001</v>
      </c>
    </row>
    <row r="135" spans="2:18">
      <c r="B135" t="s">
        <v>1150</v>
      </c>
      <c r="E135" s="43">
        <f>IF($D$7="","",D87)</f>
        <v>22.721893179604606</v>
      </c>
      <c r="Q135" s="383">
        <v>108</v>
      </c>
      <c r="R135" s="384">
        <v>11.763999999999999</v>
      </c>
    </row>
    <row r="136" spans="2:18">
      <c r="B136" t="s">
        <v>1151</v>
      </c>
      <c r="E136" s="43">
        <f>IF($D$7="","",E87)</f>
        <v>24.1579645951606</v>
      </c>
      <c r="Q136" s="383">
        <v>109</v>
      </c>
      <c r="R136" s="384">
        <v>11.73</v>
      </c>
    </row>
    <row r="137" spans="2:18">
      <c r="B137" t="s">
        <v>1152</v>
      </c>
      <c r="E137" t="str">
        <f>IF($D$7="","",G113)</f>
        <v>CL</v>
      </c>
      <c r="Q137" s="383">
        <v>110</v>
      </c>
      <c r="R137" s="384">
        <v>11.663</v>
      </c>
    </row>
    <row r="138" spans="2:18">
      <c r="B138" t="s">
        <v>1153</v>
      </c>
      <c r="E138" t="str">
        <f>IF($D$7="","",IF($G$113="NP",
"Non Plastic",
$H$113))</f>
        <v>Lean Clay</v>
      </c>
      <c r="Q138" s="383">
        <v>111</v>
      </c>
      <c r="R138" s="384">
        <v>11.741</v>
      </c>
    </row>
    <row r="139" spans="2:18">
      <c r="Q139" s="383">
        <v>112</v>
      </c>
      <c r="R139" s="384">
        <v>11.68</v>
      </c>
    </row>
    <row r="140" spans="2:18">
      <c r="Q140" s="383">
        <v>113</v>
      </c>
      <c r="R140" s="384">
        <v>8.9589999999999996</v>
      </c>
    </row>
    <row r="141" spans="2:18">
      <c r="Q141" s="383">
        <v>114</v>
      </c>
      <c r="R141" s="384">
        <v>8.8190000000000008</v>
      </c>
    </row>
    <row r="142" spans="2:18">
      <c r="Q142" s="392">
        <v>115</v>
      </c>
      <c r="R142" s="393">
        <v>11.619</v>
      </c>
    </row>
    <row r="143" spans="2:18">
      <c r="Q143" s="392">
        <v>116</v>
      </c>
      <c r="R143" s="393">
        <v>8.8699999999999992</v>
      </c>
    </row>
    <row r="144" spans="2:18">
      <c r="Q144" s="392">
        <v>117</v>
      </c>
      <c r="R144" s="393">
        <v>9</v>
      </c>
    </row>
    <row r="145" spans="2:20">
      <c r="Q145" s="392">
        <v>118</v>
      </c>
      <c r="R145" s="393">
        <v>8.8339999999999996</v>
      </c>
    </row>
    <row r="146" spans="2:20">
      <c r="Q146" s="392">
        <v>119</v>
      </c>
      <c r="R146" s="393">
        <v>8.9469999999999992</v>
      </c>
    </row>
    <row r="147" spans="2:20">
      <c r="Q147" s="392">
        <v>120</v>
      </c>
      <c r="R147" s="393">
        <v>11.666</v>
      </c>
    </row>
    <row r="148" spans="2:20">
      <c r="Q148" s="392">
        <v>121</v>
      </c>
      <c r="R148" s="393">
        <v>8.7379999999999995</v>
      </c>
    </row>
    <row r="149" spans="2:20">
      <c r="Q149" s="392">
        <v>122</v>
      </c>
      <c r="R149" s="393">
        <v>8.9849999999999994</v>
      </c>
    </row>
    <row r="151" spans="2:20">
      <c r="B151" s="1566" t="s">
        <v>1719</v>
      </c>
      <c r="C151" s="862"/>
      <c r="D151" s="14"/>
      <c r="E151" s="370"/>
      <c r="F151" s="370"/>
      <c r="G151" s="370"/>
      <c r="H151" s="370"/>
      <c r="I151" s="370"/>
      <c r="J151" s="370"/>
      <c r="K151" s="370"/>
      <c r="L151" s="370"/>
      <c r="M151" s="370"/>
      <c r="N151" s="370"/>
    </row>
    <row r="152" spans="2:20">
      <c r="B152" s="1570" t="s">
        <v>1738</v>
      </c>
      <c r="C152" s="862"/>
      <c r="D152" s="14"/>
      <c r="E152" s="370"/>
      <c r="F152" s="370"/>
      <c r="G152" s="370"/>
      <c r="H152" s="370"/>
      <c r="I152" s="370"/>
      <c r="J152" s="370"/>
      <c r="K152" s="370"/>
      <c r="L152" s="370"/>
      <c r="M152" s="370"/>
      <c r="N152" s="370"/>
    </row>
    <row r="153" spans="2:20">
      <c r="B153" s="1566" t="s">
        <v>1719</v>
      </c>
      <c r="C153" s="862"/>
      <c r="D153" s="14"/>
      <c r="E153" s="370"/>
      <c r="F153" s="370"/>
      <c r="G153" s="370"/>
      <c r="H153" s="370"/>
      <c r="I153" s="370"/>
      <c r="J153" s="370"/>
      <c r="K153" s="370"/>
      <c r="L153" s="370"/>
      <c r="M153" s="370"/>
      <c r="N153" s="370"/>
    </row>
    <row r="154" spans="2:20">
      <c r="B154" s="370"/>
      <c r="C154" s="862"/>
      <c r="D154" s="14"/>
      <c r="E154" s="370"/>
      <c r="F154" s="370"/>
      <c r="G154" s="370"/>
      <c r="H154" s="370"/>
      <c r="I154" s="370"/>
      <c r="J154" s="370"/>
      <c r="K154" s="370"/>
      <c r="L154" s="370"/>
      <c r="M154" s="370"/>
      <c r="N154" s="370"/>
    </row>
    <row r="155" spans="2:20">
      <c r="B155" s="370" t="s">
        <v>1662</v>
      </c>
      <c r="C155" s="7"/>
      <c r="D155" s="14"/>
      <c r="E155" s="370"/>
      <c r="F155" s="370"/>
      <c r="G155" s="370"/>
      <c r="H155" s="370"/>
      <c r="I155" s="370"/>
    </row>
    <row r="156" spans="2:20" ht="20.25" customHeight="1">
      <c r="B156" s="370"/>
      <c r="C156" s="7"/>
      <c r="D156" s="14"/>
      <c r="E156" s="370"/>
      <c r="F156" s="370"/>
      <c r="G156" s="370"/>
      <c r="H156" s="370"/>
      <c r="I156" s="370"/>
      <c r="P156" t="s">
        <v>575</v>
      </c>
      <c r="Q156" t="s">
        <v>1667</v>
      </c>
      <c r="R156" t="s">
        <v>1611</v>
      </c>
      <c r="S156" t="s">
        <v>1607</v>
      </c>
      <c r="T156" t="s">
        <v>1608</v>
      </c>
    </row>
    <row r="157" spans="2:20">
      <c r="B157" s="370" t="s">
        <v>1611</v>
      </c>
      <c r="C157" s="7" t="str">
        <f>F12</f>
        <v>CL</v>
      </c>
      <c r="D157" s="14"/>
      <c r="E157" s="370"/>
      <c r="F157" s="370"/>
      <c r="G157" s="370"/>
      <c r="H157" s="370"/>
      <c r="I157" s="370"/>
      <c r="P157" t="s">
        <v>385</v>
      </c>
      <c r="Q157" t="s">
        <v>1680</v>
      </c>
      <c r="R157">
        <v>1</v>
      </c>
      <c r="S157">
        <v>0</v>
      </c>
      <c r="T157">
        <v>20</v>
      </c>
    </row>
    <row r="158" spans="2:20">
      <c r="B158" s="370"/>
      <c r="C158" s="7"/>
      <c r="D158" s="14"/>
      <c r="E158" s="370"/>
      <c r="F158" s="370"/>
      <c r="G158" s="370"/>
      <c r="H158" s="370"/>
      <c r="I158" s="370"/>
      <c r="P158" t="s">
        <v>385</v>
      </c>
      <c r="Q158" t="s">
        <v>1670</v>
      </c>
      <c r="R158">
        <v>2</v>
      </c>
      <c r="S158">
        <v>20</v>
      </c>
      <c r="T158">
        <v>35</v>
      </c>
    </row>
    <row r="159" spans="2:20">
      <c r="B159" s="370" t="s">
        <v>1663</v>
      </c>
      <c r="C159" s="7"/>
      <c r="D159" s="14"/>
      <c r="E159" s="370"/>
      <c r="F159" s="370"/>
      <c r="G159" s="370"/>
      <c r="H159" s="370"/>
      <c r="I159" s="370"/>
      <c r="P159" t="s">
        <v>385</v>
      </c>
      <c r="Q159" t="s">
        <v>1672</v>
      </c>
      <c r="R159">
        <v>3</v>
      </c>
      <c r="S159">
        <v>35</v>
      </c>
      <c r="T159">
        <v>50</v>
      </c>
    </row>
    <row r="160" spans="2:20">
      <c r="B160" s="370"/>
      <c r="C160" s="7"/>
      <c r="D160" s="14"/>
      <c r="E160" s="370"/>
      <c r="F160" s="370"/>
      <c r="G160" s="370"/>
      <c r="H160" s="370"/>
      <c r="I160" s="370"/>
      <c r="P160" t="s">
        <v>385</v>
      </c>
      <c r="Q160" t="s">
        <v>338</v>
      </c>
      <c r="R160">
        <v>4</v>
      </c>
      <c r="S160">
        <v>50</v>
      </c>
      <c r="T160">
        <v>70</v>
      </c>
    </row>
    <row r="161" spans="2:20">
      <c r="B161" s="1570" t="s">
        <v>1664</v>
      </c>
      <c r="C161" s="7"/>
      <c r="D161" s="14"/>
      <c r="E161" s="370"/>
      <c r="F161" s="370"/>
      <c r="G161" s="370"/>
      <c r="H161" s="370"/>
      <c r="I161" s="370"/>
      <c r="P161" t="s">
        <v>385</v>
      </c>
      <c r="Q161" t="s">
        <v>1681</v>
      </c>
      <c r="R161">
        <v>5</v>
      </c>
      <c r="S161">
        <v>70</v>
      </c>
      <c r="T161">
        <v>150</v>
      </c>
    </row>
    <row r="162" spans="2:20" ht="31.5">
      <c r="B162" s="862"/>
      <c r="C162" s="7"/>
      <c r="D162" s="14" t="s">
        <v>1721</v>
      </c>
      <c r="E162" s="1569" t="s">
        <v>1741</v>
      </c>
      <c r="F162" s="862" t="s">
        <v>1722</v>
      </c>
      <c r="G162" s="862" t="s">
        <v>1684</v>
      </c>
      <c r="H162" s="862" t="s">
        <v>1683</v>
      </c>
      <c r="I162" s="862" t="s">
        <v>1607</v>
      </c>
      <c r="J162" s="862" t="s">
        <v>1608</v>
      </c>
      <c r="K162" s="862" t="s">
        <v>1598</v>
      </c>
      <c r="L162" s="862" t="s">
        <v>1723</v>
      </c>
      <c r="M162" s="326"/>
      <c r="N162" s="862" t="s">
        <v>1724</v>
      </c>
    </row>
    <row r="163" spans="2:20" ht="108.75" customHeight="1">
      <c r="B163" s="14" t="s">
        <v>385</v>
      </c>
      <c r="C163" s="864">
        <f>E134</f>
        <v>46.879857774765206</v>
      </c>
      <c r="D163" s="14" t="str">
        <f>IF(ISNUMBER(C163),"PASS","CHECK")</f>
        <v>PASS</v>
      </c>
      <c r="F163" s="14" t="str" cm="1">
        <f t="array" ref="F163">IFERROR(
INDEX($Q$157:$Q$161,
MATCH(1,
($P$157:$P$161=$B163)*
($T$157:$T$161&gt;=C163)*
($S$157:$S$161&lt;=C163),
0)),
"")</f>
        <v>Sedang</v>
      </c>
      <c r="G163" s="14" cm="1">
        <f t="array" ref="G163">IFERROR(
INDEX($R$157:$R$161,
MATCH(1,
($P$157:$P$161=$B163)*
($T$157:$T$161&gt;=C163)*
($S$157:$S$161&lt;=C163),
0)),
"")</f>
        <v>3</v>
      </c>
      <c r="H163" s="1569" t="str" cm="1">
        <f t="array" ref="H163">IFERROR(
INDEX($R$178:$R$213,
MATCH(1,
($P$178:$P$213=$C$157)*
($Q$178:$Q$213=$B163),
0)),
"")</f>
        <v>Sedang–Tinggi</v>
      </c>
      <c r="I163" s="1569" cm="1">
        <f t="array" ref="I163">IFERROR(
INDEX($S$178:$S$213,
MATCH(1,
($P$178:$P$213=$C$157)*
($Q$178:$Q$213=$B163),
0)),
"")</f>
        <v>35</v>
      </c>
      <c r="J163" s="1569" cm="1">
        <f t="array" ref="J163">IFERROR(
INDEX($T$178:$T$213,
MATCH(1,
($P$178:$P$213=$C$157)*
($Q$178:$Q$213=$B163),
0)),
"")</f>
        <v>70</v>
      </c>
      <c r="K163" s="3" t="str">
        <f>IF(C163="","CHECK",
IF(AND(C163&gt;=I163,C163&lt;J163),"PASS","REVIEW"))</f>
        <v>PASS</v>
      </c>
      <c r="L163" s="1569" t="str" cm="1">
        <f t="array" ref="L163">IFERROR(
INDEX($U$178:$U$213,
MATCH(1,
($P$178:$P$213=$C$157)*
($Q$178:$Q$213=$B163),
0)),
"")</f>
        <v>LL tinggi harus konsisten dengan PI dan Clay Content. Periksa GSA bila menyimpang.</v>
      </c>
      <c r="M163" s="1569"/>
      <c r="N163" s="1569" t="str" cm="1">
        <f t="array" ref="N163">IFERROR(
INDEX($V$178:$V$213,
MATCH(1,
($P$178:$P$213=$C$157)*
($Q$178:$Q$213=$B163),
0)),
"")</f>
        <v>ASTM D4318; USCS; Das (2017)</v>
      </c>
      <c r="P163" t="s">
        <v>575</v>
      </c>
      <c r="Q163" t="s">
        <v>1667</v>
      </c>
      <c r="R163" t="s">
        <v>1611</v>
      </c>
      <c r="S163" t="s">
        <v>1607</v>
      </c>
      <c r="T163" t="s">
        <v>1608</v>
      </c>
    </row>
    <row r="164" spans="2:20">
      <c r="B164" s="370"/>
      <c r="C164" s="7"/>
      <c r="D164" s="14"/>
      <c r="E164" s="370"/>
      <c r="F164" s="370"/>
      <c r="G164" s="370"/>
      <c r="H164" s="370"/>
      <c r="I164" s="1564"/>
      <c r="P164" t="s">
        <v>390</v>
      </c>
      <c r="Q164" t="s">
        <v>1680</v>
      </c>
      <c r="R164">
        <v>1</v>
      </c>
      <c r="S164">
        <v>0</v>
      </c>
      <c r="T164">
        <v>15</v>
      </c>
    </row>
    <row r="165" spans="2:20" ht="71.25" customHeight="1">
      <c r="B165" s="14" t="s">
        <v>390</v>
      </c>
      <c r="C165" s="864">
        <f>E135</f>
        <v>22.721893179604606</v>
      </c>
      <c r="D165" s="14" t="str">
        <f>IF(ISNUMBER(C165),"PASS","CHECK")</f>
        <v>PASS</v>
      </c>
      <c r="E165" s="14" t="str">
        <f>IF(C163&gt;C165,"PASS","CHECK")</f>
        <v>PASS</v>
      </c>
      <c r="F165" s="14" t="str" cm="1">
        <f t="array" ref="F165">IFERROR(
INDEX($Q$164:$Q$168,
MATCH(1,
($P$164:$P$168=$B165)*
($T$164:$T$168&gt;=C165)*
($S$164:$S$168&lt;=C165),
0)),
"")</f>
        <v>Rendah</v>
      </c>
      <c r="G165" s="14" cm="1">
        <f t="array" ref="G165">IFERROR(
INDEX($R$164:$R$168,
MATCH(1,
($P$164:$P$168=$B165)*
($T$164:$T$168&gt;=C165)*
($S$164:$S$168&lt;=C165),
0)),
"")</f>
        <v>2</v>
      </c>
      <c r="H165" s="1569" t="str" cm="1">
        <f t="array" ref="H165">IFERROR(
INDEX($R$178:$R$213,
MATCH(1,
($P$178:$P$213=$C$157)*
($Q$178:$Q$213=$B165),
0)),
"")</f>
        <v>Sedang</v>
      </c>
      <c r="I165" s="1569" cm="1">
        <f t="array" ref="I165">IFERROR(
INDEX($S$178:$S$213,
MATCH(1,
($P$178:$P$213=$C$157)*
($Q$178:$Q$213=$B165),
0)),
"")</f>
        <v>18</v>
      </c>
      <c r="J165" s="1569" cm="1">
        <f t="array" ref="J165">IFERROR(
INDEX($T$178:$T$213,
MATCH(1,
($P$178:$P$213=$C$157)*
($Q$178:$Q$213=$B165),
0)),
"")</f>
        <v>35</v>
      </c>
      <c r="K165" s="3" t="str">
        <f>IF(C165="","CHECK",
IF(AND(C165&gt;=I165,C165&lt;J165),"PASS","REVIEW"))</f>
        <v>PASS</v>
      </c>
      <c r="L165" s="1569" t="str" cm="1">
        <f t="array" ref="L165">IFERROR(
INDEX($U$178:$U$213,
MATCH(1,
($P$178:$P$213=$C$157)*
($Q$178:$Q$213=$B165),
0)),
"")</f>
        <v>Bandingkan dengan LL dan PI.</v>
      </c>
      <c r="M165" s="861"/>
      <c r="N165" s="1569" t="str" cm="1">
        <f t="array" ref="N165">IFERROR(
INDEX($V$178:$V$213,
MATCH(1,
($P$178:$P$213=$C$157)*
($Q$178:$Q$213=$B165),
0)),
"")</f>
        <v>ASTM D4318</v>
      </c>
      <c r="P165" t="s">
        <v>390</v>
      </c>
      <c r="Q165" t="s">
        <v>1670</v>
      </c>
      <c r="R165">
        <v>2</v>
      </c>
      <c r="S165">
        <v>15</v>
      </c>
      <c r="T165">
        <v>25</v>
      </c>
    </row>
    <row r="166" spans="2:20">
      <c r="B166" s="370"/>
      <c r="C166" s="7"/>
      <c r="D166" s="14"/>
      <c r="E166" s="370"/>
      <c r="F166" s="370"/>
      <c r="G166" s="370"/>
      <c r="H166" s="370"/>
      <c r="I166" s="1564"/>
      <c r="P166" t="s">
        <v>390</v>
      </c>
      <c r="Q166" t="s">
        <v>1672</v>
      </c>
      <c r="R166">
        <v>3</v>
      </c>
      <c r="S166">
        <v>25</v>
      </c>
      <c r="T166">
        <v>40</v>
      </c>
    </row>
    <row r="167" spans="2:20" ht="66" customHeight="1">
      <c r="B167" s="14" t="s">
        <v>391</v>
      </c>
      <c r="C167" s="864">
        <f>E136</f>
        <v>24.1579645951606</v>
      </c>
      <c r="D167" s="14" t="str">
        <f>IF(ISNUMBER(C167),"PASS","CHECK")</f>
        <v>PASS</v>
      </c>
      <c r="E167" s="14" t="str">
        <f>IF(ABS((C163-C165)-C167)&lt;=0.1,"PASS","CHECK")</f>
        <v>PASS</v>
      </c>
      <c r="F167" s="14" t="str" cm="1">
        <f t="array" ref="F167">IFERROR(
INDEX($Q$171:$Q$175,
MATCH(1,
($P$171:$P$175=$B167)*
($T$171:$T$175&gt;=C167)*
($S$171:$S$175&lt;=C167),
0)),
"")</f>
        <v>Sedang</v>
      </c>
      <c r="G167" s="14" cm="1">
        <f t="array" ref="G167">IFERROR(
INDEX($R$171:$R$175,
MATCH(1,
($P$171:$P$175=$B167)*
($T$171:$T$175&gt;=C167)*
($S$171:$S$175&lt;=C167),
0)),
"")</f>
        <v>3</v>
      </c>
      <c r="H167" s="1569" t="str" cm="1">
        <f t="array" ref="H167">IFERROR(
INDEX($R$178:$R$213,
MATCH(1,
($P$178:$P$213=$C$157)*
($Q$178:$Q$213=$B167),
0)),
"")</f>
        <v>Sedang–Tinggi</v>
      </c>
      <c r="I167" s="1569" cm="1">
        <f t="array" ref="I167">IFERROR(
INDEX($S$178:$S$213,
MATCH(1,
($P$178:$P$213=$C$157)*
($Q$178:$Q$213=$B167),
0)),
"")</f>
        <v>15</v>
      </c>
      <c r="J167" s="1569" cm="1">
        <f t="array" ref="J167">IFERROR(
INDEX($T$178:$T$213,
MATCH(1,
($P$178:$P$213=$C$157)*
($Q$178:$Q$213=$B167),
0)),
"")</f>
        <v>40</v>
      </c>
      <c r="K167" s="3" t="str">
        <f>IF(C167="","CHECK",
IF(AND(C167&gt;=I167,C167&lt;J167),"PASS","REVIEW"))</f>
        <v>PASS</v>
      </c>
      <c r="L167" s="1569" t="str" cm="1">
        <f t="array" ref="L167">IFERROR(
INDEX($U$178:$U$213,
MATCH(1,
($P$178:$P$213=$C$157)*
($Q$178:$Q$213=$B167),
0)),
"")</f>
        <v>PI tinggi harus didukung Clay Content tinggi.</v>
      </c>
      <c r="M167" s="861"/>
      <c r="N167" s="1569" t="str" cm="1">
        <f t="array" ref="N167">IFERROR(
INDEX($V$178:$V$213,
MATCH(1,
($P$178:$P$213=$C$157)*
($Q$178:$Q$213=$B167),
0)),
"")</f>
        <v>ASTM D4318; USCS</v>
      </c>
      <c r="P167" t="s">
        <v>390</v>
      </c>
      <c r="Q167" t="s">
        <v>338</v>
      </c>
      <c r="R167">
        <v>4</v>
      </c>
      <c r="S167">
        <v>40</v>
      </c>
      <c r="T167">
        <v>60</v>
      </c>
    </row>
    <row r="168" spans="2:20">
      <c r="B168" s="370"/>
      <c r="C168" s="7"/>
      <c r="D168" s="14"/>
      <c r="E168" s="370"/>
      <c r="F168" s="370"/>
      <c r="G168" s="370"/>
      <c r="H168" s="370"/>
      <c r="I168" s="370"/>
      <c r="P168" t="s">
        <v>390</v>
      </c>
      <c r="Q168" t="s">
        <v>1681</v>
      </c>
      <c r="R168">
        <v>5</v>
      </c>
      <c r="S168">
        <v>60</v>
      </c>
      <c r="T168">
        <v>100</v>
      </c>
    </row>
    <row r="169" spans="2:20">
      <c r="B169" s="1361"/>
      <c r="C169" s="864"/>
      <c r="D169" s="14"/>
      <c r="F169" s="14"/>
      <c r="G169" s="14"/>
      <c r="H169" s="1569"/>
      <c r="I169" s="1569"/>
      <c r="J169" s="1569"/>
      <c r="K169" s="1361"/>
      <c r="L169" s="1569" t="str" cm="1">
        <f t="array" ref="L169">IFERROR(
INDEX($V$107:$V$146,
MATCH(1,
($Q$107:$Q$146=$C$80)*
($R$107:$R$146=$B169),
0)),
"")</f>
        <v/>
      </c>
      <c r="M169" s="1569"/>
      <c r="N169" s="14" t="str" cm="1">
        <f t="array" ref="N169">IFERROR(
INDEX($W$107:$W$146,
MATCH(1,
($Q$107:$Q$146=$C$80)*
($R$107:$R$146=$B169),
0)),
"")</f>
        <v/>
      </c>
    </row>
    <row r="170" spans="2:20">
      <c r="B170" s="370"/>
      <c r="C170" s="7"/>
      <c r="D170" s="14"/>
      <c r="E170" s="370"/>
      <c r="F170" s="370"/>
      <c r="G170" s="370"/>
      <c r="H170" s="370"/>
      <c r="I170" s="370"/>
      <c r="P170" t="s">
        <v>575</v>
      </c>
      <c r="Q170" t="s">
        <v>1667</v>
      </c>
      <c r="R170" t="s">
        <v>1611</v>
      </c>
      <c r="S170" t="s">
        <v>1607</v>
      </c>
      <c r="T170" t="s">
        <v>1608</v>
      </c>
    </row>
    <row r="171" spans="2:20">
      <c r="P171" t="s">
        <v>391</v>
      </c>
      <c r="Q171" t="s">
        <v>1680</v>
      </c>
      <c r="R171">
        <v>1</v>
      </c>
      <c r="S171">
        <v>0</v>
      </c>
      <c r="T171">
        <v>7</v>
      </c>
    </row>
    <row r="172" spans="2:20">
      <c r="B172" t="s">
        <v>1598</v>
      </c>
      <c r="C172" t="s">
        <v>1732</v>
      </c>
      <c r="P172" t="s">
        <v>391</v>
      </c>
      <c r="Q172" t="s">
        <v>1670</v>
      </c>
      <c r="R172">
        <v>2</v>
      </c>
      <c r="S172">
        <v>7</v>
      </c>
      <c r="T172">
        <v>17</v>
      </c>
    </row>
    <row r="173" spans="2:20">
      <c r="B173" t="s">
        <v>1733</v>
      </c>
      <c r="C173" t="s">
        <v>1734</v>
      </c>
      <c r="P173" t="s">
        <v>391</v>
      </c>
      <c r="Q173" t="s">
        <v>1672</v>
      </c>
      <c r="R173">
        <v>3</v>
      </c>
      <c r="S173">
        <v>17</v>
      </c>
      <c r="T173">
        <v>35</v>
      </c>
    </row>
    <row r="174" spans="2:20">
      <c r="B174" t="s">
        <v>1735</v>
      </c>
      <c r="C174" t="s">
        <v>1736</v>
      </c>
      <c r="P174" t="s">
        <v>391</v>
      </c>
      <c r="Q174" t="s">
        <v>338</v>
      </c>
      <c r="R174">
        <v>4</v>
      </c>
      <c r="S174">
        <v>35</v>
      </c>
      <c r="T174">
        <v>50</v>
      </c>
    </row>
    <row r="175" spans="2:20">
      <c r="P175" t="s">
        <v>391</v>
      </c>
      <c r="Q175" t="s">
        <v>1681</v>
      </c>
      <c r="R175">
        <v>5</v>
      </c>
      <c r="S175">
        <v>50</v>
      </c>
      <c r="T175">
        <v>100</v>
      </c>
    </row>
    <row r="177" spans="2:22">
      <c r="B177" s="116" t="s">
        <v>1746</v>
      </c>
      <c r="P177" t="s">
        <v>2201</v>
      </c>
      <c r="Q177" t="s">
        <v>575</v>
      </c>
      <c r="R177" t="s">
        <v>1683</v>
      </c>
      <c r="S177" t="s">
        <v>1607</v>
      </c>
      <c r="T177" t="s">
        <v>1608</v>
      </c>
      <c r="U177" t="s">
        <v>1685</v>
      </c>
      <c r="V177" t="s">
        <v>2033</v>
      </c>
    </row>
    <row r="178" spans="2:22">
      <c r="P178" t="s">
        <v>1612</v>
      </c>
      <c r="Q178" t="s">
        <v>385</v>
      </c>
      <c r="R178" t="s">
        <v>1771</v>
      </c>
      <c r="S178">
        <v>35</v>
      </c>
      <c r="T178">
        <v>70</v>
      </c>
      <c r="U178" t="s">
        <v>2361</v>
      </c>
      <c r="V178" t="s">
        <v>2291</v>
      </c>
    </row>
    <row r="179" spans="2:22">
      <c r="B179" t="s">
        <v>1744</v>
      </c>
      <c r="C179" t="s">
        <v>1659</v>
      </c>
      <c r="D179" t="s">
        <v>1745</v>
      </c>
      <c r="E179" t="s">
        <v>1747</v>
      </c>
      <c r="F179" t="s">
        <v>1748</v>
      </c>
      <c r="I179" t="s">
        <v>1718</v>
      </c>
      <c r="P179" t="s">
        <v>1612</v>
      </c>
      <c r="Q179" t="s">
        <v>390</v>
      </c>
      <c r="R179" t="s">
        <v>1672</v>
      </c>
      <c r="S179">
        <v>18</v>
      </c>
      <c r="T179">
        <v>35</v>
      </c>
      <c r="U179" t="s">
        <v>2282</v>
      </c>
      <c r="V179" t="s">
        <v>1739</v>
      </c>
    </row>
    <row r="180" spans="2:22" ht="39" customHeight="1">
      <c r="B180" s="5" t="str">
        <f>D12</f>
        <v>Lempung / Clay</v>
      </c>
      <c r="C180" s="326" t="str">
        <f>F12</f>
        <v>CL</v>
      </c>
      <c r="D180" s="326" t="str">
        <f>G113</f>
        <v>CL</v>
      </c>
      <c r="E180" s="326" t="str">
        <f>IF(TRIM(C180)=TRIM(D180),"PASS","REVIEW")</f>
        <v>PASS</v>
      </c>
      <c r="F180" s="1814" t="str" cm="1">
        <f t="array" ref="F180">IFERROR(
INDEX($R$206:$R$212,
MATCH(1,
($P$206:$P$212=C180)*
($Q$206:$Q$212=D180),
0)),
"Periksa kembali deskripsi lapangan atau hasil klasifikasi USCS.")</f>
        <v>Periksa kembali deskripsi lapangan atau hasil klasifikasi USCS.</v>
      </c>
      <c r="G180" s="1814"/>
      <c r="H180" s="1814"/>
      <c r="I180" s="1814" t="str" cm="1">
        <f t="array" ref="I180">IFERROR(
INDEX($V$206:$V$212,
MATCH(1,
($P$206:$P$212=C180)*
($Q$206:$Q$212=D180),
0)),
"")</f>
        <v/>
      </c>
      <c r="J180" s="1814"/>
      <c r="K180" s="1814"/>
      <c r="P180" t="s">
        <v>1612</v>
      </c>
      <c r="Q180" t="s">
        <v>391</v>
      </c>
      <c r="R180" t="s">
        <v>1771</v>
      </c>
      <c r="S180">
        <v>15</v>
      </c>
      <c r="T180">
        <v>40</v>
      </c>
      <c r="U180" t="s">
        <v>2362</v>
      </c>
      <c r="V180" t="s">
        <v>2292</v>
      </c>
    </row>
    <row r="181" spans="2:22">
      <c r="P181" t="s">
        <v>1614</v>
      </c>
      <c r="Q181" t="s">
        <v>385</v>
      </c>
      <c r="R181" t="s">
        <v>1672</v>
      </c>
      <c r="S181">
        <v>30</v>
      </c>
      <c r="T181">
        <v>60</v>
      </c>
      <c r="U181" t="s">
        <v>2363</v>
      </c>
      <c r="V181" t="s">
        <v>1739</v>
      </c>
    </row>
    <row r="182" spans="2:22">
      <c r="P182" t="s">
        <v>1614</v>
      </c>
      <c r="Q182" t="s">
        <v>390</v>
      </c>
      <c r="R182" t="s">
        <v>1672</v>
      </c>
      <c r="S182">
        <v>18</v>
      </c>
      <c r="T182">
        <v>30</v>
      </c>
      <c r="U182" t="s">
        <v>2297</v>
      </c>
      <c r="V182" t="s">
        <v>1739</v>
      </c>
    </row>
    <row r="183" spans="2:22">
      <c r="P183" t="s">
        <v>1614</v>
      </c>
      <c r="Q183" t="s">
        <v>391</v>
      </c>
      <c r="R183" t="s">
        <v>1672</v>
      </c>
      <c r="S183">
        <v>10</v>
      </c>
      <c r="T183">
        <v>30</v>
      </c>
      <c r="U183" t="s">
        <v>2364</v>
      </c>
      <c r="V183" t="s">
        <v>1739</v>
      </c>
    </row>
    <row r="184" spans="2:22">
      <c r="P184" t="s">
        <v>1617</v>
      </c>
      <c r="Q184" t="s">
        <v>385</v>
      </c>
      <c r="R184" t="s">
        <v>1672</v>
      </c>
      <c r="S184">
        <v>30</v>
      </c>
      <c r="T184">
        <v>60</v>
      </c>
      <c r="U184" t="s">
        <v>2365</v>
      </c>
      <c r="V184" t="s">
        <v>1739</v>
      </c>
    </row>
    <row r="185" spans="2:22">
      <c r="P185" t="s">
        <v>1617</v>
      </c>
      <c r="Q185" t="s">
        <v>390</v>
      </c>
      <c r="R185" t="s">
        <v>1672</v>
      </c>
      <c r="S185">
        <v>18</v>
      </c>
      <c r="T185">
        <v>30</v>
      </c>
      <c r="U185" t="s">
        <v>2366</v>
      </c>
      <c r="V185" t="s">
        <v>1739</v>
      </c>
    </row>
    <row r="186" spans="2:22">
      <c r="P186" t="s">
        <v>1617</v>
      </c>
      <c r="Q186" t="s">
        <v>391</v>
      </c>
      <c r="R186" t="s">
        <v>1742</v>
      </c>
      <c r="S186">
        <v>8</v>
      </c>
      <c r="T186">
        <v>25</v>
      </c>
      <c r="U186" t="s">
        <v>2298</v>
      </c>
      <c r="V186" t="s">
        <v>1739</v>
      </c>
    </row>
    <row r="187" spans="2:22">
      <c r="P187" t="s">
        <v>1643</v>
      </c>
      <c r="Q187" t="s">
        <v>385</v>
      </c>
      <c r="R187" t="s">
        <v>1672</v>
      </c>
      <c r="S187">
        <v>30</v>
      </c>
      <c r="T187">
        <v>60</v>
      </c>
      <c r="U187" t="s">
        <v>2367</v>
      </c>
      <c r="V187" t="s">
        <v>1739</v>
      </c>
    </row>
    <row r="188" spans="2:22">
      <c r="P188" t="s">
        <v>1643</v>
      </c>
      <c r="Q188" t="s">
        <v>390</v>
      </c>
      <c r="R188" t="s">
        <v>1672</v>
      </c>
      <c r="S188">
        <v>18</v>
      </c>
      <c r="T188">
        <v>35</v>
      </c>
      <c r="U188" t="s">
        <v>2293</v>
      </c>
      <c r="V188" t="s">
        <v>1739</v>
      </c>
    </row>
    <row r="189" spans="2:22">
      <c r="P189" t="s">
        <v>1643</v>
      </c>
      <c r="Q189" t="s">
        <v>391</v>
      </c>
      <c r="R189" t="s">
        <v>1672</v>
      </c>
      <c r="S189">
        <v>10</v>
      </c>
      <c r="T189">
        <v>30</v>
      </c>
      <c r="U189" t="s">
        <v>2368</v>
      </c>
      <c r="V189" t="s">
        <v>1739</v>
      </c>
    </row>
    <row r="190" spans="2:22">
      <c r="P190" t="s">
        <v>1620</v>
      </c>
      <c r="Q190" t="s">
        <v>385</v>
      </c>
      <c r="R190" t="s">
        <v>2294</v>
      </c>
      <c r="S190" t="s">
        <v>2295</v>
      </c>
      <c r="T190" t="s">
        <v>2295</v>
      </c>
      <c r="U190" t="s">
        <v>2369</v>
      </c>
      <c r="V190" t="s">
        <v>2292</v>
      </c>
    </row>
    <row r="191" spans="2:22">
      <c r="P191" t="s">
        <v>1620</v>
      </c>
      <c r="Q191" t="s">
        <v>390</v>
      </c>
      <c r="R191" t="s">
        <v>2294</v>
      </c>
      <c r="S191" t="s">
        <v>2295</v>
      </c>
      <c r="T191" t="s">
        <v>2295</v>
      </c>
      <c r="U191" t="s">
        <v>2370</v>
      </c>
      <c r="V191" t="s">
        <v>1739</v>
      </c>
    </row>
    <row r="192" spans="2:22">
      <c r="P192" t="s">
        <v>1620</v>
      </c>
      <c r="Q192" t="s">
        <v>391</v>
      </c>
      <c r="R192" t="s">
        <v>2294</v>
      </c>
      <c r="S192" t="s">
        <v>2295</v>
      </c>
      <c r="T192" t="s">
        <v>2295</v>
      </c>
      <c r="U192" t="s">
        <v>2371</v>
      </c>
      <c r="V192" t="s">
        <v>1739</v>
      </c>
    </row>
    <row r="193" spans="16:22">
      <c r="P193" t="s">
        <v>1621</v>
      </c>
      <c r="Q193" t="s">
        <v>385</v>
      </c>
      <c r="R193" t="s">
        <v>1670</v>
      </c>
      <c r="S193">
        <v>20</v>
      </c>
      <c r="T193">
        <v>40</v>
      </c>
      <c r="U193" t="s">
        <v>2372</v>
      </c>
      <c r="V193" t="s">
        <v>1739</v>
      </c>
    </row>
    <row r="194" spans="16:22">
      <c r="P194" t="s">
        <v>1621</v>
      </c>
      <c r="Q194" t="s">
        <v>390</v>
      </c>
      <c r="R194" t="s">
        <v>1670</v>
      </c>
      <c r="S194">
        <v>15</v>
      </c>
      <c r="T194">
        <v>25</v>
      </c>
      <c r="U194" t="s">
        <v>2293</v>
      </c>
      <c r="V194" t="s">
        <v>1739</v>
      </c>
    </row>
    <row r="195" spans="16:22">
      <c r="P195" t="s">
        <v>1621</v>
      </c>
      <c r="Q195" t="s">
        <v>391</v>
      </c>
      <c r="R195" t="s">
        <v>1670</v>
      </c>
      <c r="S195">
        <v>5</v>
      </c>
      <c r="T195">
        <v>20</v>
      </c>
      <c r="U195" t="s">
        <v>2373</v>
      </c>
      <c r="V195" t="s">
        <v>1739</v>
      </c>
    </row>
    <row r="196" spans="16:22">
      <c r="P196" t="s">
        <v>1623</v>
      </c>
      <c r="Q196" t="s">
        <v>385</v>
      </c>
      <c r="R196" t="s">
        <v>1670</v>
      </c>
      <c r="S196">
        <v>20</v>
      </c>
      <c r="T196">
        <v>35</v>
      </c>
      <c r="U196" t="s">
        <v>2312</v>
      </c>
      <c r="V196" t="s">
        <v>1739</v>
      </c>
    </row>
    <row r="197" spans="16:22">
      <c r="P197" t="s">
        <v>1623</v>
      </c>
      <c r="Q197" t="s">
        <v>390</v>
      </c>
      <c r="R197" t="s">
        <v>1670</v>
      </c>
      <c r="S197">
        <v>15</v>
      </c>
      <c r="T197">
        <v>25</v>
      </c>
      <c r="U197" t="s">
        <v>2297</v>
      </c>
      <c r="V197" t="s">
        <v>1739</v>
      </c>
    </row>
    <row r="198" spans="16:22">
      <c r="P198" t="s">
        <v>1623</v>
      </c>
      <c r="Q198" t="s">
        <v>391</v>
      </c>
      <c r="R198" t="s">
        <v>1680</v>
      </c>
      <c r="S198">
        <v>0</v>
      </c>
      <c r="T198">
        <v>10</v>
      </c>
      <c r="U198" t="s">
        <v>2374</v>
      </c>
      <c r="V198" t="s">
        <v>1739</v>
      </c>
    </row>
    <row r="199" spans="16:22">
      <c r="P199" t="s">
        <v>1649</v>
      </c>
      <c r="Q199" t="s">
        <v>385</v>
      </c>
      <c r="R199" t="s">
        <v>2294</v>
      </c>
      <c r="S199" t="s">
        <v>2295</v>
      </c>
      <c r="T199" t="s">
        <v>2295</v>
      </c>
      <c r="U199" t="s">
        <v>2375</v>
      </c>
      <c r="V199" t="s">
        <v>1739</v>
      </c>
    </row>
    <row r="200" spans="16:22">
      <c r="P200" t="s">
        <v>1649</v>
      </c>
      <c r="Q200" t="s">
        <v>390</v>
      </c>
      <c r="R200" t="s">
        <v>2294</v>
      </c>
      <c r="S200" t="s">
        <v>2295</v>
      </c>
      <c r="T200" t="s">
        <v>2295</v>
      </c>
      <c r="U200" t="s">
        <v>2370</v>
      </c>
      <c r="V200" t="s">
        <v>1739</v>
      </c>
    </row>
    <row r="201" spans="16:22">
      <c r="P201" t="s">
        <v>1649</v>
      </c>
      <c r="Q201" t="s">
        <v>391</v>
      </c>
      <c r="R201" t="s">
        <v>2294</v>
      </c>
      <c r="S201" t="s">
        <v>2295</v>
      </c>
      <c r="T201" t="s">
        <v>2295</v>
      </c>
      <c r="U201" t="s">
        <v>2296</v>
      </c>
      <c r="V201" t="s">
        <v>1739</v>
      </c>
    </row>
    <row r="202" spans="16:22">
      <c r="P202" t="s">
        <v>1690</v>
      </c>
      <c r="Q202" t="s">
        <v>385</v>
      </c>
      <c r="R202" t="s">
        <v>1742</v>
      </c>
      <c r="S202">
        <v>25</v>
      </c>
      <c r="T202">
        <v>50</v>
      </c>
      <c r="U202" t="s">
        <v>2287</v>
      </c>
      <c r="V202" t="s">
        <v>1739</v>
      </c>
    </row>
    <row r="203" spans="16:22">
      <c r="P203" t="s">
        <v>1690</v>
      </c>
      <c r="Q203" t="s">
        <v>390</v>
      </c>
      <c r="R203" t="s">
        <v>1670</v>
      </c>
      <c r="S203">
        <v>18</v>
      </c>
      <c r="T203">
        <v>30</v>
      </c>
      <c r="U203" t="s">
        <v>2297</v>
      </c>
      <c r="V203" t="s">
        <v>1739</v>
      </c>
    </row>
    <row r="204" spans="16:22">
      <c r="P204" t="s">
        <v>1690</v>
      </c>
      <c r="Q204" t="s">
        <v>391</v>
      </c>
      <c r="R204" t="s">
        <v>1670</v>
      </c>
      <c r="S204">
        <v>0</v>
      </c>
      <c r="T204">
        <v>15</v>
      </c>
      <c r="U204" t="s">
        <v>2298</v>
      </c>
      <c r="V204" t="s">
        <v>1739</v>
      </c>
    </row>
    <row r="205" spans="16:22">
      <c r="P205" t="s">
        <v>1626</v>
      </c>
      <c r="Q205" t="s">
        <v>385</v>
      </c>
      <c r="R205" t="s">
        <v>1672</v>
      </c>
      <c r="S205">
        <v>30</v>
      </c>
      <c r="T205">
        <v>60</v>
      </c>
      <c r="U205" t="s">
        <v>2289</v>
      </c>
      <c r="V205" t="s">
        <v>1739</v>
      </c>
    </row>
    <row r="206" spans="16:22">
      <c r="P206" t="s">
        <v>1626</v>
      </c>
      <c r="Q206" t="s">
        <v>390</v>
      </c>
      <c r="R206" t="s">
        <v>1672</v>
      </c>
      <c r="S206">
        <v>18</v>
      </c>
      <c r="T206">
        <v>35</v>
      </c>
      <c r="U206" t="s">
        <v>2297</v>
      </c>
      <c r="V206" t="s">
        <v>1739</v>
      </c>
    </row>
    <row r="207" spans="16:22">
      <c r="P207" t="s">
        <v>1626</v>
      </c>
      <c r="Q207" t="s">
        <v>391</v>
      </c>
      <c r="R207" t="s">
        <v>1742</v>
      </c>
      <c r="S207">
        <v>8</v>
      </c>
      <c r="T207">
        <v>25</v>
      </c>
      <c r="U207" t="s">
        <v>2376</v>
      </c>
      <c r="V207" t="s">
        <v>1739</v>
      </c>
    </row>
    <row r="208" spans="16:22">
      <c r="P208" t="s">
        <v>1628</v>
      </c>
      <c r="Q208" t="s">
        <v>385</v>
      </c>
      <c r="R208" t="s">
        <v>1742</v>
      </c>
      <c r="S208">
        <v>25</v>
      </c>
      <c r="T208">
        <v>45</v>
      </c>
      <c r="U208" t="s">
        <v>2377</v>
      </c>
      <c r="V208" t="s">
        <v>1739</v>
      </c>
    </row>
    <row r="209" spans="16:22">
      <c r="P209" t="s">
        <v>1628</v>
      </c>
      <c r="Q209" t="s">
        <v>390</v>
      </c>
      <c r="R209" t="s">
        <v>1670</v>
      </c>
      <c r="S209">
        <v>18</v>
      </c>
      <c r="T209">
        <v>30</v>
      </c>
      <c r="U209" t="s">
        <v>2297</v>
      </c>
      <c r="V209" t="s">
        <v>1739</v>
      </c>
    </row>
    <row r="210" spans="16:22">
      <c r="P210" t="s">
        <v>1628</v>
      </c>
      <c r="Q210" t="s">
        <v>391</v>
      </c>
      <c r="R210" t="s">
        <v>1670</v>
      </c>
      <c r="S210">
        <v>0</v>
      </c>
      <c r="T210">
        <v>15</v>
      </c>
      <c r="U210" t="s">
        <v>2374</v>
      </c>
      <c r="V210" t="s">
        <v>1739</v>
      </c>
    </row>
    <row r="211" spans="16:22">
      <c r="P211" t="s">
        <v>1630</v>
      </c>
      <c r="Q211" t="s">
        <v>385</v>
      </c>
      <c r="R211" t="s">
        <v>2294</v>
      </c>
      <c r="S211" t="s">
        <v>2295</v>
      </c>
      <c r="T211" t="s">
        <v>2295</v>
      </c>
      <c r="U211" t="s">
        <v>2378</v>
      </c>
      <c r="V211" t="s">
        <v>2292</v>
      </c>
    </row>
    <row r="212" spans="16:22">
      <c r="P212" t="s">
        <v>1630</v>
      </c>
      <c r="Q212" t="s">
        <v>390</v>
      </c>
      <c r="R212" t="s">
        <v>2294</v>
      </c>
      <c r="S212" t="s">
        <v>2295</v>
      </c>
      <c r="T212" t="s">
        <v>2295</v>
      </c>
      <c r="U212" t="s">
        <v>2370</v>
      </c>
      <c r="V212" t="s">
        <v>1739</v>
      </c>
    </row>
    <row r="213" spans="16:22">
      <c r="P213" t="s">
        <v>1630</v>
      </c>
      <c r="Q213" t="s">
        <v>391</v>
      </c>
      <c r="R213" t="s">
        <v>2294</v>
      </c>
      <c r="S213" t="s">
        <v>2295</v>
      </c>
      <c r="T213" t="s">
        <v>2295</v>
      </c>
      <c r="U213" t="s">
        <v>2379</v>
      </c>
      <c r="V213" t="s">
        <v>1739</v>
      </c>
    </row>
  </sheetData>
  <mergeCells count="11">
    <mergeCell ref="F180:H180"/>
    <mergeCell ref="I180:K180"/>
    <mergeCell ref="A13:C13"/>
    <mergeCell ref="A7:C7"/>
    <mergeCell ref="A9:C9"/>
    <mergeCell ref="L9:N9"/>
    <mergeCell ref="L12:N12"/>
    <mergeCell ref="A10:C10"/>
    <mergeCell ref="L10:N10"/>
    <mergeCell ref="A11:C11"/>
    <mergeCell ref="A12:C12"/>
  </mergeCells>
  <conditionalFormatting sqref="K163">
    <cfRule type="expression" dxfId="345" priority="9">
      <formula>ISNUMBER(SEARCH("RE-ANALYZE",$L163))</formula>
    </cfRule>
    <cfRule type="expression" dxfId="344" priority="10">
      <formula>ISNUMBER(SEARCH("REVIEW",$L163))</formula>
    </cfRule>
    <cfRule type="expression" dxfId="343" priority="11">
      <formula>ISNUMBER(SEARCH("CHECK",$L163))</formula>
    </cfRule>
    <cfRule type="expression" dxfId="342" priority="12">
      <formula>ISNUMBER(SEARCH("PASS",$L163))</formula>
    </cfRule>
  </conditionalFormatting>
  <conditionalFormatting sqref="K165">
    <cfRule type="expression" dxfId="341" priority="5">
      <formula>ISNUMBER(SEARCH("RE-ANALYZE",$L165))</formula>
    </cfRule>
    <cfRule type="expression" dxfId="340" priority="6">
      <formula>ISNUMBER(SEARCH("REVIEW",$L165))</formula>
    </cfRule>
    <cfRule type="expression" dxfId="339" priority="7">
      <formula>ISNUMBER(SEARCH("CHECK",$L165))</formula>
    </cfRule>
    <cfRule type="expression" dxfId="338" priority="8">
      <formula>ISNUMBER(SEARCH("PASS",$L165))</formula>
    </cfRule>
  </conditionalFormatting>
  <conditionalFormatting sqref="K167">
    <cfRule type="expression" dxfId="337" priority="1">
      <formula>ISNUMBER(SEARCH("RE-ANALYZE",$L167))</formula>
    </cfRule>
    <cfRule type="expression" dxfId="336" priority="2">
      <formula>ISNUMBER(SEARCH("REVIEW",$L167))</formula>
    </cfRule>
    <cfRule type="expression" dxfId="335" priority="3">
      <formula>ISNUMBER(SEARCH("CHECK",$L167))</formula>
    </cfRule>
    <cfRule type="expression" dxfId="334" priority="4">
      <formula>ISNUMBER(SEARCH("PASS",$L167))</formula>
    </cfRule>
  </conditionalFormatting>
  <dataValidations disablePrompts="1" count="3">
    <dataValidation type="list" allowBlank="1" showInputMessage="1" showErrorMessage="1" sqref="J76" xr:uid="{0FBA1D71-B939-4542-9FA8-A37474258870}">
      <formula1>"Normal,NP"</formula1>
    </dataValidation>
    <dataValidation type="list" allowBlank="1" showInputMessage="1" showErrorMessage="1" sqref="P9" xr:uid="{AFB4A40F-A0EA-475A-A217-12103DA447DA}">
      <formula1>"RAFLY,RIZKI,NOUFAL"</formula1>
    </dataValidation>
    <dataValidation type="list" allowBlank="1" showInputMessage="1" showErrorMessage="1" sqref="D12" xr:uid="{79D1B1D6-7606-44B0-ADCB-05912E288EA8}">
      <formula1>$Z$29:$Z$40</formula1>
    </dataValidation>
  </dataValidations>
  <pageMargins left="0.7" right="0.7" top="0.75" bottom="0.75" header="0.3" footer="0.3"/>
  <pageSetup paperSize="14" orientation="portrait" horizontalDpi="0" verticalDpi="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DCDC-BAE9-7142-AE46-E89FEBA3FB72}">
  <sheetPr>
    <tabColor rgb="FFFFC000"/>
  </sheetPr>
  <dimension ref="A1:AD151"/>
  <sheetViews>
    <sheetView view="pageBreakPreview" topLeftCell="A7" zoomScale="96" zoomScaleNormal="100" zoomScaleSheetLayoutView="96" zoomScalePageLayoutView="96" workbookViewId="0">
      <selection activeCell="N13" sqref="N13:R14"/>
    </sheetView>
  </sheetViews>
  <sheetFormatPr defaultColWidth="11" defaultRowHeight="15.75"/>
  <cols>
    <col min="1" max="2" width="4.875" customWidth="1"/>
    <col min="3" max="3" width="6.125" customWidth="1"/>
    <col min="4" max="8" width="4.875" customWidth="1"/>
    <col min="9" max="9" width="4.875" style="4" customWidth="1"/>
    <col min="10" max="11" width="4.875" customWidth="1"/>
    <col min="12" max="12" width="8.5" customWidth="1"/>
    <col min="13" max="13" width="1.875" customWidth="1"/>
    <col min="14" max="18" width="4.875" customWidth="1"/>
    <col min="19" max="19" width="1.625" customWidth="1"/>
    <col min="20" max="20" width="4.875" customWidth="1"/>
    <col min="21" max="21" width="4" customWidth="1"/>
    <col min="22" max="24" width="4.875" customWidth="1"/>
    <col min="25" max="25" width="6.625" customWidth="1"/>
    <col min="26" max="26" width="4.875" customWidth="1"/>
  </cols>
  <sheetData>
    <row r="1" spans="1:26" ht="23.25">
      <c r="F1" s="1681" t="s">
        <v>302</v>
      </c>
      <c r="G1" s="1681"/>
      <c r="H1" s="1681"/>
      <c r="I1" s="1681"/>
      <c r="J1" s="1681"/>
      <c r="K1" s="1681"/>
      <c r="L1" s="1681"/>
      <c r="M1" s="1681"/>
      <c r="N1" s="1681"/>
      <c r="O1" s="1681"/>
      <c r="P1" s="1681"/>
      <c r="Q1" s="1681"/>
      <c r="R1" s="1681"/>
      <c r="S1" s="1681"/>
      <c r="T1" s="1681"/>
      <c r="U1" s="1681"/>
    </row>
    <row r="2" spans="1:26" ht="20.25">
      <c r="F2" s="1682" t="s">
        <v>1586</v>
      </c>
      <c r="G2" s="1682"/>
      <c r="H2" s="1682"/>
      <c r="I2" s="1682"/>
      <c r="J2" s="1682"/>
      <c r="K2" s="1682"/>
      <c r="L2" s="1682"/>
      <c r="M2" s="1682"/>
      <c r="N2" s="1682"/>
      <c r="O2" s="1682"/>
      <c r="P2" s="1682"/>
      <c r="Q2" s="1682"/>
      <c r="R2" s="1682"/>
      <c r="S2" s="1682"/>
      <c r="T2" s="1682"/>
      <c r="U2" s="1682"/>
    </row>
    <row r="3" spans="1:26">
      <c r="A3" s="333"/>
      <c r="B3" s="333"/>
      <c r="C3" s="333"/>
      <c r="D3" s="333"/>
      <c r="E3" s="333"/>
      <c r="F3" s="1745" t="s">
        <v>304</v>
      </c>
      <c r="G3" s="1745"/>
      <c r="H3" s="1745"/>
      <c r="I3" s="1745"/>
      <c r="J3" s="1745"/>
      <c r="K3" s="1745"/>
      <c r="L3" s="1745"/>
      <c r="M3" s="1745"/>
      <c r="N3" s="1745"/>
      <c r="O3" s="1745"/>
      <c r="P3" s="1745"/>
      <c r="Q3" s="1745"/>
      <c r="R3" s="1745"/>
      <c r="S3" s="1745"/>
      <c r="T3" s="1745"/>
      <c r="U3" s="1745"/>
      <c r="V3" s="333"/>
      <c r="W3" s="333"/>
      <c r="X3" s="333"/>
      <c r="Y3" s="333"/>
    </row>
    <row r="4" spans="1:26" ht="8.1" customHeight="1"/>
    <row r="5" spans="1:26" ht="8.1" customHeight="1"/>
    <row r="6" spans="1:26"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c r="Y6" s="335"/>
    </row>
    <row r="7" spans="1:26">
      <c r="A7" s="1635" t="s">
        <v>1347</v>
      </c>
      <c r="B7" s="1635"/>
      <c r="C7" s="1635"/>
      <c r="D7" s="1635"/>
      <c r="E7" s="794" t="str">
        <f>":  "&amp;IF('DATA INDUK'!$H$18="","",'DATA INDUK'!$H$18)</f>
        <v>:  R0</v>
      </c>
      <c r="G7" s="672"/>
      <c r="H7" s="672"/>
      <c r="I7" s="1791" t="s">
        <v>1348</v>
      </c>
      <c r="J7" s="1791"/>
      <c r="K7" s="1791"/>
      <c r="L7" s="1791"/>
      <c r="M7" s="1636" t="str">
        <f>":  "&amp;IF('DATA INDUK'!$H$19="","",TEXT('DATA INDUK'!$H$19,"dd mmmm yyyy"))</f>
        <v>:  29 January 2026</v>
      </c>
      <c r="N7" s="1636"/>
      <c r="O7" s="1636"/>
      <c r="P7" s="1636"/>
      <c r="Q7" s="1636"/>
      <c r="R7" s="1194"/>
      <c r="S7" s="1194"/>
      <c r="T7" s="1127"/>
      <c r="U7" s="1649" t="s">
        <v>1349</v>
      </c>
      <c r="V7" s="1649"/>
      <c r="W7" s="1649"/>
      <c r="X7" s="1635" t="str">
        <f>":  1 dari 1"</f>
        <v>:  1 dari 1</v>
      </c>
      <c r="Y7" s="1635"/>
      <c r="Z7" s="327"/>
    </row>
    <row r="8" spans="1:26"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c r="Y8" s="339"/>
    </row>
    <row r="9" spans="1:26">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5"/>
      <c r="Y9" s="1307"/>
      <c r="Z9" s="335"/>
    </row>
    <row r="10" spans="1:26"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255"/>
      <c r="Y10" s="1357"/>
    </row>
    <row r="11" spans="1:26">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340"/>
      <c r="Y11" s="1301"/>
    </row>
    <row r="12" spans="1:26">
      <c r="A12" s="1707" t="str">
        <f>IF('DATA INDUK'!H2="","",'DATA INDUK'!H2)</f>
        <v>BSI Candrian Waste Dump Extension Study</v>
      </c>
      <c r="B12" s="1708"/>
      <c r="C12" s="1708"/>
      <c r="D12" s="1708"/>
      <c r="E12" s="1708"/>
      <c r="F12" s="1708"/>
      <c r="G12" s="1708"/>
      <c r="H12" s="1708"/>
      <c r="I12" s="1708"/>
      <c r="J12" s="1708"/>
      <c r="K12" s="1708"/>
      <c r="L12" s="1709"/>
      <c r="M12" s="340"/>
      <c r="N12" s="1701" t="str">
        <f>IF('WS-ATB'!D7="","",'WS-ATB'!D7)</f>
        <v>26-001-DS-001</v>
      </c>
      <c r="O12" s="1702"/>
      <c r="P12" s="1702"/>
      <c r="Q12" s="1702"/>
      <c r="R12" s="1702"/>
      <c r="S12" s="1702"/>
      <c r="T12" s="1702"/>
      <c r="U12" s="1702"/>
      <c r="V12" s="1702"/>
      <c r="W12" s="1702"/>
      <c r="X12" s="1702"/>
      <c r="Y12" s="1703"/>
    </row>
    <row r="13" spans="1:26" ht="15.75" customHeight="1">
      <c r="A13" s="1634" t="s">
        <v>1490</v>
      </c>
      <c r="B13" s="1635"/>
      <c r="C13" s="1635"/>
      <c r="D13" s="1635"/>
      <c r="E13" s="1635" t="str">
        <f>":  "&amp;IF('DATA INDUK'!H3="","",'DATA INDUK'!H3)</f>
        <v>:  Banyuwangi - JAWA TIMUR</v>
      </c>
      <c r="F13" s="1635"/>
      <c r="G13" s="1635"/>
      <c r="H13" s="1635"/>
      <c r="I13" s="1635"/>
      <c r="J13" s="1635"/>
      <c r="K13" s="1635"/>
      <c r="L13" s="1648"/>
      <c r="M13" s="340"/>
      <c r="N13" s="1641" t="s">
        <v>1750</v>
      </c>
      <c r="O13" s="1637"/>
      <c r="P13" s="1637"/>
      <c r="Q13" s="1637"/>
      <c r="R13" s="1637"/>
      <c r="S13" s="1632" t="s">
        <v>0</v>
      </c>
      <c r="T13" s="1637" t="e">
        <f>IF('WS-ATB'!D9="","",'WS-ATB'!D9)</f>
        <v>#N/A</v>
      </c>
      <c r="U13" s="1637"/>
      <c r="V13" s="1637"/>
      <c r="W13" s="1637"/>
      <c r="X13" s="1637"/>
      <c r="Y13" s="1638"/>
    </row>
    <row r="14" spans="1:26">
      <c r="A14" s="1634" t="s">
        <v>1491</v>
      </c>
      <c r="B14" s="1635"/>
      <c r="C14" s="1635"/>
      <c r="D14" s="1635"/>
      <c r="E14" s="1635" t="str">
        <f>":  "&amp;IF('DATA INDUK'!H9="","",'DATA INDUK'!H9)</f>
        <v>:  PO-GQT-001</v>
      </c>
      <c r="F14" s="1635"/>
      <c r="G14" s="1635"/>
      <c r="H14" s="1635"/>
      <c r="I14" s="1635"/>
      <c r="J14" s="1635"/>
      <c r="K14" s="1635"/>
      <c r="L14" s="1648"/>
      <c r="M14" s="340"/>
      <c r="N14" s="1641"/>
      <c r="O14" s="1637"/>
      <c r="P14" s="1637"/>
      <c r="Q14" s="1637"/>
      <c r="R14" s="1637"/>
      <c r="S14" s="1632"/>
      <c r="T14" s="1637"/>
      <c r="U14" s="1637"/>
      <c r="V14" s="1637"/>
      <c r="W14" s="1637"/>
      <c r="X14" s="1637"/>
      <c r="Y14" s="1638"/>
    </row>
    <row r="15" spans="1:26" ht="8.1" customHeight="1">
      <c r="A15" s="909"/>
      <c r="B15" s="1302"/>
      <c r="C15" s="1302"/>
      <c r="D15" s="1302"/>
      <c r="E15" s="1302"/>
      <c r="F15" s="1302"/>
      <c r="G15" s="1302"/>
      <c r="H15" s="1302"/>
      <c r="I15" s="1302"/>
      <c r="J15" s="1302"/>
      <c r="K15" s="1302"/>
      <c r="L15" s="1303"/>
      <c r="M15" s="340"/>
      <c r="N15" s="1641" t="s">
        <v>1494</v>
      </c>
      <c r="O15" s="1637"/>
      <c r="P15" s="1637"/>
      <c r="Q15" s="1637"/>
      <c r="R15" s="1637"/>
      <c r="S15" s="794"/>
      <c r="T15" s="1637" t="str">
        <f>":  "&amp;IF('WS-ATB'!D11="","",'WS-ATB'!D11)</f>
        <v>:  Disturbed Sample</v>
      </c>
      <c r="U15" s="1637"/>
      <c r="V15" s="1637"/>
      <c r="W15" s="1637"/>
      <c r="X15" s="1637"/>
      <c r="Y15" s="1638"/>
    </row>
    <row r="16" spans="1:26" ht="8.1" customHeight="1">
      <c r="B16" s="340"/>
      <c r="C16" s="340"/>
      <c r="D16" s="340"/>
      <c r="E16" s="340"/>
      <c r="F16" s="340"/>
      <c r="G16" s="340"/>
      <c r="H16" s="340"/>
      <c r="I16" s="340"/>
      <c r="J16" s="340"/>
      <c r="K16" s="340"/>
      <c r="L16" s="340"/>
      <c r="M16" s="340"/>
      <c r="N16" s="1641"/>
      <c r="O16" s="1637"/>
      <c r="P16" s="1637"/>
      <c r="Q16" s="1637"/>
      <c r="R16" s="1637"/>
      <c r="S16" s="794"/>
      <c r="T16" s="1637"/>
      <c r="U16" s="1637"/>
      <c r="V16" s="1637"/>
      <c r="W16" s="1637"/>
      <c r="X16" s="1637"/>
      <c r="Y16" s="1638"/>
    </row>
    <row r="17" spans="1:25">
      <c r="A17" s="1654" t="s">
        <v>1279</v>
      </c>
      <c r="B17" s="1655"/>
      <c r="C17" s="1655"/>
      <c r="D17" s="1655"/>
      <c r="E17" s="1655"/>
      <c r="F17" s="1655"/>
      <c r="G17" s="1655"/>
      <c r="H17" s="1655"/>
      <c r="I17" s="1655"/>
      <c r="J17" s="1655"/>
      <c r="K17" s="1655"/>
      <c r="L17" s="1656"/>
      <c r="M17" s="340"/>
      <c r="N17" s="1641" t="s">
        <v>1495</v>
      </c>
      <c r="O17" s="1637"/>
      <c r="P17" s="1637"/>
      <c r="Q17" s="1637"/>
      <c r="R17" s="1637"/>
      <c r="S17" s="794"/>
      <c r="T17" s="1637" t="str">
        <f>":  "&amp;IF('WS-ATB'!D12="","",'WS-ATB'!D12)</f>
        <v>:  Lempung / Clay</v>
      </c>
      <c r="U17" s="1637"/>
      <c r="V17" s="1637"/>
      <c r="W17" s="1637"/>
      <c r="X17" s="1637"/>
      <c r="Y17" s="1638"/>
    </row>
    <row r="18" spans="1:25" ht="8.1" customHeight="1">
      <c r="A18" s="901"/>
      <c r="B18" s="550"/>
      <c r="C18" s="550"/>
      <c r="D18" s="550"/>
      <c r="E18" s="550"/>
      <c r="F18" s="550"/>
      <c r="G18" s="550"/>
      <c r="H18" s="550"/>
      <c r="I18" s="550"/>
      <c r="J18" s="550"/>
      <c r="K18" s="550"/>
      <c r="L18" s="1308"/>
      <c r="M18" s="340"/>
      <c r="N18" s="1641" t="s">
        <v>1496</v>
      </c>
      <c r="O18" s="1637"/>
      <c r="P18" s="1637"/>
      <c r="Q18" s="1637"/>
      <c r="R18" s="1637"/>
      <c r="S18" s="794"/>
      <c r="T18" s="1637" t="str">
        <f>":  "&amp;IF('WS-ATB'!D13="","",'WS-ATB'!D13)</f>
        <v>:  Coklat / Brown</v>
      </c>
      <c r="U18" s="1637"/>
      <c r="V18" s="1637"/>
      <c r="W18" s="1637"/>
      <c r="X18" s="1637"/>
      <c r="Y18" s="1638"/>
    </row>
    <row r="19" spans="1:25"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794"/>
      <c r="T19" s="1637"/>
      <c r="U19" s="1637"/>
      <c r="V19" s="1637"/>
      <c r="W19" s="1637"/>
      <c r="X19" s="1637"/>
      <c r="Y19" s="1638"/>
    </row>
    <row r="20" spans="1:25" ht="8.1" customHeight="1">
      <c r="A20" s="1634"/>
      <c r="B20" s="1635"/>
      <c r="C20" s="1635"/>
      <c r="D20" s="1635"/>
      <c r="E20" s="1639"/>
      <c r="F20" s="1639"/>
      <c r="G20" s="1639"/>
      <c r="H20" s="1639"/>
      <c r="I20" s="1639"/>
      <c r="J20" s="1639"/>
      <c r="K20" s="1639"/>
      <c r="L20" s="1640"/>
      <c r="M20" s="340"/>
      <c r="N20" s="1641" t="s">
        <v>1497</v>
      </c>
      <c r="O20" s="1637"/>
      <c r="P20" s="1637"/>
      <c r="Q20" s="1637"/>
      <c r="R20" s="1637"/>
      <c r="S20" s="794"/>
      <c r="T20" s="1637" t="str">
        <f>":  "&amp;IF('DATA INDUK'!H13="","",TEXT('DATA INDUK'!H13,"dd mmmm yyyy"))</f>
        <v>:  05 January 2026</v>
      </c>
      <c r="U20" s="1637"/>
      <c r="V20" s="1637"/>
      <c r="W20" s="1637"/>
      <c r="X20" s="1637"/>
      <c r="Y20" s="1638"/>
    </row>
    <row r="21" spans="1:25"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794"/>
      <c r="T21" s="1637"/>
      <c r="U21" s="1637"/>
      <c r="V21" s="1637"/>
      <c r="W21" s="1637"/>
      <c r="X21" s="1637"/>
      <c r="Y21" s="1638"/>
    </row>
    <row r="22" spans="1:25" ht="8.1" customHeight="1">
      <c r="A22" s="1634"/>
      <c r="B22" s="1635"/>
      <c r="C22" s="1635"/>
      <c r="D22" s="1635"/>
      <c r="E22" s="1639"/>
      <c r="F22" s="1639"/>
      <c r="G22" s="1639"/>
      <c r="H22" s="1639"/>
      <c r="I22" s="1639"/>
      <c r="J22" s="1639"/>
      <c r="K22" s="1639"/>
      <c r="L22" s="1640"/>
      <c r="M22" s="340"/>
      <c r="N22" s="1641" t="s">
        <v>1350</v>
      </c>
      <c r="O22" s="1637"/>
      <c r="P22" s="1637"/>
      <c r="Q22" s="1637"/>
      <c r="R22" s="1637"/>
      <c r="S22" s="794"/>
      <c r="T22" s="1637" t="str">
        <f>":  "&amp;IF('WS-ATB'!O12="","",TEXT('WS-ATB'!O12,"dd mmmm yyyy"))</f>
        <v>:  13 January 2026</v>
      </c>
      <c r="U22" s="1637"/>
      <c r="V22" s="1637"/>
      <c r="W22" s="1637"/>
      <c r="X22" s="1637"/>
      <c r="Y22" s="1638"/>
    </row>
    <row r="23" spans="1:25" ht="8.1" customHeight="1">
      <c r="A23" s="1309"/>
      <c r="B23" s="1302"/>
      <c r="C23" s="1302"/>
      <c r="D23" s="1302"/>
      <c r="E23" s="1302"/>
      <c r="F23" s="1302"/>
      <c r="G23" s="1302"/>
      <c r="H23" s="1302"/>
      <c r="I23" s="1302"/>
      <c r="J23" s="1302"/>
      <c r="K23" s="1302"/>
      <c r="L23" s="1303"/>
      <c r="M23" s="340"/>
      <c r="N23" s="1642"/>
      <c r="O23" s="1643"/>
      <c r="P23" s="1643"/>
      <c r="Q23" s="1643"/>
      <c r="R23" s="1643"/>
      <c r="S23" s="1251"/>
      <c r="T23" s="1643"/>
      <c r="U23" s="1643"/>
      <c r="V23" s="1643"/>
      <c r="W23" s="1643"/>
      <c r="X23" s="1643"/>
      <c r="Y23" s="1644"/>
    </row>
    <row r="24" spans="1:25"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c r="Y24" s="340"/>
    </row>
    <row r="25" spans="1:25"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c r="Y25" s="340"/>
    </row>
    <row r="26" spans="1:25" ht="20.100000000000001" customHeight="1">
      <c r="A26" s="1706" t="str">
        <f>'WS-ATB'!A2</f>
        <v>UJI BATAS CAIR DAN BATAS PLASTIS</v>
      </c>
      <c r="B26" s="1706"/>
      <c r="C26" s="1706"/>
      <c r="D26" s="1706"/>
      <c r="E26" s="1706"/>
      <c r="F26" s="1706"/>
      <c r="G26" s="1706"/>
      <c r="H26" s="1706"/>
      <c r="I26" s="1706"/>
      <c r="J26" s="1706"/>
      <c r="K26" s="1706"/>
      <c r="L26" s="1706"/>
      <c r="M26" s="1706"/>
      <c r="N26" s="1706"/>
      <c r="O26" s="1706"/>
      <c r="P26" s="1706"/>
      <c r="Q26" s="1706"/>
      <c r="R26" s="1705" t="s">
        <v>2</v>
      </c>
      <c r="S26" s="1567"/>
      <c r="T26" s="1187" t="str">
        <f>'DATA INDUK'!$BS$34</f>
        <v>1967:2008</v>
      </c>
      <c r="U26" s="1185"/>
      <c r="V26" s="1185" t="s">
        <v>1156</v>
      </c>
      <c r="W26" s="1178"/>
      <c r="X26" s="1178"/>
      <c r="Y26" s="1178"/>
    </row>
    <row r="27" spans="1:25" ht="21" customHeight="1">
      <c r="A27" s="1826" t="str">
        <f>'WS-ATB'!A3</f>
        <v>LIQUID LIMIT AND PLASTIC  LIMIT TEST</v>
      </c>
      <c r="B27" s="1826"/>
      <c r="C27" s="1826"/>
      <c r="D27" s="1826"/>
      <c r="E27" s="1826"/>
      <c r="F27" s="1826"/>
      <c r="G27" s="1826"/>
      <c r="H27" s="1826"/>
      <c r="I27" s="1826"/>
      <c r="J27" s="1826"/>
      <c r="K27" s="1826"/>
      <c r="L27" s="1826"/>
      <c r="M27" s="1826"/>
      <c r="N27" s="1826"/>
      <c r="O27" s="1826"/>
      <c r="P27" s="1826"/>
      <c r="Q27" s="1826"/>
      <c r="R27" s="1705"/>
      <c r="S27" s="1567"/>
      <c r="T27" s="1186" t="str">
        <f>'DATA INDUK'!$BS$33</f>
        <v>1966:2008</v>
      </c>
      <c r="U27" s="1184"/>
      <c r="V27" s="1184" t="s">
        <v>1157</v>
      </c>
      <c r="W27" s="1177"/>
      <c r="X27" s="1177"/>
      <c r="Y27" s="1177"/>
    </row>
    <row r="28" spans="1:25"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c r="Y28" s="335"/>
    </row>
    <row r="29" spans="1:25">
      <c r="A29" s="1190" t="s">
        <v>1144</v>
      </c>
      <c r="B29" s="1191"/>
      <c r="C29" s="1191"/>
      <c r="D29" s="1191"/>
      <c r="E29" s="1191"/>
      <c r="F29" s="1191"/>
      <c r="G29" s="1191"/>
      <c r="H29" s="879"/>
      <c r="I29" s="1189"/>
      <c r="J29" s="877"/>
      <c r="K29" s="877"/>
      <c r="L29" s="879"/>
      <c r="M29" s="335"/>
      <c r="N29" s="1818" t="s">
        <v>1246</v>
      </c>
      <c r="O29" s="1818"/>
      <c r="P29" s="1818"/>
      <c r="Q29" s="1818"/>
      <c r="R29" s="1818"/>
      <c r="S29" s="1818"/>
      <c r="T29" s="1818"/>
      <c r="U29" s="1818"/>
      <c r="V29" s="1818"/>
      <c r="W29" s="1818"/>
      <c r="X29" s="1818"/>
      <c r="Y29" s="1818"/>
    </row>
    <row r="30" spans="1:25" ht="15.95" customHeight="1">
      <c r="A30" s="1815" t="s">
        <v>1244</v>
      </c>
      <c r="B30" s="1815"/>
      <c r="C30" s="1815"/>
      <c r="D30" s="1815" t="s">
        <v>1245</v>
      </c>
      <c r="E30" s="1815"/>
      <c r="F30" s="1815"/>
      <c r="G30" s="1815"/>
      <c r="H30" s="1192"/>
      <c r="I30" s="1193"/>
      <c r="L30" s="15"/>
      <c r="M30" s="335"/>
      <c r="N30" s="1818"/>
      <c r="O30" s="1818"/>
      <c r="P30" s="1818"/>
      <c r="Q30" s="1818"/>
      <c r="R30" s="1818"/>
      <c r="S30" s="1818"/>
      <c r="T30" s="1818"/>
      <c r="U30" s="1818"/>
      <c r="V30" s="1818"/>
      <c r="W30" s="1818"/>
      <c r="X30" s="1818"/>
      <c r="Y30" s="1818"/>
    </row>
    <row r="31" spans="1:25">
      <c r="A31" s="1815"/>
      <c r="B31" s="1815"/>
      <c r="C31" s="1815"/>
      <c r="D31" s="1815"/>
      <c r="E31" s="1815"/>
      <c r="F31" s="1815"/>
      <c r="G31" s="1815"/>
      <c r="H31" s="335"/>
      <c r="I31" s="338"/>
      <c r="J31" s="335"/>
      <c r="K31" s="335"/>
      <c r="L31" s="335"/>
      <c r="M31" s="335"/>
      <c r="N31" s="335"/>
      <c r="O31" s="335"/>
      <c r="P31" s="335"/>
      <c r="Q31" s="335"/>
      <c r="R31" s="335"/>
      <c r="S31" s="335"/>
      <c r="T31" s="335"/>
      <c r="U31" s="335"/>
      <c r="V31" s="335"/>
      <c r="W31" s="335"/>
      <c r="X31" s="335"/>
      <c r="Y31" s="335"/>
    </row>
    <row r="32" spans="1:25">
      <c r="A32" s="1819">
        <f>'WS-ATB'!B121</f>
        <v>40</v>
      </c>
      <c r="B32" s="1819"/>
      <c r="C32" s="1819"/>
      <c r="D32" s="1824">
        <f>'WS-ATB'!C121</f>
        <v>43.333333333333321</v>
      </c>
      <c r="E32" s="1824"/>
      <c r="F32" s="1824"/>
      <c r="G32" s="1824"/>
      <c r="H32" s="335"/>
      <c r="I32" s="338"/>
      <c r="J32" s="335"/>
      <c r="K32" s="335"/>
      <c r="L32" s="335"/>
      <c r="M32" s="335"/>
      <c r="N32" s="335"/>
      <c r="O32" s="335"/>
      <c r="P32" s="335"/>
      <c r="Q32" s="335"/>
      <c r="R32" s="335"/>
      <c r="S32" s="335"/>
      <c r="T32" s="335"/>
      <c r="U32" s="335"/>
      <c r="V32" s="335"/>
      <c r="W32" s="335"/>
      <c r="X32" s="335"/>
      <c r="Y32" s="335"/>
    </row>
    <row r="33" spans="1:30">
      <c r="A33" s="1819">
        <f>'WS-ATB'!B122</f>
        <v>31</v>
      </c>
      <c r="B33" s="1819"/>
      <c r="C33" s="1819"/>
      <c r="D33" s="1824">
        <f>'WS-ATB'!C122</f>
        <v>45.272466177915518</v>
      </c>
      <c r="E33" s="1824"/>
      <c r="F33" s="1824"/>
      <c r="G33" s="1824"/>
      <c r="H33" s="335"/>
      <c r="I33" s="338"/>
      <c r="J33" s="335"/>
      <c r="K33" s="335"/>
      <c r="L33" s="335"/>
      <c r="M33" s="335"/>
      <c r="N33" s="335"/>
      <c r="O33" s="335"/>
      <c r="P33" s="335"/>
      <c r="Q33" s="335"/>
      <c r="R33" s="335"/>
      <c r="S33" s="335"/>
      <c r="T33" s="335"/>
      <c r="U33" s="335"/>
      <c r="V33" s="335"/>
      <c r="W33" s="335"/>
      <c r="X33" s="335"/>
      <c r="Y33" s="335"/>
    </row>
    <row r="34" spans="1:30">
      <c r="A34" s="1819">
        <f>'WS-ATB'!B123</f>
        <v>20</v>
      </c>
      <c r="B34" s="1819"/>
      <c r="C34" s="1819"/>
      <c r="D34" s="1824">
        <f>'WS-ATB'!C123</f>
        <v>48.21935077213994</v>
      </c>
      <c r="E34" s="1824"/>
      <c r="F34" s="1824"/>
      <c r="G34" s="1824"/>
      <c r="H34" s="335"/>
      <c r="I34" s="338"/>
      <c r="J34" s="335"/>
      <c r="K34" s="335"/>
      <c r="L34" s="335"/>
      <c r="M34" s="335"/>
      <c r="N34" s="335"/>
      <c r="O34" s="335"/>
      <c r="P34" s="335"/>
      <c r="Q34" s="335"/>
      <c r="R34" s="335"/>
      <c r="S34" s="335"/>
      <c r="T34" s="335"/>
      <c r="U34" s="335"/>
      <c r="V34" s="335"/>
      <c r="W34" s="335"/>
      <c r="X34" s="335"/>
      <c r="Y34" s="335"/>
    </row>
    <row r="35" spans="1:30">
      <c r="A35" s="1819">
        <f>'WS-ATB'!B124</f>
        <v>12</v>
      </c>
      <c r="B35" s="1819"/>
      <c r="C35" s="1819"/>
      <c r="D35" s="1824">
        <f>'WS-ATB'!C124</f>
        <v>51.789676083419621</v>
      </c>
      <c r="E35" s="1824"/>
      <c r="F35" s="1824"/>
      <c r="G35" s="1824"/>
      <c r="H35" s="335"/>
      <c r="I35" s="338"/>
      <c r="J35" s="335"/>
      <c r="K35" s="335"/>
      <c r="L35" s="335"/>
      <c r="M35" s="335"/>
      <c r="N35" s="335"/>
      <c r="O35" s="335"/>
      <c r="P35" s="335"/>
      <c r="Q35" s="335"/>
      <c r="R35" s="335"/>
      <c r="S35" s="335"/>
      <c r="T35" s="335"/>
      <c r="U35" s="335"/>
      <c r="V35" s="335"/>
      <c r="W35" s="335"/>
      <c r="X35" s="335"/>
      <c r="Y35" s="335"/>
      <c r="AA35" s="1012"/>
      <c r="AB35" s="1012"/>
      <c r="AC35" s="1012"/>
      <c r="AD35" s="1012"/>
    </row>
    <row r="36" spans="1:30">
      <c r="A36" s="335"/>
      <c r="B36" s="335"/>
      <c r="C36" s="335"/>
      <c r="D36" s="335"/>
      <c r="E36" s="335"/>
      <c r="F36" s="335"/>
      <c r="G36" s="335"/>
      <c r="H36" s="335"/>
      <c r="I36" s="338"/>
      <c r="J36" s="335"/>
      <c r="K36" s="335"/>
      <c r="L36" s="335"/>
      <c r="M36" s="335"/>
      <c r="N36" s="335"/>
      <c r="O36" s="335"/>
      <c r="P36" s="335"/>
      <c r="Q36" s="335"/>
      <c r="R36" s="335"/>
      <c r="S36" s="335"/>
      <c r="T36" s="335"/>
      <c r="U36" s="335"/>
      <c r="V36" s="335"/>
      <c r="W36" s="335"/>
      <c r="X36" s="335"/>
      <c r="Y36" s="335"/>
      <c r="AA36" s="1012"/>
      <c r="AB36" s="656" t="str">
        <f>"LHU No.   : "&amp; IF('DATA INDUK'!$H$17="","",'DATA INDUK'!$H$17)</f>
        <v>LHU No.   : 23/MGS/53/II/2026</v>
      </c>
      <c r="AC36" s="1012"/>
      <c r="AD36" s="1012"/>
    </row>
    <row r="37" spans="1:30">
      <c r="A37" s="1188" t="s">
        <v>1247</v>
      </c>
      <c r="B37" s="877"/>
      <c r="C37" s="877"/>
      <c r="D37" s="877"/>
      <c r="E37" s="877"/>
      <c r="F37" s="877"/>
      <c r="G37" s="877"/>
      <c r="H37" s="877"/>
      <c r="I37" s="878"/>
      <c r="J37" s="877"/>
      <c r="K37" s="877"/>
      <c r="L37" s="877"/>
      <c r="AA37" s="1012"/>
      <c r="AB37" s="1275" t="str">
        <f>"LAB ID.        : "&amp;$N$12&amp;""</f>
        <v>LAB ID.        : 26-001-DS-001</v>
      </c>
      <c r="AC37" s="1012"/>
      <c r="AD37" s="1012"/>
    </row>
    <row r="38" spans="1:30">
      <c r="A38" s="1815" t="s">
        <v>1249</v>
      </c>
      <c r="B38" s="1815"/>
      <c r="C38" s="1815"/>
      <c r="D38" s="1815" t="s">
        <v>1248</v>
      </c>
      <c r="E38" s="1815"/>
      <c r="F38" s="1815"/>
      <c r="G38" s="1815"/>
      <c r="H38" s="15"/>
      <c r="I38" s="1176"/>
      <c r="AA38" s="1012" t="s">
        <v>1352</v>
      </c>
      <c r="AB38" s="1275" t="str">
        <f>"TEST TYPE   : "&amp;AA38&amp;""</f>
        <v>TEST TYPE   : Attenberg Limit</v>
      </c>
      <c r="AC38" s="1012"/>
      <c r="AD38" s="1012"/>
    </row>
    <row r="39" spans="1:30">
      <c r="A39" s="1815"/>
      <c r="B39" s="1815"/>
      <c r="C39" s="1815"/>
      <c r="D39" s="1815"/>
      <c r="E39" s="1815"/>
      <c r="F39" s="1815"/>
      <c r="G39" s="1815"/>
      <c r="AA39" s="1276"/>
      <c r="AB39" s="1275" t="str">
        <f>"DATE            : "&amp;TEXT('DATA INDUK'!$H$19,"yyyy-mm-dd")</f>
        <v>DATE            : 2026-01-29</v>
      </c>
      <c r="AC39" s="1012"/>
      <c r="AD39" s="1012"/>
    </row>
    <row r="40" spans="1:30">
      <c r="A40" s="1816">
        <f>'WS-ATB'!B128</f>
        <v>1</v>
      </c>
      <c r="B40" s="1816"/>
      <c r="C40" s="1816"/>
      <c r="D40" s="1817">
        <f>'WS-ATB'!C128</f>
        <v>22.913580246913572</v>
      </c>
      <c r="E40" s="1817"/>
      <c r="F40" s="1817"/>
      <c r="G40" s="1817"/>
      <c r="H40" s="15"/>
      <c r="AA40" s="1012"/>
      <c r="AB40" s="1012"/>
      <c r="AC40" s="1012"/>
      <c r="AD40" s="1012"/>
    </row>
    <row r="41" spans="1:30">
      <c r="A41" s="1816">
        <f>'WS-ATB'!B129</f>
        <v>2</v>
      </c>
      <c r="B41" s="1816"/>
      <c r="C41" s="1816"/>
      <c r="D41" s="1817">
        <f>'WS-ATB'!C129</f>
        <v>22.530206112295645</v>
      </c>
      <c r="E41" s="1817"/>
      <c r="F41" s="1817"/>
      <c r="G41" s="1817"/>
      <c r="H41" s="15"/>
      <c r="AA41" s="1012"/>
      <c r="AB41" s="1012"/>
      <c r="AC41" s="1012"/>
      <c r="AD41" s="1012"/>
    </row>
    <row r="43" spans="1:30">
      <c r="A43" s="1188" t="s">
        <v>184</v>
      </c>
      <c r="B43" s="877"/>
      <c r="C43" s="877"/>
      <c r="D43" s="877"/>
      <c r="E43" s="877"/>
      <c r="F43" s="877"/>
      <c r="G43" s="877"/>
      <c r="H43" s="877"/>
      <c r="I43" s="878"/>
      <c r="J43" s="877"/>
      <c r="K43" s="877"/>
      <c r="L43" s="877"/>
    </row>
    <row r="44" spans="1:30">
      <c r="A44" s="540" t="s">
        <v>1250</v>
      </c>
    </row>
    <row r="48" spans="1:30">
      <c r="N48" s="541" t="s">
        <v>1353</v>
      </c>
      <c r="O48" s="541"/>
      <c r="P48" s="541"/>
      <c r="Q48" s="541"/>
      <c r="R48" s="541"/>
      <c r="S48" s="541"/>
      <c r="T48" s="541"/>
      <c r="U48" s="541"/>
      <c r="V48" s="541"/>
      <c r="W48" s="859"/>
      <c r="X48" s="541"/>
      <c r="Y48" s="541"/>
      <c r="AB48" s="4"/>
    </row>
    <row r="49" spans="3:28">
      <c r="N49" s="540" t="s">
        <v>575</v>
      </c>
      <c r="W49" s="4"/>
      <c r="AB49" s="4"/>
    </row>
    <row r="50" spans="3:28">
      <c r="N50" s="1" t="s">
        <v>1484</v>
      </c>
      <c r="O50" s="1"/>
      <c r="P50" s="1"/>
      <c r="Q50" s="1"/>
      <c r="R50" s="1"/>
      <c r="S50" s="1"/>
      <c r="T50" s="1"/>
      <c r="U50" s="1"/>
      <c r="V50" s="1176">
        <f>'WS-ATB'!E134</f>
        <v>46.879857774765206</v>
      </c>
      <c r="W50" s="4"/>
      <c r="AB50" s="4"/>
    </row>
    <row r="51" spans="3:28">
      <c r="N51" s="1" t="s">
        <v>1485</v>
      </c>
      <c r="O51" s="1"/>
      <c r="P51" s="1"/>
      <c r="Q51" s="1"/>
      <c r="R51" s="1"/>
      <c r="S51" s="1"/>
      <c r="T51" s="1"/>
      <c r="U51" s="1"/>
      <c r="V51" s="1176">
        <f>'WS-ATB'!E135</f>
        <v>22.721893179604606</v>
      </c>
      <c r="W51" s="4"/>
      <c r="AA51" s="1210"/>
      <c r="AB51" s="4"/>
    </row>
    <row r="52" spans="3:28">
      <c r="N52" s="1" t="s">
        <v>1486</v>
      </c>
      <c r="O52" s="1"/>
      <c r="P52" s="1"/>
      <c r="Q52" s="1"/>
      <c r="R52" s="1"/>
      <c r="S52" s="1"/>
      <c r="T52" s="1"/>
      <c r="U52" s="1"/>
      <c r="V52" s="1176">
        <f>'WS-ATB'!E136</f>
        <v>24.1579645951606</v>
      </c>
      <c r="W52" s="4"/>
    </row>
    <row r="53" spans="3:28">
      <c r="N53" s="1" t="s">
        <v>1482</v>
      </c>
      <c r="O53" s="1"/>
      <c r="P53" s="1"/>
      <c r="Q53" s="1"/>
      <c r="R53" s="1"/>
      <c r="S53" s="1"/>
      <c r="T53" s="1"/>
      <c r="U53" s="1"/>
      <c r="V53" s="1176" t="str">
        <f>'WS-ATB'!E137</f>
        <v>CL</v>
      </c>
      <c r="W53" s="4"/>
    </row>
    <row r="54" spans="3:28">
      <c r="N54" s="1" t="s">
        <v>1483</v>
      </c>
      <c r="O54" s="1"/>
      <c r="P54" s="1"/>
      <c r="Q54" s="1"/>
      <c r="R54" s="1"/>
      <c r="S54" s="1"/>
      <c r="T54" s="1"/>
      <c r="U54" s="1"/>
      <c r="V54" s="15" t="str">
        <f>'WS-ATB'!E138</f>
        <v>Lean Clay</v>
      </c>
      <c r="W54" s="4"/>
    </row>
    <row r="55" spans="3:28">
      <c r="N55" s="1825" t="str">
        <f>IF('WS-ATB'!J76="NP",
_xlfn._LONGTEXT("Catatan/Note: Sampel bersifat Non Plastic (NP), sehingga Batas Cair (LL), Batas Plastis (PL), dan Indeks Plastisitas (PI) tidak dapat ditentukan. / The sample is Non Plastic (NP); therefore, Liquid Limit (LL), Plastic Limit (PL), and Plasticity Index (PI)"," could not be determined."),
"")</f>
        <v/>
      </c>
      <c r="O55" s="1825"/>
      <c r="P55" s="1825"/>
      <c r="Q55" s="1825"/>
      <c r="R55" s="1825"/>
      <c r="S55" s="1825"/>
      <c r="T55" s="1825"/>
      <c r="U55" s="1825"/>
      <c r="V55" s="1825"/>
      <c r="W55" s="1825"/>
      <c r="X55" s="1825"/>
      <c r="Y55" s="1353"/>
    </row>
    <row r="56" spans="3:28">
      <c r="N56" s="1825"/>
      <c r="O56" s="1825"/>
      <c r="P56" s="1825"/>
      <c r="Q56" s="1825"/>
      <c r="R56" s="1825"/>
      <c r="S56" s="1825"/>
      <c r="T56" s="1825"/>
      <c r="U56" s="1825"/>
      <c r="V56" s="1825"/>
      <c r="W56" s="1825"/>
      <c r="X56" s="1825"/>
    </row>
    <row r="57" spans="3:28">
      <c r="N57" s="1825"/>
      <c r="O57" s="1825"/>
      <c r="P57" s="1825"/>
      <c r="Q57" s="1825"/>
      <c r="R57" s="1825"/>
      <c r="S57" s="1825"/>
      <c r="T57" s="1825"/>
      <c r="U57" s="1825"/>
      <c r="V57" s="1825"/>
      <c r="W57" s="1825"/>
      <c r="X57" s="1825"/>
    </row>
    <row r="59" spans="3:28">
      <c r="N59" s="1353"/>
      <c r="O59" s="1353"/>
      <c r="P59" s="1353"/>
      <c r="Q59" s="1353"/>
      <c r="R59" s="1353"/>
      <c r="S59" s="1353"/>
      <c r="T59" s="1353"/>
      <c r="U59" s="20" t="s">
        <v>1537</v>
      </c>
      <c r="V59" s="1353"/>
      <c r="W59" s="1353"/>
      <c r="X59" s="1353"/>
      <c r="Y59" s="1353"/>
    </row>
    <row r="60" spans="3:28">
      <c r="C60" s="1768" t="s">
        <v>623</v>
      </c>
      <c r="D60" s="1769"/>
      <c r="E60" s="1769"/>
      <c r="F60" s="1769"/>
      <c r="G60" s="1770"/>
      <c r="H60" s="1768" t="s">
        <v>292</v>
      </c>
      <c r="I60" s="1769"/>
      <c r="J60" s="1769"/>
      <c r="K60" s="1769"/>
      <c r="L60" s="1769"/>
      <c r="M60" s="1768" t="s">
        <v>294</v>
      </c>
      <c r="N60" s="1769"/>
      <c r="O60" s="1769"/>
      <c r="P60" s="1769"/>
      <c r="Q60" s="1769"/>
      <c r="R60" s="1770"/>
      <c r="S60" s="1529"/>
      <c r="U60" s="328"/>
      <c r="V60" s="329"/>
      <c r="W60" s="329"/>
      <c r="X60" s="330"/>
    </row>
    <row r="61" spans="3:28" ht="15.95" customHeight="1">
      <c r="C61" s="1771" t="s">
        <v>624</v>
      </c>
      <c r="D61" s="1646"/>
      <c r="E61" s="1646"/>
      <c r="F61" s="1646"/>
      <c r="G61" s="1772"/>
      <c r="H61" s="1773" t="s">
        <v>293</v>
      </c>
      <c r="I61" s="1652"/>
      <c r="J61" s="1652"/>
      <c r="K61" s="1652"/>
      <c r="L61" s="1652"/>
      <c r="M61" s="1773" t="s">
        <v>295</v>
      </c>
      <c r="N61" s="1652"/>
      <c r="O61" s="1652"/>
      <c r="P61" s="1652"/>
      <c r="Q61" s="1652"/>
      <c r="R61" s="1774"/>
      <c r="S61" s="1531"/>
      <c r="U61" s="357"/>
      <c r="X61" s="331"/>
    </row>
    <row r="62" spans="3:28" ht="15.95" customHeight="1">
      <c r="C62" s="357"/>
      <c r="D62" s="359"/>
      <c r="E62" s="359"/>
      <c r="F62" s="359"/>
      <c r="G62" s="360"/>
      <c r="H62" s="357"/>
      <c r="I62"/>
      <c r="K62" s="4"/>
      <c r="M62" s="357"/>
      <c r="R62" s="331"/>
      <c r="U62" s="357"/>
      <c r="X62" s="331"/>
    </row>
    <row r="63" spans="3:28">
      <c r="C63" s="357"/>
      <c r="G63" s="331"/>
      <c r="H63" s="357"/>
      <c r="I63"/>
      <c r="K63" s="4"/>
      <c r="M63" s="357"/>
      <c r="R63" s="331"/>
      <c r="U63" s="357"/>
      <c r="X63" s="331"/>
    </row>
    <row r="64" spans="3:28">
      <c r="C64" s="357"/>
      <c r="G64" s="331"/>
      <c r="H64" s="357"/>
      <c r="I64"/>
      <c r="K64" s="4"/>
      <c r="M64" s="357"/>
      <c r="R64" s="331"/>
      <c r="U64" s="357"/>
      <c r="X64" s="331"/>
    </row>
    <row r="65" spans="1:25">
      <c r="C65" s="1777" t="str">
        <f>IF('WS-ATB'!O9="","",'WS-ATB'!O9)</f>
        <v>NOUFAL</v>
      </c>
      <c r="D65" s="1632"/>
      <c r="E65" s="1632"/>
      <c r="F65" s="1632"/>
      <c r="G65" s="1778"/>
      <c r="H65" s="1777" t="str">
        <f>IF(C65='WS-ATB'!O10," - ",'WS-ATB'!O10)</f>
        <v xml:space="preserve"> - </v>
      </c>
      <c r="I65" s="1632"/>
      <c r="J65" s="1632"/>
      <c r="K65" s="1632"/>
      <c r="L65" s="1632"/>
      <c r="M65" s="1777" t="str">
        <f>IF('WS-ATB'!O11="","",'WS-ATB'!O11)</f>
        <v>A.SUMARTADJI</v>
      </c>
      <c r="N65" s="1632"/>
      <c r="O65" s="1632"/>
      <c r="P65" s="1632"/>
      <c r="Q65" s="1632"/>
      <c r="R65" s="1778"/>
      <c r="S65" s="786"/>
      <c r="U65" s="357"/>
      <c r="X65" s="331"/>
    </row>
    <row r="66" spans="1:25" s="15" customFormat="1" ht="12">
      <c r="C66" s="1779" t="s">
        <v>299</v>
      </c>
      <c r="D66" s="1685"/>
      <c r="E66" s="1685"/>
      <c r="F66" s="1685"/>
      <c r="G66" s="1780"/>
      <c r="H66" s="1779" t="s">
        <v>305</v>
      </c>
      <c r="I66" s="1685"/>
      <c r="J66" s="1685"/>
      <c r="K66" s="1685"/>
      <c r="L66" s="1685"/>
      <c r="M66" s="1779" t="s">
        <v>298</v>
      </c>
      <c r="N66" s="1685"/>
      <c r="O66" s="1685"/>
      <c r="P66" s="1685"/>
      <c r="Q66" s="1685"/>
      <c r="R66" s="1780"/>
      <c r="S66" s="1530"/>
      <c r="T66" s="364"/>
      <c r="U66" s="366"/>
      <c r="V66" s="364"/>
      <c r="W66" s="364"/>
      <c r="X66" s="365"/>
      <c r="Y66" s="364"/>
    </row>
    <row r="67" spans="1:25" s="326" customFormat="1" ht="15.95" customHeight="1">
      <c r="C67" s="1820" t="s">
        <v>291</v>
      </c>
      <c r="D67" s="1821"/>
      <c r="E67" s="1822">
        <f>IF('DATA INDUK'!$H$19="","",'DATA INDUK'!$H$19-1)</f>
        <v>46050</v>
      </c>
      <c r="F67" s="1822"/>
      <c r="G67" s="1823"/>
      <c r="H67" s="1820" t="s">
        <v>291</v>
      </c>
      <c r="I67" s="1821"/>
      <c r="J67" s="1822">
        <f>IF('DATA INDUK'!$H$19="","",'DATA INDUK'!$H$19-1)</f>
        <v>46050</v>
      </c>
      <c r="K67" s="1822"/>
      <c r="L67" s="1823"/>
      <c r="M67" s="1820" t="s">
        <v>291</v>
      </c>
      <c r="N67" s="1821"/>
      <c r="O67" s="1821"/>
      <c r="P67" s="1822">
        <f>IF('DATA INDUK'!$H$19="","",'DATA INDUK'!$H$19-1)</f>
        <v>46050</v>
      </c>
      <c r="Q67" s="1822"/>
      <c r="R67" s="1823"/>
      <c r="S67" s="1572"/>
      <c r="U67" s="1279"/>
      <c r="V67" s="1280"/>
      <c r="W67" s="1280"/>
      <c r="X67" s="1281"/>
    </row>
    <row r="68" spans="1:25" ht="8.1" customHeight="1">
      <c r="A68" s="897"/>
      <c r="B68" s="898"/>
      <c r="C68" s="898"/>
      <c r="D68" s="898"/>
      <c r="E68" s="898"/>
      <c r="F68" s="898"/>
      <c r="G68" s="898"/>
      <c r="H68" s="897"/>
      <c r="I68" s="899"/>
      <c r="J68" s="898"/>
      <c r="K68" s="898"/>
      <c r="L68" s="898"/>
      <c r="M68" s="898"/>
      <c r="N68" s="898"/>
      <c r="O68" s="898"/>
      <c r="P68" s="900"/>
      <c r="Q68" s="897"/>
      <c r="R68" s="897"/>
      <c r="S68" s="897"/>
      <c r="T68" s="897"/>
      <c r="U68" s="897"/>
      <c r="V68" s="897"/>
      <c r="W68" s="897"/>
      <c r="X68" s="897"/>
      <c r="Y68" s="897"/>
    </row>
    <row r="69" spans="1:25"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1"/>
      <c r="Y69" s="922"/>
    </row>
    <row r="70" spans="1:25">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8"/>
      <c r="Y70" s="929"/>
    </row>
    <row r="71" spans="1:25"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8"/>
      <c r="Y71" s="929"/>
    </row>
    <row r="72" spans="1:25"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4"/>
      <c r="Y72" s="935"/>
    </row>
    <row r="73" spans="1:25" ht="15.95" customHeight="1">
      <c r="A73" s="1697"/>
      <c r="B73" s="1698"/>
      <c r="C73" s="1699"/>
      <c r="D73" s="967" t="s">
        <v>897</v>
      </c>
      <c r="E73" s="936"/>
      <c r="F73" s="936"/>
      <c r="G73" s="936"/>
      <c r="H73" s="936"/>
      <c r="I73" s="936"/>
      <c r="J73" s="936"/>
      <c r="K73" s="936"/>
      <c r="L73" s="937"/>
      <c r="M73" s="954"/>
      <c r="N73" s="939" t="s">
        <v>894</v>
      </c>
      <c r="O73" s="940"/>
      <c r="P73" s="940"/>
      <c r="Q73" s="940"/>
      <c r="R73" s="940"/>
      <c r="S73" s="940"/>
      <c r="T73" s="941"/>
      <c r="U73" s="940"/>
      <c r="V73" s="940"/>
      <c r="W73" s="941"/>
      <c r="X73" s="941"/>
      <c r="Y73" s="942"/>
    </row>
    <row r="74" spans="1:25" ht="12" customHeight="1">
      <c r="B74" s="353"/>
      <c r="C74" s="353"/>
      <c r="D74" s="353"/>
      <c r="E74" s="353"/>
      <c r="F74" s="353"/>
      <c r="G74" s="353"/>
      <c r="J74" s="353"/>
      <c r="K74" s="353"/>
      <c r="L74" s="353"/>
      <c r="M74" s="353"/>
      <c r="N74" s="353"/>
      <c r="O74" s="353"/>
      <c r="P74" s="19"/>
      <c r="U74" s="1002" t="str">
        <f>'DATA INDUK'!$BT$32</f>
        <v>23-MINEARTH-RM-LHU-ATB-R0</v>
      </c>
    </row>
    <row r="75" spans="1:25" s="326" customFormat="1" ht="15" customHeight="1">
      <c r="A75" s="361" t="s">
        <v>892</v>
      </c>
      <c r="B75" s="893"/>
      <c r="C75" s="893"/>
      <c r="D75" s="893"/>
      <c r="E75" s="893"/>
      <c r="F75" s="893"/>
      <c r="G75" s="893"/>
      <c r="H75" s="893"/>
      <c r="I75" s="894"/>
      <c r="J75" s="893"/>
      <c r="K75" s="361" t="s">
        <v>284</v>
      </c>
      <c r="L75" s="893"/>
      <c r="M75" s="893"/>
      <c r="N75" s="893"/>
      <c r="O75" s="893"/>
      <c r="P75" s="893"/>
      <c r="Q75" s="893"/>
      <c r="R75" s="893"/>
      <c r="S75" s="893"/>
      <c r="T75" s="361" t="s">
        <v>285</v>
      </c>
      <c r="U75" s="893"/>
      <c r="V75" s="895"/>
      <c r="W75" s="893"/>
      <c r="X75" s="893"/>
      <c r="Y75" s="893"/>
    </row>
    <row r="76" spans="1:25" ht="15" customHeight="1">
      <c r="A76" s="361" t="s">
        <v>283</v>
      </c>
      <c r="B76" s="892"/>
      <c r="C76" s="892"/>
      <c r="D76" s="892"/>
      <c r="E76" s="892"/>
      <c r="F76" s="892"/>
      <c r="G76" s="892"/>
      <c r="H76" s="892"/>
      <c r="I76" s="891"/>
      <c r="J76" s="892"/>
      <c r="K76" s="361" t="s">
        <v>296</v>
      </c>
      <c r="L76" s="892"/>
      <c r="M76" s="892"/>
      <c r="N76" s="892"/>
      <c r="O76" s="892"/>
      <c r="P76" s="892"/>
      <c r="Q76" s="892"/>
      <c r="R76" s="892"/>
      <c r="S76" s="892"/>
      <c r="T76" s="361" t="s">
        <v>289</v>
      </c>
      <c r="U76" s="892"/>
      <c r="V76" s="892"/>
      <c r="W76" s="892"/>
      <c r="X76" s="892"/>
      <c r="Y76" s="892"/>
    </row>
    <row r="77" spans="1:25">
      <c r="A77" s="892"/>
      <c r="B77" s="361"/>
      <c r="C77" s="361"/>
      <c r="D77" s="361"/>
      <c r="E77" s="361"/>
      <c r="F77" s="361"/>
      <c r="G77" s="361"/>
      <c r="H77" s="336"/>
      <c r="I77" s="891"/>
      <c r="J77" s="336"/>
      <c r="K77" s="892"/>
      <c r="L77" s="336"/>
      <c r="M77" s="336"/>
      <c r="N77" s="336"/>
      <c r="O77" s="336"/>
      <c r="P77" s="892"/>
      <c r="Q77" s="336"/>
      <c r="R77" s="892"/>
      <c r="S77" s="892"/>
      <c r="T77" s="892"/>
      <c r="U77" s="336"/>
      <c r="V77" s="336"/>
      <c r="W77" s="336"/>
      <c r="X77" s="336"/>
      <c r="Y77" s="336"/>
    </row>
    <row r="78" spans="1:25"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c r="Y78" s="892"/>
    </row>
    <row r="79" spans="1:25" ht="23.25">
      <c r="F79" s="1681" t="s">
        <v>302</v>
      </c>
      <c r="G79" s="1681"/>
      <c r="H79" s="1681"/>
      <c r="I79" s="1681"/>
      <c r="J79" s="1681"/>
      <c r="K79" s="1681"/>
      <c r="L79" s="1681"/>
      <c r="M79" s="1681"/>
      <c r="N79" s="1681"/>
      <c r="O79" s="1681"/>
      <c r="P79" s="1681"/>
      <c r="Q79" s="1681"/>
      <c r="R79" s="1681"/>
      <c r="S79" s="1681"/>
      <c r="T79" s="1681"/>
      <c r="U79" s="1681"/>
    </row>
    <row r="80" spans="1:25" ht="20.25">
      <c r="F80" s="1682" t="s">
        <v>1582</v>
      </c>
      <c r="G80" s="1682"/>
      <c r="H80" s="1682"/>
      <c r="I80" s="1682"/>
      <c r="J80" s="1682"/>
      <c r="K80" s="1682"/>
      <c r="L80" s="1682"/>
      <c r="M80" s="1682"/>
      <c r="N80" s="1682"/>
      <c r="O80" s="1682"/>
      <c r="P80" s="1682"/>
      <c r="Q80" s="1682"/>
      <c r="R80" s="1682"/>
      <c r="S80" s="1682"/>
      <c r="T80" s="1682"/>
      <c r="U80" s="1682"/>
    </row>
    <row r="81" spans="1:25">
      <c r="F81" s="1683" t="s">
        <v>304</v>
      </c>
      <c r="G81" s="1683"/>
      <c r="H81" s="1683"/>
      <c r="I81" s="1683"/>
      <c r="J81" s="1683"/>
      <c r="K81" s="1683"/>
      <c r="L81" s="1683"/>
      <c r="M81" s="1683"/>
      <c r="N81" s="1683"/>
      <c r="O81" s="1683"/>
      <c r="P81" s="1683"/>
      <c r="Q81" s="1683"/>
      <c r="R81" s="1683"/>
      <c r="S81" s="1683"/>
      <c r="T81" s="1683"/>
      <c r="U81" s="1683"/>
    </row>
    <row r="82" spans="1:25"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c r="Y82" s="333"/>
    </row>
    <row r="83" spans="1:25" ht="8.1" customHeight="1"/>
    <row r="84" spans="1:25">
      <c r="A84" s="1789" t="s">
        <v>765</v>
      </c>
      <c r="B84" s="1790"/>
      <c r="C84" s="1790"/>
      <c r="D84" s="1790"/>
      <c r="E84" s="1790"/>
      <c r="F84" s="1790">
        <f>F6</f>
        <v>0</v>
      </c>
      <c r="G84" s="1790"/>
      <c r="H84" s="1790"/>
      <c r="I84" s="1790"/>
      <c r="J84" s="1790"/>
      <c r="K84" s="707"/>
      <c r="L84" s="707"/>
      <c r="M84" s="707"/>
      <c r="N84" s="707"/>
      <c r="O84" s="707"/>
      <c r="P84" s="707"/>
      <c r="Q84" s="707"/>
      <c r="R84" s="707"/>
      <c r="S84" s="707"/>
      <c r="T84" s="707"/>
      <c r="U84" s="707"/>
      <c r="V84" s="707"/>
      <c r="W84" s="707"/>
      <c r="X84" s="707"/>
      <c r="Y84" s="354"/>
    </row>
    <row r="85" spans="1:25">
      <c r="A85" s="1786" t="s">
        <v>764</v>
      </c>
      <c r="B85" s="1787"/>
      <c r="C85" s="1787"/>
      <c r="D85" s="1787"/>
      <c r="E85" s="1787"/>
      <c r="F85" s="1787">
        <f>F7</f>
        <v>0</v>
      </c>
      <c r="G85" s="1787"/>
      <c r="H85" s="1787"/>
      <c r="I85" s="1787"/>
      <c r="J85" s="1787"/>
      <c r="K85" s="1788" t="s">
        <v>286</v>
      </c>
      <c r="L85" s="1788"/>
      <c r="M85" s="1788"/>
      <c r="N85" s="1788"/>
      <c r="O85" s="1788"/>
      <c r="P85" s="1795">
        <f>N7</f>
        <v>0</v>
      </c>
      <c r="Q85" s="1795"/>
      <c r="R85" s="1795"/>
      <c r="S85" s="1528"/>
      <c r="T85" s="350" t="s">
        <v>287</v>
      </c>
      <c r="U85" s="350"/>
      <c r="V85" s="350"/>
      <c r="W85" s="350" t="s">
        <v>730</v>
      </c>
      <c r="X85" s="350"/>
      <c r="Y85" s="355"/>
    </row>
    <row r="86" spans="1:25" ht="8.1" customHeight="1"/>
    <row r="87" spans="1:25">
      <c r="A87" s="1679" t="s">
        <v>288</v>
      </c>
      <c r="B87" s="1679"/>
      <c r="C87" s="1679"/>
      <c r="D87" s="1679"/>
      <c r="E87" s="1679"/>
      <c r="F87" s="1679"/>
      <c r="G87" s="1679"/>
      <c r="H87" s="1679"/>
      <c r="I87" s="1679"/>
      <c r="J87" s="1679"/>
      <c r="K87" s="1679"/>
      <c r="L87" s="1679"/>
      <c r="M87" s="1679"/>
      <c r="N87" s="1679"/>
      <c r="O87" s="1679"/>
      <c r="P87" s="1679"/>
      <c r="Q87" s="1679"/>
      <c r="R87" s="1679"/>
      <c r="S87" s="1679"/>
      <c r="T87" s="1679"/>
      <c r="U87" s="1679"/>
      <c r="V87" s="1679"/>
      <c r="W87" s="1679"/>
      <c r="X87" s="1679"/>
      <c r="Y87" s="1679"/>
    </row>
    <row r="139" spans="1:25">
      <c r="H139" s="686"/>
      <c r="I139" s="687"/>
      <c r="J139" s="686"/>
      <c r="K139" s="686"/>
      <c r="L139" s="686"/>
      <c r="M139" s="686"/>
      <c r="N139" s="686"/>
      <c r="O139" s="686"/>
      <c r="P139" s="686"/>
      <c r="Q139" s="686"/>
      <c r="R139" s="686"/>
      <c r="S139" s="686"/>
      <c r="T139" s="686"/>
      <c r="V139" s="686"/>
      <c r="W139" s="686"/>
      <c r="X139" s="686"/>
      <c r="Y139" s="686"/>
    </row>
    <row r="140" spans="1:25">
      <c r="A140" s="700" t="s">
        <v>297</v>
      </c>
      <c r="B140" s="338"/>
      <c r="C140" s="338"/>
      <c r="D140" s="4"/>
      <c r="E140" s="4"/>
      <c r="F140" s="4"/>
      <c r="G140" s="690"/>
      <c r="H140" s="1798" t="s">
        <v>623</v>
      </c>
      <c r="I140" s="1798"/>
      <c r="J140" s="1798"/>
      <c r="K140" s="1799"/>
      <c r="L140" s="1800" t="s">
        <v>292</v>
      </c>
      <c r="M140" s="1800"/>
      <c r="N140" s="1800"/>
      <c r="O140" s="1801"/>
      <c r="P140" s="1802" t="s">
        <v>294</v>
      </c>
      <c r="Q140" s="1798"/>
      <c r="R140" s="1798"/>
      <c r="S140" s="1798"/>
      <c r="T140" s="1799"/>
      <c r="V140" s="698"/>
      <c r="W140" s="688"/>
      <c r="X140" s="688"/>
      <c r="Y140" s="694"/>
    </row>
    <row r="141" spans="1:25" ht="15.95" customHeight="1">
      <c r="G141" s="691"/>
      <c r="H141" s="1675" t="s">
        <v>624</v>
      </c>
      <c r="I141" s="1675"/>
      <c r="J141" s="1675"/>
      <c r="K141" s="1785"/>
      <c r="L141" s="1675" t="s">
        <v>293</v>
      </c>
      <c r="M141" s="1675"/>
      <c r="N141" s="1675"/>
      <c r="O141" s="1785"/>
      <c r="P141" s="1794" t="s">
        <v>295</v>
      </c>
      <c r="Q141" s="1675"/>
      <c r="R141" s="1675"/>
      <c r="S141" s="1675"/>
      <c r="T141" s="1785"/>
      <c r="V141" s="697"/>
      <c r="Y141" s="691"/>
    </row>
    <row r="142" spans="1:25">
      <c r="G142" s="691"/>
      <c r="H142" s="1665" t="str">
        <f>C65</f>
        <v>NOUFAL</v>
      </c>
      <c r="I142" s="1665"/>
      <c r="J142" s="1665"/>
      <c r="K142" s="1796"/>
      <c r="O142" s="690"/>
      <c r="P142" s="697"/>
      <c r="T142" s="691"/>
      <c r="V142" s="697"/>
      <c r="Y142" s="691"/>
    </row>
    <row r="143" spans="1:25">
      <c r="G143" s="691"/>
      <c r="H143" s="1665"/>
      <c r="I143" s="1665"/>
      <c r="J143" s="1665"/>
      <c r="K143" s="1796"/>
      <c r="O143" s="690"/>
      <c r="P143" s="697"/>
      <c r="T143" s="691"/>
      <c r="V143" s="697"/>
      <c r="Y143" s="691"/>
    </row>
    <row r="144" spans="1:25">
      <c r="G144" s="691"/>
      <c r="H144" s="1665"/>
      <c r="I144" s="1665"/>
      <c r="J144" s="1665"/>
      <c r="K144" s="1796"/>
      <c r="O144" s="690"/>
      <c r="P144" s="697"/>
      <c r="T144" s="691"/>
      <c r="V144" s="697"/>
      <c r="Y144" s="691"/>
    </row>
    <row r="145" spans="1:28">
      <c r="G145" s="691"/>
      <c r="H145" s="1665"/>
      <c r="I145" s="1665"/>
      <c r="J145" s="1665"/>
      <c r="K145" s="1796"/>
      <c r="L145" s="1665" t="str">
        <f>H65</f>
        <v xml:space="preserve"> - </v>
      </c>
      <c r="M145" s="1665"/>
      <c r="N145" s="1665"/>
      <c r="O145" s="1796"/>
      <c r="P145" s="1797" t="str">
        <f>M65</f>
        <v>A.SUMARTADJI</v>
      </c>
      <c r="Q145" s="1665"/>
      <c r="R145" s="1665"/>
      <c r="S145" s="1665"/>
      <c r="T145" s="1796"/>
      <c r="V145" s="697"/>
      <c r="Y145" s="691"/>
    </row>
    <row r="146" spans="1:28">
      <c r="G146" s="691"/>
      <c r="H146" s="1668" t="str">
        <f>C66</f>
        <v>Teknisi/Analis</v>
      </c>
      <c r="I146" s="1668"/>
      <c r="J146" s="1668"/>
      <c r="K146" s="1755"/>
      <c r="L146" s="1668" t="str">
        <f>H66</f>
        <v>Koordinator Teknis</v>
      </c>
      <c r="M146" s="1668"/>
      <c r="N146" s="1668"/>
      <c r="O146" s="1755"/>
      <c r="P146" s="1754" t="str">
        <f>M66</f>
        <v>Kepala Laboratorium</v>
      </c>
      <c r="Q146" s="1668"/>
      <c r="R146" s="1668"/>
      <c r="S146" s="1668"/>
      <c r="T146" s="1755"/>
      <c r="V146" s="699"/>
      <c r="W146" s="358"/>
      <c r="X146" s="358"/>
      <c r="Y146" s="695"/>
      <c r="Z146" s="358"/>
      <c r="AA146" s="358"/>
      <c r="AB146" s="358"/>
    </row>
    <row r="147" spans="1:28" ht="15.95" customHeight="1">
      <c r="G147" s="691"/>
      <c r="H147" s="1803" t="s">
        <v>291</v>
      </c>
      <c r="I147" s="1803"/>
      <c r="J147" s="1804">
        <f>E67</f>
        <v>46050</v>
      </c>
      <c r="K147" s="1805"/>
      <c r="L147" s="1806" t="s">
        <v>300</v>
      </c>
      <c r="M147" s="1806"/>
      <c r="N147" s="1807">
        <f>J67</f>
        <v>46050</v>
      </c>
      <c r="O147" s="1808"/>
      <c r="P147" s="1809" t="s">
        <v>301</v>
      </c>
      <c r="Q147" s="1810"/>
      <c r="R147" s="1792">
        <f>P67</f>
        <v>46050</v>
      </c>
      <c r="S147" s="1792"/>
      <c r="T147" s="1793"/>
      <c r="V147" s="692"/>
      <c r="W147" s="693"/>
      <c r="X147" s="693"/>
      <c r="Y147" s="696"/>
    </row>
    <row r="148" spans="1:28" ht="8.1" customHeight="1">
      <c r="H148" s="688"/>
      <c r="I148" s="689"/>
      <c r="J148" s="688"/>
      <c r="K148" s="688"/>
      <c r="L148" s="688"/>
      <c r="M148" s="688"/>
      <c r="N148" s="688"/>
      <c r="O148" s="688"/>
      <c r="P148" s="688"/>
      <c r="Q148" s="688"/>
      <c r="R148" s="688"/>
      <c r="S148" s="688"/>
      <c r="T148" s="688"/>
    </row>
    <row r="149" spans="1:28" ht="18" customHeight="1">
      <c r="B149" s="356"/>
      <c r="C149" s="356"/>
      <c r="D149" s="356"/>
      <c r="E149" s="356"/>
      <c r="U149" s="684" t="e">
        <f>#REF!</f>
        <v>#REF!</v>
      </c>
      <c r="V149" s="367"/>
      <c r="W149" s="367"/>
      <c r="X149" s="367"/>
      <c r="Y149" s="367"/>
    </row>
    <row r="150" spans="1:28" ht="18" customHeight="1">
      <c r="A150" s="362"/>
      <c r="B150" s="362"/>
      <c r="C150" s="362"/>
      <c r="D150" s="362"/>
      <c r="E150" s="362"/>
    </row>
    <row r="151" spans="1:28" ht="8.1" customHeight="1"/>
  </sheetData>
  <mergeCells count="107">
    <mergeCell ref="H141:K141"/>
    <mergeCell ref="L141:O141"/>
    <mergeCell ref="P141:T141"/>
    <mergeCell ref="H140:K140"/>
    <mergeCell ref="L140:O140"/>
    <mergeCell ref="P140:T140"/>
    <mergeCell ref="A87:Y87"/>
    <mergeCell ref="P67:R67"/>
    <mergeCell ref="C65:G65"/>
    <mergeCell ref="H65:L65"/>
    <mergeCell ref="M65:R65"/>
    <mergeCell ref="A69:C73"/>
    <mergeCell ref="F79:U79"/>
    <mergeCell ref="F80:U80"/>
    <mergeCell ref="F81:U81"/>
    <mergeCell ref="A84:E84"/>
    <mergeCell ref="F84:J84"/>
    <mergeCell ref="A85:E85"/>
    <mergeCell ref="F85:J85"/>
    <mergeCell ref="K85:O85"/>
    <mergeCell ref="P85:R85"/>
    <mergeCell ref="C66:G66"/>
    <mergeCell ref="H66:L66"/>
    <mergeCell ref="M66:R66"/>
    <mergeCell ref="H147:I147"/>
    <mergeCell ref="J147:K147"/>
    <mergeCell ref="L147:M147"/>
    <mergeCell ref="N147:O147"/>
    <mergeCell ref="P147:Q147"/>
    <mergeCell ref="R147:T147"/>
    <mergeCell ref="H142:K145"/>
    <mergeCell ref="L145:O145"/>
    <mergeCell ref="P145:T145"/>
    <mergeCell ref="H146:K146"/>
    <mergeCell ref="L146:O146"/>
    <mergeCell ref="P146:T146"/>
    <mergeCell ref="C67:D67"/>
    <mergeCell ref="E67:G67"/>
    <mergeCell ref="H67:I67"/>
    <mergeCell ref="J67:L67"/>
    <mergeCell ref="M67:O67"/>
    <mergeCell ref="R26:R27"/>
    <mergeCell ref="A35:C35"/>
    <mergeCell ref="D32:G32"/>
    <mergeCell ref="D33:G33"/>
    <mergeCell ref="D34:G34"/>
    <mergeCell ref="D35:G35"/>
    <mergeCell ref="N54:U54"/>
    <mergeCell ref="N55:X57"/>
    <mergeCell ref="N50:U50"/>
    <mergeCell ref="N51:U51"/>
    <mergeCell ref="N52:U52"/>
    <mergeCell ref="A26:Q26"/>
    <mergeCell ref="A27:Q27"/>
    <mergeCell ref="C60:G60"/>
    <mergeCell ref="H60:L60"/>
    <mergeCell ref="M60:R60"/>
    <mergeCell ref="C61:G61"/>
    <mergeCell ref="H61:L61"/>
    <mergeCell ref="M61:R61"/>
    <mergeCell ref="A38:C39"/>
    <mergeCell ref="D38:G39"/>
    <mergeCell ref="A40:C40"/>
    <mergeCell ref="A41:C41"/>
    <mergeCell ref="D40:G40"/>
    <mergeCell ref="D41:G41"/>
    <mergeCell ref="N53:U53"/>
    <mergeCell ref="A30:C31"/>
    <mergeCell ref="D30:G31"/>
    <mergeCell ref="N29:Y30"/>
    <mergeCell ref="A32:C32"/>
    <mergeCell ref="A33:C33"/>
    <mergeCell ref="A34:C34"/>
    <mergeCell ref="F1:U1"/>
    <mergeCell ref="F2:U2"/>
    <mergeCell ref="F3:U3"/>
    <mergeCell ref="A9:L9"/>
    <mergeCell ref="A12:L12"/>
    <mergeCell ref="N12:Y12"/>
    <mergeCell ref="A6:D6"/>
    <mergeCell ref="A7:D7"/>
    <mergeCell ref="U7:W7"/>
    <mergeCell ref="X7:Y7"/>
    <mergeCell ref="M7:Q7"/>
    <mergeCell ref="I7:L7"/>
    <mergeCell ref="A13:D13"/>
    <mergeCell ref="E13:L13"/>
    <mergeCell ref="A14:D14"/>
    <mergeCell ref="E14:L14"/>
    <mergeCell ref="N15:R16"/>
    <mergeCell ref="T15:Y16"/>
    <mergeCell ref="N13:R14"/>
    <mergeCell ref="S13:S14"/>
    <mergeCell ref="T13:Y14"/>
    <mergeCell ref="N17:R17"/>
    <mergeCell ref="T17:Y17"/>
    <mergeCell ref="N18:R19"/>
    <mergeCell ref="T18:Y19"/>
    <mergeCell ref="N20:R21"/>
    <mergeCell ref="T20:Y21"/>
    <mergeCell ref="N22:R23"/>
    <mergeCell ref="T22:Y23"/>
    <mergeCell ref="A19:D20"/>
    <mergeCell ref="E19:L20"/>
    <mergeCell ref="A21:D22"/>
    <mergeCell ref="E21:L22"/>
    <mergeCell ref="A17:L17"/>
  </mergeCells>
  <pageMargins left="0.72" right="0.47" top="0.59" bottom="0.51" header="0.28000000000000003" footer="0.28000000000000003"/>
  <pageSetup paperSize="9" scale="68"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C724-159E-4268-B80B-4BFDFDD09EB3}">
  <dimension ref="A1"/>
  <sheetViews>
    <sheetView workbookViewId="0"/>
  </sheetViews>
  <sheetFormatPr defaultRowHeight="15.7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A0F5-C706-3A4C-8730-F6DFF5B3AFD3}">
  <sheetPr>
    <tabColor theme="5" tint="0.79998168889431442"/>
  </sheetPr>
  <dimension ref="A1:AC310"/>
  <sheetViews>
    <sheetView topLeftCell="K39" zoomScale="60" zoomScaleNormal="60" workbookViewId="0">
      <selection activeCell="P27" sqref="P27"/>
    </sheetView>
  </sheetViews>
  <sheetFormatPr defaultColWidth="11" defaultRowHeight="15.75"/>
  <cols>
    <col min="6" max="6" width="16.375" customWidth="1"/>
    <col min="8" max="8" width="17.375" customWidth="1"/>
    <col min="10" max="10" width="13.875" bestFit="1" customWidth="1"/>
    <col min="11" max="11" width="14.125" customWidth="1"/>
    <col min="14" max="14" width="12.25" customWidth="1"/>
    <col min="16" max="21" width="10.875" customWidth="1"/>
    <col min="23" max="23" width="20.625" customWidth="1"/>
    <col min="25" max="25" width="17.5" customWidth="1"/>
  </cols>
  <sheetData>
    <row r="1" spans="1:20" ht="18">
      <c r="A1" s="708" t="s">
        <v>701</v>
      </c>
      <c r="B1" s="708"/>
      <c r="C1" s="708"/>
      <c r="D1" s="708"/>
      <c r="E1" s="708"/>
      <c r="F1" s="708"/>
      <c r="G1" s="708"/>
      <c r="H1" s="708"/>
      <c r="I1" s="708"/>
      <c r="J1" s="708"/>
      <c r="K1" s="708"/>
      <c r="L1" s="708"/>
      <c r="M1" s="708"/>
      <c r="N1" s="708"/>
      <c r="O1" s="708"/>
      <c r="P1" s="708"/>
      <c r="Q1" s="708"/>
      <c r="R1" s="708"/>
      <c r="S1" s="708"/>
    </row>
    <row r="2" spans="1:20" ht="23.25">
      <c r="A2" s="663" t="s">
        <v>1045</v>
      </c>
      <c r="B2" s="663"/>
      <c r="C2" s="663"/>
      <c r="D2" s="663"/>
      <c r="E2" s="663"/>
      <c r="F2" s="663"/>
      <c r="G2" s="663"/>
      <c r="H2" s="663"/>
      <c r="I2" s="663"/>
      <c r="J2" s="663"/>
      <c r="K2" s="663"/>
      <c r="L2" s="663"/>
      <c r="M2" s="663"/>
      <c r="N2" s="663"/>
      <c r="O2" s="663"/>
      <c r="P2" s="663"/>
      <c r="Q2" s="663"/>
      <c r="R2" s="663"/>
      <c r="S2" s="663"/>
    </row>
    <row r="3" spans="1:20" ht="23.25">
      <c r="A3" s="664" t="s">
        <v>1046</v>
      </c>
      <c r="B3" s="662"/>
      <c r="C3" s="662"/>
      <c r="D3" s="662"/>
      <c r="E3" s="662"/>
      <c r="F3" s="662"/>
      <c r="G3" s="662"/>
      <c r="H3" s="662"/>
      <c r="I3" s="662"/>
      <c r="J3" s="662"/>
      <c r="K3" s="662"/>
      <c r="L3" s="662"/>
      <c r="M3" s="662"/>
      <c r="N3" s="662"/>
      <c r="O3" s="662"/>
      <c r="P3" s="662"/>
      <c r="Q3" s="662"/>
      <c r="R3" s="662"/>
      <c r="S3" s="662"/>
    </row>
    <row r="4" spans="1:20">
      <c r="A4" s="709"/>
      <c r="B4" s="709"/>
      <c r="C4" s="709"/>
      <c r="D4" s="709"/>
      <c r="E4" s="709"/>
      <c r="F4" s="709"/>
      <c r="G4" s="709"/>
      <c r="H4" s="709"/>
      <c r="I4" s="709"/>
      <c r="J4" s="709"/>
      <c r="K4" s="709"/>
      <c r="L4" s="709"/>
      <c r="M4" s="709"/>
      <c r="N4" s="709"/>
      <c r="O4" s="709"/>
      <c r="P4" s="709"/>
      <c r="Q4" s="709"/>
      <c r="R4" s="709"/>
      <c r="S4" s="709"/>
    </row>
    <row r="5" spans="1:20">
      <c r="A5" s="335" t="s">
        <v>1044</v>
      </c>
      <c r="B5" s="335"/>
      <c r="C5" s="335"/>
      <c r="D5" s="335"/>
      <c r="E5" s="335"/>
      <c r="F5" s="335"/>
      <c r="G5" s="335"/>
      <c r="H5" s="335"/>
      <c r="I5" s="335"/>
      <c r="J5" s="335"/>
      <c r="K5" s="335"/>
      <c r="L5" s="335"/>
      <c r="M5" s="335"/>
      <c r="N5" s="335"/>
      <c r="O5" s="335"/>
      <c r="P5" s="335"/>
      <c r="Q5" s="335"/>
      <c r="R5" s="335"/>
      <c r="S5" s="335"/>
    </row>
    <row r="6" spans="1:20">
      <c r="A6" s="335"/>
      <c r="B6" s="335"/>
      <c r="C6" s="335"/>
      <c r="D6" s="335"/>
      <c r="E6" s="335"/>
      <c r="F6" s="335"/>
      <c r="G6" s="335"/>
      <c r="H6" s="335"/>
      <c r="I6" s="335"/>
      <c r="J6" s="335"/>
      <c r="K6" s="335"/>
      <c r="L6" s="335"/>
      <c r="M6" s="335"/>
      <c r="N6" s="335"/>
      <c r="O6" s="335"/>
      <c r="P6" s="335"/>
      <c r="Q6" s="335"/>
      <c r="R6" s="335"/>
      <c r="S6" s="335"/>
    </row>
    <row r="7" spans="1:20">
      <c r="A7" s="1" t="s">
        <v>775</v>
      </c>
      <c r="B7" s="1"/>
      <c r="C7" s="1"/>
      <c r="D7" s="539" t="str">
        <f>IFERROR(INDEX('DATA INDUK'!$H$27:$H$152,MATCH(ROW(D1),'DATA INDUK'!$AS$27:$AS$152,0)),"")</f>
        <v>26-001-DS-001</v>
      </c>
      <c r="E7" s="13"/>
      <c r="F7" s="13"/>
      <c r="G7" s="13"/>
      <c r="H7" s="15"/>
      <c r="I7" s="15"/>
      <c r="J7" s="15"/>
      <c r="K7" s="15"/>
      <c r="L7" s="15"/>
      <c r="M7" s="15"/>
      <c r="N7" s="15"/>
      <c r="O7" s="15"/>
      <c r="P7" s="15"/>
      <c r="Q7" s="15"/>
      <c r="R7" s="15"/>
      <c r="S7" s="15"/>
    </row>
    <row r="8" spans="1:20">
      <c r="A8" s="13"/>
      <c r="B8" s="13"/>
      <c r="C8" s="13"/>
      <c r="D8" s="540"/>
      <c r="E8" s="15"/>
      <c r="F8" s="15"/>
      <c r="G8" s="15"/>
      <c r="H8" s="15"/>
      <c r="I8" s="15"/>
      <c r="J8" s="15"/>
      <c r="K8" s="15"/>
      <c r="L8" s="15"/>
      <c r="M8" s="15"/>
      <c r="N8" s="15"/>
      <c r="O8" s="15"/>
      <c r="P8" s="15"/>
      <c r="Q8" s="15"/>
      <c r="R8" s="15"/>
      <c r="S8" s="15"/>
      <c r="T8" s="15"/>
    </row>
    <row r="9" spans="1:20">
      <c r="A9" s="1" t="s">
        <v>776</v>
      </c>
      <c r="B9" s="1"/>
      <c r="C9" s="1"/>
      <c r="D9" s="13" t="str">
        <f>IFERROR(INDEX('DATA INDUK'!$C$27:$C$152,MATCH(ROW(D1),'DATA INDUK'!$AS$27:$AS$152,0)),"")</f>
        <v>BH-04R1-SPT 15</v>
      </c>
      <c r="E9" s="15"/>
      <c r="F9" s="15"/>
      <c r="G9" s="15"/>
      <c r="H9" s="15"/>
      <c r="I9" s="15"/>
      <c r="J9" s="15"/>
      <c r="K9" s="15"/>
      <c r="L9" s="1" t="s">
        <v>703</v>
      </c>
      <c r="M9" s="1"/>
      <c r="N9" s="1"/>
      <c r="O9" s="15" t="str">
        <f>IF($D$7="","",P9)</f>
        <v>RIZKI</v>
      </c>
      <c r="P9" s="588" t="s">
        <v>1055</v>
      </c>
      <c r="Q9" s="15"/>
      <c r="R9" s="15"/>
      <c r="S9" s="15"/>
      <c r="T9" s="15" t="str">
        <f>"TTD_"&amp;O9&amp;""</f>
        <v>TTD_RIZKI</v>
      </c>
    </row>
    <row r="10" spans="1:20">
      <c r="A10" s="1" t="s">
        <v>777</v>
      </c>
      <c r="B10" s="1"/>
      <c r="C10" s="1"/>
      <c r="D10" s="13" t="str">
        <f>IFERROR(INDEX('DATA INDUK'!$J$27:$J$152,MATCH(ROW(D1),'DATA INDUK'!$AS$27:$AS$152,0)),"")</f>
        <v>22.50 - 22.95 m</v>
      </c>
      <c r="E10" s="15"/>
      <c r="F10" s="15"/>
      <c r="G10" s="15"/>
      <c r="H10" s="15"/>
      <c r="I10" s="15"/>
      <c r="J10" s="15"/>
      <c r="K10" s="15"/>
      <c r="L10" s="1" t="s">
        <v>704</v>
      </c>
      <c r="M10" s="1"/>
      <c r="N10" s="1"/>
      <c r="O10" s="15" t="str">
        <f t="shared" ref="O10:O11" si="0">IF($D$7="","",P10)</f>
        <v>NOUFAL</v>
      </c>
      <c r="P10" s="15" t="s">
        <v>1051</v>
      </c>
      <c r="Q10" s="15"/>
      <c r="R10" s="15"/>
      <c r="S10" s="15"/>
      <c r="T10" s="15" t="str">
        <f>IF(O9=O10,"TTD_","TTD_"&amp;O10&amp;"")</f>
        <v>TTD_NOUFAL</v>
      </c>
    </row>
    <row r="11" spans="1:20">
      <c r="A11" s="1" t="s">
        <v>778</v>
      </c>
      <c r="B11" s="1"/>
      <c r="C11" s="1"/>
      <c r="D11" s="13" t="str">
        <f>IFERROR(INDEX('DATA INDUK'!$D$27:$D$152,MATCH(ROW(D1),'DATA INDUK'!$AS$27:$AS$152,0)),"")</f>
        <v>Disturbed Sample</v>
      </c>
      <c r="E11" s="13"/>
      <c r="F11" s="15" t="s">
        <v>1611</v>
      </c>
      <c r="G11" s="15"/>
      <c r="H11" s="15"/>
      <c r="I11" s="15"/>
      <c r="J11" s="15"/>
      <c r="K11" s="15"/>
      <c r="L11" s="13" t="s">
        <v>716</v>
      </c>
      <c r="M11" s="15"/>
      <c r="N11" s="15"/>
      <c r="O11" s="15" t="str">
        <f t="shared" si="0"/>
        <v>A.SUMARTADJI</v>
      </c>
      <c r="P11" s="15" t="s">
        <v>766</v>
      </c>
      <c r="Q11" s="15"/>
      <c r="R11" s="15"/>
      <c r="S11" s="15"/>
      <c r="T11" s="15" t="str">
        <f>"TTD_"&amp;O11&amp;""</f>
        <v>TTD_A.SUMARTADJI</v>
      </c>
    </row>
    <row r="12" spans="1:20">
      <c r="A12" s="1" t="s">
        <v>779</v>
      </c>
      <c r="B12" s="1"/>
      <c r="C12" s="1"/>
      <c r="D12" s="1573" t="s">
        <v>1648</v>
      </c>
      <c r="E12" s="15"/>
      <c r="F12" s="15" t="str">
        <f>IFERROR(INDEX($V$31:$V$42,
MATCH(D12,$Y$31:$Y$42,0)),
"CHECK DESKRIPSI")</f>
        <v>SDS</v>
      </c>
      <c r="G12" s="15"/>
      <c r="H12" s="15"/>
      <c r="I12" s="15"/>
      <c r="J12" s="15"/>
      <c r="K12" s="15"/>
      <c r="L12" s="1" t="s">
        <v>705</v>
      </c>
      <c r="M12" s="1"/>
      <c r="N12" s="1"/>
      <c r="O12" s="1171">
        <v>46035</v>
      </c>
      <c r="P12" s="15"/>
      <c r="Q12" s="15"/>
      <c r="R12" s="15"/>
      <c r="S12" s="15"/>
      <c r="T12" s="15"/>
    </row>
    <row r="13" spans="1:20">
      <c r="A13" s="1" t="s">
        <v>780</v>
      </c>
      <c r="B13" s="1"/>
      <c r="C13" s="1"/>
      <c r="D13" s="714" t="s">
        <v>1194</v>
      </c>
      <c r="E13" s="15"/>
      <c r="F13" s="15"/>
      <c r="G13" s="15"/>
      <c r="H13" s="15"/>
      <c r="I13" s="15"/>
      <c r="J13" s="15"/>
      <c r="K13" s="15"/>
      <c r="L13" s="15"/>
      <c r="M13" s="15"/>
      <c r="N13" s="15"/>
      <c r="O13" s="15"/>
      <c r="P13" s="15"/>
      <c r="Q13" s="15"/>
      <c r="R13" s="15"/>
      <c r="S13" s="15"/>
    </row>
    <row r="14" spans="1:20"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row>
    <row r="15" spans="1:20">
      <c r="B15" s="440"/>
      <c r="C15" s="441"/>
      <c r="D15" s="442"/>
      <c r="E15" s="443"/>
      <c r="F15" s="443"/>
      <c r="G15" s="443"/>
    </row>
    <row r="16" spans="1:20">
      <c r="B16" s="440"/>
      <c r="C16" s="441"/>
      <c r="D16" s="442"/>
      <c r="E16" s="443"/>
      <c r="F16" s="443"/>
      <c r="G16" s="443"/>
    </row>
    <row r="17" spans="2:25">
      <c r="B17" s="440"/>
      <c r="C17" s="441"/>
      <c r="D17" s="442"/>
      <c r="E17" s="443"/>
      <c r="F17" s="443"/>
      <c r="G17" s="443"/>
    </row>
    <row r="18" spans="2:25">
      <c r="B18" s="440" t="s">
        <v>417</v>
      </c>
      <c r="C18" s="441"/>
      <c r="D18" s="442"/>
      <c r="E18" s="443"/>
      <c r="F18" s="443"/>
      <c r="G18" s="443"/>
    </row>
    <row r="19" spans="2:25">
      <c r="B19" s="440"/>
      <c r="C19" s="441"/>
      <c r="D19" s="442"/>
      <c r="E19" s="443"/>
      <c r="F19" s="443"/>
      <c r="G19" s="443"/>
      <c r="M19" s="116" t="s">
        <v>980</v>
      </c>
      <c r="N19" s="116" t="s">
        <v>981</v>
      </c>
    </row>
    <row r="20" spans="2:25">
      <c r="B20" t="s">
        <v>418</v>
      </c>
      <c r="C20" s="543">
        <v>60.832999999999998</v>
      </c>
      <c r="D20" s="442" t="s">
        <v>22</v>
      </c>
      <c r="E20" s="443"/>
      <c r="F20" s="443"/>
      <c r="G20" s="443"/>
      <c r="M20" t="s">
        <v>982</v>
      </c>
      <c r="N20">
        <v>7.4999999999999997E-2</v>
      </c>
    </row>
    <row r="21" spans="2:25" ht="16.5" thickBot="1">
      <c r="B21" s="440"/>
      <c r="C21" s="441"/>
      <c r="D21" s="442"/>
      <c r="E21" s="443"/>
      <c r="F21" s="443"/>
      <c r="G21" s="443"/>
      <c r="M21" t="s">
        <v>983</v>
      </c>
      <c r="N21">
        <v>0.15</v>
      </c>
      <c r="Q21" s="116"/>
      <c r="R21" s="116"/>
    </row>
    <row r="22" spans="2:25">
      <c r="B22" s="440"/>
      <c r="C22" s="421" t="s">
        <v>400</v>
      </c>
      <c r="D22" s="422" t="s">
        <v>401</v>
      </c>
      <c r="E22" s="421" t="s">
        <v>402</v>
      </c>
      <c r="F22" s="421" t="s">
        <v>403</v>
      </c>
      <c r="G22" s="421" t="s">
        <v>404</v>
      </c>
      <c r="H22" s="421" t="s">
        <v>403</v>
      </c>
      <c r="M22" t="s">
        <v>984</v>
      </c>
      <c r="N22">
        <v>0.18</v>
      </c>
      <c r="Q22" s="521"/>
      <c r="R22" s="521"/>
      <c r="S22" s="521"/>
      <c r="T22" s="521"/>
    </row>
    <row r="23" spans="2:25">
      <c r="B23" s="440"/>
      <c r="C23" s="423" t="s">
        <v>405</v>
      </c>
      <c r="D23" s="424" t="s">
        <v>406</v>
      </c>
      <c r="E23" s="423" t="s">
        <v>407</v>
      </c>
      <c r="F23" s="423" t="s">
        <v>407</v>
      </c>
      <c r="G23" s="423" t="s">
        <v>403</v>
      </c>
      <c r="H23" s="423" t="s">
        <v>506</v>
      </c>
      <c r="M23" t="s">
        <v>985</v>
      </c>
      <c r="N23">
        <v>0.42499999999999999</v>
      </c>
      <c r="Q23" s="521"/>
      <c r="R23" s="522"/>
      <c r="S23" s="521"/>
      <c r="T23" s="523"/>
    </row>
    <row r="24" spans="2:25">
      <c r="B24" s="440"/>
      <c r="C24" s="423"/>
      <c r="D24" s="424"/>
      <c r="E24" s="423"/>
      <c r="F24" s="423"/>
      <c r="G24" s="423" t="s">
        <v>407</v>
      </c>
      <c r="H24" s="423"/>
      <c r="M24" t="s">
        <v>986</v>
      </c>
      <c r="N24">
        <v>0.85</v>
      </c>
      <c r="Q24" s="521"/>
      <c r="R24" s="522"/>
      <c r="S24" s="521"/>
      <c r="T24" s="523"/>
    </row>
    <row r="25" spans="2:25" ht="16.5" thickBot="1">
      <c r="B25" s="440"/>
      <c r="C25" s="425"/>
      <c r="D25" s="426" t="s">
        <v>75</v>
      </c>
      <c r="E25" s="425" t="s">
        <v>408</v>
      </c>
      <c r="F25" s="425" t="s">
        <v>34</v>
      </c>
      <c r="G25" s="425" t="s">
        <v>34</v>
      </c>
      <c r="H25" s="425" t="s">
        <v>34</v>
      </c>
      <c r="M25" t="s">
        <v>987</v>
      </c>
      <c r="N25">
        <v>2</v>
      </c>
      <c r="Q25" s="521"/>
      <c r="R25" s="523"/>
      <c r="S25" s="521"/>
      <c r="T25" s="523"/>
    </row>
    <row r="26" spans="2:25">
      <c r="B26" s="440"/>
      <c r="C26" s="427" t="s">
        <v>409</v>
      </c>
      <c r="D26" s="428">
        <v>101.6</v>
      </c>
      <c r="E26" s="544">
        <v>0</v>
      </c>
      <c r="F26" s="429">
        <f>E26/$C$20*100</f>
        <v>0</v>
      </c>
      <c r="G26" s="429">
        <f>SUM($F$26:F26)</f>
        <v>0</v>
      </c>
      <c r="H26" s="429">
        <f t="shared" ref="H26:H39" si="1">100-G26</f>
        <v>100</v>
      </c>
      <c r="M26" t="s">
        <v>988</v>
      </c>
      <c r="N26">
        <v>2.36</v>
      </c>
      <c r="Q26" s="521"/>
      <c r="R26" s="523"/>
      <c r="S26" s="521"/>
      <c r="T26" s="523"/>
    </row>
    <row r="27" spans="2:25">
      <c r="C27" s="427" t="s">
        <v>410</v>
      </c>
      <c r="D27" s="428">
        <v>75</v>
      </c>
      <c r="E27" s="544">
        <v>0</v>
      </c>
      <c r="F27" s="429">
        <f t="shared" ref="F27:F39" si="2">E27/$C$20*100</f>
        <v>0</v>
      </c>
      <c r="G27" s="429">
        <f>SUM($F$26:F27)</f>
        <v>0</v>
      </c>
      <c r="H27" s="429">
        <f t="shared" si="1"/>
        <v>100</v>
      </c>
      <c r="M27" t="s">
        <v>989</v>
      </c>
      <c r="N27">
        <v>4.75</v>
      </c>
      <c r="Q27" s="521"/>
      <c r="R27" s="523"/>
      <c r="S27" s="521"/>
      <c r="T27" s="523"/>
    </row>
    <row r="28" spans="2:25">
      <c r="C28" s="427" t="s">
        <v>411</v>
      </c>
      <c r="D28" s="428">
        <v>38.1</v>
      </c>
      <c r="E28" s="544">
        <v>0</v>
      </c>
      <c r="F28" s="429">
        <f t="shared" si="2"/>
        <v>0</v>
      </c>
      <c r="G28" s="429">
        <f>SUM($F$26:F28)</f>
        <v>0</v>
      </c>
      <c r="H28" s="429">
        <f t="shared" si="1"/>
        <v>100</v>
      </c>
      <c r="M28" t="s">
        <v>415</v>
      </c>
      <c r="N28">
        <v>9.5250000000000004</v>
      </c>
    </row>
    <row r="29" spans="2:25">
      <c r="C29" s="427" t="s">
        <v>412</v>
      </c>
      <c r="D29" s="428">
        <v>25.4</v>
      </c>
      <c r="E29" s="544">
        <v>0</v>
      </c>
      <c r="F29" s="429">
        <f t="shared" si="2"/>
        <v>0</v>
      </c>
      <c r="G29" s="429">
        <f>SUM($F$26:F29)</f>
        <v>0</v>
      </c>
      <c r="H29" s="429">
        <f t="shared" si="1"/>
        <v>100</v>
      </c>
      <c r="M29" t="s">
        <v>414</v>
      </c>
      <c r="N29">
        <v>12.7</v>
      </c>
      <c r="R29" s="1628" t="s">
        <v>520</v>
      </c>
      <c r="S29" s="1628" t="s">
        <v>521</v>
      </c>
      <c r="T29" s="1628" t="s">
        <v>522</v>
      </c>
      <c r="V29" s="370" t="s">
        <v>1641</v>
      </c>
      <c r="W29" s="370"/>
      <c r="X29" s="370"/>
      <c r="Y29" s="370"/>
    </row>
    <row r="30" spans="2:25" ht="15.95" customHeight="1">
      <c r="C30" s="423" t="s">
        <v>413</v>
      </c>
      <c r="D30" s="430">
        <v>19.05</v>
      </c>
      <c r="E30" s="544">
        <v>0</v>
      </c>
      <c r="F30" s="429">
        <f t="shared" si="2"/>
        <v>0</v>
      </c>
      <c r="G30" s="429">
        <f>SUM($F$26:F30)</f>
        <v>0</v>
      </c>
      <c r="H30" s="429">
        <f t="shared" si="1"/>
        <v>100</v>
      </c>
      <c r="M30" t="s">
        <v>413</v>
      </c>
      <c r="N30">
        <v>19.05</v>
      </c>
      <c r="Q30" s="521" t="s">
        <v>518</v>
      </c>
      <c r="R30" s="1628"/>
      <c r="S30" s="1628"/>
      <c r="T30" s="1628"/>
      <c r="V30" s="370" t="s">
        <v>1611</v>
      </c>
      <c r="W30" s="370" t="s">
        <v>1642</v>
      </c>
      <c r="X30" s="370" t="s">
        <v>1632</v>
      </c>
      <c r="Y30" s="370" t="s">
        <v>1633</v>
      </c>
    </row>
    <row r="31" spans="2:25">
      <c r="C31" s="431" t="s">
        <v>414</v>
      </c>
      <c r="D31" s="432">
        <v>12.7</v>
      </c>
      <c r="E31" s="544">
        <v>0</v>
      </c>
      <c r="F31" s="429">
        <f t="shared" si="2"/>
        <v>0</v>
      </c>
      <c r="G31" s="429">
        <f>SUM($F$26:F31)</f>
        <v>0</v>
      </c>
      <c r="H31" s="429">
        <f t="shared" si="1"/>
        <v>100</v>
      </c>
      <c r="M31" t="s">
        <v>412</v>
      </c>
      <c r="N31">
        <v>25.4</v>
      </c>
      <c r="Q31" s="521">
        <v>15</v>
      </c>
      <c r="R31" s="524">
        <v>1.139</v>
      </c>
      <c r="S31" s="524">
        <f t="shared" ref="S31:S35" si="3">R31</f>
        <v>1.139</v>
      </c>
      <c r="T31" s="525">
        <f>S31/100</f>
        <v>1.1390000000000001E-2</v>
      </c>
      <c r="V31" s="370" t="s">
        <v>1612</v>
      </c>
      <c r="W31" s="370" t="s">
        <v>1613</v>
      </c>
      <c r="X31" s="370" t="s">
        <v>1610</v>
      </c>
      <c r="Y31" s="370" t="s">
        <v>1510</v>
      </c>
    </row>
    <row r="32" spans="2:25">
      <c r="C32" s="433" t="s">
        <v>415</v>
      </c>
      <c r="D32" s="434">
        <v>9.5250000000000004</v>
      </c>
      <c r="E32" s="544">
        <v>0</v>
      </c>
      <c r="F32" s="429">
        <f t="shared" si="2"/>
        <v>0</v>
      </c>
      <c r="G32" s="429">
        <f>SUM($F$26:F32)</f>
        <v>0</v>
      </c>
      <c r="H32" s="429">
        <f t="shared" si="1"/>
        <v>100</v>
      </c>
      <c r="M32" t="s">
        <v>990</v>
      </c>
      <c r="N32">
        <v>37.5</v>
      </c>
      <c r="Q32" s="521">
        <v>20</v>
      </c>
      <c r="R32" s="524">
        <v>1.002</v>
      </c>
      <c r="S32" s="524">
        <f t="shared" si="3"/>
        <v>1.002</v>
      </c>
      <c r="T32" s="525">
        <f t="shared" ref="T32:T35" si="4">S32/100</f>
        <v>1.0019999999999999E-2</v>
      </c>
      <c r="V32" s="370" t="s">
        <v>1614</v>
      </c>
      <c r="W32" s="370" t="s">
        <v>1615</v>
      </c>
      <c r="X32" s="370" t="s">
        <v>1634</v>
      </c>
      <c r="Y32" s="370" t="s">
        <v>1635</v>
      </c>
    </row>
    <row r="33" spans="2:25">
      <c r="C33" s="427">
        <v>4</v>
      </c>
      <c r="D33" s="436">
        <v>4.76</v>
      </c>
      <c r="E33" s="544">
        <v>0</v>
      </c>
      <c r="F33" s="429">
        <f t="shared" si="2"/>
        <v>0</v>
      </c>
      <c r="G33" s="429">
        <f>SUM($F$26:F33)</f>
        <v>0</v>
      </c>
      <c r="H33" s="429">
        <f t="shared" si="1"/>
        <v>100</v>
      </c>
      <c r="M33" t="s">
        <v>410</v>
      </c>
      <c r="N33">
        <v>50.8</v>
      </c>
      <c r="Q33" s="521">
        <v>22</v>
      </c>
      <c r="R33" s="524">
        <v>0.95499999999999996</v>
      </c>
      <c r="S33" s="524">
        <f t="shared" si="3"/>
        <v>0.95499999999999996</v>
      </c>
      <c r="T33" s="525">
        <f t="shared" si="4"/>
        <v>9.5499999999999995E-3</v>
      </c>
      <c r="V33" s="370" t="s">
        <v>1617</v>
      </c>
      <c r="W33" s="370" t="s">
        <v>1618</v>
      </c>
      <c r="X33" s="370" t="s">
        <v>1636</v>
      </c>
      <c r="Y33" s="370" t="s">
        <v>1637</v>
      </c>
    </row>
    <row r="34" spans="2:25">
      <c r="C34" s="433">
        <v>8</v>
      </c>
      <c r="D34" s="434">
        <v>2.38</v>
      </c>
      <c r="E34" s="544">
        <v>6.06</v>
      </c>
      <c r="F34" s="429">
        <f t="shared" si="2"/>
        <v>9.961698420265316</v>
      </c>
      <c r="G34" s="429">
        <f>SUM($F$26:F34)</f>
        <v>9.961698420265316</v>
      </c>
      <c r="H34" s="429">
        <f t="shared" si="1"/>
        <v>90.038301579734679</v>
      </c>
      <c r="M34" t="s">
        <v>409</v>
      </c>
      <c r="N34">
        <v>76.2</v>
      </c>
      <c r="Q34" s="521">
        <v>25</v>
      </c>
      <c r="R34" s="524">
        <v>0.89</v>
      </c>
      <c r="S34" s="524">
        <f t="shared" si="3"/>
        <v>0.89</v>
      </c>
      <c r="T34" s="525">
        <f t="shared" si="4"/>
        <v>8.8999999999999999E-3</v>
      </c>
      <c r="V34" s="370" t="s">
        <v>1643</v>
      </c>
      <c r="W34" s="370" t="s">
        <v>1644</v>
      </c>
      <c r="X34" s="370" t="s">
        <v>1645</v>
      </c>
      <c r="Y34" s="370" t="s">
        <v>1646</v>
      </c>
    </row>
    <row r="35" spans="2:25">
      <c r="C35" s="437">
        <v>20</v>
      </c>
      <c r="D35" s="434">
        <v>0.84</v>
      </c>
      <c r="E35" s="544">
        <v>9.7210000000000001</v>
      </c>
      <c r="F35" s="429">
        <f t="shared" si="2"/>
        <v>15.979813588019661</v>
      </c>
      <c r="G35" s="429">
        <f>SUM($F$26:F35)</f>
        <v>25.941512008284977</v>
      </c>
      <c r="H35" s="429">
        <f t="shared" si="1"/>
        <v>74.058487991715026</v>
      </c>
      <c r="Q35" s="521">
        <v>30</v>
      </c>
      <c r="R35" s="524">
        <v>0.79800000000000004</v>
      </c>
      <c r="S35" s="524">
        <f t="shared" si="3"/>
        <v>0.79800000000000004</v>
      </c>
      <c r="T35" s="525">
        <f t="shared" si="4"/>
        <v>7.980000000000001E-3</v>
      </c>
      <c r="V35" s="370" t="s">
        <v>1620</v>
      </c>
      <c r="W35" s="370" t="s">
        <v>1616</v>
      </c>
      <c r="X35" s="370" t="s">
        <v>509</v>
      </c>
      <c r="Y35" s="370" t="s">
        <v>1638</v>
      </c>
    </row>
    <row r="36" spans="2:25">
      <c r="C36" s="437">
        <v>40</v>
      </c>
      <c r="D36" s="434">
        <v>0.42</v>
      </c>
      <c r="E36" s="544">
        <v>10.176</v>
      </c>
      <c r="F36" s="429">
        <f t="shared" si="2"/>
        <v>16.727762891851462</v>
      </c>
      <c r="G36" s="429">
        <f>SUM($F$26:F36)</f>
        <v>42.669274900136443</v>
      </c>
      <c r="H36" s="429">
        <f t="shared" si="1"/>
        <v>57.330725099863557</v>
      </c>
      <c r="V36" s="370" t="s">
        <v>1621</v>
      </c>
      <c r="W36" s="370" t="s">
        <v>1622</v>
      </c>
      <c r="X36" s="370" t="s">
        <v>1639</v>
      </c>
      <c r="Y36" s="370" t="s">
        <v>1640</v>
      </c>
    </row>
    <row r="37" spans="2:25">
      <c r="C37" s="437">
        <v>80</v>
      </c>
      <c r="D37" s="434">
        <v>0.17699999999999999</v>
      </c>
      <c r="E37" s="544">
        <v>6.2</v>
      </c>
      <c r="F37" s="429">
        <f t="shared" si="2"/>
        <v>10.19183666759818</v>
      </c>
      <c r="G37" s="429">
        <f>SUM($F$26:F37)</f>
        <v>52.861111567734625</v>
      </c>
      <c r="H37" s="429">
        <f t="shared" si="1"/>
        <v>47.138888432265375</v>
      </c>
      <c r="V37" s="370" t="s">
        <v>1623</v>
      </c>
      <c r="W37" s="370" t="s">
        <v>1624</v>
      </c>
      <c r="X37" s="370" t="s">
        <v>1647</v>
      </c>
      <c r="Y37" s="370" t="s">
        <v>1648</v>
      </c>
    </row>
    <row r="38" spans="2:25">
      <c r="C38" s="437">
        <v>100</v>
      </c>
      <c r="D38" s="434">
        <v>0.14899999999999999</v>
      </c>
      <c r="E38" s="544">
        <v>5.9169999999999998</v>
      </c>
      <c r="F38" s="429">
        <f t="shared" si="2"/>
        <v>9.726628639061035</v>
      </c>
      <c r="G38" s="429">
        <f>SUM($F$26:F38)</f>
        <v>62.587740206795658</v>
      </c>
      <c r="H38" s="429">
        <f t="shared" si="1"/>
        <v>37.412259793204342</v>
      </c>
      <c r="V38" s="370" t="s">
        <v>1649</v>
      </c>
      <c r="W38" s="370" t="s">
        <v>1650</v>
      </c>
      <c r="X38" s="370" t="s">
        <v>1651</v>
      </c>
      <c r="Y38" s="370" t="s">
        <v>1652</v>
      </c>
    </row>
    <row r="39" spans="2:25">
      <c r="C39" s="437">
        <v>200</v>
      </c>
      <c r="D39" s="434">
        <v>7.3999999999999996E-2</v>
      </c>
      <c r="E39" s="544">
        <v>3.7829999999999999</v>
      </c>
      <c r="F39" s="429">
        <f t="shared" si="2"/>
        <v>6.2186642118586954</v>
      </c>
      <c r="G39" s="429">
        <f>SUM($F$26:F39)</f>
        <v>68.806404418654353</v>
      </c>
      <c r="H39" s="429">
        <f t="shared" si="1"/>
        <v>31.193595581345647</v>
      </c>
      <c r="V39" s="370" t="s">
        <v>1690</v>
      </c>
      <c r="W39" s="370" t="s">
        <v>1619</v>
      </c>
      <c r="X39" s="370" t="s">
        <v>510</v>
      </c>
      <c r="Y39" s="370" t="s">
        <v>1197</v>
      </c>
    </row>
    <row r="40" spans="2:25">
      <c r="C40" s="437" t="s">
        <v>416</v>
      </c>
      <c r="D40" s="437"/>
      <c r="E40" s="438"/>
      <c r="F40" s="435"/>
      <c r="G40" s="435"/>
      <c r="H40" s="439"/>
      <c r="Q40" s="521"/>
      <c r="R40" s="521" t="s">
        <v>525</v>
      </c>
      <c r="S40" s="521" t="s">
        <v>526</v>
      </c>
      <c r="V40" s="370" t="s">
        <v>1626</v>
      </c>
      <c r="W40" s="370" t="s">
        <v>1627</v>
      </c>
      <c r="X40" s="370" t="s">
        <v>1653</v>
      </c>
      <c r="Y40" s="370" t="s">
        <v>1654</v>
      </c>
    </row>
    <row r="41" spans="2:25">
      <c r="Q41" s="521"/>
      <c r="R41" s="523">
        <v>15</v>
      </c>
      <c r="S41" s="523">
        <v>-1.1000000000000001</v>
      </c>
      <c r="V41" s="370" t="s">
        <v>1628</v>
      </c>
      <c r="W41" s="370" t="s">
        <v>1629</v>
      </c>
      <c r="X41" s="370" t="s">
        <v>1655</v>
      </c>
      <c r="Y41" s="370" t="s">
        <v>1656</v>
      </c>
    </row>
    <row r="42" spans="2:25">
      <c r="B42" s="444" t="s">
        <v>419</v>
      </c>
      <c r="C42" s="445"/>
      <c r="D42" s="445"/>
      <c r="E42" s="445"/>
      <c r="F42" s="445"/>
      <c r="G42" s="445"/>
      <c r="H42" s="445"/>
      <c r="I42" s="445"/>
      <c r="Q42" s="521"/>
      <c r="R42" s="523">
        <v>16</v>
      </c>
      <c r="S42" s="523">
        <v>-0.9</v>
      </c>
      <c r="V42" s="370" t="s">
        <v>1630</v>
      </c>
      <c r="W42" s="370" t="s">
        <v>1631</v>
      </c>
      <c r="X42" s="370" t="s">
        <v>1657</v>
      </c>
      <c r="Y42" s="370" t="s">
        <v>1658</v>
      </c>
    </row>
    <row r="43" spans="2:25">
      <c r="B43" s="444"/>
      <c r="C43" s="445"/>
      <c r="D43" s="445"/>
      <c r="E43" s="445"/>
      <c r="F43" s="445"/>
      <c r="G43" s="445"/>
      <c r="H43" s="445"/>
      <c r="I43" s="445"/>
      <c r="Q43" s="521"/>
      <c r="R43" s="523">
        <v>17</v>
      </c>
      <c r="S43" s="523">
        <v>-0.7</v>
      </c>
    </row>
    <row r="44" spans="2:25">
      <c r="B44" s="444"/>
      <c r="C44" s="445"/>
      <c r="D44" s="445"/>
      <c r="E44" s="445"/>
      <c r="F44" s="445"/>
      <c r="G44" s="445"/>
      <c r="H44" s="445"/>
      <c r="I44" s="445"/>
      <c r="Q44" s="521"/>
      <c r="R44" s="523">
        <v>18</v>
      </c>
      <c r="S44" s="523">
        <v>-0.5</v>
      </c>
    </row>
    <row r="45" spans="2:25">
      <c r="B45" s="444"/>
      <c r="C45" s="445"/>
      <c r="D45" s="445"/>
      <c r="E45" s="445"/>
      <c r="F45" s="445"/>
      <c r="G45" s="445"/>
      <c r="H45" s="445"/>
      <c r="I45" s="445"/>
      <c r="Q45" s="521"/>
      <c r="R45" s="523">
        <v>19</v>
      </c>
      <c r="S45" s="523">
        <v>-0.3</v>
      </c>
    </row>
    <row r="46" spans="2:25">
      <c r="B46" s="444"/>
      <c r="C46" s="445"/>
      <c r="D46" s="445"/>
      <c r="E46" s="445"/>
      <c r="F46" s="446" t="s">
        <v>421</v>
      </c>
      <c r="G46" s="446"/>
      <c r="H46" s="447" t="s">
        <v>0</v>
      </c>
      <c r="I46" s="448">
        <v>1</v>
      </c>
      <c r="Q46" s="521"/>
      <c r="R46" s="521">
        <v>20</v>
      </c>
      <c r="S46" s="521">
        <v>0</v>
      </c>
    </row>
    <row r="47" spans="2:25">
      <c r="B47" s="446" t="s">
        <v>420</v>
      </c>
      <c r="C47" s="446"/>
      <c r="D47" s="441">
        <f>$C$20-SUM(E26:E39)</f>
        <v>18.975999999999992</v>
      </c>
      <c r="E47" s="446" t="s">
        <v>22</v>
      </c>
      <c r="F47" s="446" t="s">
        <v>523</v>
      </c>
      <c r="G47" s="446"/>
      <c r="H47" s="447" t="s">
        <v>0</v>
      </c>
      <c r="I47" s="449" t="s">
        <v>524</v>
      </c>
      <c r="Q47" s="521"/>
      <c r="R47" s="523">
        <v>21</v>
      </c>
      <c r="S47" s="523">
        <v>0.2</v>
      </c>
    </row>
    <row r="48" spans="2:25">
      <c r="F48" s="445"/>
      <c r="Q48" s="521"/>
      <c r="R48" s="523">
        <v>22</v>
      </c>
      <c r="S48" s="523">
        <v>0.4</v>
      </c>
    </row>
    <row r="49" spans="2:21">
      <c r="B49" t="s">
        <v>519</v>
      </c>
      <c r="D49" s="102">
        <v>24</v>
      </c>
      <c r="F49" t="s">
        <v>508</v>
      </c>
      <c r="I49" s="547">
        <v>1</v>
      </c>
      <c r="Q49" s="521"/>
      <c r="R49" s="523">
        <v>23</v>
      </c>
      <c r="S49" s="523">
        <v>0.7</v>
      </c>
    </row>
    <row r="50" spans="2:21">
      <c r="B50" t="s">
        <v>507</v>
      </c>
      <c r="D50">
        <v>1</v>
      </c>
      <c r="E50" s="446"/>
      <c r="F50" s="446" t="s">
        <v>423</v>
      </c>
      <c r="H50" s="446"/>
      <c r="I50" s="548">
        <v>1</v>
      </c>
      <c r="Q50" s="521"/>
      <c r="R50" s="523">
        <v>24</v>
      </c>
      <c r="S50" s="523">
        <v>1</v>
      </c>
    </row>
    <row r="51" spans="2:21">
      <c r="B51" s="446" t="s">
        <v>422</v>
      </c>
      <c r="C51" s="446"/>
      <c r="D51" s="528">
        <v>2.6779999999999999</v>
      </c>
      <c r="E51" s="446"/>
      <c r="F51" s="446" t="s">
        <v>424</v>
      </c>
      <c r="G51" s="446"/>
      <c r="H51" s="447" t="s">
        <v>0</v>
      </c>
      <c r="I51" s="526">
        <f>IFERROR(VLOOKUP($D$49, $R$41:$S$56, 2, FALSE), _xlfn.FORECAST.LINEAR($D$49, INDEX(S41:S56, MATCH($D$49, R41:R56, 1)):INDEX(S41:S56, MATCH($D$49, R41:R56, 1)+1), INDEX(R41:R56, MATCH($D$49, R41:R56, 1)):INDEX(R41:R56, MATCH($D$49, R41:R56, 1)+1)))</f>
        <v>1</v>
      </c>
      <c r="Q51" s="521"/>
      <c r="R51" s="523">
        <v>25</v>
      </c>
      <c r="S51" s="523">
        <v>1.3</v>
      </c>
    </row>
    <row r="52" spans="2:21" ht="16.5" thickBot="1">
      <c r="B52" s="446" t="s">
        <v>425</v>
      </c>
      <c r="C52" s="446"/>
      <c r="D52" s="527">
        <f>IFERROR(VLOOKUP($D$49, $Q$29:$T$35, 4, FALSE), _xlfn.FORECAST.LINEAR($D$49, INDEX(T29:T35, MATCH($D$49, Q29:Q35, 1)):INDEX(T29:T35, MATCH($D$49, Q29:Q35, 1)+1), INDEX(Q29:Q35, MATCH($D$49, Q29:Q35, 1)):INDEX(Q29:Q35, MATCH($D$49, Q29:Q35, 1)+1)))</f>
        <v>9.1166666666666688E-3</v>
      </c>
      <c r="E52" s="446" t="s">
        <v>527</v>
      </c>
      <c r="F52" s="446" t="s">
        <v>426</v>
      </c>
      <c r="G52" s="446"/>
      <c r="H52" s="447" t="s">
        <v>0</v>
      </c>
      <c r="I52" s="450">
        <v>3</v>
      </c>
      <c r="R52" s="521">
        <v>26</v>
      </c>
      <c r="S52" s="523">
        <v>0.85</v>
      </c>
    </row>
    <row r="53" spans="2:21">
      <c r="B53" s="421"/>
      <c r="C53" s="421" t="s">
        <v>427</v>
      </c>
      <c r="D53" s="421" t="s">
        <v>428</v>
      </c>
      <c r="E53" s="421" t="s">
        <v>433</v>
      </c>
      <c r="F53" s="421" t="s">
        <v>429</v>
      </c>
      <c r="G53" s="421" t="s">
        <v>430</v>
      </c>
      <c r="H53" s="530" t="s">
        <v>431</v>
      </c>
      <c r="J53" s="440"/>
      <c r="P53" s="519"/>
      <c r="Q53" s="42"/>
      <c r="R53" s="521">
        <v>27</v>
      </c>
      <c r="S53" s="523">
        <v>0.83099999999999996</v>
      </c>
      <c r="T53" s="521"/>
      <c r="U53" s="521"/>
    </row>
    <row r="54" spans="2:21">
      <c r="B54" s="423" t="s">
        <v>55</v>
      </c>
      <c r="C54" s="423" t="s">
        <v>55</v>
      </c>
      <c r="D54" s="423" t="s">
        <v>101</v>
      </c>
      <c r="E54" s="423" t="s">
        <v>150</v>
      </c>
      <c r="F54" s="423" t="s">
        <v>432</v>
      </c>
      <c r="G54" s="423" t="s">
        <v>125</v>
      </c>
      <c r="H54" s="423" t="s">
        <v>434</v>
      </c>
      <c r="P54" s="42"/>
      <c r="Q54" s="42"/>
      <c r="R54" s="521">
        <v>28</v>
      </c>
      <c r="S54" s="523">
        <v>0.81100000000000005</v>
      </c>
      <c r="T54" s="523"/>
      <c r="U54" s="523"/>
    </row>
    <row r="55" spans="2:21">
      <c r="B55" s="423"/>
      <c r="C55" s="423" t="s">
        <v>98</v>
      </c>
      <c r="D55" s="423" t="s">
        <v>435</v>
      </c>
      <c r="E55" s="423" t="s">
        <v>436</v>
      </c>
      <c r="F55" s="423" t="s">
        <v>437</v>
      </c>
      <c r="G55" s="423" t="s">
        <v>250</v>
      </c>
      <c r="H55" s="423" t="s">
        <v>187</v>
      </c>
      <c r="R55" s="521">
        <v>29</v>
      </c>
      <c r="S55" s="523">
        <v>0.79300000000000004</v>
      </c>
      <c r="T55" s="523"/>
      <c r="U55" s="523"/>
    </row>
    <row r="56" spans="2:21" ht="16.5" thickBot="1">
      <c r="B56" s="425"/>
      <c r="C56" s="425" t="s">
        <v>438</v>
      </c>
      <c r="D56" s="425"/>
      <c r="E56" s="425"/>
      <c r="F56" s="425" t="s">
        <v>75</v>
      </c>
      <c r="G56" s="425" t="s">
        <v>75</v>
      </c>
      <c r="H56" s="425" t="s">
        <v>34</v>
      </c>
      <c r="R56" s="521">
        <v>30</v>
      </c>
      <c r="S56" s="523">
        <v>0.79800000000000004</v>
      </c>
      <c r="T56" s="523"/>
      <c r="U56" s="523"/>
    </row>
    <row r="57" spans="2:21">
      <c r="B57" s="451"/>
      <c r="C57" s="433">
        <v>0</v>
      </c>
      <c r="D57" s="452"/>
      <c r="E57" s="433"/>
      <c r="F57" s="453"/>
      <c r="G57" s="455"/>
      <c r="H57" s="456"/>
      <c r="U57" s="521"/>
    </row>
    <row r="58" spans="2:21">
      <c r="B58" s="457"/>
      <c r="C58" s="433">
        <v>0.5</v>
      </c>
      <c r="D58" s="529">
        <v>22</v>
      </c>
      <c r="E58" s="454">
        <f>D58+I50+I51-$I$52-$I$49</f>
        <v>20</v>
      </c>
      <c r="F58" s="435">
        <f>16.3-(0.164*E58)</f>
        <v>13.02</v>
      </c>
      <c r="G58" s="455">
        <f>SQRT((30*$D$52*F58)/(($D$51-1)*1*(C58*60)))</f>
        <v>0.26596687579968681</v>
      </c>
      <c r="H58" s="456">
        <f>(E58*1/$D$47)*100</f>
        <v>105.39629005059025</v>
      </c>
      <c r="U58" s="521"/>
    </row>
    <row r="59" spans="2:21">
      <c r="B59" s="457"/>
      <c r="C59" s="433">
        <v>1</v>
      </c>
      <c r="D59" s="529">
        <v>21</v>
      </c>
      <c r="E59" s="454">
        <f>D59+I51+I52-$I$52-$I$49</f>
        <v>21</v>
      </c>
      <c r="F59" s="435">
        <f t="shared" ref="F59:F66" si="5">16.3-(0.164*E59)</f>
        <v>12.856000000000002</v>
      </c>
      <c r="G59" s="455">
        <f t="shared" ref="G59:G66" si="6">SQRT((30*$D$52*F59)/(($D$51-1)*1*(C59*60)))</f>
        <v>0.18687878152138135</v>
      </c>
      <c r="H59" s="456">
        <f t="shared" ref="H59:H66" si="7">(E59*1/$D$47)*100</f>
        <v>110.66610455311978</v>
      </c>
      <c r="J59" s="116" t="s">
        <v>991</v>
      </c>
      <c r="K59" s="116" t="s">
        <v>992</v>
      </c>
      <c r="U59" s="521"/>
    </row>
    <row r="60" spans="2:21">
      <c r="B60" s="457"/>
      <c r="C60" s="433">
        <v>2</v>
      </c>
      <c r="D60" s="529">
        <v>20</v>
      </c>
      <c r="E60" s="454">
        <f t="shared" ref="E60:E66" si="8">D60+I52+I53-$I$52-$I$49</f>
        <v>19</v>
      </c>
      <c r="F60" s="435">
        <f t="shared" si="5"/>
        <v>13.184000000000001</v>
      </c>
      <c r="G60" s="455">
        <f t="shared" si="6"/>
        <v>0.13381834709734286</v>
      </c>
      <c r="H60" s="456">
        <f t="shared" si="7"/>
        <v>100.12647554806075</v>
      </c>
      <c r="J60" t="s">
        <v>993</v>
      </c>
      <c r="K60" s="96" t="s">
        <v>994</v>
      </c>
      <c r="U60" s="521"/>
    </row>
    <row r="61" spans="2:21">
      <c r="B61" s="457"/>
      <c r="C61" s="433">
        <v>5</v>
      </c>
      <c r="D61" s="529">
        <v>17</v>
      </c>
      <c r="E61" s="454">
        <f t="shared" si="8"/>
        <v>13</v>
      </c>
      <c r="F61" s="435">
        <f t="shared" si="5"/>
        <v>14.168000000000001</v>
      </c>
      <c r="G61" s="455">
        <f t="shared" si="6"/>
        <v>8.7735697649441252E-2</v>
      </c>
      <c r="H61" s="456">
        <f t="shared" si="7"/>
        <v>68.507588532883673</v>
      </c>
      <c r="J61" t="s">
        <v>995</v>
      </c>
      <c r="K61" s="96" t="s">
        <v>996</v>
      </c>
      <c r="P61" s="116"/>
      <c r="Q61" s="116"/>
      <c r="U61" s="521"/>
    </row>
    <row r="62" spans="2:21">
      <c r="B62" s="457"/>
      <c r="C62" s="433">
        <v>15</v>
      </c>
      <c r="D62" s="529">
        <v>13</v>
      </c>
      <c r="E62" s="454">
        <f t="shared" si="8"/>
        <v>9</v>
      </c>
      <c r="F62" s="435">
        <f t="shared" si="5"/>
        <v>14.824000000000002</v>
      </c>
      <c r="G62" s="455">
        <f t="shared" si="6"/>
        <v>5.1813643842652218E-2</v>
      </c>
      <c r="H62" s="456">
        <f t="shared" si="7"/>
        <v>47.428330522765613</v>
      </c>
      <c r="J62" t="s">
        <v>997</v>
      </c>
      <c r="K62" s="96" t="s">
        <v>998</v>
      </c>
    </row>
    <row r="63" spans="2:21">
      <c r="B63" s="457"/>
      <c r="C63" s="433">
        <v>30</v>
      </c>
      <c r="D63" s="529">
        <v>10</v>
      </c>
      <c r="E63" s="454">
        <f t="shared" si="8"/>
        <v>6</v>
      </c>
      <c r="F63" s="435">
        <f t="shared" si="5"/>
        <v>15.316000000000001</v>
      </c>
      <c r="G63" s="455">
        <f t="shared" si="6"/>
        <v>3.7240809563800964E-2</v>
      </c>
      <c r="H63" s="456">
        <f t="shared" si="7"/>
        <v>31.618887015177076</v>
      </c>
      <c r="J63" t="s">
        <v>999</v>
      </c>
      <c r="K63" s="1066">
        <v>2000</v>
      </c>
      <c r="Q63" s="42"/>
    </row>
    <row r="64" spans="2:21">
      <c r="B64" s="457"/>
      <c r="C64" s="433">
        <v>60</v>
      </c>
      <c r="D64" s="529">
        <v>8</v>
      </c>
      <c r="E64" s="454">
        <f t="shared" si="8"/>
        <v>4</v>
      </c>
      <c r="F64" s="435">
        <f t="shared" si="5"/>
        <v>15.644</v>
      </c>
      <c r="G64" s="455">
        <f t="shared" si="6"/>
        <v>2.6613705105274974E-2</v>
      </c>
      <c r="H64" s="456">
        <f t="shared" si="7"/>
        <v>21.079258010118053</v>
      </c>
      <c r="J64" t="s">
        <v>1000</v>
      </c>
      <c r="K64" s="1066">
        <v>4750</v>
      </c>
    </row>
    <row r="65" spans="2:28">
      <c r="B65" s="457"/>
      <c r="C65" s="433">
        <v>240</v>
      </c>
      <c r="D65" s="529">
        <v>6</v>
      </c>
      <c r="E65" s="454">
        <f t="shared" si="8"/>
        <v>2</v>
      </c>
      <c r="F65" s="435">
        <f t="shared" si="5"/>
        <v>15.972000000000001</v>
      </c>
      <c r="G65" s="455">
        <f t="shared" si="6"/>
        <v>1.3445628010411357E-2</v>
      </c>
      <c r="H65" s="456">
        <f t="shared" si="7"/>
        <v>10.539629005059027</v>
      </c>
      <c r="Q65" s="42"/>
    </row>
    <row r="66" spans="2:28">
      <c r="B66" s="457"/>
      <c r="C66" s="433">
        <v>1440</v>
      </c>
      <c r="D66" s="529">
        <v>5</v>
      </c>
      <c r="E66" s="454">
        <f t="shared" si="8"/>
        <v>1</v>
      </c>
      <c r="F66" s="435">
        <f t="shared" si="5"/>
        <v>16.135999999999999</v>
      </c>
      <c r="G66" s="455">
        <f t="shared" si="6"/>
        <v>5.517263912223163E-3</v>
      </c>
      <c r="H66" s="456">
        <f t="shared" si="7"/>
        <v>5.2698145025295133</v>
      </c>
    </row>
    <row r="67" spans="2:28">
      <c r="B67" s="440" t="s">
        <v>439</v>
      </c>
      <c r="C67" s="458"/>
      <c r="D67" s="440"/>
      <c r="E67" s="440"/>
      <c r="F67" s="440"/>
      <c r="G67" s="440"/>
      <c r="H67" s="440"/>
    </row>
    <row r="69" spans="2:28">
      <c r="L69" t="s">
        <v>250</v>
      </c>
      <c r="M69" t="s">
        <v>186</v>
      </c>
    </row>
    <row r="70" spans="2:28">
      <c r="L70" t="s">
        <v>132</v>
      </c>
      <c r="M70" t="s">
        <v>133</v>
      </c>
      <c r="W70" t="s">
        <v>601</v>
      </c>
      <c r="X70" t="s">
        <v>602</v>
      </c>
      <c r="Y70" s="116" t="s">
        <v>132</v>
      </c>
      <c r="Z70" s="116" t="s">
        <v>133</v>
      </c>
    </row>
    <row r="71" spans="2:28">
      <c r="L71" s="520">
        <f t="shared" ref="L71:L83" si="9">D26</f>
        <v>101.6</v>
      </c>
      <c r="M71" s="135">
        <f>IF($D$7="",NA(),H26)</f>
        <v>100</v>
      </c>
      <c r="W71">
        <v>1E-3</v>
      </c>
      <c r="X71">
        <v>0</v>
      </c>
      <c r="Y71">
        <v>7.4999999999999997E-2</v>
      </c>
      <c r="Z71">
        <v>0</v>
      </c>
      <c r="AA71" s="116" t="s">
        <v>991</v>
      </c>
      <c r="AB71" s="116" t="s">
        <v>992</v>
      </c>
    </row>
    <row r="72" spans="2:28">
      <c r="L72" s="520">
        <f t="shared" si="9"/>
        <v>75</v>
      </c>
      <c r="M72" s="135">
        <f t="shared" ref="M72:M84" si="10">IF($D$7="",NA(),H27)</f>
        <v>100</v>
      </c>
      <c r="W72">
        <v>100</v>
      </c>
      <c r="X72">
        <v>100</v>
      </c>
      <c r="Y72">
        <v>7.4999999999999997E-2</v>
      </c>
      <c r="Z72">
        <v>100</v>
      </c>
      <c r="AA72" t="s">
        <v>993</v>
      </c>
      <c r="AB72" s="96" t="s">
        <v>994</v>
      </c>
    </row>
    <row r="73" spans="2:28">
      <c r="L73" s="520">
        <f t="shared" si="9"/>
        <v>38.1</v>
      </c>
      <c r="M73" s="135">
        <f t="shared" si="10"/>
        <v>100</v>
      </c>
      <c r="Y73" t="e">
        <v>#N/A</v>
      </c>
      <c r="Z73" t="e">
        <v>#N/A</v>
      </c>
      <c r="AA73" t="s">
        <v>995</v>
      </c>
      <c r="AB73" s="96" t="s">
        <v>996</v>
      </c>
    </row>
    <row r="74" spans="2:28">
      <c r="L74" s="520">
        <f t="shared" si="9"/>
        <v>25.4</v>
      </c>
      <c r="M74" s="135">
        <f t="shared" si="10"/>
        <v>100</v>
      </c>
      <c r="Y74">
        <v>0.15</v>
      </c>
      <c r="Z74">
        <v>0</v>
      </c>
      <c r="AA74" t="s">
        <v>997</v>
      </c>
      <c r="AB74" s="96" t="s">
        <v>998</v>
      </c>
    </row>
    <row r="75" spans="2:28">
      <c r="L75" s="520">
        <f t="shared" si="9"/>
        <v>19.05</v>
      </c>
      <c r="M75" s="135">
        <f t="shared" si="10"/>
        <v>100</v>
      </c>
      <c r="Y75">
        <v>0.15</v>
      </c>
      <c r="Z75">
        <v>100</v>
      </c>
      <c r="AA75" t="s">
        <v>999</v>
      </c>
      <c r="AB75" s="1066">
        <v>2000</v>
      </c>
    </row>
    <row r="76" spans="2:28">
      <c r="L76" s="520">
        <f t="shared" si="9"/>
        <v>12.7</v>
      </c>
      <c r="M76" s="135">
        <f t="shared" si="10"/>
        <v>100</v>
      </c>
      <c r="Y76" t="e">
        <v>#N/A</v>
      </c>
      <c r="Z76" t="e">
        <v>#N/A</v>
      </c>
      <c r="AA76" t="s">
        <v>1000</v>
      </c>
      <c r="AB76" s="1066">
        <v>4750</v>
      </c>
    </row>
    <row r="77" spans="2:28">
      <c r="L77" s="520">
        <f t="shared" si="9"/>
        <v>9.5250000000000004</v>
      </c>
      <c r="M77" s="135">
        <f t="shared" si="10"/>
        <v>100</v>
      </c>
      <c r="O77" s="116" t="s">
        <v>187</v>
      </c>
      <c r="P77" s="116" t="s">
        <v>365</v>
      </c>
      <c r="R77" t="s">
        <v>132</v>
      </c>
      <c r="S77" t="s">
        <v>133</v>
      </c>
      <c r="Y77">
        <v>0.42499999999999999</v>
      </c>
      <c r="Z77">
        <v>0</v>
      </c>
    </row>
    <row r="78" spans="2:28">
      <c r="L78" s="520">
        <f t="shared" si="9"/>
        <v>4.76</v>
      </c>
      <c r="M78" s="135">
        <f t="shared" si="10"/>
        <v>100</v>
      </c>
      <c r="O78" t="s">
        <v>1026</v>
      </c>
      <c r="P78">
        <v>10</v>
      </c>
      <c r="Q78">
        <f>MATCH(P78,$M$71:$M$89,-1)</f>
        <v>16</v>
      </c>
      <c r="R78" cm="1">
        <f t="array" ref="R78">INDEX($L$71:$L$89,Q78)</f>
        <v>3.7240809563800964E-2</v>
      </c>
      <c r="S78" cm="1">
        <f t="array" ref="S78">INDEX($M$71:$M$89,Q78)</f>
        <v>14.397044114467219</v>
      </c>
      <c r="Y78">
        <v>0.42499999999999999</v>
      </c>
      <c r="Z78">
        <v>100</v>
      </c>
      <c r="AA78" s="116"/>
    </row>
    <row r="79" spans="2:28">
      <c r="L79" s="520">
        <f t="shared" si="9"/>
        <v>2.38</v>
      </c>
      <c r="M79" s="135">
        <f t="shared" si="10"/>
        <v>90.038301579734679</v>
      </c>
      <c r="R79" cm="1">
        <f t="array" ref="R79">INDEX($L$71:$L$89,Q78+1)</f>
        <v>2.6613705105274974E-2</v>
      </c>
      <c r="S79" cm="1">
        <f t="array" ref="S79">INDEX($M$71:$M$89,Q78+1)</f>
        <v>9.5980294096448144</v>
      </c>
      <c r="Y79" t="e">
        <v>#N/A</v>
      </c>
      <c r="Z79" t="e">
        <v>#N/A</v>
      </c>
    </row>
    <row r="80" spans="2:28">
      <c r="L80" s="520">
        <f t="shared" si="9"/>
        <v>0.84</v>
      </c>
      <c r="M80" s="135">
        <f t="shared" si="10"/>
        <v>74.058487991715026</v>
      </c>
      <c r="Y80">
        <v>0.85</v>
      </c>
      <c r="Z80">
        <v>0</v>
      </c>
    </row>
    <row r="81" spans="12:26">
      <c r="L81" s="520">
        <f t="shared" si="9"/>
        <v>0.42</v>
      </c>
      <c r="M81" s="135">
        <f t="shared" si="10"/>
        <v>57.330725099863557</v>
      </c>
      <c r="Q81" s="116" t="s">
        <v>1026</v>
      </c>
      <c r="R81">
        <f>10^(LOG10(R79)+((P78-S79)/(S78-S79))*(LOG10(R78)-LOG10(R79)))</f>
        <v>2.7373304820600745E-2</v>
      </c>
      <c r="T81">
        <f>IF(ISNA(R81),"ND",ROUND(R81,2))</f>
        <v>0.03</v>
      </c>
      <c r="Y81">
        <v>0.85</v>
      </c>
      <c r="Z81">
        <v>100</v>
      </c>
    </row>
    <row r="82" spans="12:26">
      <c r="L82" s="520">
        <f t="shared" si="9"/>
        <v>0.17699999999999999</v>
      </c>
      <c r="M82" s="135">
        <f t="shared" si="10"/>
        <v>47.138888432265375</v>
      </c>
      <c r="Y82" t="e">
        <v>#N/A</v>
      </c>
      <c r="Z82" t="e">
        <v>#N/A</v>
      </c>
    </row>
    <row r="83" spans="12:26">
      <c r="L83" s="520">
        <f t="shared" si="9"/>
        <v>0.14899999999999999</v>
      </c>
      <c r="M83" s="135">
        <f t="shared" si="10"/>
        <v>37.412259793204342</v>
      </c>
      <c r="O83" t="s">
        <v>1027</v>
      </c>
      <c r="P83">
        <v>30</v>
      </c>
      <c r="Q83">
        <f>MATCH(P83,$M$71:$M$89,-1)</f>
        <v>14</v>
      </c>
      <c r="R83" cm="1">
        <f t="array" ref="R83">INDEX($L$71:$L$89,Q83)</f>
        <v>8.7735697649441252E-2</v>
      </c>
      <c r="S83" cm="1">
        <f t="array" ref="S83">INDEX($M$71:$M$89,Q83)</f>
        <v>31.193595581345647</v>
      </c>
      <c r="Y83">
        <v>2</v>
      </c>
      <c r="Z83">
        <v>0</v>
      </c>
    </row>
    <row r="84" spans="12:26">
      <c r="L84" s="545">
        <f t="shared" ref="L84:L89" si="11">G61</f>
        <v>8.7735697649441252E-2</v>
      </c>
      <c r="M84" s="135">
        <f t="shared" si="10"/>
        <v>31.193595581345647</v>
      </c>
      <c r="R84" cm="1">
        <f t="array" ref="R84">INDEX($L$71:$L$89,Q83+1)</f>
        <v>5.1813643842652218E-2</v>
      </c>
      <c r="S84" cm="1">
        <f t="array" ref="S84">INDEX($M$71:$M$89,Q83+1)</f>
        <v>21.595566171700828</v>
      </c>
      <c r="Y84">
        <v>2</v>
      </c>
      <c r="Z84">
        <v>100</v>
      </c>
    </row>
    <row r="85" spans="12:26">
      <c r="L85" s="545">
        <f t="shared" si="11"/>
        <v>5.1813643842652218E-2</v>
      </c>
      <c r="M85" s="42">
        <f>IF($D$7="",NA(),H62*($H$39/H$61))</f>
        <v>21.595566171700828</v>
      </c>
      <c r="N85" s="102"/>
      <c r="Y85" t="e">
        <v>#N/A</v>
      </c>
      <c r="Z85" t="e">
        <v>#N/A</v>
      </c>
    </row>
    <row r="86" spans="12:26">
      <c r="L86" s="545">
        <f t="shared" si="11"/>
        <v>3.7240809563800964E-2</v>
      </c>
      <c r="M86" s="42">
        <f t="shared" ref="M86:M89" si="12">IF($D$7="",NA(),H63*($H$39/H$61))</f>
        <v>14.397044114467219</v>
      </c>
      <c r="Q86" s="116" t="s">
        <v>1027</v>
      </c>
      <c r="R86">
        <f>10^(LOG10(R84)+((P83-S84)/(S83-S84))*(LOG10(R83)-LOG10(R84)))</f>
        <v>8.2173458071370373E-2</v>
      </c>
      <c r="T86">
        <f>IF(ISNA(R86),"ND",ROUND(R86,2))</f>
        <v>0.08</v>
      </c>
      <c r="Y86">
        <v>4.75</v>
      </c>
      <c r="Z86">
        <v>0</v>
      </c>
    </row>
    <row r="87" spans="12:26">
      <c r="L87" s="545">
        <f t="shared" si="11"/>
        <v>2.6613705105274974E-2</v>
      </c>
      <c r="M87" s="42">
        <f t="shared" si="12"/>
        <v>9.5980294096448144</v>
      </c>
      <c r="Y87">
        <v>4.75</v>
      </c>
      <c r="Z87">
        <v>100</v>
      </c>
    </row>
    <row r="88" spans="12:26">
      <c r="L88" s="545">
        <f t="shared" si="11"/>
        <v>1.3445628010411357E-2</v>
      </c>
      <c r="M88" s="42">
        <f t="shared" si="12"/>
        <v>4.7990147048224072</v>
      </c>
      <c r="Y88" t="e">
        <v>#N/A</v>
      </c>
      <c r="Z88" t="e">
        <v>#N/A</v>
      </c>
    </row>
    <row r="89" spans="12:26">
      <c r="L89" s="545">
        <f t="shared" si="11"/>
        <v>5.517263912223163E-3</v>
      </c>
      <c r="M89" s="42">
        <f t="shared" si="12"/>
        <v>2.3995073524112036</v>
      </c>
      <c r="Y89">
        <v>9.5250000000000004</v>
      </c>
      <c r="Z89">
        <v>0</v>
      </c>
    </row>
    <row r="90" spans="12:26">
      <c r="O90" t="s">
        <v>1028</v>
      </c>
      <c r="P90">
        <v>60</v>
      </c>
      <c r="Q90">
        <f>MATCH(P90,$M$71:$M$89,-1)</f>
        <v>10</v>
      </c>
      <c r="R90" cm="1">
        <f t="array" ref="R90">INDEX($L$71:$L$89,Q90)</f>
        <v>0.84</v>
      </c>
      <c r="S90" cm="1">
        <f t="array" ref="S90">INDEX($M$71:$M$89,Q90)</f>
        <v>74.058487991715026</v>
      </c>
      <c r="Y90">
        <v>9.5250000000000004</v>
      </c>
      <c r="Z90">
        <v>100</v>
      </c>
    </row>
    <row r="91" spans="12:26">
      <c r="R91" cm="1">
        <f t="array" ref="R91">INDEX($L$71:$L$89,Q90+1)</f>
        <v>0.42</v>
      </c>
      <c r="S91" cm="1">
        <f t="array" ref="S91">INDEX($M$71:$M$89,Q90+1)</f>
        <v>57.330725099863557</v>
      </c>
      <c r="Y91" t="e">
        <v>#N/A</v>
      </c>
      <c r="Z91" t="e">
        <v>#N/A</v>
      </c>
    </row>
    <row r="92" spans="12:26">
      <c r="Y92">
        <v>12.7</v>
      </c>
      <c r="Z92">
        <v>0</v>
      </c>
    </row>
    <row r="93" spans="12:26">
      <c r="Q93" s="116" t="s">
        <v>1028</v>
      </c>
      <c r="R93">
        <f>10^(LOG10(R91)+((P90-S91)/(S90-S91))*(LOG10(R90)-LOG10(R91)))</f>
        <v>0.46912125521579373</v>
      </c>
      <c r="T93">
        <f>IF(ISNA(R93),"ND",ROUND(R93,2))</f>
        <v>0.47</v>
      </c>
      <c r="V93">
        <f>R93/R81</f>
        <v>17.137910759783015</v>
      </c>
      <c r="W93">
        <f>T93/T81</f>
        <v>15.666666666666666</v>
      </c>
      <c r="Y93">
        <v>12.7</v>
      </c>
      <c r="Z93">
        <v>100</v>
      </c>
    </row>
    <row r="94" spans="12:26">
      <c r="L94" t="s">
        <v>511</v>
      </c>
      <c r="Y94" t="e">
        <v>#N/A</v>
      </c>
      <c r="Z94" t="e">
        <v>#N/A</v>
      </c>
    </row>
    <row r="95" spans="12:26">
      <c r="L95" s="116"/>
      <c r="M95" s="116"/>
      <c r="Q95" s="116" t="s">
        <v>557</v>
      </c>
      <c r="R95">
        <f>R93/R81</f>
        <v>17.137910759783015</v>
      </c>
      <c r="T95">
        <f>IF(OR(T81="ND",T93="ND"),"ND",ROUND(T93/T81,2))</f>
        <v>15.67</v>
      </c>
      <c r="Y95">
        <v>19.05</v>
      </c>
      <c r="Z95">
        <v>0</v>
      </c>
    </row>
    <row r="96" spans="12:26">
      <c r="L96" t="s">
        <v>512</v>
      </c>
      <c r="N96" s="42">
        <f>H33</f>
        <v>100</v>
      </c>
      <c r="Q96" s="116" t="s">
        <v>343</v>
      </c>
      <c r="R96">
        <f>R86^2/(R81*R93)</f>
        <v>0.52583656577963334</v>
      </c>
      <c r="T96">
        <f>IF(OR(T81="ND",T86="ND",T93="ND"),"ND",ROUND((T86^2)/(T81*T93),2))</f>
        <v>0.45</v>
      </c>
      <c r="Y96">
        <v>19.05</v>
      </c>
      <c r="Z96">
        <v>100</v>
      </c>
    </row>
    <row r="97" spans="2:26">
      <c r="L97" t="s">
        <v>513</v>
      </c>
      <c r="N97" s="42">
        <f>H39</f>
        <v>31.193595581345647</v>
      </c>
      <c r="Y97" t="e">
        <v>#N/A</v>
      </c>
      <c r="Z97" t="e">
        <v>#N/A</v>
      </c>
    </row>
    <row r="98" spans="2:26">
      <c r="G98" s="42"/>
      <c r="L98" t="s">
        <v>514</v>
      </c>
      <c r="N98" s="42">
        <f>M88</f>
        <v>4.7990147048224072</v>
      </c>
      <c r="P98" t="s">
        <v>1029</v>
      </c>
      <c r="Y98">
        <v>25.4</v>
      </c>
      <c r="Z98">
        <v>0</v>
      </c>
    </row>
    <row r="99" spans="2:26">
      <c r="C99" s="1629" t="s">
        <v>516</v>
      </c>
      <c r="D99" s="1630"/>
      <c r="E99" s="1126" t="s">
        <v>509</v>
      </c>
      <c r="F99" s="1126" t="s">
        <v>517</v>
      </c>
      <c r="Q99" t="s">
        <v>601</v>
      </c>
      <c r="R99" t="s">
        <v>133</v>
      </c>
      <c r="Y99">
        <v>25.4</v>
      </c>
      <c r="Z99">
        <v>100</v>
      </c>
    </row>
    <row r="100" spans="2:26">
      <c r="C100" s="546" t="s">
        <v>515</v>
      </c>
      <c r="D100" s="546" t="s">
        <v>510</v>
      </c>
      <c r="E100" s="1126"/>
      <c r="F100" s="1126"/>
      <c r="P100" t="s">
        <v>1026</v>
      </c>
      <c r="Q100">
        <v>1E-3</v>
      </c>
      <c r="R100">
        <f>IF($D$7="",NA(),10)</f>
        <v>10</v>
      </c>
      <c r="Y100" t="e">
        <v>#N/A</v>
      </c>
      <c r="Z100" t="e">
        <v>#N/A</v>
      </c>
    </row>
    <row r="101" spans="2:26">
      <c r="C101" s="1125">
        <f>N98</f>
        <v>4.7990147048224072</v>
      </c>
      <c r="D101" s="1125">
        <f>N97-C101</f>
        <v>26.394580876523239</v>
      </c>
      <c r="E101" s="1125">
        <f>N96-N97</f>
        <v>68.806404418654353</v>
      </c>
      <c r="F101" s="1125">
        <f>100-N96</f>
        <v>0</v>
      </c>
      <c r="Q101">
        <f>R81</f>
        <v>2.7373304820600745E-2</v>
      </c>
      <c r="R101">
        <f>IF($D$7="",NA(),10)</f>
        <v>10</v>
      </c>
      <c r="Y101">
        <v>37.5</v>
      </c>
      <c r="Z101">
        <v>0</v>
      </c>
    </row>
    <row r="102" spans="2:26">
      <c r="Q102">
        <f>R81</f>
        <v>2.7373304820600745E-2</v>
      </c>
      <c r="R102">
        <f>IF($D$7="",NA(),0)</f>
        <v>0</v>
      </c>
      <c r="Y102">
        <v>37.5</v>
      </c>
      <c r="Z102">
        <v>100</v>
      </c>
    </row>
    <row r="103" spans="2:26">
      <c r="E103" t="s">
        <v>1030</v>
      </c>
      <c r="Y103" t="e">
        <v>#N/A</v>
      </c>
      <c r="Z103" t="e">
        <v>#N/A</v>
      </c>
    </row>
    <row r="104" spans="2:26">
      <c r="E104" t="s">
        <v>1215</v>
      </c>
      <c r="P104" t="s">
        <v>1027</v>
      </c>
      <c r="Q104">
        <v>1E-3</v>
      </c>
      <c r="R104">
        <f>IF($D$7="",NA(),30)</f>
        <v>30</v>
      </c>
      <c r="Y104">
        <v>50.8</v>
      </c>
      <c r="Z104">
        <v>0</v>
      </c>
    </row>
    <row r="105" spans="2:26">
      <c r="E105" t="str">
        <f>IF($D$7="","","D10 = "&amp;TEXT(R81,"0.000")&amp;" mm")</f>
        <v>D10 = 0.027 mm</v>
      </c>
      <c r="K105" t="s">
        <v>1231</v>
      </c>
      <c r="L105">
        <v>10</v>
      </c>
      <c r="N105">
        <f>LOG10(R78)</f>
        <v>-1.4289808866254439</v>
      </c>
      <c r="Q105">
        <f>R86</f>
        <v>8.2173458071370373E-2</v>
      </c>
      <c r="R105">
        <f t="shared" ref="R105" si="13">IF($D$7="",NA(),30)</f>
        <v>30</v>
      </c>
      <c r="Y105">
        <v>50.8</v>
      </c>
      <c r="Z105">
        <v>100</v>
      </c>
    </row>
    <row r="106" spans="2:26">
      <c r="E106" t="str">
        <f>IF($D$7="","","D30 = "&amp;TEXT(R86,"0.000")&amp;" mm")</f>
        <v>D30 = 0.082 mm</v>
      </c>
      <c r="K106" t="s">
        <v>1232</v>
      </c>
      <c r="L106">
        <v>16</v>
      </c>
      <c r="N106">
        <f>LOG10(R79)</f>
        <v>-1.5748946596552129</v>
      </c>
      <c r="Q106">
        <f>Q105</f>
        <v>8.2173458071370373E-2</v>
      </c>
      <c r="R106">
        <f>IF($D$7="",NA(),0)</f>
        <v>0</v>
      </c>
      <c r="Y106" t="e">
        <v>#N/A</v>
      </c>
      <c r="Z106" t="e">
        <v>#N/A</v>
      </c>
    </row>
    <row r="107" spans="2:26">
      <c r="E107" t="str">
        <f>IF($D$7="","","D60= "&amp;TEXT(R93,"0.000")&amp;" mm")</f>
        <v>D60= 0.469 mm</v>
      </c>
      <c r="K107" t="s">
        <v>1233</v>
      </c>
      <c r="L107">
        <f>R78</f>
        <v>3.7240809563800964E-2</v>
      </c>
      <c r="N107">
        <f>(L78-S79)/(S78-S79)</f>
        <v>-1.0081297322934237</v>
      </c>
      <c r="Y107">
        <v>76.2</v>
      </c>
      <c r="Z107">
        <v>0</v>
      </c>
    </row>
    <row r="108" spans="2:26">
      <c r="K108" t="s">
        <v>1234</v>
      </c>
      <c r="L108">
        <f>S78</f>
        <v>14.397044114467219</v>
      </c>
      <c r="P108" t="s">
        <v>1028</v>
      </c>
      <c r="Q108">
        <v>1E-3</v>
      </c>
      <c r="R108">
        <f>IF($D$7="",NA(),60)</f>
        <v>60</v>
      </c>
      <c r="Y108">
        <v>76.2</v>
      </c>
      <c r="Z108">
        <v>100</v>
      </c>
    </row>
    <row r="109" spans="2:26">
      <c r="K109" t="s">
        <v>1235</v>
      </c>
      <c r="L109">
        <f>R79</f>
        <v>2.6613705105274974E-2</v>
      </c>
      <c r="Q109">
        <f>R93</f>
        <v>0.46912125521579373</v>
      </c>
      <c r="R109">
        <f t="shared" ref="R109" si="14">IF($D$7="",NA(),60)</f>
        <v>60</v>
      </c>
      <c r="Y109" t="e">
        <v>#N/A</v>
      </c>
      <c r="Z109" t="e">
        <v>#N/A</v>
      </c>
    </row>
    <row r="110" spans="2:26">
      <c r="B110" t="s">
        <v>812</v>
      </c>
      <c r="K110" t="s">
        <v>1236</v>
      </c>
      <c r="L110">
        <f>S79</f>
        <v>9.5980294096448144</v>
      </c>
      <c r="Q110">
        <f>R93</f>
        <v>0.46912125521579373</v>
      </c>
      <c r="R110">
        <f>IF($D$7="",NA(),0)</f>
        <v>0</v>
      </c>
    </row>
    <row r="111" spans="2:26">
      <c r="B111" t="s">
        <v>1031</v>
      </c>
    </row>
    <row r="112" spans="2:26">
      <c r="B112" s="116" t="s">
        <v>1209</v>
      </c>
      <c r="C112" s="116" t="s">
        <v>1210</v>
      </c>
      <c r="D112" s="116" t="s">
        <v>1211</v>
      </c>
      <c r="E112" s="116" t="s">
        <v>1212</v>
      </c>
      <c r="P112" t="s">
        <v>250</v>
      </c>
    </row>
    <row r="113" spans="2:17">
      <c r="B113">
        <v>4</v>
      </c>
      <c r="C113" s="43">
        <f t="shared" ref="C113:D119" si="15">E33</f>
        <v>0</v>
      </c>
      <c r="D113" s="43">
        <f t="shared" si="15"/>
        <v>0</v>
      </c>
      <c r="E113" s="42">
        <f t="shared" ref="E113:E119" si="16">H33</f>
        <v>100</v>
      </c>
      <c r="K113" t="s">
        <v>1237</v>
      </c>
      <c r="L113">
        <f>P90</f>
        <v>60</v>
      </c>
      <c r="P113">
        <f>R81</f>
        <v>2.7373304820600745E-2</v>
      </c>
      <c r="Q113">
        <v>10</v>
      </c>
    </row>
    <row r="114" spans="2:17">
      <c r="B114">
        <v>8</v>
      </c>
      <c r="C114" s="43">
        <f t="shared" si="15"/>
        <v>6.06</v>
      </c>
      <c r="D114" s="43">
        <f t="shared" si="15"/>
        <v>9.961698420265316</v>
      </c>
      <c r="E114" s="42">
        <f t="shared" si="16"/>
        <v>90.038301579734679</v>
      </c>
      <c r="K114" t="s">
        <v>1238</v>
      </c>
      <c r="L114">
        <f>Q90</f>
        <v>10</v>
      </c>
      <c r="P114">
        <f>R86</f>
        <v>8.2173458071370373E-2</v>
      </c>
      <c r="Q114">
        <v>30</v>
      </c>
    </row>
    <row r="115" spans="2:17">
      <c r="B115">
        <v>20</v>
      </c>
      <c r="C115" s="43">
        <f t="shared" si="15"/>
        <v>9.7210000000000001</v>
      </c>
      <c r="D115" s="43">
        <f t="shared" si="15"/>
        <v>15.979813588019661</v>
      </c>
      <c r="E115" s="42">
        <f t="shared" si="16"/>
        <v>74.058487991715026</v>
      </c>
      <c r="K115" t="s">
        <v>1239</v>
      </c>
      <c r="L115">
        <f>R90</f>
        <v>0.84</v>
      </c>
      <c r="P115">
        <f>R93</f>
        <v>0.46912125521579373</v>
      </c>
      <c r="Q115">
        <v>60</v>
      </c>
    </row>
    <row r="116" spans="2:17">
      <c r="B116">
        <v>40</v>
      </c>
      <c r="C116" s="43">
        <f t="shared" si="15"/>
        <v>10.176</v>
      </c>
      <c r="D116" s="43">
        <f t="shared" si="15"/>
        <v>16.727762891851462</v>
      </c>
      <c r="E116" s="42">
        <f t="shared" si="16"/>
        <v>57.330725099863557</v>
      </c>
      <c r="K116" t="s">
        <v>1240</v>
      </c>
      <c r="L116">
        <f>S90</f>
        <v>74.058487991715026</v>
      </c>
    </row>
    <row r="117" spans="2:17">
      <c r="B117">
        <v>80</v>
      </c>
      <c r="C117" s="43">
        <f t="shared" si="15"/>
        <v>6.2</v>
      </c>
      <c r="D117" s="43">
        <f t="shared" si="15"/>
        <v>10.19183666759818</v>
      </c>
      <c r="E117" s="42">
        <f t="shared" si="16"/>
        <v>47.138888432265375</v>
      </c>
      <c r="K117" t="s">
        <v>1241</v>
      </c>
      <c r="L117">
        <f>R91</f>
        <v>0.42</v>
      </c>
    </row>
    <row r="118" spans="2:17">
      <c r="B118">
        <v>100</v>
      </c>
      <c r="C118" s="43">
        <f t="shared" si="15"/>
        <v>5.9169999999999998</v>
      </c>
      <c r="D118" s="43">
        <f t="shared" si="15"/>
        <v>9.726628639061035</v>
      </c>
      <c r="E118" s="42">
        <f t="shared" si="16"/>
        <v>37.412259793204342</v>
      </c>
      <c r="K118" t="s">
        <v>1242</v>
      </c>
      <c r="L118">
        <f>S91</f>
        <v>57.330725099863557</v>
      </c>
    </row>
    <row r="119" spans="2:17">
      <c r="B119">
        <v>200</v>
      </c>
      <c r="C119" s="43">
        <f t="shared" si="15"/>
        <v>3.7829999999999999</v>
      </c>
      <c r="D119" s="43">
        <f t="shared" si="15"/>
        <v>6.2186642118586954</v>
      </c>
      <c r="E119" s="42">
        <f t="shared" si="16"/>
        <v>31.193595581345647</v>
      </c>
    </row>
    <row r="121" spans="2:17">
      <c r="B121" t="s">
        <v>1032</v>
      </c>
    </row>
    <row r="122" spans="2:17">
      <c r="B122" s="116" t="s">
        <v>1213</v>
      </c>
      <c r="C122" s="116" t="s">
        <v>1214</v>
      </c>
    </row>
    <row r="123" spans="2:17">
      <c r="B123" s="519">
        <f>IF($D$7="","",G61)</f>
        <v>8.7735697649441252E-2</v>
      </c>
      <c r="C123" s="42">
        <f>IF($D$7="","",H61)</f>
        <v>68.507588532883673</v>
      </c>
    </row>
    <row r="124" spans="2:17">
      <c r="B124" s="519">
        <f t="shared" ref="B124:B128" si="17">IF($D$7="","",G62)</f>
        <v>5.1813643842652218E-2</v>
      </c>
      <c r="C124" s="42">
        <f t="shared" ref="C124:C128" si="18">IF($D$7="","",H62)</f>
        <v>47.428330522765613</v>
      </c>
    </row>
    <row r="125" spans="2:17">
      <c r="B125" s="519">
        <f t="shared" si="17"/>
        <v>3.7240809563800964E-2</v>
      </c>
      <c r="C125" s="42">
        <f t="shared" si="18"/>
        <v>31.618887015177076</v>
      </c>
    </row>
    <row r="126" spans="2:17">
      <c r="B126" s="519">
        <f t="shared" si="17"/>
        <v>2.6613705105274974E-2</v>
      </c>
      <c r="C126" s="42">
        <f t="shared" si="18"/>
        <v>21.079258010118053</v>
      </c>
    </row>
    <row r="127" spans="2:17">
      <c r="B127" s="519">
        <f t="shared" si="17"/>
        <v>1.3445628010411357E-2</v>
      </c>
      <c r="C127" s="42">
        <f t="shared" si="18"/>
        <v>10.539629005059027</v>
      </c>
    </row>
    <row r="128" spans="2:17">
      <c r="B128" s="519">
        <f t="shared" si="17"/>
        <v>5.517263912223163E-3</v>
      </c>
      <c r="C128" s="42">
        <f t="shared" si="18"/>
        <v>5.2698145025295133</v>
      </c>
    </row>
    <row r="130" spans="2:5">
      <c r="B130" t="s">
        <v>1033</v>
      </c>
    </row>
    <row r="131" spans="2:5">
      <c r="B131" s="116" t="s">
        <v>575</v>
      </c>
      <c r="C131" s="116" t="s">
        <v>1034</v>
      </c>
    </row>
    <row r="132" spans="2:5">
      <c r="B132" t="s">
        <v>1043</v>
      </c>
      <c r="C132" s="43">
        <f>IF(D7="","",D51)</f>
        <v>2.6779999999999999</v>
      </c>
    </row>
    <row r="133" spans="2:5">
      <c r="B133" t="s">
        <v>1035</v>
      </c>
      <c r="C133" s="42">
        <f>IF(D7="","",F101)</f>
        <v>0</v>
      </c>
    </row>
    <row r="134" spans="2:5">
      <c r="B134" t="s">
        <v>1036</v>
      </c>
      <c r="C134" s="42">
        <f>IF(D7="","",E101)</f>
        <v>68.806404418654353</v>
      </c>
    </row>
    <row r="135" spans="2:5">
      <c r="B135" t="s">
        <v>1041</v>
      </c>
      <c r="C135" s="42">
        <f>IF(D7="","",D101)</f>
        <v>26.394580876523239</v>
      </c>
    </row>
    <row r="136" spans="2:5">
      <c r="B136" t="s">
        <v>1040</v>
      </c>
      <c r="C136" s="42">
        <f>IF(D7="","",C101)</f>
        <v>4.7990147048224072</v>
      </c>
      <c r="E136" s="42"/>
    </row>
    <row r="137" spans="2:5">
      <c r="B137" t="s">
        <v>1751</v>
      </c>
      <c r="C137" s="42">
        <f>C135+C136</f>
        <v>31.193595581345647</v>
      </c>
      <c r="E137" s="42"/>
    </row>
    <row r="138" spans="2:5">
      <c r="B138" t="s">
        <v>1042</v>
      </c>
      <c r="C138" t="str">
        <f>IF(D7="","",IF(C134&gt;=MAX(C133,C135,C136),
"Pasir dengan Butiran Halus / Sand with Fines",
IF(C133&gt;=MAX(C134,C135,C136),
"Tanah Berkerikil / Gravelly Soil",
IF(C135&gt;=C136,
"Tanah Berlanau / Silty Soil",
"Tanah Berlempung / Clayey Soil"))))</f>
        <v>Pasir dengan Butiran Halus / Sand with Fines</v>
      </c>
    </row>
    <row r="139" spans="2:5">
      <c r="E139" t="str">
        <f>IF(C134&gt;=MAX(C133,C135,C136),
IF((C135+C136)&gt;=12,"Sandy Soil with Fines","Clean Sandy Soil"),
IF(C133&gt;=MAX(C134,C135,C136),
IF((C135+C136)&gt;=12,"Gravelly Soil with Fines","Clean Gravelly Soil"),
IF(C135&gt;=C136,"Silty Soil","Clayey Soil")))</f>
        <v>Sandy Soil with Fines</v>
      </c>
    </row>
    <row r="141" spans="2:5">
      <c r="B141" t="s">
        <v>1037</v>
      </c>
      <c r="C141">
        <f>IF(D7="","",R81)</f>
        <v>2.7373304820600745E-2</v>
      </c>
    </row>
    <row r="142" spans="2:5">
      <c r="B142" t="s">
        <v>1038</v>
      </c>
      <c r="C142">
        <f>IF(D7="","",R86)</f>
        <v>8.2173458071370373E-2</v>
      </c>
    </row>
    <row r="143" spans="2:5">
      <c r="B143" t="s">
        <v>1039</v>
      </c>
      <c r="C143">
        <f>IF(D7="","",R93)</f>
        <v>0.46912125521579373</v>
      </c>
    </row>
    <row r="144" spans="2:5">
      <c r="B144" t="s">
        <v>557</v>
      </c>
      <c r="C144">
        <f>IF(D7="","",R95)</f>
        <v>17.137910759783015</v>
      </c>
    </row>
    <row r="145" spans="2:14">
      <c r="B145" t="s">
        <v>343</v>
      </c>
      <c r="C145">
        <f>IF(D7="","",R96)</f>
        <v>0.52583656577963334</v>
      </c>
    </row>
    <row r="150" spans="2:14">
      <c r="B150" s="1566" t="s">
        <v>1719</v>
      </c>
      <c r="C150" s="862"/>
      <c r="D150" s="14"/>
      <c r="E150" s="370"/>
      <c r="F150" s="370"/>
      <c r="G150" s="370"/>
      <c r="H150" s="370"/>
      <c r="I150" s="370"/>
      <c r="J150" s="370"/>
      <c r="K150" s="370"/>
      <c r="L150" s="370"/>
      <c r="M150" s="370"/>
      <c r="N150" s="370"/>
    </row>
    <row r="151" spans="2:14">
      <c r="B151" s="1570" t="s">
        <v>1765</v>
      </c>
      <c r="C151" s="862"/>
      <c r="D151" s="14"/>
      <c r="E151" s="370"/>
      <c r="F151" s="370"/>
      <c r="G151" s="370"/>
      <c r="H151" s="370"/>
      <c r="I151" s="370"/>
      <c r="J151" s="370"/>
      <c r="K151" s="370"/>
      <c r="L151" s="370"/>
      <c r="M151" s="370"/>
      <c r="N151" s="370"/>
    </row>
    <row r="152" spans="2:14">
      <c r="B152" s="1566" t="s">
        <v>1719</v>
      </c>
      <c r="C152" s="862"/>
      <c r="D152" s="14"/>
      <c r="E152" s="370"/>
      <c r="F152" s="370"/>
      <c r="G152" s="370"/>
      <c r="H152" s="370"/>
      <c r="I152" s="370"/>
      <c r="J152" s="370"/>
      <c r="K152" s="370"/>
      <c r="L152" s="370"/>
      <c r="M152" s="370"/>
      <c r="N152" s="370"/>
    </row>
    <row r="153" spans="2:14">
      <c r="B153" s="370"/>
      <c r="C153" s="862"/>
      <c r="D153" s="14"/>
      <c r="E153" s="370"/>
      <c r="F153" s="370"/>
      <c r="G153" s="370"/>
      <c r="H153" s="370"/>
      <c r="I153" s="370"/>
      <c r="J153" s="370"/>
      <c r="K153" s="370"/>
      <c r="L153" s="370"/>
      <c r="M153" s="370"/>
      <c r="N153" s="370"/>
    </row>
    <row r="154" spans="2:14">
      <c r="B154" s="370" t="s">
        <v>1662</v>
      </c>
      <c r="C154" s="7"/>
      <c r="D154" s="14"/>
      <c r="E154" s="370"/>
      <c r="F154" s="370"/>
      <c r="G154" s="370"/>
      <c r="H154" s="370"/>
      <c r="I154" s="370"/>
    </row>
    <row r="155" spans="2:14">
      <c r="B155" s="370"/>
      <c r="C155" s="7"/>
      <c r="D155" s="14"/>
      <c r="E155" s="370"/>
      <c r="F155" s="370"/>
      <c r="G155" s="370"/>
      <c r="H155" s="370"/>
      <c r="I155" s="370"/>
    </row>
    <row r="156" spans="2:14">
      <c r="B156" s="370" t="s">
        <v>1611</v>
      </c>
      <c r="C156" s="7" t="str">
        <f>F12</f>
        <v>SDS</v>
      </c>
      <c r="D156" s="14"/>
      <c r="E156" s="370"/>
      <c r="F156" s="370"/>
      <c r="G156" s="370"/>
      <c r="H156" s="370"/>
      <c r="I156" s="370"/>
    </row>
    <row r="157" spans="2:14">
      <c r="B157" s="370"/>
      <c r="C157" s="7"/>
      <c r="D157" s="14"/>
      <c r="E157" s="370"/>
      <c r="F157" s="370"/>
      <c r="G157" s="370"/>
      <c r="H157" s="370"/>
      <c r="I157" s="370"/>
    </row>
    <row r="158" spans="2:14">
      <c r="B158" s="370" t="s">
        <v>1663</v>
      </c>
      <c r="C158" s="7"/>
      <c r="D158" s="14"/>
      <c r="E158" s="370"/>
      <c r="F158" s="370"/>
      <c r="G158" s="370"/>
      <c r="H158" s="370"/>
      <c r="I158" s="370"/>
    </row>
    <row r="159" spans="2:14">
      <c r="B159" s="370"/>
      <c r="C159" s="7"/>
      <c r="D159" s="14"/>
      <c r="E159" s="370"/>
      <c r="F159" s="370"/>
      <c r="G159" s="370"/>
      <c r="H159" s="370"/>
      <c r="I159" s="370"/>
    </row>
    <row r="160" spans="2:14">
      <c r="B160" s="1570" t="s">
        <v>1664</v>
      </c>
      <c r="C160" s="7"/>
      <c r="D160" s="14"/>
      <c r="E160" s="370"/>
      <c r="F160" s="370"/>
      <c r="G160" s="370"/>
      <c r="H160" s="370"/>
      <c r="I160" s="370"/>
    </row>
    <row r="161" spans="1:25" ht="31.5">
      <c r="A161" t="s">
        <v>575</v>
      </c>
      <c r="B161" s="862"/>
      <c r="C161" s="7"/>
      <c r="D161" s="14" t="s">
        <v>1721</v>
      </c>
      <c r="E161" s="1569" t="s">
        <v>1753</v>
      </c>
      <c r="F161" s="862" t="s">
        <v>1766</v>
      </c>
      <c r="G161" s="862" t="s">
        <v>1684</v>
      </c>
      <c r="H161" s="862" t="s">
        <v>1683</v>
      </c>
      <c r="I161" s="862" t="s">
        <v>1607</v>
      </c>
      <c r="J161" s="862" t="s">
        <v>1608</v>
      </c>
      <c r="K161" s="862" t="s">
        <v>1598</v>
      </c>
      <c r="L161" s="862" t="s">
        <v>1723</v>
      </c>
      <c r="M161" s="326"/>
      <c r="N161" s="862" t="s">
        <v>1724</v>
      </c>
    </row>
    <row r="162" spans="1:25" ht="63" customHeight="1">
      <c r="A162" t="s">
        <v>1035</v>
      </c>
      <c r="B162" s="42">
        <f>C133</f>
        <v>0</v>
      </c>
      <c r="D162" t="str">
        <f>IF(ISNUMBER(B162),"PASS","CHECK")</f>
        <v>PASS</v>
      </c>
      <c r="F162" s="14" t="str" cm="1">
        <f t="array" ref="F162">IFERROR(
INDEX($T$163:$T$167,
MATCH(1,
($S$163:$S$167=$A162)*
($V$163:$V$167&lt;=B162)*
($W$163:$W$167&gt;=B162),
0)),
"")</f>
        <v>Sangat Rendah</v>
      </c>
      <c r="G162" s="14" cm="1">
        <f t="array" ref="G162">IFERROR(
INDEX($U$163:$U$167,
MATCH(1,
($S$163:$S$167=$A162)*
($V$163:$V$167&lt;=B162)*
($W$163:$W$167&gt;=B162),
0)),
"")</f>
        <v>1</v>
      </c>
      <c r="H162" s="1569" t="str" cm="1">
        <f t="array" ref="H162">IFERROR(
INDEX($U$243:$U$305,
MATCH(1,
($S$243:$S$305=$C$156)*
($T$243:$T$305=$A162),
0)),
"")</f>
        <v>Rendah</v>
      </c>
      <c r="I162" s="1569" cm="1">
        <f t="array" ref="I162">IFERROR(
INDEX($V$243:$V$305,
MATCH(1,
($S$243:$S$305=$C$156)*
($T$243:$T$305=$A162),
0)),
"")</f>
        <v>0</v>
      </c>
      <c r="J162" s="1569" cm="1">
        <f t="array" ref="J162">IFERROR(
INDEX($W$243:$W$305,
MATCH(1,
($S$243:$S$305=$C$156)*
($T$243:$T$305=$A162),
0)),
"")</f>
        <v>20</v>
      </c>
      <c r="K162" s="3" t="str">
        <f>IF(B162="","CHECK",
IF(AND(B162&gt;=I162,B162&lt;J162),"PASS","REVIEW"))</f>
        <v>PASS</v>
      </c>
      <c r="L162" s="1569" t="str" cm="1">
        <f t="array" ref="L162">IFERROR(
INDEX($X$243:$X$305,
MATCH(1,
($S$243:$S$305=$C$156)*
($T$243:$T$305=$A162),
0)),
"")</f>
        <v>Konsisten dengan Silty Sand.</v>
      </c>
      <c r="M162" s="1569"/>
      <c r="N162" s="1569" t="str" cm="1">
        <f t="array" ref="N162">IFERROR(
INDEX($Y$243:$Y$305,
MATCH(1,
($S$243:$S$305=$C$156)*
($T$243:$T$305=$A162),
0)),
"")</f>
        <v>ASTM D6913</v>
      </c>
      <c r="S162" t="s">
        <v>575</v>
      </c>
      <c r="T162" t="s">
        <v>1667</v>
      </c>
      <c r="U162" t="s">
        <v>1611</v>
      </c>
      <c r="V162" t="s">
        <v>1607</v>
      </c>
      <c r="W162" t="s">
        <v>1608</v>
      </c>
    </row>
    <row r="163" spans="1:25" ht="47.25">
      <c r="A163" t="s">
        <v>1036</v>
      </c>
      <c r="B163" s="42">
        <f>C134</f>
        <v>68.806404418654353</v>
      </c>
      <c r="D163" t="str">
        <f t="shared" ref="D163:D165" si="19">IF(ISNUMBER(B163),"PASS","CHECK")</f>
        <v>PASS</v>
      </c>
      <c r="F163" s="14" t="str" cm="1">
        <f t="array" ref="F163">IFERROR(
INDEX($T$171:$T$175,
MATCH(1,
($S$171:$S$175=$A163)*
($V$171:$V$175&lt;=B163)*
($W$171:$W$175&gt;=B163),
0)),
"")</f>
        <v>Tinggi</v>
      </c>
      <c r="G163" s="14" cm="1">
        <f t="array" ref="G163">IFERROR(
INDEX($U$171:$U$175,
MATCH(1,
($S$171:$S$175=$A163)*
($V$171:$V$175&lt;=B163)*
($W$171:$W$175&gt;=B163),
0)),
"")</f>
        <v>4</v>
      </c>
      <c r="H163" s="1569" t="str" cm="1">
        <f t="array" ref="H163">IFERROR(
INDEX($U$243:$U$305,
MATCH(1,
($S$243:$S$305=$C$156)*
($T$243:$T$305=$A163),
0)),
"")</f>
        <v>Tinggi</v>
      </c>
      <c r="I163" s="1569" cm="1">
        <f t="array" ref="I163">IFERROR(
INDEX($V$243:$V$305,
MATCH(1,
($S$243:$S$305=$C$156)*
($T$243:$T$305=$A163),
0)),
"")</f>
        <v>50</v>
      </c>
      <c r="J163" s="1569" cm="1">
        <f t="array" ref="J163">IFERROR(
INDEX($W$243:$W$305,
MATCH(1,
($S$243:$S$305=$C$156)*
($T$243:$T$305=$A163),
0)),
"")</f>
        <v>90</v>
      </c>
      <c r="K163" s="3" t="str">
        <f>IF(B163="","CHECK",
IF(AND(B163&gt;=I163,B163&lt;J163),"PASS","REVIEW"))</f>
        <v>PASS</v>
      </c>
      <c r="L163" s="1569" t="str" cm="1">
        <f t="array" ref="L163">IFERROR(
INDEX($X$243:$X$305,
MATCH(1,
($S$243:$S$305=$C$156)*
($T$243:$T$305=$A163),
0)),
"")</f>
        <v>Bandingkan dengan Silt (%).</v>
      </c>
      <c r="M163" s="1569"/>
      <c r="N163" s="1569" t="str" cm="1">
        <f t="array" ref="N163">IFERROR(
INDEX($Y$243:$Y$305,
MATCH(1,
($S$243:$S$305=$C$156)*
($T$243:$T$305=$A163),
0)),
"")</f>
        <v>ASTM D6913</v>
      </c>
      <c r="S163" t="s">
        <v>1035</v>
      </c>
      <c r="T163" t="s">
        <v>1680</v>
      </c>
      <c r="U163">
        <v>1</v>
      </c>
      <c r="V163">
        <v>0</v>
      </c>
      <c r="W163">
        <v>5</v>
      </c>
    </row>
    <row r="164" spans="1:25" ht="29.25" customHeight="1">
      <c r="A164" t="s">
        <v>1041</v>
      </c>
      <c r="B164" s="42">
        <f>C135</f>
        <v>26.394580876523239</v>
      </c>
      <c r="D164" t="str">
        <f t="shared" si="19"/>
        <v>PASS</v>
      </c>
      <c r="E164" t="str">
        <f>IF(ABS(SUM(B162:B165)-100)&lt;=0.1,"PASS","CHECK")</f>
        <v>PASS</v>
      </c>
      <c r="F164" s="14" t="str" cm="1">
        <f t="array" ref="F164">IFERROR(
INDEX($T$178:$T$182,
MATCH(1,
($S$178:$S$182=$A164)*
($V$178:$V$182&lt;=B164)*
($W$178:$W$182&gt;=B164),
0)),
"")</f>
        <v>Rendah</v>
      </c>
      <c r="G164" s="14" cm="1">
        <f t="array" ref="G164">IFERROR(
INDEX($U$178:$U$182,
MATCH(1,
($S$178:$S$182=$A164)*
($V$178:$V$182&lt;=B164)*
($W$178:$W$182&gt;=B164),
0)),
"")</f>
        <v>2</v>
      </c>
      <c r="H164" s="1569" t="str" cm="1">
        <f t="array" ref="H164">IFERROR(
INDEX($U$243:$U$305,
MATCH(1,
($S$243:$S$305=$C$156)*
($T$243:$T$305=$A164),
0)),
"")</f>
        <v>Rendah–Sedang</v>
      </c>
      <c r="I164" s="1569" cm="1">
        <f t="array" ref="I164">IFERROR(
INDEX($V$243:$V$305,
MATCH(1,
($S$243:$S$305=$C$156)*
($T$243:$T$305=$A164),
0)),
"")</f>
        <v>10</v>
      </c>
      <c r="J164" s="1569" cm="1">
        <f t="array" ref="J164">IFERROR(
INDEX($W$243:$W$305,
MATCH(1,
($S$243:$S$305=$C$156)*
($T$243:$T$305=$A164),
0)),
"")</f>
        <v>35</v>
      </c>
      <c r="K164" s="3" t="str">
        <f>IF(B164="","CHECK",
IF(AND(B164&gt;=I164,B164&lt;J164),"PASS","REVIEW"))</f>
        <v>PASS</v>
      </c>
      <c r="L164" s="1627" t="str" cm="1">
        <f t="array" ref="L164">IFERROR(
INDEX($X$243:$X$305,
MATCH(1,
($S$243:$S$305=$C$156)*
($T$243:$T$305=$A164),
0)),
"")</f>
        <v>Silt tinggi harus didukung PI rendah.</v>
      </c>
      <c r="M164" s="1627"/>
      <c r="N164" s="1569" t="str" cm="1">
        <f t="array" ref="N164">IFERROR(
INDEX($Y$243:$Y$305,
MATCH(1,
($S$243:$S$305=$C$156)*
($T$243:$T$305=$A164),
0)),
"")</f>
        <v>ASTM D7928</v>
      </c>
      <c r="S164" t="s">
        <v>1035</v>
      </c>
      <c r="T164" t="s">
        <v>1670</v>
      </c>
      <c r="U164">
        <v>2</v>
      </c>
      <c r="V164">
        <v>5</v>
      </c>
      <c r="W164">
        <v>20</v>
      </c>
    </row>
    <row r="165" spans="1:25" ht="66" customHeight="1">
      <c r="A165" t="s">
        <v>1040</v>
      </c>
      <c r="B165" s="42">
        <f>C136</f>
        <v>4.7990147048224072</v>
      </c>
      <c r="D165" t="str">
        <f t="shared" si="19"/>
        <v>PASS</v>
      </c>
      <c r="F165" s="14" t="str" cm="1">
        <f t="array" ref="F165">IFERROR(
INDEX($T$185:$T$189,
MATCH(1,
($S$185:$S$189=$A165)*
($V$185:$V$189&lt;=B165)*
($W$185:$W$189&gt;=B165),
0)),
"")</f>
        <v>Sangat Rendah</v>
      </c>
      <c r="G165" s="14" cm="1">
        <f t="array" ref="G165">IFERROR(
INDEX($U$185:$U$189,
MATCH(1,
($S$185:$S$189=$A165)*
($V$185:$V$189&lt;=B165)*
($W$185:$W$189&gt;=B165),
0)),
"")</f>
        <v>1</v>
      </c>
      <c r="H165" s="1569" t="str" cm="1">
        <f t="array" ref="H165">IFERROR(
INDEX($U$243:$U$305,
MATCH(1,
($S$243:$S$305=$C$156)*
($T$243:$T$305=$A165),
0)),
"")</f>
        <v>Sangat Rendah</v>
      </c>
      <c r="I165" s="1569" cm="1">
        <f t="array" ref="I165">IFERROR(
INDEX($V$243:$V$305,
MATCH(1,
($S$243:$S$305=$C$156)*
($T$243:$T$305=$A165),
0)),
"")</f>
        <v>0</v>
      </c>
      <c r="J165" s="1569" cm="1">
        <f t="array" ref="J165">IFERROR(
INDEX($W$243:$W$305,
MATCH(1,
($S$243:$S$305=$C$156)*
($T$243:$T$305=$A165),
0)),
"")</f>
        <v>15</v>
      </c>
      <c r="K165" s="3" t="str">
        <f>IF(B165="","CHECK",
IF(AND(B165&gt;=I165,B165&lt;J165),"PASS","REVIEW"))</f>
        <v>PASS</v>
      </c>
      <c r="L165" s="1569" t="str" cm="1">
        <f t="array" ref="L165">IFERROR(
INDEX($X$243:$X$305,
MATCH(1,
($S$243:$S$305=$C$156)*
($T$243:$T$305=$A165),
0)),
"")</f>
        <v>Clay tinggi → evaluasi Soil Code.</v>
      </c>
      <c r="M165" s="1569"/>
      <c r="N165" s="1569" t="str" cm="1">
        <f t="array" ref="N165">IFERROR(
INDEX($Y$243:$Y$305,
MATCH(1,
($S$243:$S$305=$C$156)*
($T$243:$T$305=$A165),
0)),
"")</f>
        <v>ASTM D7928</v>
      </c>
      <c r="S165" t="s">
        <v>1035</v>
      </c>
      <c r="T165" t="s">
        <v>1672</v>
      </c>
      <c r="U165">
        <v>3</v>
      </c>
      <c r="V165">
        <v>20</v>
      </c>
      <c r="W165">
        <v>50</v>
      </c>
    </row>
    <row r="166" spans="1:25" ht="31.5" customHeight="1">
      <c r="B166" s="42"/>
      <c r="F166" s="14"/>
      <c r="G166" s="14"/>
      <c r="H166" s="1569"/>
      <c r="I166" s="1569"/>
      <c r="J166" s="1569"/>
      <c r="K166" s="3"/>
      <c r="L166" s="861" t="str" cm="1">
        <f t="array" ref="L166">IFERROR(
INDEX($X$243:$X$274,
MATCH(1,
($S$243:$S$274=$C$156)*
($T$243:$T$274=$A166),
0)),
"")</f>
        <v/>
      </c>
      <c r="M166" s="861"/>
      <c r="N166" s="1569" t="str" cm="1">
        <f t="array" ref="N166">IFERROR(
INDEX($Y$243:$Y$274,
MATCH(1,
($S$243:$S$274=$C$156)*
($T$243:$T$274=$A166),
0)),
"")</f>
        <v/>
      </c>
      <c r="S166" t="s">
        <v>1035</v>
      </c>
      <c r="T166" t="s">
        <v>338</v>
      </c>
      <c r="U166">
        <v>4</v>
      </c>
      <c r="V166">
        <v>50</v>
      </c>
      <c r="W166">
        <v>80</v>
      </c>
    </row>
    <row r="167" spans="1:25" ht="36.75" customHeight="1">
      <c r="B167" s="42"/>
      <c r="F167" s="14"/>
      <c r="G167" s="14"/>
      <c r="H167" s="1569"/>
      <c r="I167" s="1569"/>
      <c r="J167" s="1569"/>
      <c r="K167" s="3"/>
      <c r="L167" s="861" t="str" cm="1">
        <f t="array" ref="L167">IFERROR(
INDEX($X$243:$X$274,
MATCH(1,
($S$243:$S$274=$C$156)*
($T$243:$T$274=$A167),
0)),
"")</f>
        <v/>
      </c>
      <c r="M167" s="861"/>
      <c r="N167" s="1569" t="str" cm="1">
        <f t="array" ref="N167">IFERROR(
INDEX($Y$243:$Y$274,
MATCH(1,
($S$243:$S$274=$C$156)*
($T$243:$T$274=$A167),
0)),
"")</f>
        <v/>
      </c>
      <c r="S167" t="s">
        <v>1035</v>
      </c>
      <c r="T167" t="s">
        <v>1681</v>
      </c>
      <c r="U167">
        <v>5</v>
      </c>
      <c r="V167">
        <v>80</v>
      </c>
      <c r="W167">
        <v>100</v>
      </c>
    </row>
    <row r="168" spans="1:25" ht="53.25" customHeight="1">
      <c r="B168" s="42"/>
      <c r="F168" s="14"/>
      <c r="G168" s="14"/>
      <c r="H168" s="1569"/>
      <c r="I168" s="1569"/>
      <c r="J168" s="1569"/>
      <c r="K168" s="3"/>
      <c r="L168" s="861" t="str" cm="1">
        <f t="array" ref="L168">IFERROR(
INDEX($X$243:$X$274,
MATCH(1,
($S$243:$S$274=$C$156)*
($T$243:$T$274=$A168),
0)),
"")</f>
        <v/>
      </c>
      <c r="M168" s="861"/>
      <c r="N168" s="1569" t="str" cm="1">
        <f t="array" ref="N168">IFERROR(
INDEX($Y$243:$Y$274,
MATCH(1,
($S$243:$S$274=$C$156)*
($T$243:$T$274=$A168),
0)),
"")</f>
        <v/>
      </c>
    </row>
    <row r="169" spans="1:25" ht="29.25" customHeight="1">
      <c r="B169" s="42"/>
      <c r="F169" s="14"/>
      <c r="G169" s="14"/>
      <c r="H169" s="1569"/>
      <c r="I169" s="1569"/>
      <c r="J169" s="1569"/>
      <c r="K169" s="3"/>
      <c r="L169" s="861" t="str" cm="1">
        <f t="array" ref="L169">IFERROR(
INDEX($X$243:$X$274,
MATCH(1,
($S$243:$S$274=$C$156)*
($T$243:$T$274=$A169),
0)),
"")</f>
        <v/>
      </c>
      <c r="M169" s="861"/>
      <c r="N169" s="1569" t="str" cm="1">
        <f t="array" ref="N169">IFERROR(
INDEX($Y$243:$Y$274,
MATCH(1,
($S$243:$S$274=$C$156)*
($T$243:$T$274=$A169),
0)),
"")</f>
        <v/>
      </c>
    </row>
    <row r="170" spans="1:25" ht="53.25" customHeight="1">
      <c r="B170" s="42"/>
      <c r="F170" s="14"/>
      <c r="G170" s="14"/>
      <c r="H170" s="1569"/>
      <c r="I170" s="1569"/>
      <c r="J170" s="1569"/>
      <c r="K170" s="3"/>
      <c r="L170" s="861" t="str" cm="1">
        <f t="array" ref="L170">IFERROR(
INDEX($X$243:$X$274,
MATCH(1,
($S$243:$S$274=$C$156)*
($T$243:$T$274=$A170),
0)),
"")</f>
        <v/>
      </c>
      <c r="M170" s="861"/>
      <c r="N170" s="1569" t="str" cm="1">
        <f t="array" ref="N170">IFERROR(
INDEX($Y$243:$Y$274,
MATCH(1,
($S$243:$S$274=$C$156)*
($T$243:$T$274=$A170),
0)),
"")</f>
        <v/>
      </c>
      <c r="S170" t="s">
        <v>575</v>
      </c>
      <c r="T170" t="s">
        <v>1667</v>
      </c>
      <c r="U170" t="s">
        <v>1611</v>
      </c>
      <c r="V170" t="s">
        <v>1607</v>
      </c>
      <c r="W170" t="s">
        <v>1608</v>
      </c>
    </row>
    <row r="171" spans="1:25">
      <c r="H171" s="1569" t="str" cm="1">
        <f t="array" ref="H171">IFERROR(
INDEX($U$243:$U$274,
MATCH(1,
($S$243:$S$274=$C$156)*
($T$243:$T$274=$A171),
0)),
"")</f>
        <v/>
      </c>
      <c r="I171" s="1569" t="str" cm="1">
        <f t="array" ref="I171">IFERROR(
INDEX($V$243:$V$274,
MATCH(1,
($S$243:$S$274=$C$156)*
($T$243:$T$274=$A171),
0)),
"")</f>
        <v/>
      </c>
      <c r="J171" s="1569" t="str" cm="1">
        <f t="array" ref="J171">IFERROR(
INDEX($W$243:$W$274,
MATCH(1,
($S$243:$S$274=$C$156)*
($T$243:$T$274=$A171),
0)),
"")</f>
        <v/>
      </c>
      <c r="S171" t="s">
        <v>1036</v>
      </c>
      <c r="T171" t="s">
        <v>1680</v>
      </c>
      <c r="U171">
        <v>1</v>
      </c>
      <c r="V171">
        <v>0</v>
      </c>
      <c r="W171">
        <v>15</v>
      </c>
    </row>
    <row r="172" spans="1:25">
      <c r="A172" s="116" t="s">
        <v>1778</v>
      </c>
      <c r="S172" t="s">
        <v>1036</v>
      </c>
      <c r="T172" t="s">
        <v>1670</v>
      </c>
      <c r="U172">
        <v>2</v>
      </c>
      <c r="V172">
        <v>15</v>
      </c>
      <c r="W172">
        <v>35</v>
      </c>
    </row>
    <row r="173" spans="1:25">
      <c r="S173" t="s">
        <v>1036</v>
      </c>
      <c r="T173" t="s">
        <v>1672</v>
      </c>
      <c r="U173">
        <v>3</v>
      </c>
      <c r="V173">
        <v>35</v>
      </c>
      <c r="W173">
        <v>60</v>
      </c>
    </row>
    <row r="174" spans="1:25">
      <c r="A174" t="s">
        <v>1767</v>
      </c>
      <c r="D174" t="str">
        <f>IF(C133=MAX(C133:C135),
"Kerikil ("&amp;TEXT(C133,"0.00")&amp;"%)",
IF(C134=MAX(C133:C135),
"Pasir ("&amp;TEXT(C134,"0.00")&amp;"%)",
"Butiran Halus ("&amp;TEXT(C137,"0.00")&amp;"%)"))</f>
        <v>Pasir (68.81%)</v>
      </c>
      <c r="S174" t="s">
        <v>1036</v>
      </c>
      <c r="T174" t="s">
        <v>338</v>
      </c>
      <c r="U174">
        <v>4</v>
      </c>
      <c r="V174">
        <v>60</v>
      </c>
      <c r="W174">
        <v>85</v>
      </c>
    </row>
    <row r="175" spans="1:25">
      <c r="A175" t="s">
        <v>1751</v>
      </c>
      <c r="D175" t="str">
        <f>TEXT(C137,"0.00")&amp;"%"</f>
        <v>31.19%</v>
      </c>
      <c r="S175" t="s">
        <v>1036</v>
      </c>
      <c r="T175" t="s">
        <v>1681</v>
      </c>
      <c r="U175">
        <v>5</v>
      </c>
      <c r="V175">
        <v>85</v>
      </c>
      <c r="W175">
        <v>100</v>
      </c>
      <c r="Y175" t="s">
        <v>417</v>
      </c>
    </row>
    <row r="176" spans="1:25">
      <c r="A176" t="s">
        <v>1775</v>
      </c>
      <c r="D176" t="str">
        <f>IF(C137&lt;=5,
"Applicable",
IF(C137&lt;=12,
"Borderline",
"Not Applicable"))</f>
        <v>Not Applicable</v>
      </c>
    </row>
    <row r="177" spans="1:29">
      <c r="A177" t="s">
        <v>1776</v>
      </c>
      <c r="D177" t="str">
        <f>IF(D175&lt;&gt;"Applicable",
"N/A",
IF(LEFT(D174,6)="Gravel",
IF(AND(C144&gt;=4,C145&gt;=1,C145&lt;=3),
"Well Graded",
"Poorly Graded"),
IF(LEFT(D174,4)="Sand",
IF(AND(C144&gt;=6,C145&gt;=1,C145&lt;=3),
"Well Graded",
"Poorly Graded"),
"N/A")))</f>
        <v>N/A</v>
      </c>
      <c r="S177" t="s">
        <v>575</v>
      </c>
      <c r="T177" t="s">
        <v>1667</v>
      </c>
      <c r="U177" t="s">
        <v>1611</v>
      </c>
      <c r="V177" t="s">
        <v>1607</v>
      </c>
      <c r="W177" t="s">
        <v>1608</v>
      </c>
      <c r="Y177" t="s">
        <v>575</v>
      </c>
      <c r="Z177" t="s">
        <v>1667</v>
      </c>
      <c r="AA177" t="s">
        <v>1611</v>
      </c>
      <c r="AB177" t="s">
        <v>1607</v>
      </c>
      <c r="AC177" t="s">
        <v>1608</v>
      </c>
    </row>
    <row r="178" spans="1:29">
      <c r="A178" t="s">
        <v>1777</v>
      </c>
      <c r="D178" t="str">
        <f>IF(D176="Applicable",
"Evaluasi Well/Poorly Graded dapat diterapkan menggunakan Cu dan Cc.",
IF(D175="Borderline",
"Kandungan fines 5–12%. Evaluasi gradasi harus dikombinasikan dengan hasil Atterberg Limit.",
"Kandungan fines &gt;12%. Evaluasi Well/Poorly Graded tidak diterapkan. Gunakan hasil Atterberg Limit dan klasifikasi USCS."))</f>
        <v>Kandungan fines &gt;12%. Evaluasi Well/Poorly Graded tidak diterapkan. Gunakan hasil Atterberg Limit dan klasifikasi USCS.</v>
      </c>
      <c r="S178" t="s">
        <v>1041</v>
      </c>
      <c r="T178" t="s">
        <v>1680</v>
      </c>
      <c r="U178">
        <v>1</v>
      </c>
      <c r="V178">
        <v>0</v>
      </c>
      <c r="W178">
        <v>10</v>
      </c>
      <c r="Y178" t="s">
        <v>1751</v>
      </c>
      <c r="Z178" t="s">
        <v>1680</v>
      </c>
      <c r="AA178">
        <v>1</v>
      </c>
      <c r="AB178">
        <v>0</v>
      </c>
      <c r="AC178">
        <v>5</v>
      </c>
    </row>
    <row r="179" spans="1:29">
      <c r="A179" t="s">
        <v>1718</v>
      </c>
      <c r="D179" t="str">
        <f>IF(D175="Applicable",
"ASTM D2487; ASTM D6913",
IF(D175="Borderline",
"ASTM D2487",
"ASTM D2487; ASTM D4318"))</f>
        <v>ASTM D2487; ASTM D4318</v>
      </c>
      <c r="S179" t="s">
        <v>1041</v>
      </c>
      <c r="T179" t="s">
        <v>1670</v>
      </c>
      <c r="U179">
        <v>2</v>
      </c>
      <c r="V179">
        <v>11</v>
      </c>
      <c r="W179">
        <v>30</v>
      </c>
      <c r="Y179" t="s">
        <v>1751</v>
      </c>
      <c r="Z179" t="s">
        <v>1670</v>
      </c>
      <c r="AA179">
        <v>2</v>
      </c>
      <c r="AB179">
        <v>5</v>
      </c>
      <c r="AC179">
        <v>12</v>
      </c>
    </row>
    <row r="180" spans="1:29">
      <c r="S180" t="s">
        <v>1041</v>
      </c>
      <c r="T180" t="s">
        <v>1672</v>
      </c>
      <c r="U180">
        <v>3</v>
      </c>
      <c r="V180">
        <v>31</v>
      </c>
      <c r="W180">
        <v>50</v>
      </c>
      <c r="Y180" t="s">
        <v>1751</v>
      </c>
      <c r="Z180" t="s">
        <v>1672</v>
      </c>
      <c r="AA180">
        <v>3</v>
      </c>
      <c r="AB180">
        <v>12</v>
      </c>
      <c r="AC180">
        <v>35</v>
      </c>
    </row>
    <row r="181" spans="1:29">
      <c r="S181" t="s">
        <v>1041</v>
      </c>
      <c r="T181" t="s">
        <v>338</v>
      </c>
      <c r="U181">
        <v>4</v>
      </c>
      <c r="V181">
        <v>51</v>
      </c>
      <c r="W181">
        <v>70</v>
      </c>
      <c r="Y181" t="s">
        <v>1751</v>
      </c>
      <c r="Z181" t="s">
        <v>338</v>
      </c>
      <c r="AA181">
        <v>4</v>
      </c>
      <c r="AB181">
        <v>35</v>
      </c>
      <c r="AC181">
        <v>60</v>
      </c>
    </row>
    <row r="182" spans="1:29">
      <c r="S182" t="s">
        <v>1041</v>
      </c>
      <c r="T182" t="s">
        <v>1681</v>
      </c>
      <c r="U182">
        <v>5</v>
      </c>
      <c r="V182">
        <v>71</v>
      </c>
      <c r="W182">
        <v>100</v>
      </c>
      <c r="Y182" t="s">
        <v>1751</v>
      </c>
      <c r="Z182" t="s">
        <v>1681</v>
      </c>
      <c r="AA182">
        <v>5</v>
      </c>
      <c r="AB182">
        <v>60</v>
      </c>
      <c r="AC182">
        <v>100</v>
      </c>
    </row>
    <row r="184" spans="1:29">
      <c r="S184" t="s">
        <v>575</v>
      </c>
      <c r="T184" t="s">
        <v>1667</v>
      </c>
      <c r="U184" t="s">
        <v>1611</v>
      </c>
      <c r="V184" t="s">
        <v>1607</v>
      </c>
      <c r="W184" t="s">
        <v>1608</v>
      </c>
    </row>
    <row r="185" spans="1:29">
      <c r="S185" t="s">
        <v>1040</v>
      </c>
      <c r="T185" t="s">
        <v>1680</v>
      </c>
      <c r="U185">
        <v>1</v>
      </c>
      <c r="V185">
        <v>0</v>
      </c>
      <c r="W185">
        <v>10</v>
      </c>
    </row>
    <row r="186" spans="1:29">
      <c r="S186" t="s">
        <v>1040</v>
      </c>
      <c r="T186" t="s">
        <v>1670</v>
      </c>
      <c r="U186">
        <v>2</v>
      </c>
      <c r="V186">
        <v>11</v>
      </c>
      <c r="W186">
        <v>25</v>
      </c>
    </row>
    <row r="187" spans="1:29">
      <c r="S187" t="s">
        <v>1040</v>
      </c>
      <c r="T187" t="s">
        <v>1672</v>
      </c>
      <c r="U187">
        <v>3</v>
      </c>
      <c r="V187">
        <v>26</v>
      </c>
      <c r="W187">
        <v>45</v>
      </c>
    </row>
    <row r="188" spans="1:29">
      <c r="S188" t="s">
        <v>1040</v>
      </c>
      <c r="T188" t="s">
        <v>338</v>
      </c>
      <c r="U188">
        <v>4</v>
      </c>
      <c r="V188">
        <v>46</v>
      </c>
      <c r="W188">
        <v>65</v>
      </c>
    </row>
    <row r="189" spans="1:29">
      <c r="S189" t="s">
        <v>1040</v>
      </c>
      <c r="T189" t="s">
        <v>1681</v>
      </c>
      <c r="U189">
        <v>5</v>
      </c>
      <c r="V189">
        <v>66</v>
      </c>
      <c r="W189">
        <v>100</v>
      </c>
    </row>
    <row r="192" spans="1:29">
      <c r="S192" t="s">
        <v>575</v>
      </c>
      <c r="T192" t="s">
        <v>1667</v>
      </c>
      <c r="U192" t="s">
        <v>1611</v>
      </c>
      <c r="V192" t="s">
        <v>1607</v>
      </c>
      <c r="W192" t="s">
        <v>1608</v>
      </c>
    </row>
    <row r="193" spans="19:23">
      <c r="S193" t="s">
        <v>1026</v>
      </c>
      <c r="T193" t="s">
        <v>1754</v>
      </c>
      <c r="U193">
        <v>1</v>
      </c>
      <c r="V193">
        <v>0</v>
      </c>
      <c r="W193">
        <v>7.4999999999999997E-2</v>
      </c>
    </row>
    <row r="194" spans="19:23">
      <c r="S194" t="s">
        <v>1026</v>
      </c>
      <c r="T194" t="s">
        <v>1755</v>
      </c>
      <c r="U194">
        <v>2</v>
      </c>
      <c r="V194">
        <v>7.4999999999999997E-2</v>
      </c>
      <c r="W194">
        <v>0.25</v>
      </c>
    </row>
    <row r="195" spans="19:23">
      <c r="S195" t="s">
        <v>1026</v>
      </c>
      <c r="T195" t="s">
        <v>1672</v>
      </c>
      <c r="U195">
        <v>3</v>
      </c>
      <c r="V195">
        <v>0.25</v>
      </c>
      <c r="W195">
        <v>0.6</v>
      </c>
    </row>
    <row r="196" spans="19:23">
      <c r="S196" t="s">
        <v>1026</v>
      </c>
      <c r="T196" t="s">
        <v>1756</v>
      </c>
      <c r="U196">
        <v>4</v>
      </c>
      <c r="V196">
        <v>0.6</v>
      </c>
      <c r="W196">
        <v>2</v>
      </c>
    </row>
    <row r="197" spans="19:23">
      <c r="S197" t="s">
        <v>1026</v>
      </c>
      <c r="T197" t="s">
        <v>1757</v>
      </c>
      <c r="U197">
        <v>5</v>
      </c>
      <c r="V197">
        <v>2</v>
      </c>
      <c r="W197">
        <v>100</v>
      </c>
    </row>
    <row r="199" spans="19:23">
      <c r="S199" t="s">
        <v>575</v>
      </c>
      <c r="T199" t="s">
        <v>1667</v>
      </c>
      <c r="U199" t="s">
        <v>1611</v>
      </c>
      <c r="V199" t="s">
        <v>1607</v>
      </c>
      <c r="W199" t="s">
        <v>1608</v>
      </c>
    </row>
    <row r="200" spans="19:23">
      <c r="S200" t="s">
        <v>1027</v>
      </c>
      <c r="T200" t="s">
        <v>1754</v>
      </c>
      <c r="U200">
        <v>1</v>
      </c>
      <c r="V200">
        <v>0</v>
      </c>
      <c r="W200">
        <v>0.15</v>
      </c>
    </row>
    <row r="201" spans="19:23">
      <c r="S201" t="s">
        <v>1027</v>
      </c>
      <c r="T201" t="s">
        <v>1755</v>
      </c>
      <c r="U201">
        <v>2</v>
      </c>
      <c r="V201">
        <v>0.15</v>
      </c>
      <c r="W201">
        <v>0.5</v>
      </c>
    </row>
    <row r="202" spans="19:23">
      <c r="S202" t="s">
        <v>1027</v>
      </c>
      <c r="T202" t="s">
        <v>1672</v>
      </c>
      <c r="U202">
        <v>3</v>
      </c>
      <c r="V202">
        <v>0.5</v>
      </c>
      <c r="W202">
        <v>1</v>
      </c>
    </row>
    <row r="203" spans="19:23">
      <c r="S203" t="s">
        <v>1027</v>
      </c>
      <c r="T203" t="s">
        <v>1756</v>
      </c>
      <c r="U203">
        <v>4</v>
      </c>
      <c r="V203">
        <v>1</v>
      </c>
      <c r="W203">
        <v>5</v>
      </c>
    </row>
    <row r="204" spans="19:23">
      <c r="S204" t="s">
        <v>1027</v>
      </c>
      <c r="T204" t="s">
        <v>1757</v>
      </c>
      <c r="U204">
        <v>5</v>
      </c>
      <c r="V204">
        <v>5</v>
      </c>
      <c r="W204">
        <v>100</v>
      </c>
    </row>
    <row r="206" spans="19:23">
      <c r="S206" t="s">
        <v>575</v>
      </c>
      <c r="T206" t="s">
        <v>1667</v>
      </c>
      <c r="U206" t="s">
        <v>1611</v>
      </c>
      <c r="V206" t="s">
        <v>1607</v>
      </c>
      <c r="W206" t="s">
        <v>1608</v>
      </c>
    </row>
    <row r="207" spans="19:23">
      <c r="S207" t="s">
        <v>1028</v>
      </c>
      <c r="T207" t="s">
        <v>1754</v>
      </c>
      <c r="U207">
        <v>1</v>
      </c>
      <c r="V207">
        <v>0</v>
      </c>
      <c r="W207">
        <v>0.3</v>
      </c>
    </row>
    <row r="208" spans="19:23">
      <c r="S208" t="s">
        <v>1028</v>
      </c>
      <c r="T208" t="s">
        <v>1755</v>
      </c>
      <c r="U208">
        <v>2</v>
      </c>
      <c r="V208">
        <v>0.3</v>
      </c>
      <c r="W208">
        <v>0.8</v>
      </c>
    </row>
    <row r="209" spans="19:23">
      <c r="S209" t="s">
        <v>1028</v>
      </c>
      <c r="T209" t="s">
        <v>1672</v>
      </c>
      <c r="U209">
        <v>3</v>
      </c>
      <c r="V209">
        <v>0.8</v>
      </c>
      <c r="W209">
        <v>2</v>
      </c>
    </row>
    <row r="210" spans="19:23">
      <c r="S210" t="s">
        <v>1028</v>
      </c>
      <c r="T210" t="s">
        <v>1756</v>
      </c>
      <c r="U210">
        <v>4</v>
      </c>
      <c r="V210">
        <v>2</v>
      </c>
      <c r="W210">
        <v>10</v>
      </c>
    </row>
    <row r="211" spans="19:23">
      <c r="S211" t="s">
        <v>1028</v>
      </c>
      <c r="T211" t="s">
        <v>1757</v>
      </c>
      <c r="U211">
        <v>5</v>
      </c>
      <c r="V211">
        <v>10</v>
      </c>
      <c r="W211">
        <v>100</v>
      </c>
    </row>
    <row r="213" spans="19:23">
      <c r="S213" t="s">
        <v>575</v>
      </c>
      <c r="T213" t="s">
        <v>1667</v>
      </c>
      <c r="U213" t="s">
        <v>1611</v>
      </c>
      <c r="V213" t="s">
        <v>1607</v>
      </c>
      <c r="W213" t="s">
        <v>1608</v>
      </c>
    </row>
    <row r="214" spans="19:23">
      <c r="S214" t="s">
        <v>557</v>
      </c>
      <c r="T214" t="s">
        <v>1758</v>
      </c>
      <c r="U214">
        <v>1</v>
      </c>
      <c r="V214">
        <v>1</v>
      </c>
      <c r="W214">
        <v>2</v>
      </c>
    </row>
    <row r="215" spans="19:23">
      <c r="S215" t="s">
        <v>557</v>
      </c>
      <c r="T215" t="s">
        <v>1759</v>
      </c>
      <c r="U215">
        <v>2</v>
      </c>
      <c r="V215">
        <v>2</v>
      </c>
      <c r="W215">
        <v>4</v>
      </c>
    </row>
    <row r="216" spans="19:23">
      <c r="S216" t="s">
        <v>557</v>
      </c>
      <c r="T216" t="s">
        <v>1672</v>
      </c>
      <c r="U216">
        <v>3</v>
      </c>
      <c r="V216">
        <v>4</v>
      </c>
      <c r="W216">
        <v>6</v>
      </c>
    </row>
    <row r="217" spans="19:23">
      <c r="S217" t="s">
        <v>557</v>
      </c>
      <c r="T217" t="s">
        <v>1760</v>
      </c>
      <c r="U217">
        <v>4</v>
      </c>
      <c r="V217">
        <v>6</v>
      </c>
      <c r="W217">
        <v>15</v>
      </c>
    </row>
    <row r="218" spans="19:23">
      <c r="S218" t="s">
        <v>557</v>
      </c>
      <c r="T218" t="s">
        <v>1761</v>
      </c>
      <c r="U218">
        <v>5</v>
      </c>
      <c r="V218">
        <v>15</v>
      </c>
      <c r="W218">
        <v>100</v>
      </c>
    </row>
    <row r="220" spans="19:23">
      <c r="S220" t="s">
        <v>575</v>
      </c>
      <c r="T220" t="s">
        <v>1667</v>
      </c>
      <c r="U220" t="s">
        <v>1611</v>
      </c>
      <c r="V220" t="s">
        <v>1607</v>
      </c>
      <c r="W220" t="s">
        <v>1608</v>
      </c>
    </row>
    <row r="221" spans="19:23">
      <c r="S221" t="s">
        <v>343</v>
      </c>
      <c r="T221" t="s">
        <v>1680</v>
      </c>
      <c r="U221">
        <v>1</v>
      </c>
      <c r="V221">
        <v>0</v>
      </c>
      <c r="W221">
        <v>1</v>
      </c>
    </row>
    <row r="222" spans="19:23">
      <c r="S222" t="s">
        <v>343</v>
      </c>
      <c r="T222" t="s">
        <v>1670</v>
      </c>
      <c r="U222">
        <v>2</v>
      </c>
      <c r="V222">
        <v>1</v>
      </c>
      <c r="W222">
        <v>2</v>
      </c>
    </row>
    <row r="223" spans="19:23">
      <c r="S223" t="s">
        <v>343</v>
      </c>
      <c r="T223" t="s">
        <v>1480</v>
      </c>
      <c r="U223">
        <v>3</v>
      </c>
      <c r="V223">
        <v>2</v>
      </c>
      <c r="W223">
        <v>3</v>
      </c>
    </row>
    <row r="224" spans="19:23">
      <c r="S224" t="s">
        <v>343</v>
      </c>
      <c r="T224" t="s">
        <v>338</v>
      </c>
      <c r="U224">
        <v>4</v>
      </c>
      <c r="V224">
        <v>3</v>
      </c>
      <c r="W224">
        <v>5</v>
      </c>
    </row>
    <row r="225" spans="19:25">
      <c r="S225" t="s">
        <v>343</v>
      </c>
      <c r="T225" t="s">
        <v>1681</v>
      </c>
      <c r="U225">
        <v>5</v>
      </c>
      <c r="V225">
        <v>5</v>
      </c>
      <c r="W225">
        <v>20</v>
      </c>
    </row>
    <row r="227" spans="19:25">
      <c r="S227" t="s">
        <v>575</v>
      </c>
      <c r="T227" t="s">
        <v>1667</v>
      </c>
      <c r="U227" t="s">
        <v>1611</v>
      </c>
    </row>
    <row r="228" spans="19:25">
      <c r="S228" t="s">
        <v>1752</v>
      </c>
      <c r="T228" t="s">
        <v>1762</v>
      </c>
      <c r="U228">
        <v>1</v>
      </c>
    </row>
    <row r="229" spans="19:25">
      <c r="S229" t="s">
        <v>1752</v>
      </c>
      <c r="T229" t="s">
        <v>1763</v>
      </c>
      <c r="U229">
        <v>2</v>
      </c>
    </row>
    <row r="230" spans="19:25">
      <c r="S230" t="s">
        <v>1752</v>
      </c>
      <c r="T230" t="s">
        <v>1764</v>
      </c>
      <c r="U230">
        <v>3</v>
      </c>
    </row>
    <row r="233" spans="19:25">
      <c r="S233" t="s">
        <v>1611</v>
      </c>
      <c r="T233" t="s">
        <v>575</v>
      </c>
      <c r="U233" t="s">
        <v>1683</v>
      </c>
      <c r="V233" t="s">
        <v>1607</v>
      </c>
      <c r="W233" t="s">
        <v>1608</v>
      </c>
      <c r="X233" t="s">
        <v>1685</v>
      </c>
      <c r="Y233" t="s">
        <v>1715</v>
      </c>
    </row>
    <row r="234" spans="19:25">
      <c r="S234" t="s">
        <v>1620</v>
      </c>
      <c r="T234" t="s">
        <v>1035</v>
      </c>
      <c r="U234" t="s">
        <v>1680</v>
      </c>
      <c r="V234">
        <v>1</v>
      </c>
      <c r="W234">
        <v>2</v>
      </c>
      <c r="X234" t="s">
        <v>1768</v>
      </c>
      <c r="Y234" t="s">
        <v>1740</v>
      </c>
    </row>
    <row r="235" spans="19:25">
      <c r="S235" t="s">
        <v>1620</v>
      </c>
      <c r="T235" t="s">
        <v>1036</v>
      </c>
      <c r="U235" t="s">
        <v>338</v>
      </c>
      <c r="V235">
        <v>4</v>
      </c>
      <c r="W235">
        <v>5</v>
      </c>
      <c r="X235" t="s">
        <v>1769</v>
      </c>
      <c r="Y235" t="s">
        <v>1740</v>
      </c>
    </row>
    <row r="236" spans="19:25">
      <c r="S236" t="s">
        <v>1620</v>
      </c>
      <c r="T236" t="s">
        <v>1751</v>
      </c>
      <c r="U236" t="s">
        <v>1680</v>
      </c>
      <c r="V236">
        <v>1</v>
      </c>
      <c r="W236">
        <v>2</v>
      </c>
      <c r="X236" t="s">
        <v>1770</v>
      </c>
      <c r="Y236" t="s">
        <v>1740</v>
      </c>
    </row>
    <row r="237" spans="19:25">
      <c r="S237" t="s">
        <v>1690</v>
      </c>
      <c r="T237" t="s">
        <v>1751</v>
      </c>
      <c r="U237" t="s">
        <v>1771</v>
      </c>
      <c r="V237">
        <v>3</v>
      </c>
      <c r="W237">
        <v>4</v>
      </c>
      <c r="X237" t="s">
        <v>1772</v>
      </c>
      <c r="Y237" t="s">
        <v>1716</v>
      </c>
    </row>
    <row r="238" spans="19:25">
      <c r="S238" t="s">
        <v>1612</v>
      </c>
      <c r="T238" t="s">
        <v>1751</v>
      </c>
      <c r="U238" t="s">
        <v>338</v>
      </c>
      <c r="V238">
        <v>4</v>
      </c>
      <c r="W238">
        <v>5</v>
      </c>
      <c r="X238" t="s">
        <v>1773</v>
      </c>
      <c r="Y238" t="s">
        <v>1740</v>
      </c>
    </row>
    <row r="239" spans="19:25">
      <c r="S239" t="s">
        <v>1630</v>
      </c>
      <c r="T239" t="s">
        <v>1035</v>
      </c>
      <c r="U239" t="s">
        <v>338</v>
      </c>
      <c r="V239">
        <v>4</v>
      </c>
      <c r="W239">
        <v>5</v>
      </c>
      <c r="X239" t="s">
        <v>1774</v>
      </c>
      <c r="Y239" t="s">
        <v>1740</v>
      </c>
    </row>
    <row r="241" spans="8:25">
      <c r="H241" t="s">
        <v>2422</v>
      </c>
    </row>
    <row r="242" spans="8:25">
      <c r="S242" t="s">
        <v>2201</v>
      </c>
      <c r="T242" t="s">
        <v>575</v>
      </c>
      <c r="U242" t="s">
        <v>1683</v>
      </c>
      <c r="V242" t="s">
        <v>1607</v>
      </c>
      <c r="W242" t="s">
        <v>1608</v>
      </c>
      <c r="X242" t="s">
        <v>1685</v>
      </c>
      <c r="Y242" t="s">
        <v>2033</v>
      </c>
    </row>
    <row r="243" spans="8:25">
      <c r="H243" t="s">
        <v>2201</v>
      </c>
      <c r="I243" t="s">
        <v>575</v>
      </c>
      <c r="J243" t="s">
        <v>1683</v>
      </c>
      <c r="K243" t="s">
        <v>1607</v>
      </c>
      <c r="L243" t="s">
        <v>1608</v>
      </c>
      <c r="M243" t="s">
        <v>1685</v>
      </c>
      <c r="N243" t="s">
        <v>2033</v>
      </c>
      <c r="S243" t="s">
        <v>1612</v>
      </c>
      <c r="T243" t="s">
        <v>1035</v>
      </c>
      <c r="U243" t="s">
        <v>1680</v>
      </c>
      <c r="V243">
        <v>0</v>
      </c>
      <c r="W243">
        <v>15</v>
      </c>
      <c r="X243" t="s">
        <v>2319</v>
      </c>
      <c r="Y243" t="s">
        <v>2299</v>
      </c>
    </row>
    <row r="244" spans="8:25">
      <c r="H244" t="s">
        <v>1612</v>
      </c>
      <c r="I244" t="s">
        <v>1035</v>
      </c>
      <c r="J244" t="s">
        <v>1680</v>
      </c>
      <c r="K244">
        <v>0</v>
      </c>
      <c r="L244">
        <v>15</v>
      </c>
      <c r="M244" t="s">
        <v>2406</v>
      </c>
      <c r="N244" t="s">
        <v>2299</v>
      </c>
      <c r="S244" t="s">
        <v>1612</v>
      </c>
      <c r="T244" t="s">
        <v>1036</v>
      </c>
      <c r="U244" t="s">
        <v>1670</v>
      </c>
      <c r="V244">
        <v>0</v>
      </c>
      <c r="W244">
        <v>40</v>
      </c>
      <c r="X244" t="s">
        <v>2320</v>
      </c>
      <c r="Y244" t="s">
        <v>2300</v>
      </c>
    </row>
    <row r="245" spans="8:25">
      <c r="H245" t="s">
        <v>1612</v>
      </c>
      <c r="I245" t="s">
        <v>1036</v>
      </c>
      <c r="J245" t="s">
        <v>1670</v>
      </c>
      <c r="K245">
        <v>0</v>
      </c>
      <c r="L245">
        <v>40</v>
      </c>
      <c r="M245" t="s">
        <v>2407</v>
      </c>
      <c r="N245" t="s">
        <v>2300</v>
      </c>
      <c r="S245" t="s">
        <v>1612</v>
      </c>
      <c r="T245" t="s">
        <v>1041</v>
      </c>
      <c r="U245" t="s">
        <v>1672</v>
      </c>
      <c r="V245">
        <v>10</v>
      </c>
      <c r="W245">
        <v>40</v>
      </c>
      <c r="X245" t="s">
        <v>2282</v>
      </c>
      <c r="Y245" t="s">
        <v>2301</v>
      </c>
    </row>
    <row r="246" spans="8:25">
      <c r="H246" t="s">
        <v>1612</v>
      </c>
      <c r="I246" t="s">
        <v>1751</v>
      </c>
      <c r="J246" t="s">
        <v>1681</v>
      </c>
      <c r="K246">
        <v>60</v>
      </c>
      <c r="L246">
        <v>100</v>
      </c>
      <c r="M246" t="s">
        <v>2408</v>
      </c>
      <c r="N246" t="s">
        <v>2409</v>
      </c>
      <c r="S246" t="s">
        <v>1612</v>
      </c>
      <c r="T246" t="s">
        <v>1040</v>
      </c>
      <c r="U246" t="s">
        <v>338</v>
      </c>
      <c r="V246">
        <v>35</v>
      </c>
      <c r="W246">
        <v>100</v>
      </c>
      <c r="X246" t="s">
        <v>2321</v>
      </c>
      <c r="Y246" t="s">
        <v>2301</v>
      </c>
    </row>
    <row r="247" spans="8:25">
      <c r="H247" t="s">
        <v>1614</v>
      </c>
      <c r="I247" t="s">
        <v>1035</v>
      </c>
      <c r="J247" t="s">
        <v>1670</v>
      </c>
      <c r="K247">
        <v>0</v>
      </c>
      <c r="L247">
        <v>20</v>
      </c>
      <c r="M247" t="s">
        <v>2326</v>
      </c>
      <c r="N247" t="s">
        <v>2300</v>
      </c>
      <c r="S247" t="s">
        <v>1612</v>
      </c>
      <c r="T247" t="s">
        <v>1037</v>
      </c>
      <c r="U247" t="s">
        <v>1754</v>
      </c>
      <c r="V247">
        <v>1E-3</v>
      </c>
      <c r="W247">
        <v>0.02</v>
      </c>
      <c r="X247" t="s">
        <v>2322</v>
      </c>
      <c r="Y247" t="s">
        <v>2229</v>
      </c>
    </row>
    <row r="248" spans="8:25">
      <c r="H248" t="s">
        <v>1614</v>
      </c>
      <c r="I248" t="s">
        <v>1036</v>
      </c>
      <c r="J248" t="s">
        <v>1672</v>
      </c>
      <c r="K248">
        <v>30</v>
      </c>
      <c r="L248">
        <v>65</v>
      </c>
      <c r="M248" t="s">
        <v>2410</v>
      </c>
      <c r="N248" t="s">
        <v>2300</v>
      </c>
      <c r="S248" t="s">
        <v>1612</v>
      </c>
      <c r="T248" t="s">
        <v>1038</v>
      </c>
      <c r="U248" t="s">
        <v>1754</v>
      </c>
      <c r="V248">
        <v>3.0000000000000001E-3</v>
      </c>
      <c r="W248">
        <v>0.08</v>
      </c>
      <c r="X248" t="s">
        <v>2323</v>
      </c>
      <c r="Y248" t="s">
        <v>2229</v>
      </c>
    </row>
    <row r="249" spans="8:25">
      <c r="H249" t="s">
        <v>1614</v>
      </c>
      <c r="I249" t="s">
        <v>1751</v>
      </c>
      <c r="J249" t="s">
        <v>338</v>
      </c>
      <c r="K249">
        <v>35</v>
      </c>
      <c r="L249">
        <v>70</v>
      </c>
      <c r="M249" t="s">
        <v>2282</v>
      </c>
      <c r="N249" t="s">
        <v>2300</v>
      </c>
      <c r="S249" t="s">
        <v>1612</v>
      </c>
      <c r="T249" t="s">
        <v>1039</v>
      </c>
      <c r="U249" t="s">
        <v>1755</v>
      </c>
      <c r="V249">
        <v>0.01</v>
      </c>
      <c r="W249">
        <v>0.3</v>
      </c>
      <c r="X249" t="s">
        <v>2308</v>
      </c>
      <c r="Y249" t="s">
        <v>2229</v>
      </c>
    </row>
    <row r="250" spans="8:25">
      <c r="H250" t="s">
        <v>1617</v>
      </c>
      <c r="I250" t="s">
        <v>1035</v>
      </c>
      <c r="J250" t="s">
        <v>1670</v>
      </c>
      <c r="K250">
        <v>0</v>
      </c>
      <c r="L250">
        <v>15</v>
      </c>
      <c r="M250" t="s">
        <v>2330</v>
      </c>
      <c r="N250" t="s">
        <v>2300</v>
      </c>
      <c r="S250" t="s">
        <v>1612</v>
      </c>
      <c r="T250" t="s">
        <v>557</v>
      </c>
      <c r="U250" t="s">
        <v>1670</v>
      </c>
      <c r="V250">
        <v>2</v>
      </c>
      <c r="W250">
        <v>15</v>
      </c>
      <c r="X250" t="s">
        <v>2324</v>
      </c>
      <c r="Y250" t="s">
        <v>1745</v>
      </c>
    </row>
    <row r="251" spans="8:25">
      <c r="H251" t="s">
        <v>1617</v>
      </c>
      <c r="I251" t="s">
        <v>1036</v>
      </c>
      <c r="J251" t="s">
        <v>1670</v>
      </c>
      <c r="K251">
        <v>10</v>
      </c>
      <c r="L251">
        <v>40</v>
      </c>
      <c r="M251" t="s">
        <v>2410</v>
      </c>
      <c r="N251" t="s">
        <v>2300</v>
      </c>
      <c r="S251" t="s">
        <v>1612</v>
      </c>
      <c r="T251" t="s">
        <v>343</v>
      </c>
      <c r="U251" t="s">
        <v>1760</v>
      </c>
      <c r="V251">
        <v>1</v>
      </c>
      <c r="W251">
        <v>3</v>
      </c>
      <c r="X251" t="s">
        <v>2325</v>
      </c>
      <c r="Y251" t="s">
        <v>1745</v>
      </c>
    </row>
    <row r="252" spans="8:25">
      <c r="H252" t="s">
        <v>1617</v>
      </c>
      <c r="I252" t="s">
        <v>1751</v>
      </c>
      <c r="J252" t="s">
        <v>338</v>
      </c>
      <c r="K252">
        <v>60</v>
      </c>
      <c r="L252">
        <v>90</v>
      </c>
      <c r="M252" t="s">
        <v>2411</v>
      </c>
      <c r="N252" t="s">
        <v>2300</v>
      </c>
      <c r="S252" t="s">
        <v>1614</v>
      </c>
      <c r="T252" t="s">
        <v>1035</v>
      </c>
      <c r="U252" t="s">
        <v>1670</v>
      </c>
      <c r="V252">
        <v>0</v>
      </c>
      <c r="W252">
        <v>20</v>
      </c>
      <c r="X252" t="s">
        <v>2326</v>
      </c>
      <c r="Y252" t="s">
        <v>2300</v>
      </c>
    </row>
    <row r="253" spans="8:25">
      <c r="H253" t="s">
        <v>1643</v>
      </c>
      <c r="I253" t="s">
        <v>1035</v>
      </c>
      <c r="J253" t="s">
        <v>1672</v>
      </c>
      <c r="K253">
        <v>20</v>
      </c>
      <c r="L253">
        <v>60</v>
      </c>
      <c r="M253" t="s">
        <v>2412</v>
      </c>
      <c r="N253" t="s">
        <v>2300</v>
      </c>
      <c r="S253" t="s">
        <v>1614</v>
      </c>
      <c r="T253" t="s">
        <v>1036</v>
      </c>
      <c r="U253" t="s">
        <v>1672</v>
      </c>
      <c r="V253">
        <v>20</v>
      </c>
      <c r="W253">
        <v>60</v>
      </c>
      <c r="X253" t="s">
        <v>2320</v>
      </c>
      <c r="Y253" t="s">
        <v>2300</v>
      </c>
    </row>
    <row r="254" spans="8:25">
      <c r="H254" t="s">
        <v>1643</v>
      </c>
      <c r="I254" t="s">
        <v>1036</v>
      </c>
      <c r="J254" t="s">
        <v>1670</v>
      </c>
      <c r="K254">
        <v>0</v>
      </c>
      <c r="L254">
        <v>30</v>
      </c>
      <c r="M254" t="s">
        <v>2329</v>
      </c>
      <c r="N254" t="s">
        <v>2300</v>
      </c>
      <c r="S254" t="s">
        <v>1614</v>
      </c>
      <c r="T254" t="s">
        <v>1041</v>
      </c>
      <c r="U254" t="s">
        <v>1670</v>
      </c>
      <c r="V254">
        <v>5</v>
      </c>
      <c r="W254">
        <v>30</v>
      </c>
      <c r="X254" t="s">
        <v>2327</v>
      </c>
      <c r="Y254" t="s">
        <v>2301</v>
      </c>
    </row>
    <row r="255" spans="8:25">
      <c r="H255" t="s">
        <v>1643</v>
      </c>
      <c r="I255" t="s">
        <v>1751</v>
      </c>
      <c r="J255" t="s">
        <v>1672</v>
      </c>
      <c r="K255">
        <v>30</v>
      </c>
      <c r="L255">
        <v>60</v>
      </c>
      <c r="M255" t="s">
        <v>2413</v>
      </c>
      <c r="N255" t="s">
        <v>2300</v>
      </c>
      <c r="S255" t="s">
        <v>1614</v>
      </c>
      <c r="T255" t="s">
        <v>1040</v>
      </c>
      <c r="U255" t="s">
        <v>1672</v>
      </c>
      <c r="V255">
        <v>20</v>
      </c>
      <c r="W255">
        <v>50</v>
      </c>
      <c r="X255" t="s">
        <v>2303</v>
      </c>
      <c r="Y255" t="s">
        <v>2301</v>
      </c>
    </row>
    <row r="256" spans="8:25">
      <c r="H256" t="s">
        <v>1620</v>
      </c>
      <c r="I256" t="s">
        <v>1035</v>
      </c>
      <c r="J256" t="s">
        <v>1670</v>
      </c>
      <c r="K256">
        <v>0</v>
      </c>
      <c r="L256">
        <v>20</v>
      </c>
      <c r="M256" t="s">
        <v>2333</v>
      </c>
      <c r="N256" t="s">
        <v>2300</v>
      </c>
      <c r="S256" t="s">
        <v>1643</v>
      </c>
      <c r="T256" t="s">
        <v>1035</v>
      </c>
      <c r="U256" t="s">
        <v>1672</v>
      </c>
      <c r="V256">
        <v>15</v>
      </c>
      <c r="W256">
        <v>50</v>
      </c>
      <c r="X256" t="s">
        <v>2328</v>
      </c>
      <c r="Y256" t="s">
        <v>2300</v>
      </c>
    </row>
    <row r="257" spans="8:25">
      <c r="H257" t="s">
        <v>1620</v>
      </c>
      <c r="I257" t="s">
        <v>1036</v>
      </c>
      <c r="J257" t="s">
        <v>1681</v>
      </c>
      <c r="K257">
        <v>80</v>
      </c>
      <c r="L257">
        <v>100</v>
      </c>
      <c r="M257" t="s">
        <v>2414</v>
      </c>
      <c r="N257" t="s">
        <v>2300</v>
      </c>
      <c r="S257" t="s">
        <v>1643</v>
      </c>
      <c r="T257" t="s">
        <v>1036</v>
      </c>
      <c r="U257" t="s">
        <v>1670</v>
      </c>
      <c r="V257">
        <v>0</v>
      </c>
      <c r="W257">
        <v>30</v>
      </c>
      <c r="X257" t="s">
        <v>2329</v>
      </c>
      <c r="Y257" t="s">
        <v>2300</v>
      </c>
    </row>
    <row r="258" spans="8:25">
      <c r="H258" t="s">
        <v>1620</v>
      </c>
      <c r="I258" t="s">
        <v>1751</v>
      </c>
      <c r="J258" t="s">
        <v>1680</v>
      </c>
      <c r="K258">
        <v>0</v>
      </c>
      <c r="L258">
        <v>10</v>
      </c>
      <c r="M258" t="s">
        <v>2415</v>
      </c>
      <c r="N258" t="s">
        <v>2300</v>
      </c>
      <c r="S258" t="s">
        <v>1643</v>
      </c>
      <c r="T258" t="s">
        <v>1041</v>
      </c>
      <c r="U258" t="s">
        <v>1670</v>
      </c>
      <c r="V258">
        <v>0</v>
      </c>
      <c r="W258">
        <v>20</v>
      </c>
      <c r="X258" t="s">
        <v>2327</v>
      </c>
      <c r="Y258" t="s">
        <v>2301</v>
      </c>
    </row>
    <row r="259" spans="8:25">
      <c r="H259" t="s">
        <v>1621</v>
      </c>
      <c r="I259" t="s">
        <v>1035</v>
      </c>
      <c r="J259" t="s">
        <v>1670</v>
      </c>
      <c r="K259">
        <v>0</v>
      </c>
      <c r="L259">
        <v>20</v>
      </c>
      <c r="M259" t="s">
        <v>2336</v>
      </c>
      <c r="N259" t="s">
        <v>2300</v>
      </c>
      <c r="S259" t="s">
        <v>1643</v>
      </c>
      <c r="T259" t="s">
        <v>1040</v>
      </c>
      <c r="U259" t="s">
        <v>1672</v>
      </c>
      <c r="V259">
        <v>20</v>
      </c>
      <c r="W259">
        <v>50</v>
      </c>
      <c r="X259" t="s">
        <v>2303</v>
      </c>
      <c r="Y259" t="s">
        <v>2301</v>
      </c>
    </row>
    <row r="260" spans="8:25">
      <c r="H260" t="s">
        <v>1621</v>
      </c>
      <c r="I260" t="s">
        <v>1036</v>
      </c>
      <c r="J260" t="s">
        <v>338</v>
      </c>
      <c r="K260">
        <v>60</v>
      </c>
      <c r="L260">
        <v>90</v>
      </c>
      <c r="M260" t="s">
        <v>2410</v>
      </c>
      <c r="N260" t="s">
        <v>2300</v>
      </c>
      <c r="S260" t="s">
        <v>1617</v>
      </c>
      <c r="T260" t="s">
        <v>1035</v>
      </c>
      <c r="U260" t="s">
        <v>1670</v>
      </c>
      <c r="V260">
        <v>0</v>
      </c>
      <c r="W260">
        <v>15</v>
      </c>
      <c r="X260" t="s">
        <v>2330</v>
      </c>
      <c r="Y260" t="s">
        <v>2300</v>
      </c>
    </row>
    <row r="261" spans="8:25">
      <c r="H261" t="s">
        <v>1621</v>
      </c>
      <c r="I261" t="s">
        <v>1751</v>
      </c>
      <c r="J261" t="s">
        <v>1670</v>
      </c>
      <c r="K261">
        <v>10</v>
      </c>
      <c r="L261">
        <v>40</v>
      </c>
      <c r="M261" t="s">
        <v>2411</v>
      </c>
      <c r="N261" t="s">
        <v>2300</v>
      </c>
      <c r="S261" t="s">
        <v>1617</v>
      </c>
      <c r="T261" t="s">
        <v>1036</v>
      </c>
      <c r="U261" t="s">
        <v>1742</v>
      </c>
      <c r="V261">
        <v>10</v>
      </c>
      <c r="W261">
        <v>40</v>
      </c>
      <c r="X261" t="s">
        <v>2331</v>
      </c>
      <c r="Y261" t="s">
        <v>2300</v>
      </c>
    </row>
    <row r="262" spans="8:25">
      <c r="H262" t="s">
        <v>1623</v>
      </c>
      <c r="I262" t="s">
        <v>1035</v>
      </c>
      <c r="J262" t="s">
        <v>1670</v>
      </c>
      <c r="K262">
        <v>0</v>
      </c>
      <c r="L262">
        <v>20</v>
      </c>
      <c r="M262" t="s">
        <v>2337</v>
      </c>
      <c r="N262" t="s">
        <v>2300</v>
      </c>
      <c r="S262" t="s">
        <v>1617</v>
      </c>
      <c r="T262" t="s">
        <v>1041</v>
      </c>
      <c r="U262" t="s">
        <v>1771</v>
      </c>
      <c r="V262">
        <v>20</v>
      </c>
      <c r="W262">
        <v>60</v>
      </c>
      <c r="X262" t="s">
        <v>2307</v>
      </c>
      <c r="Y262" t="s">
        <v>2301</v>
      </c>
    </row>
    <row r="263" spans="8:25">
      <c r="H263" t="s">
        <v>1623</v>
      </c>
      <c r="I263" t="s">
        <v>1036</v>
      </c>
      <c r="J263" t="s">
        <v>338</v>
      </c>
      <c r="K263">
        <v>60</v>
      </c>
      <c r="L263">
        <v>90</v>
      </c>
      <c r="M263" t="s">
        <v>2410</v>
      </c>
      <c r="N263" t="s">
        <v>2300</v>
      </c>
      <c r="S263" t="s">
        <v>1617</v>
      </c>
      <c r="T263" t="s">
        <v>1040</v>
      </c>
      <c r="U263" t="s">
        <v>1672</v>
      </c>
      <c r="V263">
        <v>15</v>
      </c>
      <c r="W263">
        <v>40</v>
      </c>
      <c r="X263" t="s">
        <v>2332</v>
      </c>
      <c r="Y263" t="s">
        <v>2301</v>
      </c>
    </row>
    <row r="264" spans="8:25">
      <c r="H264" t="s">
        <v>1623</v>
      </c>
      <c r="I264" t="s">
        <v>1751</v>
      </c>
      <c r="J264" t="s">
        <v>1670</v>
      </c>
      <c r="K264">
        <v>10</v>
      </c>
      <c r="L264">
        <v>40</v>
      </c>
      <c r="M264" t="s">
        <v>2416</v>
      </c>
      <c r="N264" t="s">
        <v>2300</v>
      </c>
      <c r="S264" t="s">
        <v>1620</v>
      </c>
      <c r="T264" t="s">
        <v>1035</v>
      </c>
      <c r="U264" t="s">
        <v>1670</v>
      </c>
      <c r="V264">
        <v>0</v>
      </c>
      <c r="W264">
        <v>20</v>
      </c>
      <c r="X264" t="s">
        <v>2333</v>
      </c>
      <c r="Y264" t="s">
        <v>2300</v>
      </c>
    </row>
    <row r="265" spans="8:25">
      <c r="H265" t="s">
        <v>1649</v>
      </c>
      <c r="I265" t="s">
        <v>1035</v>
      </c>
      <c r="J265" t="s">
        <v>338</v>
      </c>
      <c r="K265">
        <v>20</v>
      </c>
      <c r="L265">
        <v>60</v>
      </c>
      <c r="M265" t="s">
        <v>2417</v>
      </c>
      <c r="N265" t="s">
        <v>2300</v>
      </c>
      <c r="S265" t="s">
        <v>1620</v>
      </c>
      <c r="T265" t="s">
        <v>1036</v>
      </c>
      <c r="U265" t="s">
        <v>1681</v>
      </c>
      <c r="V265">
        <v>70</v>
      </c>
      <c r="W265">
        <v>100</v>
      </c>
      <c r="X265" t="s">
        <v>2334</v>
      </c>
      <c r="Y265" t="s">
        <v>2300</v>
      </c>
    </row>
    <row r="266" spans="8:25">
      <c r="H266" t="s">
        <v>1649</v>
      </c>
      <c r="I266" t="s">
        <v>1036</v>
      </c>
      <c r="J266" t="s">
        <v>1771</v>
      </c>
      <c r="K266">
        <v>30</v>
      </c>
      <c r="L266">
        <v>80</v>
      </c>
      <c r="M266" t="s">
        <v>2329</v>
      </c>
      <c r="N266" t="s">
        <v>2300</v>
      </c>
      <c r="S266" t="s">
        <v>1620</v>
      </c>
      <c r="T266" t="s">
        <v>1041</v>
      </c>
      <c r="U266" t="s">
        <v>1670</v>
      </c>
      <c r="V266">
        <v>0</v>
      </c>
      <c r="W266">
        <v>15</v>
      </c>
      <c r="X266" t="s">
        <v>2307</v>
      </c>
      <c r="Y266" t="s">
        <v>2301</v>
      </c>
    </row>
    <row r="267" spans="8:25">
      <c r="H267" t="s">
        <v>1649</v>
      </c>
      <c r="I267" t="s">
        <v>1751</v>
      </c>
      <c r="J267" t="s">
        <v>1680</v>
      </c>
      <c r="K267">
        <v>0</v>
      </c>
      <c r="L267">
        <v>15</v>
      </c>
      <c r="M267" t="s">
        <v>2418</v>
      </c>
      <c r="N267" t="s">
        <v>2300</v>
      </c>
      <c r="S267" t="s">
        <v>1620</v>
      </c>
      <c r="T267" t="s">
        <v>1040</v>
      </c>
      <c r="U267" t="s">
        <v>1680</v>
      </c>
      <c r="V267">
        <v>0</v>
      </c>
      <c r="W267">
        <v>10</v>
      </c>
      <c r="X267" t="s">
        <v>2335</v>
      </c>
      <c r="Y267" t="s">
        <v>2301</v>
      </c>
    </row>
    <row r="268" spans="8:25">
      <c r="H268" t="s">
        <v>1690</v>
      </c>
      <c r="I268" t="s">
        <v>1035</v>
      </c>
      <c r="J268" t="s">
        <v>1680</v>
      </c>
      <c r="K268">
        <v>0</v>
      </c>
      <c r="L268">
        <v>10</v>
      </c>
      <c r="M268" t="s">
        <v>2419</v>
      </c>
      <c r="N268" t="s">
        <v>2300</v>
      </c>
      <c r="S268" t="s">
        <v>1621</v>
      </c>
      <c r="T268" t="s">
        <v>1035</v>
      </c>
      <c r="U268" t="s">
        <v>1670</v>
      </c>
      <c r="V268">
        <v>0</v>
      </c>
      <c r="W268">
        <v>20</v>
      </c>
      <c r="X268" t="s">
        <v>2336</v>
      </c>
      <c r="Y268" t="s">
        <v>2300</v>
      </c>
    </row>
    <row r="269" spans="8:25">
      <c r="H269" t="s">
        <v>1690</v>
      </c>
      <c r="I269" t="s">
        <v>1036</v>
      </c>
      <c r="J269" t="s">
        <v>1742</v>
      </c>
      <c r="K269">
        <v>10</v>
      </c>
      <c r="L269">
        <v>50</v>
      </c>
      <c r="M269" t="s">
        <v>2410</v>
      </c>
      <c r="N269" t="s">
        <v>2300</v>
      </c>
      <c r="S269" t="s">
        <v>1621</v>
      </c>
      <c r="T269" t="s">
        <v>1036</v>
      </c>
      <c r="U269" t="s">
        <v>338</v>
      </c>
      <c r="V269">
        <v>50</v>
      </c>
      <c r="W269">
        <v>90</v>
      </c>
      <c r="X269" t="s">
        <v>2327</v>
      </c>
      <c r="Y269" t="s">
        <v>2300</v>
      </c>
    </row>
    <row r="270" spans="8:25">
      <c r="H270" t="s">
        <v>1690</v>
      </c>
      <c r="I270" t="s">
        <v>1751</v>
      </c>
      <c r="J270" t="s">
        <v>338</v>
      </c>
      <c r="K270">
        <v>50</v>
      </c>
      <c r="L270">
        <v>90</v>
      </c>
      <c r="M270" t="s">
        <v>2420</v>
      </c>
      <c r="N270" t="s">
        <v>2300</v>
      </c>
      <c r="S270" t="s">
        <v>1621</v>
      </c>
      <c r="T270" t="s">
        <v>1041</v>
      </c>
      <c r="U270" t="s">
        <v>1670</v>
      </c>
      <c r="V270">
        <v>0</v>
      </c>
      <c r="W270">
        <v>20</v>
      </c>
      <c r="X270" t="s">
        <v>2327</v>
      </c>
      <c r="Y270" t="s">
        <v>2301</v>
      </c>
    </row>
    <row r="271" spans="8:25">
      <c r="H271" t="s">
        <v>1626</v>
      </c>
      <c r="I271" t="s">
        <v>1035</v>
      </c>
      <c r="J271" t="s">
        <v>1680</v>
      </c>
      <c r="K271">
        <v>0</v>
      </c>
      <c r="L271">
        <v>10</v>
      </c>
      <c r="M271" t="s">
        <v>2341</v>
      </c>
      <c r="N271" t="s">
        <v>2300</v>
      </c>
      <c r="S271" t="s">
        <v>1621</v>
      </c>
      <c r="T271" t="s">
        <v>1040</v>
      </c>
      <c r="U271" t="s">
        <v>1670</v>
      </c>
      <c r="V271">
        <v>10</v>
      </c>
      <c r="W271">
        <v>35</v>
      </c>
      <c r="X271" t="s">
        <v>2303</v>
      </c>
      <c r="Y271" t="s">
        <v>2301</v>
      </c>
    </row>
    <row r="272" spans="8:25">
      <c r="H272" t="s">
        <v>1626</v>
      </c>
      <c r="I272" t="s">
        <v>1036</v>
      </c>
      <c r="J272" t="s">
        <v>1670</v>
      </c>
      <c r="K272">
        <v>0</v>
      </c>
      <c r="L272">
        <v>30</v>
      </c>
      <c r="M272" t="s">
        <v>2410</v>
      </c>
      <c r="N272" t="s">
        <v>2300</v>
      </c>
      <c r="S272" t="s">
        <v>1623</v>
      </c>
      <c r="T272" t="s">
        <v>1035</v>
      </c>
      <c r="U272" t="s">
        <v>1670</v>
      </c>
      <c r="V272">
        <v>0</v>
      </c>
      <c r="W272">
        <v>20</v>
      </c>
      <c r="X272" t="s">
        <v>2337</v>
      </c>
      <c r="Y272" t="s">
        <v>2300</v>
      </c>
    </row>
    <row r="273" spans="8:25">
      <c r="H273" t="s">
        <v>1626</v>
      </c>
      <c r="I273" t="s">
        <v>1751</v>
      </c>
      <c r="J273" t="s">
        <v>1681</v>
      </c>
      <c r="K273">
        <v>70</v>
      </c>
      <c r="L273">
        <v>100</v>
      </c>
      <c r="M273" t="s">
        <v>2282</v>
      </c>
      <c r="N273" t="s">
        <v>2300</v>
      </c>
      <c r="S273" t="s">
        <v>1623</v>
      </c>
      <c r="T273" t="s">
        <v>1036</v>
      </c>
      <c r="U273" t="s">
        <v>338</v>
      </c>
      <c r="V273">
        <v>50</v>
      </c>
      <c r="W273">
        <v>90</v>
      </c>
      <c r="X273" t="s">
        <v>2331</v>
      </c>
      <c r="Y273" t="s">
        <v>2300</v>
      </c>
    </row>
    <row r="274" spans="8:25">
      <c r="H274" t="s">
        <v>1628</v>
      </c>
      <c r="I274" t="s">
        <v>1035</v>
      </c>
      <c r="J274" t="s">
        <v>1680</v>
      </c>
      <c r="K274">
        <v>0</v>
      </c>
      <c r="L274">
        <v>10</v>
      </c>
      <c r="M274" t="s">
        <v>2342</v>
      </c>
      <c r="N274" t="s">
        <v>2300</v>
      </c>
      <c r="S274" t="s">
        <v>1623</v>
      </c>
      <c r="T274" t="s">
        <v>1041</v>
      </c>
      <c r="U274" t="s">
        <v>1742</v>
      </c>
      <c r="V274">
        <v>10</v>
      </c>
      <c r="W274">
        <v>35</v>
      </c>
      <c r="X274" t="s">
        <v>2313</v>
      </c>
      <c r="Y274" t="s">
        <v>2301</v>
      </c>
    </row>
    <row r="275" spans="8:25">
      <c r="H275" t="s">
        <v>1628</v>
      </c>
      <c r="I275" t="s">
        <v>1036</v>
      </c>
      <c r="J275" t="s">
        <v>1672</v>
      </c>
      <c r="K275">
        <v>30</v>
      </c>
      <c r="L275">
        <v>60</v>
      </c>
      <c r="M275" t="s">
        <v>2410</v>
      </c>
      <c r="N275" t="s">
        <v>2300</v>
      </c>
      <c r="S275" t="s">
        <v>1623</v>
      </c>
      <c r="T275" t="s">
        <v>1040</v>
      </c>
      <c r="U275" t="s">
        <v>1680</v>
      </c>
      <c r="V275">
        <v>0</v>
      </c>
      <c r="W275">
        <v>15</v>
      </c>
      <c r="X275" t="s">
        <v>2338</v>
      </c>
      <c r="Y275" t="s">
        <v>2301</v>
      </c>
    </row>
    <row r="276" spans="8:25">
      <c r="H276" t="s">
        <v>1628</v>
      </c>
      <c r="I276" t="s">
        <v>1751</v>
      </c>
      <c r="J276" t="s">
        <v>1771</v>
      </c>
      <c r="K276">
        <v>40</v>
      </c>
      <c r="L276">
        <v>70</v>
      </c>
      <c r="M276" t="s">
        <v>2282</v>
      </c>
      <c r="N276" t="s">
        <v>2300</v>
      </c>
      <c r="S276" t="s">
        <v>1649</v>
      </c>
      <c r="T276" t="s">
        <v>1035</v>
      </c>
      <c r="U276" t="s">
        <v>1771</v>
      </c>
      <c r="V276">
        <v>20</v>
      </c>
      <c r="W276">
        <v>60</v>
      </c>
      <c r="X276" t="s">
        <v>2328</v>
      </c>
      <c r="Y276" t="s">
        <v>2300</v>
      </c>
    </row>
    <row r="277" spans="8:25">
      <c r="H277" t="s">
        <v>1630</v>
      </c>
      <c r="I277" t="s">
        <v>1035</v>
      </c>
      <c r="J277" t="s">
        <v>1681</v>
      </c>
      <c r="K277">
        <v>60</v>
      </c>
      <c r="L277">
        <v>100</v>
      </c>
      <c r="M277" t="s">
        <v>2421</v>
      </c>
      <c r="N277" t="s">
        <v>2300</v>
      </c>
      <c r="S277" t="s">
        <v>1649</v>
      </c>
      <c r="T277" t="s">
        <v>1036</v>
      </c>
      <c r="U277" t="s">
        <v>1771</v>
      </c>
      <c r="V277">
        <v>30</v>
      </c>
      <c r="W277">
        <v>80</v>
      </c>
      <c r="X277" t="s">
        <v>2329</v>
      </c>
      <c r="Y277" t="s">
        <v>2300</v>
      </c>
    </row>
    <row r="278" spans="8:25">
      <c r="H278" t="s">
        <v>1630</v>
      </c>
      <c r="I278" t="s">
        <v>1036</v>
      </c>
      <c r="J278" t="s">
        <v>1670</v>
      </c>
      <c r="K278">
        <v>0</v>
      </c>
      <c r="L278">
        <v>40</v>
      </c>
      <c r="M278" t="s">
        <v>2329</v>
      </c>
      <c r="N278" t="s">
        <v>2300</v>
      </c>
      <c r="S278" t="s">
        <v>1649</v>
      </c>
      <c r="T278" t="s">
        <v>1041</v>
      </c>
      <c r="U278" t="s">
        <v>1670</v>
      </c>
      <c r="V278">
        <v>0</v>
      </c>
      <c r="W278">
        <v>15</v>
      </c>
      <c r="X278" t="s">
        <v>2307</v>
      </c>
      <c r="Y278" t="s">
        <v>2301</v>
      </c>
    </row>
    <row r="279" spans="8:25">
      <c r="H279" t="s">
        <v>1630</v>
      </c>
      <c r="I279" t="s">
        <v>1751</v>
      </c>
      <c r="J279" t="s">
        <v>1680</v>
      </c>
      <c r="K279">
        <v>0</v>
      </c>
      <c r="L279">
        <v>10</v>
      </c>
      <c r="M279" t="s">
        <v>2418</v>
      </c>
      <c r="N279" t="s">
        <v>2300</v>
      </c>
      <c r="S279" t="s">
        <v>1649</v>
      </c>
      <c r="T279" t="s">
        <v>1040</v>
      </c>
      <c r="U279" t="s">
        <v>1680</v>
      </c>
      <c r="V279">
        <v>0</v>
      </c>
      <c r="W279">
        <v>10</v>
      </c>
      <c r="X279" t="s">
        <v>2339</v>
      </c>
      <c r="Y279" t="s">
        <v>2301</v>
      </c>
    </row>
    <row r="280" spans="8:25">
      <c r="S280" t="s">
        <v>1690</v>
      </c>
      <c r="T280" t="s">
        <v>1035</v>
      </c>
      <c r="U280" t="s">
        <v>1680</v>
      </c>
      <c r="V280">
        <v>0</v>
      </c>
      <c r="W280">
        <v>10</v>
      </c>
      <c r="X280" t="s">
        <v>2340</v>
      </c>
      <c r="Y280" t="s">
        <v>2300</v>
      </c>
    </row>
    <row r="281" spans="8:25">
      <c r="S281" t="s">
        <v>1690</v>
      </c>
      <c r="T281" t="s">
        <v>1036</v>
      </c>
      <c r="U281" t="s">
        <v>1742</v>
      </c>
      <c r="V281">
        <v>10</v>
      </c>
      <c r="W281">
        <v>50</v>
      </c>
      <c r="X281" t="s">
        <v>2331</v>
      </c>
      <c r="Y281" t="s">
        <v>2300</v>
      </c>
    </row>
    <row r="282" spans="8:25">
      <c r="S282" t="s">
        <v>1690</v>
      </c>
      <c r="T282" t="s">
        <v>1041</v>
      </c>
      <c r="U282" t="s">
        <v>338</v>
      </c>
      <c r="V282">
        <v>40</v>
      </c>
      <c r="W282">
        <v>90</v>
      </c>
      <c r="X282" t="s">
        <v>2313</v>
      </c>
      <c r="Y282" t="s">
        <v>2301</v>
      </c>
    </row>
    <row r="283" spans="8:25">
      <c r="S283" t="s">
        <v>1690</v>
      </c>
      <c r="T283" t="s">
        <v>1040</v>
      </c>
      <c r="U283" t="s">
        <v>1670</v>
      </c>
      <c r="V283">
        <v>0</v>
      </c>
      <c r="W283">
        <v>20</v>
      </c>
      <c r="X283" t="s">
        <v>2338</v>
      </c>
      <c r="Y283" t="s">
        <v>2301</v>
      </c>
    </row>
    <row r="284" spans="8:25">
      <c r="S284" t="s">
        <v>1626</v>
      </c>
      <c r="T284" t="s">
        <v>1035</v>
      </c>
      <c r="U284" t="s">
        <v>1680</v>
      </c>
      <c r="V284">
        <v>0</v>
      </c>
      <c r="W284">
        <v>10</v>
      </c>
      <c r="X284" t="s">
        <v>2341</v>
      </c>
      <c r="Y284" t="s">
        <v>2300</v>
      </c>
    </row>
    <row r="285" spans="8:25">
      <c r="S285" t="s">
        <v>1626</v>
      </c>
      <c r="T285" t="s">
        <v>1036</v>
      </c>
      <c r="U285" t="s">
        <v>1670</v>
      </c>
      <c r="V285">
        <v>0</v>
      </c>
      <c r="W285">
        <v>30</v>
      </c>
      <c r="X285" t="s">
        <v>2327</v>
      </c>
      <c r="Y285" t="s">
        <v>2300</v>
      </c>
    </row>
    <row r="286" spans="8:25">
      <c r="S286" t="s">
        <v>1626</v>
      </c>
      <c r="T286" t="s">
        <v>1041</v>
      </c>
      <c r="U286" t="s">
        <v>338</v>
      </c>
      <c r="V286">
        <v>35</v>
      </c>
      <c r="W286">
        <v>70</v>
      </c>
      <c r="X286" t="s">
        <v>2282</v>
      </c>
      <c r="Y286" t="s">
        <v>2301</v>
      </c>
    </row>
    <row r="287" spans="8:25">
      <c r="S287" t="s">
        <v>1626</v>
      </c>
      <c r="T287" t="s">
        <v>1040</v>
      </c>
      <c r="U287" t="s">
        <v>1672</v>
      </c>
      <c r="V287">
        <v>20</v>
      </c>
      <c r="W287">
        <v>45</v>
      </c>
      <c r="X287" t="s">
        <v>2303</v>
      </c>
      <c r="Y287" t="s">
        <v>2301</v>
      </c>
    </row>
    <row r="288" spans="8:25">
      <c r="S288" t="s">
        <v>1628</v>
      </c>
      <c r="T288" t="s">
        <v>1035</v>
      </c>
      <c r="U288" t="s">
        <v>1680</v>
      </c>
      <c r="V288">
        <v>0</v>
      </c>
      <c r="W288">
        <v>10</v>
      </c>
      <c r="X288" t="s">
        <v>2342</v>
      </c>
      <c r="Y288" t="s">
        <v>2300</v>
      </c>
    </row>
    <row r="289" spans="19:25">
      <c r="S289" t="s">
        <v>1628</v>
      </c>
      <c r="T289" t="s">
        <v>1036</v>
      </c>
      <c r="U289" t="s">
        <v>1672</v>
      </c>
      <c r="V289">
        <v>20</v>
      </c>
      <c r="W289">
        <v>60</v>
      </c>
      <c r="X289" t="s">
        <v>2331</v>
      </c>
      <c r="Y289" t="s">
        <v>2300</v>
      </c>
    </row>
    <row r="290" spans="19:25">
      <c r="S290" t="s">
        <v>1628</v>
      </c>
      <c r="T290" t="s">
        <v>1041</v>
      </c>
      <c r="U290" t="s">
        <v>1771</v>
      </c>
      <c r="V290">
        <v>30</v>
      </c>
      <c r="W290">
        <v>70</v>
      </c>
      <c r="X290" t="s">
        <v>2307</v>
      </c>
      <c r="Y290" t="s">
        <v>2301</v>
      </c>
    </row>
    <row r="291" spans="19:25">
      <c r="S291" t="s">
        <v>1628</v>
      </c>
      <c r="T291" t="s">
        <v>1040</v>
      </c>
      <c r="U291" t="s">
        <v>1670</v>
      </c>
      <c r="V291">
        <v>0</v>
      </c>
      <c r="W291">
        <v>20</v>
      </c>
      <c r="X291" t="s">
        <v>2338</v>
      </c>
      <c r="Y291" t="s">
        <v>2301</v>
      </c>
    </row>
    <row r="292" spans="19:25">
      <c r="S292" t="s">
        <v>1630</v>
      </c>
      <c r="T292" t="s">
        <v>1035</v>
      </c>
      <c r="U292" t="s">
        <v>1681</v>
      </c>
      <c r="V292">
        <v>60</v>
      </c>
      <c r="W292">
        <v>100</v>
      </c>
      <c r="X292" t="s">
        <v>2343</v>
      </c>
      <c r="Y292" t="s">
        <v>2300</v>
      </c>
    </row>
    <row r="293" spans="19:25">
      <c r="S293" t="s">
        <v>1630</v>
      </c>
      <c r="T293" t="s">
        <v>1036</v>
      </c>
      <c r="U293" t="s">
        <v>1670</v>
      </c>
      <c r="V293">
        <v>0</v>
      </c>
      <c r="W293">
        <v>35</v>
      </c>
      <c r="X293" t="s">
        <v>2329</v>
      </c>
      <c r="Y293" t="s">
        <v>2300</v>
      </c>
    </row>
    <row r="294" spans="19:25">
      <c r="S294" t="s">
        <v>1630</v>
      </c>
      <c r="T294" t="s">
        <v>1041</v>
      </c>
      <c r="U294" t="s">
        <v>1680</v>
      </c>
      <c r="V294">
        <v>0</v>
      </c>
      <c r="W294">
        <v>10</v>
      </c>
      <c r="X294" t="s">
        <v>2307</v>
      </c>
      <c r="Y294" t="s">
        <v>2301</v>
      </c>
    </row>
    <row r="295" spans="19:25">
      <c r="S295" t="s">
        <v>1630</v>
      </c>
      <c r="T295" t="s">
        <v>1040</v>
      </c>
      <c r="U295" t="s">
        <v>1680</v>
      </c>
      <c r="V295">
        <v>0</v>
      </c>
      <c r="W295">
        <v>10</v>
      </c>
      <c r="X295" t="s">
        <v>2339</v>
      </c>
      <c r="Y295" t="s">
        <v>2301</v>
      </c>
    </row>
    <row r="296" spans="19:25">
      <c r="S296" t="s">
        <v>1625</v>
      </c>
      <c r="T296" t="s">
        <v>343</v>
      </c>
      <c r="U296" t="s">
        <v>1760</v>
      </c>
      <c r="V296">
        <v>1</v>
      </c>
      <c r="W296">
        <v>3</v>
      </c>
      <c r="X296" t="s">
        <v>2314</v>
      </c>
      <c r="Y296" t="s">
        <v>1731</v>
      </c>
    </row>
    <row r="297" spans="19:25">
      <c r="S297" t="s">
        <v>1630</v>
      </c>
      <c r="T297" t="s">
        <v>1035</v>
      </c>
      <c r="U297" t="s">
        <v>1681</v>
      </c>
      <c r="V297">
        <v>60</v>
      </c>
      <c r="W297">
        <v>100</v>
      </c>
      <c r="X297" t="s">
        <v>2315</v>
      </c>
      <c r="Y297" t="s">
        <v>2300</v>
      </c>
    </row>
    <row r="298" spans="19:25">
      <c r="S298" t="s">
        <v>1630</v>
      </c>
      <c r="T298" t="s">
        <v>1036</v>
      </c>
      <c r="U298" t="s">
        <v>1670</v>
      </c>
      <c r="V298">
        <v>0</v>
      </c>
      <c r="W298">
        <v>35</v>
      </c>
      <c r="X298" t="s">
        <v>2316</v>
      </c>
      <c r="Y298" t="s">
        <v>2300</v>
      </c>
    </row>
    <row r="299" spans="19:25">
      <c r="S299" t="s">
        <v>1630</v>
      </c>
      <c r="T299" t="s">
        <v>1041</v>
      </c>
      <c r="U299" t="s">
        <v>1680</v>
      </c>
      <c r="V299">
        <v>0</v>
      </c>
      <c r="W299">
        <v>10</v>
      </c>
      <c r="X299" t="s">
        <v>2307</v>
      </c>
      <c r="Y299" t="s">
        <v>2301</v>
      </c>
    </row>
    <row r="300" spans="19:25">
      <c r="S300" t="s">
        <v>1630</v>
      </c>
      <c r="T300" t="s">
        <v>1040</v>
      </c>
      <c r="U300" t="s">
        <v>1680</v>
      </c>
      <c r="V300">
        <v>0</v>
      </c>
      <c r="W300">
        <v>10</v>
      </c>
      <c r="X300" t="s">
        <v>2317</v>
      </c>
      <c r="Y300" t="s">
        <v>2301</v>
      </c>
    </row>
    <row r="301" spans="19:25">
      <c r="S301" t="s">
        <v>1630</v>
      </c>
      <c r="T301" t="s">
        <v>1026</v>
      </c>
      <c r="U301" t="s">
        <v>1756</v>
      </c>
      <c r="V301">
        <v>0.2</v>
      </c>
      <c r="W301">
        <v>2</v>
      </c>
      <c r="X301" t="s">
        <v>2305</v>
      </c>
      <c r="Y301" t="s">
        <v>1731</v>
      </c>
    </row>
    <row r="302" spans="19:25">
      <c r="S302" t="s">
        <v>1630</v>
      </c>
      <c r="T302" t="s">
        <v>1027</v>
      </c>
      <c r="U302" t="s">
        <v>1756</v>
      </c>
      <c r="V302">
        <v>0.6</v>
      </c>
      <c r="W302">
        <v>6</v>
      </c>
      <c r="X302" t="s">
        <v>2310</v>
      </c>
      <c r="Y302" t="s">
        <v>1731</v>
      </c>
    </row>
    <row r="303" spans="19:25">
      <c r="S303" t="s">
        <v>1630</v>
      </c>
      <c r="T303" t="s">
        <v>1028</v>
      </c>
      <c r="U303" t="s">
        <v>1757</v>
      </c>
      <c r="V303">
        <v>2</v>
      </c>
      <c r="W303">
        <v>20</v>
      </c>
      <c r="X303" t="s">
        <v>2306</v>
      </c>
      <c r="Y303" t="s">
        <v>1731</v>
      </c>
    </row>
    <row r="304" spans="19:25">
      <c r="S304" t="s">
        <v>1630</v>
      </c>
      <c r="T304" t="s">
        <v>557</v>
      </c>
      <c r="U304" t="s">
        <v>1764</v>
      </c>
      <c r="V304">
        <v>4</v>
      </c>
      <c r="W304">
        <v>20</v>
      </c>
      <c r="X304" t="s">
        <v>2318</v>
      </c>
      <c r="Y304" t="s">
        <v>1745</v>
      </c>
    </row>
    <row r="305" spans="19:25">
      <c r="S305" t="s">
        <v>1630</v>
      </c>
      <c r="T305" t="s">
        <v>343</v>
      </c>
      <c r="U305" t="s">
        <v>1760</v>
      </c>
      <c r="V305">
        <v>1</v>
      </c>
      <c r="W305">
        <v>3</v>
      </c>
      <c r="X305" t="s">
        <v>2311</v>
      </c>
      <c r="Y305" t="s">
        <v>1745</v>
      </c>
    </row>
    <row r="306" spans="19:25">
      <c r="S306" t="s">
        <v>1026</v>
      </c>
      <c r="T306" t="s">
        <v>2344</v>
      </c>
      <c r="U306" t="s">
        <v>90</v>
      </c>
      <c r="V306" t="s">
        <v>90</v>
      </c>
      <c r="W306" t="s">
        <v>2345</v>
      </c>
    </row>
    <row r="307" spans="19:25">
      <c r="S307" t="s">
        <v>1027</v>
      </c>
      <c r="T307" t="s">
        <v>90</v>
      </c>
      <c r="U307" t="s">
        <v>90</v>
      </c>
      <c r="V307" t="s">
        <v>90</v>
      </c>
      <c r="W307" t="s">
        <v>2346</v>
      </c>
    </row>
    <row r="308" spans="19:25">
      <c r="S308" t="s">
        <v>1028</v>
      </c>
      <c r="T308" t="s">
        <v>90</v>
      </c>
      <c r="U308" t="s">
        <v>90</v>
      </c>
      <c r="V308" t="s">
        <v>90</v>
      </c>
      <c r="W308" t="s">
        <v>2302</v>
      </c>
    </row>
    <row r="309" spans="19:25">
      <c r="S309" t="s">
        <v>557</v>
      </c>
      <c r="T309" t="s">
        <v>2347</v>
      </c>
      <c r="U309" t="s">
        <v>2348</v>
      </c>
      <c r="V309" t="s">
        <v>2348</v>
      </c>
      <c r="W309" t="s">
        <v>2349</v>
      </c>
    </row>
    <row r="310" spans="19:25">
      <c r="S310" t="s">
        <v>343</v>
      </c>
      <c r="T310" t="s">
        <v>1764</v>
      </c>
      <c r="U310">
        <v>1</v>
      </c>
      <c r="V310">
        <v>3</v>
      </c>
      <c r="W310" t="s">
        <v>2309</v>
      </c>
    </row>
  </sheetData>
  <mergeCells count="14">
    <mergeCell ref="L164:M164"/>
    <mergeCell ref="T29:T30"/>
    <mergeCell ref="R29:R30"/>
    <mergeCell ref="S29:S30"/>
    <mergeCell ref="C99:D99"/>
    <mergeCell ref="A11:C11"/>
    <mergeCell ref="A12:C12"/>
    <mergeCell ref="L12:N12"/>
    <mergeCell ref="A13:C13"/>
    <mergeCell ref="A7:C7"/>
    <mergeCell ref="A9:C9"/>
    <mergeCell ref="L9:N9"/>
    <mergeCell ref="A10:C10"/>
    <mergeCell ref="L10:N10"/>
  </mergeCells>
  <conditionalFormatting sqref="K162:K170">
    <cfRule type="expression" dxfId="333" priority="1">
      <formula>ISNUMBER(SEARCH("RE-ANALYZE",$L162))</formula>
    </cfRule>
    <cfRule type="expression" dxfId="332" priority="2">
      <formula>ISNUMBER(SEARCH("REVIEW",$L162))</formula>
    </cfRule>
    <cfRule type="expression" dxfId="331" priority="3">
      <formula>ISNUMBER(SEARCH("CHECK",$L162))</formula>
    </cfRule>
    <cfRule type="expression" dxfId="330" priority="4">
      <formula>ISNUMBER(SEARCH("PASS",$L162))</formula>
    </cfRule>
  </conditionalFormatting>
  <dataValidations count="3">
    <dataValidation type="list" allowBlank="1" showInputMessage="1" showErrorMessage="1" sqref="E11" xr:uid="{7B688A71-02DA-E74A-BACE-288B3484910F}">
      <formula1>$F$10:$F$11</formula1>
    </dataValidation>
    <dataValidation type="list" allowBlank="1" showInputMessage="1" showErrorMessage="1" sqref="P9" xr:uid="{A2F75C19-9FFC-4910-86B6-5557D9029E6F}">
      <formula1>"RAFLY,RIZKI,NOUFAL"</formula1>
    </dataValidation>
    <dataValidation type="list" allowBlank="1" showInputMessage="1" showErrorMessage="1" sqref="D12" xr:uid="{5CDD69D0-6578-4A14-A4FC-DDF4C649FE7A}">
      <formula1>$Y$31:$Y$42</formula1>
    </dataValidation>
  </dataValidations>
  <pageMargins left="0.7" right="0.7" top="0.75" bottom="0.75" header="0.3" footer="0.3"/>
  <pageSetup paperSize="14" orientation="portrait" horizontalDpi="0" verticalDpi="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D54B-22FF-EE49-A9E9-2A368292790E}">
  <sheetPr>
    <tabColor rgb="FFFFC000"/>
  </sheetPr>
  <dimension ref="A1:AB151"/>
  <sheetViews>
    <sheetView showGridLines="0" view="pageBreakPreview" zoomScale="55" zoomScaleNormal="95" zoomScaleSheetLayoutView="55" zoomScalePageLayoutView="112" workbookViewId="0">
      <selection activeCell="U2" sqref="U2"/>
    </sheetView>
  </sheetViews>
  <sheetFormatPr defaultColWidth="11" defaultRowHeight="15.75"/>
  <cols>
    <col min="1" max="2" width="4.875" customWidth="1"/>
    <col min="3" max="3" width="5.75" customWidth="1"/>
    <col min="4"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1586</v>
      </c>
      <c r="G2" s="1682"/>
      <c r="H2" s="1682"/>
      <c r="I2" s="1682"/>
      <c r="J2" s="1682"/>
      <c r="K2" s="1682"/>
      <c r="L2" s="1682"/>
      <c r="M2" s="1682"/>
      <c r="N2" s="1682"/>
      <c r="O2" s="1682"/>
      <c r="P2" s="1682"/>
      <c r="Q2" s="1682"/>
      <c r="R2" s="1682"/>
      <c r="S2" s="1682"/>
      <c r="T2" s="1682"/>
    </row>
    <row r="3" spans="1:25">
      <c r="A3" s="897"/>
      <c r="B3" s="897"/>
      <c r="C3" s="897"/>
      <c r="D3" s="897"/>
      <c r="E3" s="897"/>
      <c r="F3" s="1700" t="s">
        <v>304</v>
      </c>
      <c r="G3" s="1700"/>
      <c r="H3" s="1700"/>
      <c r="I3" s="1700"/>
      <c r="J3" s="1700"/>
      <c r="K3" s="1700"/>
      <c r="L3" s="1700"/>
      <c r="M3" s="1700"/>
      <c r="N3" s="1700"/>
      <c r="O3" s="1700"/>
      <c r="P3" s="1700"/>
      <c r="Q3" s="1700"/>
      <c r="R3" s="1700"/>
      <c r="S3" s="1700"/>
      <c r="T3" s="1700"/>
      <c r="U3" s="897"/>
      <c r="V3" s="897"/>
      <c r="W3" s="897"/>
      <c r="X3" s="897"/>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1"</f>
        <v>:  1 dari 1</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IF('WS-Sieve dan hidrometer'!D7="","",'WS-Sieve dan hidrometer'!D7)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"&amp;IF('WS-Sieve dan hidrometer'!D9="","",'WS-Sieve dan hidrometer'!D9)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str">
        <f>":  "&amp;IF('WS-Sieve dan hidrometer'!D10="","",'WS-Sieve dan hidrometer'!D10)</f>
        <v>:  22.50 - 22.95 m</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"&amp;IF('WS-Sieve dan hidrometer'!D11="","",'WS-Sieve dan hidrometer'!D11)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"&amp;IF('WS-Sieve dan hidrometer'!D12="","",'WS-Sieve dan hidrometer'!D12)</f>
        <v>:  Pasir Lanauan / Silty Sand</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"&amp;IF('WS-Sieve dan hidrometer'!D13="","",'WS-Sieve dan hidrometer'!D13)</f>
        <v>:  Coklat / Brown</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"&amp;IF('WS-Sieve dan hidrometer'!O12="","",TEXT('WS-Sieve dan hidrometer'!O12,"dd mmmm yyyy"))</f>
        <v>:  13 January 2026</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1227"/>
      <c r="P24" s="1227"/>
      <c r="Q24" s="1227"/>
      <c r="R24" s="1227"/>
      <c r="S24" s="1227"/>
      <c r="U24" s="1229"/>
      <c r="V24" s="1229"/>
      <c r="W24" s="1229"/>
      <c r="X24" s="1230"/>
    </row>
    <row r="25" spans="1:24" ht="8.1" customHeight="1">
      <c r="A25" s="340"/>
      <c r="B25" s="340"/>
      <c r="C25" s="340"/>
      <c r="D25" s="340"/>
      <c r="E25" s="340"/>
      <c r="F25" s="340"/>
      <c r="G25" s="340"/>
      <c r="H25" s="340"/>
      <c r="I25" s="16"/>
      <c r="J25" s="340"/>
      <c r="K25" s="340"/>
      <c r="L25" s="340"/>
      <c r="M25" s="340"/>
      <c r="N25" s="1227"/>
      <c r="O25" s="1227"/>
      <c r="P25" s="1227"/>
      <c r="Q25" s="1227"/>
      <c r="R25" s="1227"/>
      <c r="S25" s="1227"/>
      <c r="T25" s="1194"/>
      <c r="U25" s="1194"/>
      <c r="V25" s="1194"/>
      <c r="W25" s="1194"/>
      <c r="X25" s="1228"/>
    </row>
    <row r="26" spans="1:24">
      <c r="A26" s="1706" t="str">
        <f>'WS-Sieve dan hidrometer'!A2</f>
        <v>UJI SARINGAN DAN HIDROMETER</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INDUK'!$BS$27</f>
        <v>3423:2008</v>
      </c>
      <c r="W26" s="1704"/>
      <c r="X26" s="1704"/>
    </row>
    <row r="27" spans="1:24">
      <c r="A27" s="1650" t="str">
        <f>'WS-Sieve dan hidrometer'!A3</f>
        <v>SIEVE AND HIDROMETER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41" t="s">
        <v>1230</v>
      </c>
      <c r="B29" s="541"/>
      <c r="C29" s="541"/>
      <c r="D29" s="541"/>
      <c r="E29" s="541"/>
      <c r="F29" s="541"/>
      <c r="G29" s="541"/>
      <c r="H29" s="541"/>
      <c r="I29" s="859"/>
      <c r="J29" s="541"/>
      <c r="K29" s="541"/>
      <c r="L29" s="541"/>
      <c r="M29" s="541"/>
      <c r="N29" s="541"/>
      <c r="O29" s="541"/>
      <c r="P29" s="541"/>
      <c r="Q29" s="541"/>
      <c r="R29" s="541"/>
      <c r="S29" s="541"/>
      <c r="T29" s="541"/>
      <c r="U29" s="541"/>
      <c r="V29" s="541"/>
      <c r="W29" s="541"/>
      <c r="X29" s="541"/>
    </row>
    <row r="30" spans="1:24">
      <c r="A30" s="1119" t="s">
        <v>1220</v>
      </c>
      <c r="B30" s="1119"/>
      <c r="C30" s="1119"/>
      <c r="D30" s="1120"/>
      <c r="E30" s="1128"/>
      <c r="F30" s="1128"/>
      <c r="G30" s="1128"/>
      <c r="H30" s="1128"/>
      <c r="I30" s="1129"/>
      <c r="J30" s="1128"/>
      <c r="K30" s="1128"/>
      <c r="L30" s="335"/>
      <c r="M30" s="335"/>
      <c r="N30" s="540" t="s">
        <v>1221</v>
      </c>
      <c r="O30" s="540"/>
      <c r="P30" s="540"/>
      <c r="Q30" s="540"/>
      <c r="R30" s="335"/>
      <c r="S30" s="335"/>
      <c r="T30" s="335"/>
      <c r="U30" s="335"/>
      <c r="V30" s="335"/>
      <c r="W30" s="335"/>
      <c r="X30" s="335"/>
    </row>
    <row r="31" spans="1:24" ht="15.95" customHeight="1">
      <c r="A31" s="1838" t="s">
        <v>1216</v>
      </c>
      <c r="B31" s="1838"/>
      <c r="C31" s="1838"/>
      <c r="D31" s="1838" t="s">
        <v>1217</v>
      </c>
      <c r="E31" s="1838"/>
      <c r="F31" s="1838"/>
      <c r="G31" s="1838" t="s">
        <v>1218</v>
      </c>
      <c r="H31" s="1838"/>
      <c r="I31" s="1838"/>
      <c r="J31" s="1838" t="s">
        <v>1219</v>
      </c>
      <c r="K31" s="1838"/>
      <c r="L31" s="1226"/>
      <c r="M31" s="335"/>
      <c r="N31" s="1854" t="s">
        <v>1222</v>
      </c>
      <c r="O31" s="1854"/>
      <c r="P31" s="1854"/>
      <c r="Q31" s="1854" t="s">
        <v>1223</v>
      </c>
      <c r="R31" s="1854"/>
      <c r="S31" s="1854"/>
      <c r="T31" s="335"/>
      <c r="U31" s="335"/>
      <c r="V31" s="335"/>
      <c r="W31" s="335"/>
      <c r="X31" s="335"/>
    </row>
    <row r="32" spans="1:24" ht="30" customHeight="1">
      <c r="A32" s="1838"/>
      <c r="B32" s="1838"/>
      <c r="C32" s="1838"/>
      <c r="D32" s="1838"/>
      <c r="E32" s="1838"/>
      <c r="F32" s="1838"/>
      <c r="G32" s="1838"/>
      <c r="H32" s="1838"/>
      <c r="I32" s="1838"/>
      <c r="J32" s="1838"/>
      <c r="K32" s="1838"/>
      <c r="L32" s="15"/>
      <c r="M32" s="335"/>
      <c r="N32" s="1854"/>
      <c r="O32" s="1854"/>
      <c r="P32" s="1854"/>
      <c r="Q32" s="1854"/>
      <c r="R32" s="1854"/>
      <c r="S32" s="1854"/>
      <c r="T32" s="335"/>
      <c r="U32" s="335"/>
      <c r="V32" s="335"/>
      <c r="W32" s="335"/>
      <c r="X32" s="335"/>
    </row>
    <row r="33" spans="1:27">
      <c r="A33" s="1841">
        <f>'WS-Sieve dan hidrometer'!B113</f>
        <v>4</v>
      </c>
      <c r="B33" s="1841"/>
      <c r="C33" s="1841"/>
      <c r="D33" s="1841">
        <f>'WS-Sieve dan hidrometer'!C113</f>
        <v>0</v>
      </c>
      <c r="E33" s="1841"/>
      <c r="F33" s="1841"/>
      <c r="G33" s="1824">
        <f>'WS-Sieve dan hidrometer'!D113</f>
        <v>0</v>
      </c>
      <c r="H33" s="1824"/>
      <c r="I33" s="1824"/>
      <c r="J33" s="1824">
        <f>'WS-Sieve dan hidrometer'!E113</f>
        <v>100</v>
      </c>
      <c r="K33" s="1824"/>
      <c r="L33" s="15"/>
      <c r="M33" s="335"/>
      <c r="N33" s="1837">
        <f>'WS-Sieve dan hidrometer'!B123</f>
        <v>8.7735697649441252E-2</v>
      </c>
      <c r="O33" s="1837"/>
      <c r="P33" s="1837"/>
      <c r="Q33" s="1837">
        <f>'WS-Sieve dan hidrometer'!C123</f>
        <v>68.507588532883673</v>
      </c>
      <c r="R33" s="1837"/>
      <c r="S33" s="1837"/>
      <c r="T33" s="15"/>
      <c r="U33" s="15"/>
      <c r="V33" s="15"/>
      <c r="W33" s="15"/>
      <c r="X33" s="15"/>
    </row>
    <row r="34" spans="1:27">
      <c r="A34" s="1841">
        <f>'WS-Sieve dan hidrometer'!B114</f>
        <v>8</v>
      </c>
      <c r="B34" s="1841"/>
      <c r="C34" s="1841"/>
      <c r="D34" s="1841">
        <f>'WS-Sieve dan hidrometer'!C114</f>
        <v>6.06</v>
      </c>
      <c r="E34" s="1841"/>
      <c r="F34" s="1841"/>
      <c r="G34" s="1824">
        <f>'WS-Sieve dan hidrometer'!D114</f>
        <v>9.961698420265316</v>
      </c>
      <c r="H34" s="1824"/>
      <c r="I34" s="1824"/>
      <c r="J34" s="1824">
        <f>'WS-Sieve dan hidrometer'!E114</f>
        <v>90.038301579734679</v>
      </c>
      <c r="K34" s="1824"/>
      <c r="L34" s="15"/>
      <c r="M34" s="335"/>
      <c r="N34" s="1837">
        <f>'WS-Sieve dan hidrometer'!B124</f>
        <v>5.1813643842652218E-2</v>
      </c>
      <c r="O34" s="1837"/>
      <c r="P34" s="1837"/>
      <c r="Q34" s="1837">
        <f>'WS-Sieve dan hidrometer'!C124</f>
        <v>47.428330522765613</v>
      </c>
      <c r="R34" s="1837"/>
      <c r="S34" s="1837"/>
      <c r="T34" s="15"/>
      <c r="U34" s="15"/>
      <c r="V34" s="15"/>
      <c r="W34" s="15"/>
      <c r="X34" s="15"/>
    </row>
    <row r="35" spans="1:27">
      <c r="A35" s="1841">
        <f>'WS-Sieve dan hidrometer'!B115</f>
        <v>20</v>
      </c>
      <c r="B35" s="1841"/>
      <c r="C35" s="1841"/>
      <c r="D35" s="1841">
        <f>'WS-Sieve dan hidrometer'!C115</f>
        <v>9.7210000000000001</v>
      </c>
      <c r="E35" s="1841"/>
      <c r="F35" s="1841"/>
      <c r="G35" s="1824">
        <f>'WS-Sieve dan hidrometer'!D115</f>
        <v>15.979813588019661</v>
      </c>
      <c r="H35" s="1824"/>
      <c r="I35" s="1824"/>
      <c r="J35" s="1824">
        <f>'WS-Sieve dan hidrometer'!E115</f>
        <v>74.058487991715026</v>
      </c>
      <c r="K35" s="1824"/>
      <c r="L35" s="15"/>
      <c r="M35" s="335"/>
      <c r="N35" s="1837">
        <f>'WS-Sieve dan hidrometer'!B125</f>
        <v>3.7240809563800964E-2</v>
      </c>
      <c r="O35" s="1837"/>
      <c r="P35" s="1837"/>
      <c r="Q35" s="1837">
        <f>'WS-Sieve dan hidrometer'!C125</f>
        <v>31.618887015177076</v>
      </c>
      <c r="R35" s="1837"/>
      <c r="S35" s="1837"/>
      <c r="T35" s="15"/>
      <c r="U35" s="15"/>
      <c r="V35" s="15"/>
      <c r="W35" s="15"/>
      <c r="X35" s="15"/>
    </row>
    <row r="36" spans="1:27">
      <c r="A36" s="1841">
        <f>'WS-Sieve dan hidrometer'!B116</f>
        <v>40</v>
      </c>
      <c r="B36" s="1841"/>
      <c r="C36" s="1841"/>
      <c r="D36" s="1841">
        <f>'WS-Sieve dan hidrometer'!C116</f>
        <v>10.176</v>
      </c>
      <c r="E36" s="1841"/>
      <c r="F36" s="1841"/>
      <c r="G36" s="1824">
        <f>'WS-Sieve dan hidrometer'!D116</f>
        <v>16.727762891851462</v>
      </c>
      <c r="H36" s="1824"/>
      <c r="I36" s="1824"/>
      <c r="J36" s="1824">
        <f>'WS-Sieve dan hidrometer'!E116</f>
        <v>57.330725099863557</v>
      </c>
      <c r="K36" s="1824"/>
      <c r="L36" s="15"/>
      <c r="M36" s="335"/>
      <c r="N36" s="1837">
        <f>'WS-Sieve dan hidrometer'!B126</f>
        <v>2.6613705105274974E-2</v>
      </c>
      <c r="O36" s="1837"/>
      <c r="P36" s="1837"/>
      <c r="Q36" s="1837">
        <f>'WS-Sieve dan hidrometer'!C126</f>
        <v>21.079258010118053</v>
      </c>
      <c r="R36" s="1837"/>
      <c r="S36" s="1837"/>
      <c r="T36" s="15"/>
      <c r="U36" s="15"/>
      <c r="V36" s="15"/>
      <c r="W36" s="15"/>
      <c r="X36" s="15"/>
    </row>
    <row r="37" spans="1:27">
      <c r="A37" s="1841">
        <f>'WS-Sieve dan hidrometer'!B117</f>
        <v>80</v>
      </c>
      <c r="B37" s="1841"/>
      <c r="C37" s="1841"/>
      <c r="D37" s="1841">
        <f>'WS-Sieve dan hidrometer'!C117</f>
        <v>6.2</v>
      </c>
      <c r="E37" s="1841"/>
      <c r="F37" s="1841"/>
      <c r="G37" s="1824">
        <f>'WS-Sieve dan hidrometer'!D117</f>
        <v>10.19183666759818</v>
      </c>
      <c r="H37" s="1824"/>
      <c r="I37" s="1824"/>
      <c r="J37" s="1824">
        <f>'WS-Sieve dan hidrometer'!E117</f>
        <v>47.138888432265375</v>
      </c>
      <c r="K37" s="1824"/>
      <c r="L37" s="1127"/>
      <c r="N37" s="1837">
        <f>'WS-Sieve dan hidrometer'!B127</f>
        <v>1.3445628010411357E-2</v>
      </c>
      <c r="O37" s="1837"/>
      <c r="P37" s="1837"/>
      <c r="Q37" s="1837">
        <f>'WS-Sieve dan hidrometer'!C127</f>
        <v>10.539629005059027</v>
      </c>
      <c r="R37" s="1837"/>
      <c r="S37" s="1837"/>
      <c r="T37" s="1127"/>
      <c r="U37" s="1127"/>
      <c r="V37" s="1127"/>
      <c r="W37" s="1127"/>
      <c r="X37" s="1127"/>
    </row>
    <row r="38" spans="1:27">
      <c r="A38" s="1841">
        <f>'WS-Sieve dan hidrometer'!B118</f>
        <v>100</v>
      </c>
      <c r="B38" s="1841"/>
      <c r="C38" s="1841"/>
      <c r="D38" s="1841">
        <f>'WS-Sieve dan hidrometer'!C118</f>
        <v>5.9169999999999998</v>
      </c>
      <c r="E38" s="1841"/>
      <c r="F38" s="1841"/>
      <c r="G38" s="1824">
        <f>'WS-Sieve dan hidrometer'!D118</f>
        <v>9.726628639061035</v>
      </c>
      <c r="H38" s="1824"/>
      <c r="I38" s="1824"/>
      <c r="J38" s="1824">
        <f>'WS-Sieve dan hidrometer'!E118</f>
        <v>37.412259793204342</v>
      </c>
      <c r="K38" s="1824"/>
      <c r="L38" s="1127"/>
      <c r="N38" s="1836"/>
      <c r="O38" s="1836"/>
      <c r="P38" s="1836"/>
      <c r="Q38" s="1847"/>
      <c r="R38" s="1847"/>
      <c r="S38" s="1847"/>
      <c r="T38" s="1127"/>
      <c r="U38" s="1127"/>
      <c r="V38" s="1127"/>
      <c r="W38" s="1127"/>
      <c r="X38" s="1127"/>
    </row>
    <row r="39" spans="1:27">
      <c r="A39" s="1841">
        <f>'WS-Sieve dan hidrometer'!B119</f>
        <v>200</v>
      </c>
      <c r="B39" s="1841"/>
      <c r="C39" s="1841"/>
      <c r="D39" s="1841">
        <f>'WS-Sieve dan hidrometer'!C119</f>
        <v>3.7829999999999999</v>
      </c>
      <c r="E39" s="1841"/>
      <c r="F39" s="1841"/>
      <c r="G39" s="1824">
        <f>'WS-Sieve dan hidrometer'!D119</f>
        <v>6.2186642118586954</v>
      </c>
      <c r="H39" s="1824"/>
      <c r="I39" s="1824"/>
      <c r="J39" s="1824">
        <f>'WS-Sieve dan hidrometer'!E119</f>
        <v>31.193595581345647</v>
      </c>
      <c r="K39" s="1824"/>
    </row>
    <row r="40" spans="1:27">
      <c r="B40" s="710"/>
      <c r="C40" s="710"/>
      <c r="D40" s="710"/>
      <c r="E40" s="710"/>
      <c r="F40" s="710"/>
      <c r="G40" s="710"/>
      <c r="H40" s="710"/>
      <c r="I40" s="710"/>
      <c r="J40" s="710"/>
      <c r="K40" s="710"/>
      <c r="L40" s="710"/>
    </row>
    <row r="41" spans="1:27">
      <c r="A41" s="541" t="s">
        <v>184</v>
      </c>
      <c r="B41" s="877"/>
      <c r="C41" s="877"/>
      <c r="D41" s="877"/>
      <c r="E41" s="877"/>
      <c r="F41" s="877"/>
      <c r="G41" s="877"/>
      <c r="H41" s="877"/>
      <c r="I41" s="878"/>
      <c r="J41" s="877"/>
      <c r="K41" s="877"/>
      <c r="L41" s="877"/>
      <c r="N41" s="541" t="s">
        <v>1225</v>
      </c>
      <c r="O41" s="541"/>
      <c r="P41" s="541"/>
      <c r="Q41" s="541"/>
      <c r="R41" s="541"/>
      <c r="S41" s="541"/>
      <c r="T41" s="541"/>
      <c r="U41" s="541"/>
      <c r="V41" s="541"/>
      <c r="W41" s="541"/>
      <c r="X41" s="541"/>
    </row>
    <row r="42" spans="1:27">
      <c r="A42" s="540" t="s">
        <v>1224</v>
      </c>
      <c r="N42" s="540"/>
      <c r="O42" s="1" t="s">
        <v>1481</v>
      </c>
      <c r="P42" s="1"/>
      <c r="Q42" s="1"/>
      <c r="R42" s="1"/>
      <c r="S42" s="1"/>
      <c r="T42" s="1"/>
      <c r="U42" s="1"/>
      <c r="V42" s="1176">
        <f>'WS-Sieve dan hidrometer'!C132</f>
        <v>2.6779999999999999</v>
      </c>
      <c r="W42" s="15"/>
      <c r="X42" s="15"/>
    </row>
    <row r="43" spans="1:27">
      <c r="O43" s="1" t="s">
        <v>1251</v>
      </c>
      <c r="P43" s="1"/>
      <c r="Q43" s="1"/>
      <c r="R43" s="1"/>
      <c r="S43" s="1"/>
      <c r="T43" s="1"/>
      <c r="U43" s="1"/>
      <c r="V43" s="1272">
        <f>'WS-Sieve dan hidrometer'!C133</f>
        <v>0</v>
      </c>
      <c r="W43" s="15"/>
      <c r="X43" s="15"/>
    </row>
    <row r="44" spans="1:27">
      <c r="O44" s="1" t="s">
        <v>1252</v>
      </c>
      <c r="P44" s="1"/>
      <c r="Q44" s="1"/>
      <c r="R44" s="1"/>
      <c r="S44" s="1"/>
      <c r="T44" s="1"/>
      <c r="U44" s="1"/>
      <c r="V44" s="1176">
        <f>'WS-Sieve dan hidrometer'!C134</f>
        <v>68.806404418654353</v>
      </c>
      <c r="W44" s="15"/>
      <c r="X44" s="15"/>
    </row>
    <row r="45" spans="1:27">
      <c r="O45" s="1" t="s">
        <v>1226</v>
      </c>
      <c r="P45" s="1"/>
      <c r="Q45" s="1"/>
      <c r="R45" s="1"/>
      <c r="S45" s="1"/>
      <c r="T45" s="1"/>
      <c r="U45" s="1"/>
      <c r="V45" s="1176">
        <f>'WS-Sieve dan hidrometer'!C135</f>
        <v>26.394580876523239</v>
      </c>
      <c r="W45" s="15"/>
      <c r="X45" s="15"/>
    </row>
    <row r="46" spans="1:27">
      <c r="O46" s="1" t="s">
        <v>1227</v>
      </c>
      <c r="P46" s="1"/>
      <c r="Q46" s="1"/>
      <c r="R46" s="1"/>
      <c r="S46" s="1"/>
      <c r="T46" s="1"/>
      <c r="U46" s="1"/>
      <c r="V46" s="1176">
        <f>'WS-Sieve dan hidrometer'!C136</f>
        <v>4.7990147048224072</v>
      </c>
      <c r="W46" s="15"/>
      <c r="X46" s="15"/>
      <c r="AA46" s="1273" t="s">
        <v>1343</v>
      </c>
    </row>
    <row r="47" spans="1:27" ht="15.95" customHeight="1">
      <c r="O47" s="1" t="s">
        <v>1228</v>
      </c>
      <c r="P47" s="1"/>
      <c r="Q47" s="1"/>
      <c r="R47" s="1"/>
      <c r="S47" s="1"/>
      <c r="T47" s="1"/>
      <c r="U47" s="1"/>
      <c r="V47" s="1855" t="str">
        <f>'WS-Sieve dan hidrometer'!C138</f>
        <v>Pasir dengan Butiran Halus / Sand with Fines</v>
      </c>
      <c r="W47" s="1855"/>
      <c r="X47" s="1855"/>
      <c r="AA47" s="1273" t="s">
        <v>1344</v>
      </c>
    </row>
    <row r="48" spans="1:27" ht="15.95" customHeight="1">
      <c r="O48" s="1"/>
      <c r="P48" s="1"/>
      <c r="Q48" s="1"/>
      <c r="R48" s="1"/>
      <c r="S48" s="1"/>
      <c r="T48" s="1"/>
      <c r="U48" s="1"/>
      <c r="V48" s="1855"/>
      <c r="W48" s="1855"/>
      <c r="X48" s="1855"/>
    </row>
    <row r="49" spans="3:28">
      <c r="O49" s="1" t="s">
        <v>1037</v>
      </c>
      <c r="P49" s="1"/>
      <c r="Q49" s="1"/>
      <c r="R49" s="1"/>
      <c r="S49" s="1"/>
      <c r="T49" s="1"/>
      <c r="U49" s="1"/>
      <c r="V49" s="886">
        <f>'WS-Sieve dan hidrometer'!T81</f>
        <v>0.03</v>
      </c>
      <c r="W49" s="782"/>
      <c r="X49" s="782"/>
    </row>
    <row r="50" spans="3:28">
      <c r="O50" s="1" t="s">
        <v>1038</v>
      </c>
      <c r="P50" s="1"/>
      <c r="Q50" s="1"/>
      <c r="R50" s="1"/>
      <c r="S50" s="1"/>
      <c r="T50" s="1"/>
      <c r="U50" s="1"/>
      <c r="V50" s="886">
        <f>'WS-Sieve dan hidrometer'!T86</f>
        <v>0.08</v>
      </c>
      <c r="W50" s="1130"/>
      <c r="X50" s="1130"/>
    </row>
    <row r="51" spans="3:28">
      <c r="O51" s="1" t="s">
        <v>1039</v>
      </c>
      <c r="P51" s="1"/>
      <c r="Q51" s="1"/>
      <c r="R51" s="1"/>
      <c r="S51" s="1"/>
      <c r="T51" s="1"/>
      <c r="U51" s="1"/>
      <c r="V51" s="886">
        <f>'WS-Sieve dan hidrometer'!T93</f>
        <v>0.47</v>
      </c>
      <c r="W51" s="15"/>
      <c r="X51" s="15"/>
    </row>
    <row r="52" spans="3:28">
      <c r="O52" s="1" t="s">
        <v>1048</v>
      </c>
      <c r="P52" s="1"/>
      <c r="Q52" s="1"/>
      <c r="R52" s="1"/>
      <c r="S52" s="1"/>
      <c r="T52" s="1"/>
      <c r="U52" s="1"/>
      <c r="V52" s="589">
        <f>'WS-Sieve dan hidrometer'!T95</f>
        <v>15.67</v>
      </c>
      <c r="W52" s="15"/>
      <c r="X52" s="15"/>
    </row>
    <row r="53" spans="3:28">
      <c r="O53" s="1" t="s">
        <v>1049</v>
      </c>
      <c r="P53" s="1"/>
      <c r="Q53" s="1"/>
      <c r="R53" s="1"/>
      <c r="S53" s="1"/>
      <c r="T53" s="1"/>
      <c r="U53" s="1"/>
      <c r="V53" s="886">
        <f>'WS-Sieve dan hidrometer'!T96</f>
        <v>0.45</v>
      </c>
      <c r="W53" s="15"/>
      <c r="X53" s="15"/>
    </row>
    <row r="54" spans="3:28">
      <c r="O54" s="1852" t="str">
        <f>IF(COUNTIF(V49:V53,"ND")&gt;0,"ND = Tidak dapat ditentukan karena ukuran butir yang bersesuaian berada di luar rentang data pengujian / ND = Not determined because the corresponding particle size is outside the tested data range.","")</f>
        <v/>
      </c>
      <c r="P54" s="1852"/>
      <c r="Q54" s="1852"/>
      <c r="R54" s="1852"/>
      <c r="S54" s="1852"/>
      <c r="T54" s="1852"/>
      <c r="U54" s="1852"/>
      <c r="V54" s="1852"/>
      <c r="W54" s="1852"/>
      <c r="X54" s="15"/>
    </row>
    <row r="55" spans="3:28">
      <c r="O55" s="1853"/>
      <c r="P55" s="1853"/>
      <c r="Q55" s="1853"/>
      <c r="R55" s="1853"/>
      <c r="S55" s="1853"/>
      <c r="T55" s="1853"/>
      <c r="U55" s="1853"/>
      <c r="V55" s="1853"/>
      <c r="W55" s="1853"/>
      <c r="X55" s="1351"/>
    </row>
    <row r="56" spans="3:28">
      <c r="M56" s="1271" t="s">
        <v>1050</v>
      </c>
      <c r="N56" s="1850" t="s">
        <v>1229</v>
      </c>
      <c r="O56" s="1850"/>
      <c r="P56" s="1850"/>
      <c r="Q56" s="1850"/>
      <c r="R56" s="1850"/>
      <c r="S56" s="1850"/>
      <c r="T56" s="1850"/>
      <c r="U56" s="1850"/>
      <c r="V56" s="1850"/>
      <c r="W56" s="1850"/>
      <c r="X56" s="1850"/>
      <c r="AB56" s="1012"/>
    </row>
    <row r="57" spans="3:28" ht="15.95" customHeight="1">
      <c r="N57" s="1851"/>
      <c r="O57" s="1851"/>
      <c r="P57" s="1851"/>
      <c r="Q57" s="1851"/>
      <c r="R57" s="1851"/>
      <c r="S57" s="1851"/>
      <c r="T57" s="1851"/>
      <c r="U57" s="1851"/>
      <c r="V57" s="1851"/>
      <c r="W57" s="1851"/>
      <c r="X57" s="1851"/>
      <c r="AB57" s="1012"/>
    </row>
    <row r="58" spans="3:28">
      <c r="N58" s="1352"/>
      <c r="O58" s="1352"/>
      <c r="P58" s="1352"/>
      <c r="Q58" s="1352"/>
      <c r="R58" s="1352"/>
      <c r="S58" s="1352"/>
      <c r="T58" s="1848" t="s">
        <v>1475</v>
      </c>
      <c r="U58" s="1848"/>
      <c r="V58" s="1848"/>
      <c r="W58" s="1848"/>
      <c r="X58" s="1352"/>
      <c r="AB58" s="1012"/>
    </row>
    <row r="59" spans="3:28" ht="6.95" customHeight="1">
      <c r="N59" s="1352"/>
      <c r="O59" s="1352"/>
      <c r="P59" s="1352"/>
      <c r="Q59" s="1352"/>
      <c r="R59" s="1352"/>
      <c r="S59" s="1352"/>
      <c r="T59" s="1849"/>
      <c r="U59" s="1849"/>
      <c r="V59" s="1849"/>
      <c r="W59" s="1849"/>
      <c r="X59" s="1352"/>
      <c r="AB59" s="1012"/>
    </row>
    <row r="60" spans="3:28">
      <c r="C60" s="1827" t="s">
        <v>623</v>
      </c>
      <c r="D60" s="1828"/>
      <c r="E60" s="1828"/>
      <c r="F60" s="1828"/>
      <c r="G60" s="1829"/>
      <c r="H60" s="1827" t="s">
        <v>292</v>
      </c>
      <c r="I60" s="1828"/>
      <c r="J60" s="1828"/>
      <c r="K60" s="1828"/>
      <c r="L60" s="1829"/>
      <c r="M60" s="1827" t="s">
        <v>294</v>
      </c>
      <c r="N60" s="1828"/>
      <c r="O60" s="1828"/>
      <c r="P60" s="1828"/>
      <c r="Q60" s="1828"/>
      <c r="R60" s="1829"/>
      <c r="T60" s="904"/>
      <c r="U60" s="905"/>
      <c r="V60" s="905"/>
      <c r="W60" s="906"/>
    </row>
    <row r="61" spans="3:28" ht="15.95" customHeight="1">
      <c r="C61" s="1830" t="s">
        <v>624</v>
      </c>
      <c r="D61" s="1831"/>
      <c r="E61" s="1831"/>
      <c r="F61" s="1831"/>
      <c r="G61" s="1832"/>
      <c r="H61" s="1833" t="s">
        <v>293</v>
      </c>
      <c r="I61" s="1834"/>
      <c r="J61" s="1834"/>
      <c r="K61" s="1834"/>
      <c r="L61" s="1835"/>
      <c r="M61" s="1833" t="s">
        <v>295</v>
      </c>
      <c r="N61" s="1834"/>
      <c r="O61" s="1834"/>
      <c r="P61" s="1834"/>
      <c r="Q61" s="1834"/>
      <c r="R61" s="1835"/>
      <c r="T61" s="901"/>
      <c r="W61" s="903"/>
    </row>
    <row r="62" spans="3:28" ht="15.95" customHeight="1">
      <c r="C62" s="901"/>
      <c r="D62" s="359"/>
      <c r="E62" s="359"/>
      <c r="F62" s="359"/>
      <c r="G62" s="902"/>
      <c r="H62" s="901"/>
      <c r="I62"/>
      <c r="K62" s="4"/>
      <c r="L62" s="903"/>
      <c r="M62" s="901"/>
      <c r="R62" s="903"/>
      <c r="T62" s="901"/>
      <c r="W62" s="903"/>
      <c r="Z62" s="1012"/>
      <c r="AA62" s="656" t="str">
        <f>"LHU No.   : "&amp; IF('DATA INDUK'!$H$17="","",'DATA INDUK'!$H$17)</f>
        <v>LHU No.   : 23/MGS/53/II/2026</v>
      </c>
    </row>
    <row r="63" spans="3:28">
      <c r="C63" s="901"/>
      <c r="G63" s="903"/>
      <c r="H63" s="901"/>
      <c r="I63"/>
      <c r="K63" s="4"/>
      <c r="L63" s="903"/>
      <c r="M63" s="901"/>
      <c r="R63" s="903"/>
      <c r="T63" s="901"/>
      <c r="W63" s="903"/>
      <c r="Z63" s="1012"/>
      <c r="AA63" s="1275" t="str">
        <f>"LAB ID.        : "&amp;$N$12&amp;""</f>
        <v>LAB ID.        : 26-001-DS-001</v>
      </c>
    </row>
    <row r="64" spans="3:28">
      <c r="C64" s="901"/>
      <c r="G64" s="903"/>
      <c r="H64" s="901"/>
      <c r="I64"/>
      <c r="K64" s="4"/>
      <c r="L64" s="903"/>
      <c r="M64" s="901"/>
      <c r="R64" s="903"/>
      <c r="T64" s="901"/>
      <c r="W64" s="903"/>
      <c r="Z64" s="1012" t="s">
        <v>1355</v>
      </c>
      <c r="AA64" s="1275" t="str">
        <f>"TEST TYPE   : "&amp;Z64&amp;""</f>
        <v>TEST TYPE   : Sieve &amp; Hidrometer</v>
      </c>
    </row>
    <row r="65" spans="1:27">
      <c r="C65" s="1812" t="str">
        <f>IF('WS-Sieve dan hidrometer'!$O$9="","",'WS-Sieve dan hidrometer'!$O$9)</f>
        <v>RIZKI</v>
      </c>
      <c r="D65" s="1632"/>
      <c r="E65" s="1632"/>
      <c r="F65" s="1632"/>
      <c r="G65" s="1846"/>
      <c r="H65" s="1812" t="str">
        <f>IF(C65='WS-Sieve dan hidrometer'!$O$10," - ",'WS-Sieve dan hidrometer'!$O$10)</f>
        <v>NOUFAL</v>
      </c>
      <c r="I65" s="1632"/>
      <c r="J65" s="1632"/>
      <c r="K65" s="1632"/>
      <c r="L65" s="1846"/>
      <c r="M65" s="1812" t="str">
        <f>IF('WS-Sieve dan hidrometer'!$O$11="","",('WS-Sieve dan hidrometer'!$O$11))</f>
        <v>A.SUMARTADJI</v>
      </c>
      <c r="N65" s="1632"/>
      <c r="O65" s="1632"/>
      <c r="P65" s="1632"/>
      <c r="Q65" s="1632"/>
      <c r="R65" s="1846"/>
      <c r="T65" s="901"/>
      <c r="W65" s="903"/>
      <c r="Z65" s="1276"/>
      <c r="AA65" s="1275" t="str">
        <f>"DATE            : "&amp;TEXT('DATA INDUK'!$H$19,"yyyy-mm-dd")</f>
        <v>DATE            : 2026-01-29</v>
      </c>
    </row>
    <row r="66" spans="1:27" s="15" customFormat="1" ht="12">
      <c r="C66" s="1842" t="s">
        <v>299</v>
      </c>
      <c r="D66" s="1685"/>
      <c r="E66" s="1685"/>
      <c r="F66" s="1685"/>
      <c r="G66" s="1843"/>
      <c r="H66" s="1842" t="s">
        <v>305</v>
      </c>
      <c r="I66" s="1685"/>
      <c r="J66" s="1685"/>
      <c r="K66" s="1685"/>
      <c r="L66" s="1843"/>
      <c r="M66" s="1842" t="s">
        <v>298</v>
      </c>
      <c r="N66" s="1685"/>
      <c r="O66" s="1685"/>
      <c r="P66" s="1685"/>
      <c r="Q66" s="1685"/>
      <c r="R66" s="1843"/>
      <c r="S66" s="364"/>
      <c r="T66" s="907"/>
      <c r="U66" s="364"/>
      <c r="V66" s="364"/>
      <c r="W66" s="908"/>
      <c r="X66" s="364"/>
    </row>
    <row r="67" spans="1:27" ht="15.95" customHeight="1">
      <c r="C67" s="1844" t="s">
        <v>291</v>
      </c>
      <c r="D67" s="1845"/>
      <c r="E67" s="1839">
        <f>IF('DATA INDUK'!$H$19="","",'DATA INDUK'!$H$19-1)</f>
        <v>46050</v>
      </c>
      <c r="F67" s="1839"/>
      <c r="G67" s="1840"/>
      <c r="H67" s="1844" t="s">
        <v>291</v>
      </c>
      <c r="I67" s="1845"/>
      <c r="J67" s="1839">
        <f>IF('DATA INDUK'!$H$19="","",'DATA INDUK'!$H$19-1)</f>
        <v>46050</v>
      </c>
      <c r="K67" s="1839"/>
      <c r="L67" s="1840"/>
      <c r="M67" s="1844" t="s">
        <v>291</v>
      </c>
      <c r="N67" s="1845"/>
      <c r="O67" s="1845"/>
      <c r="P67" s="1839">
        <f>IF('DATA INDUK'!$H$19="","",'DATA INDUK'!$H$19-1)</f>
        <v>46050</v>
      </c>
      <c r="Q67" s="1839"/>
      <c r="R67" s="1840"/>
      <c r="T67" s="909"/>
      <c r="U67" s="897"/>
      <c r="V67" s="897"/>
      <c r="W67" s="910"/>
    </row>
    <row r="68" spans="1:27" ht="8.1" customHeight="1">
      <c r="A68" s="897"/>
      <c r="B68" s="898"/>
      <c r="C68" s="898"/>
      <c r="D68" s="898"/>
      <c r="E68" s="898"/>
      <c r="F68" s="898"/>
      <c r="G68" s="898"/>
      <c r="H68" s="897"/>
      <c r="I68" s="899"/>
      <c r="J68" s="898"/>
      <c r="K68" s="898"/>
      <c r="L68" s="898"/>
      <c r="M68" s="898"/>
      <c r="N68" s="898"/>
      <c r="O68" s="898"/>
      <c r="P68" s="900"/>
      <c r="Q68" s="897"/>
      <c r="R68" s="897"/>
      <c r="S68" s="897"/>
      <c r="T68" s="897"/>
      <c r="U68" s="897"/>
      <c r="V68" s="897"/>
      <c r="W68" s="897"/>
      <c r="X68" s="897"/>
    </row>
    <row r="69" spans="1:27"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7">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7"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7"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7"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7" ht="12" customHeight="1">
      <c r="B74" s="353"/>
      <c r="C74" s="353"/>
      <c r="D74" s="353"/>
      <c r="E74" s="353"/>
      <c r="F74" s="353"/>
      <c r="G74" s="353"/>
      <c r="J74" s="353"/>
      <c r="K74" s="353"/>
      <c r="L74" s="353"/>
      <c r="M74" s="353"/>
      <c r="N74" s="353"/>
      <c r="O74" s="353"/>
      <c r="P74" s="19"/>
      <c r="T74" s="943" t="str">
        <f>'DATA INDUK'!$BT$27</f>
        <v>23-MINEARTH-RM-LHU-SH-R0</v>
      </c>
    </row>
    <row r="75" spans="1:27" s="326" customFormat="1" ht="15" customHeight="1">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7"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7">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7"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7" ht="23.25">
      <c r="F79" s="1681" t="s">
        <v>302</v>
      </c>
      <c r="G79" s="1681"/>
      <c r="H79" s="1681"/>
      <c r="I79" s="1681"/>
      <c r="J79" s="1681"/>
      <c r="K79" s="1681"/>
      <c r="L79" s="1681"/>
      <c r="M79" s="1681"/>
      <c r="N79" s="1681"/>
      <c r="O79" s="1681"/>
      <c r="P79" s="1681"/>
      <c r="Q79" s="1681"/>
      <c r="R79" s="1681"/>
      <c r="S79" s="1681"/>
      <c r="T79" s="1681"/>
    </row>
    <row r="80" spans="1:27"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789" t="s">
        <v>765</v>
      </c>
      <c r="B84" s="1790"/>
      <c r="C84" s="1790"/>
      <c r="D84" s="1790"/>
      <c r="E84" s="1790"/>
      <c r="F84" s="1790">
        <f>F6</f>
        <v>0</v>
      </c>
      <c r="G84" s="1790"/>
      <c r="H84" s="1790"/>
      <c r="I84" s="1790"/>
      <c r="J84" s="1790"/>
      <c r="K84" s="707"/>
      <c r="L84" s="707"/>
      <c r="M84" s="707"/>
      <c r="N84" s="707"/>
      <c r="O84" s="707"/>
      <c r="P84" s="707"/>
      <c r="Q84" s="707"/>
      <c r="R84" s="707"/>
      <c r="S84" s="707"/>
      <c r="T84" s="707"/>
      <c r="U84" s="707"/>
      <c r="V84" s="707"/>
      <c r="W84" s="707"/>
      <c r="X84" s="354"/>
    </row>
    <row r="85" spans="1:24">
      <c r="A85" s="1786" t="s">
        <v>764</v>
      </c>
      <c r="B85" s="1787"/>
      <c r="C85" s="1787"/>
      <c r="D85" s="1787"/>
      <c r="E85" s="1787"/>
      <c r="F85" s="1787">
        <f>F7</f>
        <v>0</v>
      </c>
      <c r="G85" s="1787"/>
      <c r="H85" s="1787"/>
      <c r="I85" s="1787"/>
      <c r="J85" s="1787"/>
      <c r="K85" s="1788" t="s">
        <v>286</v>
      </c>
      <c r="L85" s="1788"/>
      <c r="M85" s="1788"/>
      <c r="N85" s="1788"/>
      <c r="O85" s="1788"/>
      <c r="P85" s="1795">
        <f>N7</f>
        <v>0</v>
      </c>
      <c r="Q85" s="1795"/>
      <c r="R85" s="1795"/>
      <c r="S85" s="350" t="s">
        <v>287</v>
      </c>
      <c r="T85" s="350"/>
      <c r="U85" s="350"/>
      <c r="V85" s="350" t="s">
        <v>730</v>
      </c>
      <c r="W85" s="350"/>
      <c r="X85" s="355"/>
    </row>
    <row r="86" spans="1:24" ht="8.1" customHeight="1"/>
    <row r="87" spans="1:24">
      <c r="A87" s="1679" t="s">
        <v>288</v>
      </c>
      <c r="B87" s="1679"/>
      <c r="C87" s="1679"/>
      <c r="D87" s="1679"/>
      <c r="E87" s="1679"/>
      <c r="F87" s="1679"/>
      <c r="G87" s="1679"/>
      <c r="H87" s="1679"/>
      <c r="I87" s="1679"/>
      <c r="J87" s="1679"/>
      <c r="K87" s="1679"/>
      <c r="L87" s="1679"/>
      <c r="M87" s="1679"/>
      <c r="N87" s="1679"/>
      <c r="O87" s="1679"/>
      <c r="P87" s="1679"/>
      <c r="Q87" s="1679"/>
      <c r="R87" s="1679"/>
      <c r="S87" s="1679"/>
      <c r="T87" s="1679"/>
      <c r="U87" s="1679"/>
      <c r="V87" s="1679"/>
      <c r="W87" s="1679"/>
      <c r="X87" s="1679"/>
    </row>
    <row r="139" spans="1:24">
      <c r="H139" s="686"/>
      <c r="I139" s="687"/>
      <c r="J139" s="686"/>
      <c r="K139" s="686"/>
      <c r="L139" s="686"/>
      <c r="M139" s="686"/>
      <c r="N139" s="686"/>
      <c r="O139" s="686"/>
      <c r="P139" s="686"/>
      <c r="Q139" s="686"/>
      <c r="R139" s="686"/>
      <c r="S139" s="686"/>
      <c r="U139" s="686"/>
      <c r="V139" s="686"/>
      <c r="W139" s="686"/>
      <c r="X139" s="686"/>
    </row>
    <row r="140" spans="1:24">
      <c r="A140" s="700" t="s">
        <v>297</v>
      </c>
      <c r="B140" s="338"/>
      <c r="C140" s="338"/>
      <c r="D140" s="4"/>
      <c r="E140" s="4"/>
      <c r="F140" s="4"/>
      <c r="G140" s="690"/>
      <c r="H140" s="1798" t="s">
        <v>623</v>
      </c>
      <c r="I140" s="1798"/>
      <c r="J140" s="1798"/>
      <c r="K140" s="1799"/>
      <c r="L140" s="1800" t="s">
        <v>292</v>
      </c>
      <c r="M140" s="1800"/>
      <c r="N140" s="1800"/>
      <c r="O140" s="1801"/>
      <c r="P140" s="1802" t="s">
        <v>294</v>
      </c>
      <c r="Q140" s="1798"/>
      <c r="R140" s="1798"/>
      <c r="S140" s="1799"/>
      <c r="U140" s="698"/>
      <c r="V140" s="688"/>
      <c r="W140" s="688"/>
      <c r="X140" s="694"/>
    </row>
    <row r="141" spans="1:24" ht="15.95" customHeight="1">
      <c r="G141" s="691"/>
      <c r="H141" s="1675" t="s">
        <v>624</v>
      </c>
      <c r="I141" s="1675"/>
      <c r="J141" s="1675"/>
      <c r="K141" s="1785"/>
      <c r="L141" s="1675" t="s">
        <v>293</v>
      </c>
      <c r="M141" s="1675"/>
      <c r="N141" s="1675"/>
      <c r="O141" s="1785"/>
      <c r="P141" s="1794" t="s">
        <v>295</v>
      </c>
      <c r="Q141" s="1675"/>
      <c r="R141" s="1675"/>
      <c r="S141" s="1785"/>
      <c r="U141" s="697"/>
      <c r="X141" s="691"/>
    </row>
    <row r="142" spans="1:24">
      <c r="G142" s="691"/>
      <c r="H142" s="1665" t="str">
        <f>C65</f>
        <v>RIZKI</v>
      </c>
      <c r="I142" s="1665"/>
      <c r="J142" s="1665"/>
      <c r="K142" s="1796"/>
      <c r="O142" s="690"/>
      <c r="P142" s="697"/>
      <c r="S142" s="691"/>
      <c r="U142" s="697"/>
      <c r="X142" s="691"/>
    </row>
    <row r="143" spans="1:24">
      <c r="G143" s="691"/>
      <c r="H143" s="1665"/>
      <c r="I143" s="1665"/>
      <c r="J143" s="1665"/>
      <c r="K143" s="1796"/>
      <c r="O143" s="690"/>
      <c r="P143" s="697"/>
      <c r="S143" s="691"/>
      <c r="U143" s="697"/>
      <c r="X143" s="691"/>
    </row>
    <row r="144" spans="1:24">
      <c r="G144" s="691"/>
      <c r="H144" s="1665"/>
      <c r="I144" s="1665"/>
      <c r="J144" s="1665"/>
      <c r="K144" s="1796"/>
      <c r="O144" s="690"/>
      <c r="P144" s="697"/>
      <c r="S144" s="691"/>
      <c r="U144" s="697"/>
      <c r="X144" s="691"/>
    </row>
    <row r="145" spans="1:27">
      <c r="G145" s="691"/>
      <c r="H145" s="1665"/>
      <c r="I145" s="1665"/>
      <c r="J145" s="1665"/>
      <c r="K145" s="1796"/>
      <c r="L145" s="1665" t="str">
        <f>H65</f>
        <v>NOUFAL</v>
      </c>
      <c r="M145" s="1665"/>
      <c r="N145" s="1665"/>
      <c r="O145" s="1796"/>
      <c r="P145" s="1797" t="str">
        <f>M65</f>
        <v>A.SUMARTADJI</v>
      </c>
      <c r="Q145" s="1665"/>
      <c r="R145" s="1665"/>
      <c r="S145" s="1796"/>
      <c r="U145" s="697"/>
      <c r="X145" s="691"/>
    </row>
    <row r="146" spans="1:27">
      <c r="G146" s="691"/>
      <c r="H146" s="1668" t="str">
        <f>C66</f>
        <v>Teknisi/Analis</v>
      </c>
      <c r="I146" s="1668"/>
      <c r="J146" s="1668"/>
      <c r="K146" s="1755"/>
      <c r="L146" s="1668" t="str">
        <f>H66</f>
        <v>Koordinator Teknis</v>
      </c>
      <c r="M146" s="1668"/>
      <c r="N146" s="1668"/>
      <c r="O146" s="1755"/>
      <c r="P146" s="1754" t="str">
        <f>M66</f>
        <v>Kepala Laboratorium</v>
      </c>
      <c r="Q146" s="1668"/>
      <c r="R146" s="1668"/>
      <c r="S146" s="1755"/>
      <c r="U146" s="699"/>
      <c r="V146" s="358"/>
      <c r="W146" s="358"/>
      <c r="X146" s="695"/>
      <c r="Y146" s="358"/>
      <c r="Z146" s="358"/>
      <c r="AA146" s="358"/>
    </row>
    <row r="147" spans="1:27" ht="15.95" customHeight="1">
      <c r="G147" s="691"/>
      <c r="H147" s="1803" t="s">
        <v>291</v>
      </c>
      <c r="I147" s="1803"/>
      <c r="J147" s="1804">
        <f>E67</f>
        <v>46050</v>
      </c>
      <c r="K147" s="1805"/>
      <c r="L147" s="1806" t="s">
        <v>300</v>
      </c>
      <c r="M147" s="1806"/>
      <c r="N147" s="1807">
        <f>J67</f>
        <v>46050</v>
      </c>
      <c r="O147" s="1808"/>
      <c r="P147" s="1809" t="s">
        <v>301</v>
      </c>
      <c r="Q147" s="1810"/>
      <c r="R147" s="1792">
        <f>P67</f>
        <v>46050</v>
      </c>
      <c r="S147" s="1793"/>
      <c r="U147" s="692"/>
      <c r="V147" s="693"/>
      <c r="W147" s="693"/>
      <c r="X147" s="696"/>
    </row>
    <row r="148" spans="1:27" ht="8.1" customHeight="1">
      <c r="H148" s="688"/>
      <c r="I148" s="689"/>
      <c r="J148" s="688"/>
      <c r="K148" s="688"/>
      <c r="L148" s="688"/>
      <c r="M148" s="688"/>
      <c r="N148" s="688"/>
      <c r="O148" s="688"/>
      <c r="P148" s="688"/>
      <c r="Q148" s="688"/>
      <c r="R148" s="688"/>
      <c r="S148" s="688"/>
    </row>
    <row r="149" spans="1:27" ht="18" customHeight="1">
      <c r="B149" s="356"/>
      <c r="C149" s="356"/>
      <c r="D149" s="356"/>
      <c r="E149" s="356"/>
      <c r="T149" s="684" t="str">
        <f>'DATA INDUK'!$BT$27</f>
        <v>23-MINEARTH-RM-LHU-SH-R0</v>
      </c>
      <c r="U149" s="367"/>
      <c r="V149" s="367"/>
      <c r="W149" s="367"/>
      <c r="X149" s="367"/>
    </row>
    <row r="150" spans="1:27" ht="18" customHeight="1">
      <c r="A150" s="362"/>
      <c r="B150" s="362"/>
      <c r="C150" s="362"/>
      <c r="D150" s="362"/>
      <c r="E150" s="362"/>
    </row>
    <row r="151" spans="1:27" ht="8.1" customHeight="1"/>
  </sheetData>
  <mergeCells count="146">
    <mergeCell ref="N22:R23"/>
    <mergeCell ref="S22:X23"/>
    <mergeCell ref="O45:U45"/>
    <mergeCell ref="O46:U46"/>
    <mergeCell ref="O49:U49"/>
    <mergeCell ref="O50:U50"/>
    <mergeCell ref="O51:U51"/>
    <mergeCell ref="O52:U52"/>
    <mergeCell ref="O53:U53"/>
    <mergeCell ref="O47:U48"/>
    <mergeCell ref="V47:X48"/>
    <mergeCell ref="M7:Q7"/>
    <mergeCell ref="N36:P36"/>
    <mergeCell ref="N37:P37"/>
    <mergeCell ref="J35:K35"/>
    <mergeCell ref="E19:L20"/>
    <mergeCell ref="Q34:S34"/>
    <mergeCell ref="N33:P33"/>
    <mergeCell ref="N34:P34"/>
    <mergeCell ref="N31:P32"/>
    <mergeCell ref="Q31:S32"/>
    <mergeCell ref="E14:L14"/>
    <mergeCell ref="G35:I35"/>
    <mergeCell ref="J31:K32"/>
    <mergeCell ref="J33:K33"/>
    <mergeCell ref="J34:K34"/>
    <mergeCell ref="S15:X16"/>
    <mergeCell ref="N17:R17"/>
    <mergeCell ref="S17:X17"/>
    <mergeCell ref="W7:X7"/>
    <mergeCell ref="N15:R16"/>
    <mergeCell ref="N18:R19"/>
    <mergeCell ref="S18:X19"/>
    <mergeCell ref="N20:R21"/>
    <mergeCell ref="S20:X21"/>
    <mergeCell ref="A31:C32"/>
    <mergeCell ref="D31:F32"/>
    <mergeCell ref="A33:C33"/>
    <mergeCell ref="A34:C34"/>
    <mergeCell ref="A35:C35"/>
    <mergeCell ref="A36:C36"/>
    <mergeCell ref="G36:I36"/>
    <mergeCell ref="F79:T79"/>
    <mergeCell ref="F80:T80"/>
    <mergeCell ref="N35:P35"/>
    <mergeCell ref="Q37:S37"/>
    <mergeCell ref="Q38:S38"/>
    <mergeCell ref="G37:I37"/>
    <mergeCell ref="G38:I38"/>
    <mergeCell ref="G39:I39"/>
    <mergeCell ref="J36:K36"/>
    <mergeCell ref="J37:K37"/>
    <mergeCell ref="J38:K38"/>
    <mergeCell ref="T58:W59"/>
    <mergeCell ref="N56:X57"/>
    <mergeCell ref="O54:W55"/>
    <mergeCell ref="O42:U42"/>
    <mergeCell ref="O43:U43"/>
    <mergeCell ref="O44:U44"/>
    <mergeCell ref="F81:T81"/>
    <mergeCell ref="A84:E84"/>
    <mergeCell ref="F84:J84"/>
    <mergeCell ref="C66:G66"/>
    <mergeCell ref="H66:L66"/>
    <mergeCell ref="A39:C39"/>
    <mergeCell ref="L140:O140"/>
    <mergeCell ref="P140:S140"/>
    <mergeCell ref="A87:X87"/>
    <mergeCell ref="H140:K140"/>
    <mergeCell ref="D39:F39"/>
    <mergeCell ref="P85:R85"/>
    <mergeCell ref="C67:D67"/>
    <mergeCell ref="E67:G67"/>
    <mergeCell ref="H67:I67"/>
    <mergeCell ref="J67:L67"/>
    <mergeCell ref="M67:O67"/>
    <mergeCell ref="J39:K39"/>
    <mergeCell ref="C65:G65"/>
    <mergeCell ref="H65:L65"/>
    <mergeCell ref="M65:R65"/>
    <mergeCell ref="M66:R66"/>
    <mergeCell ref="A85:E85"/>
    <mergeCell ref="F85:J85"/>
    <mergeCell ref="H147:I147"/>
    <mergeCell ref="J147:K147"/>
    <mergeCell ref="L147:M147"/>
    <mergeCell ref="N147:O147"/>
    <mergeCell ref="P147:Q147"/>
    <mergeCell ref="R147:S147"/>
    <mergeCell ref="H141:K141"/>
    <mergeCell ref="L141:O141"/>
    <mergeCell ref="P141:S141"/>
    <mergeCell ref="H142:K145"/>
    <mergeCell ref="L145:O145"/>
    <mergeCell ref="P145:S145"/>
    <mergeCell ref="P146:S146"/>
    <mergeCell ref="H146:K146"/>
    <mergeCell ref="L146:O146"/>
    <mergeCell ref="K85:O85"/>
    <mergeCell ref="P67:R67"/>
    <mergeCell ref="A69:C73"/>
    <mergeCell ref="F1:T1"/>
    <mergeCell ref="F2:T2"/>
    <mergeCell ref="F3:T3"/>
    <mergeCell ref="A37:C37"/>
    <mergeCell ref="A38:C38"/>
    <mergeCell ref="D33:F33"/>
    <mergeCell ref="D34:F34"/>
    <mergeCell ref="D35:F35"/>
    <mergeCell ref="D36:F36"/>
    <mergeCell ref="D37:F37"/>
    <mergeCell ref="A9:L9"/>
    <mergeCell ref="A12:L12"/>
    <mergeCell ref="N12:X12"/>
    <mergeCell ref="Q35:S35"/>
    <mergeCell ref="Q36:S36"/>
    <mergeCell ref="A6:D6"/>
    <mergeCell ref="A7:D7"/>
    <mergeCell ref="T7:V7"/>
    <mergeCell ref="U26:U27"/>
    <mergeCell ref="D38:F38"/>
    <mergeCell ref="A26:T26"/>
    <mergeCell ref="A13:D13"/>
    <mergeCell ref="E13:L13"/>
    <mergeCell ref="A14:D14"/>
    <mergeCell ref="N13:R13"/>
    <mergeCell ref="S13:X13"/>
    <mergeCell ref="N14:R14"/>
    <mergeCell ref="S14:X14"/>
    <mergeCell ref="M60:R60"/>
    <mergeCell ref="C61:G61"/>
    <mergeCell ref="H61:L61"/>
    <mergeCell ref="M61:R61"/>
    <mergeCell ref="C60:G60"/>
    <mergeCell ref="H60:L60"/>
    <mergeCell ref="N38:P38"/>
    <mergeCell ref="Q33:S33"/>
    <mergeCell ref="V26:X27"/>
    <mergeCell ref="A27:T27"/>
    <mergeCell ref="G33:I33"/>
    <mergeCell ref="G34:I34"/>
    <mergeCell ref="A21:D22"/>
    <mergeCell ref="E21:L22"/>
    <mergeCell ref="A17:L17"/>
    <mergeCell ref="A19:D20"/>
    <mergeCell ref="G31:I32"/>
  </mergeCells>
  <pageMargins left="0.72" right="0.47" top="0.59" bottom="0.51" header="0.28000000000000003" footer="0.28000000000000003"/>
  <pageSetup paperSize="9" scale="68"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75AB-76EF-DB45-8EC9-10E4EFC823FD}">
  <dimension ref="A1:W211"/>
  <sheetViews>
    <sheetView topLeftCell="A162" zoomScale="42" zoomScaleNormal="42" workbookViewId="0">
      <selection activeCell="Z192" sqref="Z192"/>
    </sheetView>
  </sheetViews>
  <sheetFormatPr defaultColWidth="11" defaultRowHeight="15.75"/>
  <cols>
    <col min="13" max="13" width="14.5" customWidth="1"/>
  </cols>
  <sheetData>
    <row r="1" spans="1:20" ht="18">
      <c r="A1" s="708" t="s">
        <v>701</v>
      </c>
      <c r="B1" s="708"/>
      <c r="C1" s="708"/>
      <c r="D1" s="708"/>
      <c r="E1" s="708"/>
      <c r="F1" s="708"/>
      <c r="G1" s="708"/>
      <c r="H1" s="708"/>
      <c r="I1" s="708"/>
      <c r="J1" s="708"/>
      <c r="K1" s="708"/>
      <c r="L1" s="708"/>
      <c r="M1" s="708"/>
      <c r="N1" s="708"/>
      <c r="O1" s="708"/>
      <c r="P1" s="708"/>
      <c r="Q1" s="708"/>
      <c r="R1" s="708"/>
      <c r="S1" s="708"/>
      <c r="T1" s="708"/>
    </row>
    <row r="2" spans="1:20" ht="23.25">
      <c r="A2" s="663" t="s">
        <v>933</v>
      </c>
      <c r="B2" s="663"/>
      <c r="C2" s="663"/>
      <c r="D2" s="663"/>
      <c r="E2" s="663"/>
      <c r="F2" s="663"/>
      <c r="G2" s="663"/>
      <c r="H2" s="663"/>
      <c r="I2" s="663"/>
      <c r="J2" s="663"/>
      <c r="K2" s="663"/>
      <c r="L2" s="663"/>
      <c r="M2" s="663"/>
      <c r="N2" s="663"/>
      <c r="O2" s="663"/>
      <c r="P2" s="663"/>
      <c r="Q2" s="663"/>
      <c r="R2" s="663"/>
      <c r="S2" s="663"/>
      <c r="T2" s="663"/>
    </row>
    <row r="3" spans="1:20" ht="23.25">
      <c r="A3" s="664" t="s">
        <v>1341</v>
      </c>
      <c r="B3" s="662"/>
      <c r="C3" s="662"/>
      <c r="D3" s="662"/>
      <c r="E3" s="662"/>
      <c r="F3" s="662"/>
      <c r="G3" s="662"/>
      <c r="H3" s="662"/>
      <c r="I3" s="662"/>
      <c r="J3" s="662"/>
      <c r="K3" s="662"/>
      <c r="L3" s="662"/>
      <c r="M3" s="662"/>
      <c r="N3" s="662"/>
      <c r="O3" s="662"/>
      <c r="P3" s="662"/>
      <c r="Q3" s="662"/>
      <c r="R3" s="662"/>
      <c r="S3" s="662"/>
      <c r="T3" s="662"/>
    </row>
    <row r="4" spans="1:20">
      <c r="A4" s="709"/>
      <c r="B4" s="709"/>
      <c r="C4" s="709"/>
      <c r="D4" s="709"/>
      <c r="E4" s="709"/>
      <c r="F4" s="709"/>
      <c r="G4" s="709"/>
      <c r="H4" s="709"/>
      <c r="I4" s="709"/>
      <c r="J4" s="709"/>
      <c r="K4" s="709"/>
      <c r="L4" s="709"/>
      <c r="M4" s="709"/>
      <c r="N4" s="709"/>
      <c r="O4" s="709"/>
      <c r="P4" s="709"/>
      <c r="Q4" s="709"/>
      <c r="R4" s="709"/>
      <c r="S4" s="709"/>
      <c r="T4" s="709"/>
    </row>
    <row r="5" spans="1:20">
      <c r="A5" s="335" t="s">
        <v>966</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 t="s">
        <v>775</v>
      </c>
      <c r="B7" s="1"/>
      <c r="C7" s="1"/>
      <c r="D7" s="539" t="str">
        <f>IFERROR(INDEX('DATA INDUK'!$H$27:$H$152,MATCH(ROW(D1),'DATA INDUK'!$AT$27:$AT$152,0)),"")</f>
        <v>26-001-DS-001</v>
      </c>
      <c r="E7" s="13"/>
      <c r="F7" s="13"/>
      <c r="G7" s="13"/>
      <c r="H7" s="15"/>
      <c r="I7" s="15"/>
      <c r="J7" s="15"/>
      <c r="K7" s="15"/>
      <c r="L7" s="15"/>
      <c r="M7" s="15"/>
      <c r="N7" s="15"/>
      <c r="O7" s="15"/>
      <c r="P7" s="15"/>
      <c r="Q7" s="15"/>
      <c r="R7" s="15"/>
      <c r="S7" s="15"/>
      <c r="T7" s="335"/>
    </row>
    <row r="8" spans="1:20">
      <c r="A8" s="13"/>
      <c r="B8" s="13"/>
      <c r="C8" s="13"/>
      <c r="D8" s="540"/>
      <c r="E8" s="15"/>
      <c r="F8" s="15"/>
      <c r="G8" s="15"/>
      <c r="H8" s="15"/>
      <c r="I8" s="15"/>
      <c r="J8" s="15"/>
      <c r="K8" s="15"/>
      <c r="L8" s="15"/>
      <c r="M8" s="15"/>
      <c r="N8" s="15"/>
      <c r="O8" s="15"/>
      <c r="P8" s="15"/>
      <c r="Q8" s="15"/>
      <c r="R8" s="15"/>
      <c r="S8" s="15"/>
      <c r="T8" s="15"/>
    </row>
    <row r="9" spans="1:20">
      <c r="A9" s="1" t="s">
        <v>776</v>
      </c>
      <c r="B9" s="1"/>
      <c r="C9" s="1"/>
      <c r="D9" s="13" t="str">
        <f>IFERROR(INDEX('DATA INDUK'!$C$27:$C$152,MATCH(ROW(D1),'DATA INDUK'!$AT$27:$AT$152,0)),"")</f>
        <v>BH-04R1-SPT 15</v>
      </c>
      <c r="E9" s="15"/>
      <c r="F9" s="15"/>
      <c r="G9" s="15"/>
      <c r="H9" s="15"/>
      <c r="I9" s="15"/>
      <c r="J9" s="15"/>
      <c r="K9" s="15"/>
      <c r="L9" s="1" t="s">
        <v>703</v>
      </c>
      <c r="M9" s="1"/>
      <c r="N9" s="1"/>
      <c r="O9" s="15" t="str">
        <f>IF($D$7="","",P9)</f>
        <v>RAFLY</v>
      </c>
      <c r="P9" s="588" t="s">
        <v>1054</v>
      </c>
      <c r="Q9" s="15"/>
      <c r="R9" s="15"/>
      <c r="S9" s="15"/>
      <c r="T9" s="15" t="str">
        <f>"TTD_"&amp;O9&amp;""</f>
        <v>TTD_RAFLY</v>
      </c>
    </row>
    <row r="10" spans="1:20">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row>
    <row r="11" spans="1:20">
      <c r="A11" s="1" t="s">
        <v>778</v>
      </c>
      <c r="B11" s="1"/>
      <c r="C11" s="1"/>
      <c r="D11" s="13" t="str">
        <f>IFERROR(INDEX('DATA INDUK'!$D$27:$D$152,MATCH(ROW(D1),'DATA INDUK'!$AT$27:$AT$152,0)),"")</f>
        <v>Disturbed Sample</v>
      </c>
      <c r="E11" s="15"/>
      <c r="F11" s="15" t="s">
        <v>1611</v>
      </c>
      <c r="G11" s="15"/>
      <c r="H11" s="15"/>
      <c r="I11" s="15"/>
      <c r="J11" s="15"/>
      <c r="K11" s="15"/>
      <c r="L11" s="13" t="s">
        <v>716</v>
      </c>
      <c r="M11" s="15"/>
      <c r="N11" s="15"/>
      <c r="O11" s="15" t="str">
        <f t="shared" si="0"/>
        <v>A.SUMARTADJI</v>
      </c>
      <c r="P11" s="588" t="s">
        <v>766</v>
      </c>
      <c r="Q11" s="15"/>
      <c r="R11" s="15"/>
      <c r="S11" s="15"/>
      <c r="T11" s="15" t="str">
        <f>"TTD_"&amp;O11&amp;""</f>
        <v>TTD_A.SUMARTADJI</v>
      </c>
    </row>
    <row r="12" spans="1:20">
      <c r="A12" s="1" t="s">
        <v>779</v>
      </c>
      <c r="B12" s="1"/>
      <c r="C12" s="1"/>
      <c r="D12" s="1573" t="s">
        <v>1635</v>
      </c>
      <c r="E12" s="15"/>
      <c r="F12" s="15" t="str">
        <f>IFERROR(INDEX($R$28:$R$39,
MATCH(D12,$U$28:$U$39,0)),
"CHECK DESKRIPSI")</f>
        <v>CLS</v>
      </c>
      <c r="G12" s="15"/>
      <c r="H12" s="15"/>
      <c r="I12" s="15"/>
      <c r="J12" s="15"/>
      <c r="K12" s="15"/>
      <c r="L12" s="1" t="s">
        <v>705</v>
      </c>
      <c r="M12" s="1"/>
      <c r="N12" s="1"/>
      <c r="O12" s="715"/>
      <c r="P12" s="15"/>
      <c r="Q12" s="15"/>
      <c r="R12" s="15"/>
      <c r="S12" s="15"/>
      <c r="T12" s="335"/>
    </row>
    <row r="13" spans="1:20">
      <c r="A13" s="1" t="s">
        <v>780</v>
      </c>
      <c r="B13" s="1"/>
      <c r="C13" s="1"/>
      <c r="D13" s="714"/>
      <c r="E13" s="15"/>
      <c r="F13" s="15"/>
      <c r="G13" s="15"/>
      <c r="H13" s="15"/>
      <c r="I13" s="15"/>
      <c r="J13" s="15"/>
      <c r="K13" s="15"/>
      <c r="L13" s="15"/>
      <c r="M13" s="15"/>
      <c r="N13" s="15"/>
      <c r="O13" s="15"/>
      <c r="P13" s="15"/>
      <c r="Q13" s="15"/>
      <c r="R13" s="15"/>
      <c r="S13" s="15"/>
      <c r="T13" s="335"/>
    </row>
    <row r="14" spans="1:20"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20">
      <c r="A15" s="539"/>
      <c r="B15" s="539"/>
      <c r="C15" s="988" t="s">
        <v>944</v>
      </c>
      <c r="D15" s="989"/>
      <c r="E15" s="989"/>
      <c r="F15" s="989"/>
      <c r="G15" s="540"/>
      <c r="H15" s="540"/>
      <c r="I15" s="540"/>
      <c r="J15" s="540"/>
      <c r="K15" s="540"/>
      <c r="L15" s="540"/>
      <c r="M15" s="540"/>
      <c r="N15" s="540"/>
      <c r="O15" s="540"/>
      <c r="P15" s="540"/>
      <c r="Q15" s="540"/>
      <c r="R15" s="540"/>
      <c r="S15" s="540"/>
      <c r="T15" s="531"/>
    </row>
    <row r="16" spans="1:20">
      <c r="C16" t="s">
        <v>928</v>
      </c>
      <c r="F16" s="986">
        <v>2.5</v>
      </c>
    </row>
    <row r="17" spans="3:22">
      <c r="C17" t="s">
        <v>929</v>
      </c>
      <c r="F17">
        <v>30.5</v>
      </c>
    </row>
    <row r="18" spans="3:22">
      <c r="C18" t="s">
        <v>930</v>
      </c>
      <c r="F18">
        <v>3</v>
      </c>
      <c r="G18" t="s">
        <v>946</v>
      </c>
    </row>
    <row r="19" spans="3:22">
      <c r="C19" t="s">
        <v>931</v>
      </c>
      <c r="F19">
        <v>25</v>
      </c>
      <c r="G19" t="s">
        <v>945</v>
      </c>
      <c r="M19" s="1857" t="s">
        <v>934</v>
      </c>
      <c r="N19" s="1857"/>
      <c r="O19" s="1857"/>
      <c r="P19" s="1857"/>
      <c r="R19" s="990" t="s">
        <v>943</v>
      </c>
      <c r="S19" s="991"/>
      <c r="T19" s="987"/>
    </row>
    <row r="20" spans="3:22">
      <c r="C20" t="s">
        <v>947</v>
      </c>
      <c r="F20">
        <f>(F16*F17*F18*F19)/F33</f>
        <v>6.0630487256771994</v>
      </c>
      <c r="G20" t="s">
        <v>948</v>
      </c>
      <c r="M20" s="984" t="s">
        <v>935</v>
      </c>
      <c r="N20" s="984" t="s">
        <v>936</v>
      </c>
      <c r="O20" s="984" t="s">
        <v>937</v>
      </c>
      <c r="P20" s="984" t="s">
        <v>938</v>
      </c>
      <c r="R20" t="s">
        <v>185</v>
      </c>
      <c r="S20" s="980">
        <v>2.5</v>
      </c>
    </row>
    <row r="21" spans="3:22">
      <c r="F21">
        <f>INT(F20*98.065)</f>
        <v>594</v>
      </c>
      <c r="G21" t="s">
        <v>949</v>
      </c>
      <c r="M21" s="984" t="s">
        <v>185</v>
      </c>
      <c r="N21" s="985">
        <f>101.6/10</f>
        <v>10.16</v>
      </c>
      <c r="O21" s="985">
        <f>116.4/10</f>
        <v>11.64</v>
      </c>
      <c r="P21" s="985">
        <v>4207.7</v>
      </c>
      <c r="R21" s="979" t="s">
        <v>237</v>
      </c>
      <c r="S21" s="980">
        <f>4384.9/1000</f>
        <v>4.3849</v>
      </c>
    </row>
    <row r="22" spans="3:22">
      <c r="F22">
        <v>594</v>
      </c>
      <c r="G22" t="s">
        <v>961</v>
      </c>
      <c r="M22" s="984" t="s">
        <v>237</v>
      </c>
      <c r="N22" s="985">
        <f>101.8/10</f>
        <v>10.18</v>
      </c>
      <c r="O22" s="985">
        <f>116.7/10</f>
        <v>11.67</v>
      </c>
      <c r="P22" s="985">
        <v>4320.3999999999996</v>
      </c>
    </row>
    <row r="23" spans="3:22">
      <c r="M23" s="983"/>
    </row>
    <row r="24" spans="3:22">
      <c r="C24" t="s">
        <v>959</v>
      </c>
      <c r="F24" s="102">
        <v>2.65</v>
      </c>
    </row>
    <row r="25" spans="3:22">
      <c r="M25" s="975" t="s">
        <v>366</v>
      </c>
      <c r="N25" s="975"/>
    </row>
    <row r="26" spans="3:22">
      <c r="C26" s="30" t="s">
        <v>20</v>
      </c>
      <c r="D26" s="31"/>
      <c r="E26" s="31"/>
      <c r="F26" s="31"/>
      <c r="G26" s="31"/>
      <c r="H26" s="31"/>
      <c r="I26" s="31"/>
      <c r="J26" s="32"/>
      <c r="M26" s="383">
        <v>1</v>
      </c>
      <c r="N26" s="384">
        <v>9.0299999999999994</v>
      </c>
      <c r="R26" s="370" t="s">
        <v>1641</v>
      </c>
      <c r="S26" s="370"/>
      <c r="T26" s="370"/>
      <c r="U26" s="370"/>
      <c r="V26" s="370"/>
    </row>
    <row r="27" spans="3:22">
      <c r="C27" s="30"/>
      <c r="D27" s="31"/>
      <c r="E27" s="31"/>
      <c r="F27" s="981">
        <v>1</v>
      </c>
      <c r="G27" s="981">
        <v>2</v>
      </c>
      <c r="H27" s="981">
        <v>3</v>
      </c>
      <c r="I27" s="981">
        <v>4</v>
      </c>
      <c r="J27" s="982">
        <v>5</v>
      </c>
      <c r="M27" s="385">
        <v>2</v>
      </c>
      <c r="N27" s="386">
        <v>8.8420000000000005</v>
      </c>
      <c r="R27" s="370" t="s">
        <v>1611</v>
      </c>
      <c r="S27" s="370" t="s">
        <v>1642</v>
      </c>
      <c r="T27" s="370" t="s">
        <v>1632</v>
      </c>
      <c r="U27" s="370" t="s">
        <v>1633</v>
      </c>
      <c r="V27" s="370"/>
    </row>
    <row r="28" spans="3:22">
      <c r="C28" s="24" t="s">
        <v>21</v>
      </c>
      <c r="D28" s="24"/>
      <c r="E28" s="25" t="s">
        <v>22</v>
      </c>
      <c r="F28" s="998">
        <v>5588</v>
      </c>
      <c r="G28" s="998">
        <v>5693</v>
      </c>
      <c r="H28" s="998">
        <v>5764</v>
      </c>
      <c r="I28" s="998">
        <v>5756</v>
      </c>
      <c r="J28" s="998">
        <v>5712</v>
      </c>
      <c r="M28" s="385">
        <v>3</v>
      </c>
      <c r="N28" s="387">
        <v>9.0410000000000004</v>
      </c>
      <c r="R28" s="370" t="s">
        <v>1612</v>
      </c>
      <c r="S28" s="370" t="s">
        <v>1613</v>
      </c>
      <c r="T28" s="370" t="s">
        <v>1610</v>
      </c>
      <c r="U28" s="370" t="s">
        <v>1510</v>
      </c>
      <c r="V28" s="370"/>
    </row>
    <row r="29" spans="3:22">
      <c r="C29" s="992" t="s">
        <v>932</v>
      </c>
      <c r="D29" s="993"/>
      <c r="E29" s="994"/>
      <c r="F29" s="995" t="s">
        <v>185</v>
      </c>
      <c r="G29" s="995" t="s">
        <v>594</v>
      </c>
      <c r="H29" s="995" t="s">
        <v>185</v>
      </c>
      <c r="I29" s="995" t="s">
        <v>185</v>
      </c>
      <c r="J29" s="995" t="s">
        <v>185</v>
      </c>
      <c r="M29" s="388">
        <v>4</v>
      </c>
      <c r="N29" s="389">
        <v>8.9359999999999999</v>
      </c>
      <c r="R29" s="370" t="s">
        <v>1614</v>
      </c>
      <c r="S29" s="370" t="s">
        <v>1615</v>
      </c>
      <c r="T29" s="370" t="s">
        <v>1634</v>
      </c>
      <c r="U29" s="370" t="s">
        <v>1635</v>
      </c>
      <c r="V29" s="370"/>
    </row>
    <row r="30" spans="3:22">
      <c r="C30" s="28" t="s">
        <v>939</v>
      </c>
      <c r="D30" s="29"/>
      <c r="E30" s="25" t="s">
        <v>22</v>
      </c>
      <c r="F30" s="986">
        <f>IFERROR(VLOOKUP(F29,$M$21:$P$22,4,0),"")</f>
        <v>4207.7</v>
      </c>
      <c r="G30" s="986">
        <f t="shared" ref="G30:J30" si="1">IFERROR(VLOOKUP(G29,$M$21:$P$22,4,0),"")</f>
        <v>4207.7</v>
      </c>
      <c r="H30" s="986">
        <f t="shared" si="1"/>
        <v>4207.7</v>
      </c>
      <c r="I30" s="986">
        <f t="shared" si="1"/>
        <v>4207.7</v>
      </c>
      <c r="J30" s="986">
        <f t="shared" si="1"/>
        <v>4207.7</v>
      </c>
      <c r="M30" s="388">
        <v>5</v>
      </c>
      <c r="N30" s="389">
        <v>8.8559999999999999</v>
      </c>
      <c r="R30" s="370" t="s">
        <v>1617</v>
      </c>
      <c r="S30" s="370" t="s">
        <v>1618</v>
      </c>
      <c r="T30" s="370" t="s">
        <v>1636</v>
      </c>
      <c r="U30" s="370" t="s">
        <v>1637</v>
      </c>
      <c r="V30" s="370"/>
    </row>
    <row r="31" spans="3:22">
      <c r="C31" t="s">
        <v>941</v>
      </c>
      <c r="E31" t="s">
        <v>45</v>
      </c>
      <c r="F31" s="986">
        <f>IFERROR(VLOOKUP(F29,$M$21:$P$22,2,0),"")</f>
        <v>10.16</v>
      </c>
      <c r="G31" s="986">
        <f t="shared" ref="G31:J31" si="2">IFERROR(VLOOKUP(G29,$M$21:$P$22,2,0),"")</f>
        <v>10.16</v>
      </c>
      <c r="H31" s="986">
        <f t="shared" si="2"/>
        <v>10.16</v>
      </c>
      <c r="I31" s="986">
        <f t="shared" si="2"/>
        <v>10.16</v>
      </c>
      <c r="J31" s="986">
        <f t="shared" si="2"/>
        <v>10.16</v>
      </c>
      <c r="M31" s="388">
        <v>6</v>
      </c>
      <c r="N31" s="389">
        <v>8.7260000000000009</v>
      </c>
      <c r="R31" s="370" t="s">
        <v>1643</v>
      </c>
      <c r="S31" s="370" t="s">
        <v>1644</v>
      </c>
      <c r="T31" s="370" t="s">
        <v>1645</v>
      </c>
      <c r="U31" s="370" t="s">
        <v>1646</v>
      </c>
      <c r="V31" s="370"/>
    </row>
    <row r="32" spans="3:22">
      <c r="C32" t="s">
        <v>942</v>
      </c>
      <c r="E32" t="s">
        <v>45</v>
      </c>
      <c r="F32" s="986">
        <f>IFERROR(VLOOKUP(F29,$M$21:$P$22,3,0),"")</f>
        <v>11.64</v>
      </c>
      <c r="G32" s="986">
        <f t="shared" ref="G32:J32" si="3">IFERROR(VLOOKUP(G29,$M$21:$P$22,3,0),"")</f>
        <v>11.64</v>
      </c>
      <c r="H32" s="986">
        <f t="shared" si="3"/>
        <v>11.64</v>
      </c>
      <c r="I32" s="986">
        <f t="shared" si="3"/>
        <v>11.64</v>
      </c>
      <c r="J32" s="986">
        <f t="shared" si="3"/>
        <v>11.64</v>
      </c>
      <c r="M32" s="388">
        <v>7</v>
      </c>
      <c r="N32" s="389">
        <v>8.8819999999999997</v>
      </c>
      <c r="R32" s="370" t="s">
        <v>1620</v>
      </c>
      <c r="S32" s="370" t="s">
        <v>1616</v>
      </c>
      <c r="T32" s="370" t="s">
        <v>509</v>
      </c>
      <c r="U32" s="370" t="s">
        <v>1638</v>
      </c>
      <c r="V32" s="370"/>
    </row>
    <row r="33" spans="3:22">
      <c r="C33" s="28" t="s">
        <v>940</v>
      </c>
      <c r="D33" s="29"/>
      <c r="E33" s="25" t="s">
        <v>104</v>
      </c>
      <c r="F33" s="26">
        <f>(3.14*(F31^2)/4)*F32</f>
        <v>943.21359744000017</v>
      </c>
      <c r="G33" s="26">
        <f t="shared" ref="G33:J33" si="4">(3.14*(G31^2)/4)*G32</f>
        <v>943.21359744000017</v>
      </c>
      <c r="H33" s="26">
        <f t="shared" si="4"/>
        <v>943.21359744000017</v>
      </c>
      <c r="I33" s="26">
        <f t="shared" si="4"/>
        <v>943.21359744000017</v>
      </c>
      <c r="J33" s="26">
        <f t="shared" si="4"/>
        <v>943.21359744000017</v>
      </c>
      <c r="M33" s="388">
        <v>8</v>
      </c>
      <c r="N33" s="389">
        <v>8.8179999999999996</v>
      </c>
      <c r="R33" s="370" t="s">
        <v>1621</v>
      </c>
      <c r="S33" s="370" t="s">
        <v>1622</v>
      </c>
      <c r="T33" s="370" t="s">
        <v>1639</v>
      </c>
      <c r="U33" s="370" t="s">
        <v>1640</v>
      </c>
      <c r="V33" s="370"/>
    </row>
    <row r="34" spans="3:22">
      <c r="C34" s="28" t="s">
        <v>23</v>
      </c>
      <c r="D34" s="29"/>
      <c r="E34" s="25" t="s">
        <v>22</v>
      </c>
      <c r="F34" s="999">
        <f>F28-F30</f>
        <v>1380.3000000000002</v>
      </c>
      <c r="G34" s="999">
        <f>G28-G30</f>
        <v>1485.3000000000002</v>
      </c>
      <c r="H34" s="999">
        <f>H28-H30</f>
        <v>1556.3000000000002</v>
      </c>
      <c r="I34" s="999">
        <f>I28-I30</f>
        <v>1548.3000000000002</v>
      </c>
      <c r="J34" s="999">
        <f>J28-J30</f>
        <v>1504.3000000000002</v>
      </c>
      <c r="M34" s="388">
        <v>9</v>
      </c>
      <c r="N34" s="389">
        <v>8.7989999999999995</v>
      </c>
      <c r="R34" s="370" t="s">
        <v>1623</v>
      </c>
      <c r="S34" s="370" t="s">
        <v>1624</v>
      </c>
      <c r="T34" s="370" t="s">
        <v>1647</v>
      </c>
      <c r="U34" s="370" t="s">
        <v>1648</v>
      </c>
      <c r="V34" s="370"/>
    </row>
    <row r="35" spans="3:22">
      <c r="C35" s="28" t="s">
        <v>25</v>
      </c>
      <c r="D35" s="29"/>
      <c r="E35" s="25" t="s">
        <v>24</v>
      </c>
      <c r="F35" s="26">
        <f>F34/F33</f>
        <v>1.463401295047386</v>
      </c>
      <c r="G35" s="26">
        <f>G34/G33</f>
        <v>1.5747228454204758</v>
      </c>
      <c r="H35" s="26">
        <f>H34/H33</f>
        <v>1.6499974175775172</v>
      </c>
      <c r="I35" s="26">
        <f>I34/I33</f>
        <v>1.6415157756443295</v>
      </c>
      <c r="J35" s="26">
        <f>J34/J33</f>
        <v>1.5948667450117966</v>
      </c>
      <c r="M35" s="383">
        <v>10</v>
      </c>
      <c r="N35" s="384">
        <v>8.7929999999999993</v>
      </c>
      <c r="R35" s="370" t="s">
        <v>1649</v>
      </c>
      <c r="S35" s="370" t="s">
        <v>1650</v>
      </c>
      <c r="T35" s="370" t="s">
        <v>1651</v>
      </c>
      <c r="U35" s="370" t="s">
        <v>1652</v>
      </c>
      <c r="V35" s="370"/>
    </row>
    <row r="36" spans="3:22">
      <c r="C36" s="28" t="s">
        <v>26</v>
      </c>
      <c r="D36" s="29"/>
      <c r="E36" s="25" t="s">
        <v>24</v>
      </c>
      <c r="F36" s="26">
        <f>F35/(1+F47/100)</f>
        <v>1.2931296030108577</v>
      </c>
      <c r="G36" s="26">
        <f>G35/(1+G47/100)</f>
        <v>1.3681606574862033</v>
      </c>
      <c r="H36" s="26">
        <f>H35/(1+H47/100)</f>
        <v>1.4117929572514401</v>
      </c>
      <c r="I36" s="26">
        <f>I35/(1+I47/100)</f>
        <v>1.3816414409418438</v>
      </c>
      <c r="J36" s="26">
        <f>J35/(1+J47/100)</f>
        <v>1.316662904302476</v>
      </c>
      <c r="M36" s="383">
        <v>11</v>
      </c>
      <c r="N36" s="384">
        <v>8.8040000000000003</v>
      </c>
      <c r="R36" s="370" t="s">
        <v>1690</v>
      </c>
      <c r="S36" s="370" t="s">
        <v>1619</v>
      </c>
      <c r="T36" s="370" t="s">
        <v>510</v>
      </c>
      <c r="U36" s="370" t="s">
        <v>1197</v>
      </c>
      <c r="V36" s="370"/>
    </row>
    <row r="37" spans="3:22">
      <c r="M37" s="383">
        <v>12</v>
      </c>
      <c r="N37" s="384">
        <v>8.9280000000000008</v>
      </c>
      <c r="R37" s="370" t="s">
        <v>1626</v>
      </c>
      <c r="S37" s="370" t="s">
        <v>1627</v>
      </c>
      <c r="T37" s="370" t="s">
        <v>1653</v>
      </c>
      <c r="U37" s="370" t="s">
        <v>1654</v>
      </c>
      <c r="V37" s="370"/>
    </row>
    <row r="38" spans="3:22">
      <c r="M38" s="383">
        <v>13</v>
      </c>
      <c r="N38" s="384">
        <v>8.8770000000000007</v>
      </c>
      <c r="R38" s="370" t="s">
        <v>1628</v>
      </c>
      <c r="S38" s="370" t="s">
        <v>1629</v>
      </c>
      <c r="T38" s="370" t="s">
        <v>1655</v>
      </c>
      <c r="U38" s="370" t="s">
        <v>1656</v>
      </c>
      <c r="V38" s="370"/>
    </row>
    <row r="39" spans="3:22">
      <c r="C39" s="36" t="s">
        <v>27</v>
      </c>
      <c r="D39" s="37"/>
      <c r="E39" s="37"/>
      <c r="M39" s="383">
        <v>14</v>
      </c>
      <c r="N39" s="384">
        <v>8.8919999999999995</v>
      </c>
      <c r="R39" s="370" t="s">
        <v>1630</v>
      </c>
      <c r="S39" s="370" t="s">
        <v>1631</v>
      </c>
      <c r="T39" s="370" t="s">
        <v>1657</v>
      </c>
      <c r="U39" s="370" t="s">
        <v>1658</v>
      </c>
      <c r="V39" s="370"/>
    </row>
    <row r="40" spans="3:22">
      <c r="F40" s="37">
        <v>1</v>
      </c>
      <c r="G40" s="37">
        <v>2</v>
      </c>
      <c r="H40" s="37">
        <v>3</v>
      </c>
      <c r="I40" s="37">
        <v>4</v>
      </c>
      <c r="J40" s="38">
        <v>5</v>
      </c>
      <c r="M40" s="383">
        <v>15</v>
      </c>
      <c r="N40" s="384">
        <v>8.9930000000000003</v>
      </c>
    </row>
    <row r="41" spans="3:22">
      <c r="C41" s="36" t="s">
        <v>28</v>
      </c>
      <c r="D41" s="37"/>
      <c r="E41" s="37" t="s">
        <v>22</v>
      </c>
      <c r="F41" s="37">
        <v>62.23</v>
      </c>
      <c r="G41" s="37">
        <v>64.13</v>
      </c>
      <c r="H41" s="37">
        <v>66.209999999999994</v>
      </c>
      <c r="I41" s="37">
        <v>66.27</v>
      </c>
      <c r="J41" s="38">
        <v>59.33</v>
      </c>
      <c r="M41" s="383">
        <v>16</v>
      </c>
      <c r="N41" s="384">
        <v>8.9090000000000007</v>
      </c>
    </row>
    <row r="42" spans="3:22">
      <c r="C42" s="36" t="s">
        <v>29</v>
      </c>
      <c r="D42" s="37"/>
      <c r="E42" s="37" t="s">
        <v>22</v>
      </c>
      <c r="F42" s="37">
        <v>56.04</v>
      </c>
      <c r="G42" s="37">
        <v>56.89</v>
      </c>
      <c r="H42" s="37">
        <v>57.93</v>
      </c>
      <c r="I42" s="37">
        <v>57.16</v>
      </c>
      <c r="J42" s="38">
        <v>50.53</v>
      </c>
      <c r="M42" s="383">
        <v>17</v>
      </c>
      <c r="N42" s="384">
        <v>9.0489999999999995</v>
      </c>
    </row>
    <row r="43" spans="3:22">
      <c r="C43" s="996" t="s">
        <v>628</v>
      </c>
      <c r="D43" s="997"/>
      <c r="E43" s="997"/>
      <c r="F43" s="997">
        <v>1</v>
      </c>
      <c r="G43" s="997">
        <v>4</v>
      </c>
      <c r="H43" s="997">
        <v>5</v>
      </c>
      <c r="I43" s="997">
        <v>6</v>
      </c>
      <c r="J43" s="997">
        <v>7</v>
      </c>
      <c r="M43" s="383">
        <v>18</v>
      </c>
      <c r="N43" s="384">
        <v>8.9339999999999993</v>
      </c>
    </row>
    <row r="44" spans="3:22">
      <c r="C44" s="36" t="s">
        <v>30</v>
      </c>
      <c r="D44" s="37"/>
      <c r="E44" s="37" t="s">
        <v>22</v>
      </c>
      <c r="F44" s="986">
        <f>IFERROR(VLOOKUP(F43,$M$26:$N$147,2,0),"")</f>
        <v>9.0299999999999994</v>
      </c>
      <c r="G44" s="986">
        <f t="shared" ref="G44:J44" si="5">IFERROR(VLOOKUP(G43,$M$26:$N$147,2,0),"")</f>
        <v>8.9359999999999999</v>
      </c>
      <c r="H44" s="986">
        <f t="shared" si="5"/>
        <v>8.8559999999999999</v>
      </c>
      <c r="I44" s="986">
        <f t="shared" si="5"/>
        <v>8.7260000000000009</v>
      </c>
      <c r="J44" s="986">
        <f t="shared" si="5"/>
        <v>8.8819999999999997</v>
      </c>
      <c r="M44" s="388">
        <v>19</v>
      </c>
      <c r="N44" s="389">
        <v>8.9610000000000003</v>
      </c>
    </row>
    <row r="45" spans="3:22">
      <c r="C45" s="36" t="s">
        <v>31</v>
      </c>
      <c r="D45" s="37"/>
      <c r="E45" s="37" t="s">
        <v>22</v>
      </c>
      <c r="F45" s="37">
        <f>F41-F42</f>
        <v>6.1899999999999977</v>
      </c>
      <c r="G45" s="37">
        <f>G41-G42</f>
        <v>7.2399999999999949</v>
      </c>
      <c r="H45" s="37">
        <f>H41-H42</f>
        <v>8.279999999999994</v>
      </c>
      <c r="I45" s="37">
        <f>I41-I42</f>
        <v>9.11</v>
      </c>
      <c r="J45" s="38">
        <f>J41-J42</f>
        <v>8.7999999999999972</v>
      </c>
      <c r="M45" s="388">
        <v>20</v>
      </c>
      <c r="N45" s="389">
        <v>8.7759999999999998</v>
      </c>
    </row>
    <row r="46" spans="3:22">
      <c r="C46" s="36" t="s">
        <v>32</v>
      </c>
      <c r="D46" s="37"/>
      <c r="E46" s="37" t="s">
        <v>22</v>
      </c>
      <c r="F46" s="37">
        <f>F42-F44</f>
        <v>47.01</v>
      </c>
      <c r="G46" s="37">
        <f>G42-G44</f>
        <v>47.954000000000001</v>
      </c>
      <c r="H46" s="37">
        <f>H42-H44</f>
        <v>49.073999999999998</v>
      </c>
      <c r="I46" s="37">
        <f>I42-I44</f>
        <v>48.433999999999997</v>
      </c>
      <c r="J46" s="38">
        <f>J42-J44</f>
        <v>41.648000000000003</v>
      </c>
      <c r="M46" s="388">
        <v>21</v>
      </c>
      <c r="N46" s="389">
        <v>8.9030000000000005</v>
      </c>
    </row>
    <row r="47" spans="3:22">
      <c r="C47" s="36" t="s">
        <v>33</v>
      </c>
      <c r="D47" s="37"/>
      <c r="E47" s="37" t="s">
        <v>34</v>
      </c>
      <c r="F47" s="37">
        <f>(F45/F46)*100</f>
        <v>13.167411189108696</v>
      </c>
      <c r="G47" s="37">
        <f>(G45/G46)*100</f>
        <v>15.097802060307783</v>
      </c>
      <c r="H47" s="37">
        <f>(H45/H46)*100</f>
        <v>16.872478298080438</v>
      </c>
      <c r="I47" s="37">
        <f>(I45/I46)*100</f>
        <v>18.809101044720649</v>
      </c>
      <c r="J47" s="38">
        <f>(J45/J46)*100</f>
        <v>21.129466000768335</v>
      </c>
      <c r="M47" s="388">
        <v>22</v>
      </c>
      <c r="N47" s="389">
        <v>8.843</v>
      </c>
    </row>
    <row r="48" spans="3:22">
      <c r="C48" s="27" t="s">
        <v>36</v>
      </c>
      <c r="D48" s="27"/>
      <c r="E48" s="27"/>
      <c r="F48" s="27">
        <f>$F$24/(1+($F$24*F47/100))</f>
        <v>1.9645107114415701</v>
      </c>
      <c r="G48" s="27">
        <f>$F$24/(1+($F$24*G47/100))</f>
        <v>1.8927330950253207</v>
      </c>
      <c r="H48" s="27">
        <f>$F$24/(1+($F$24*H47/100))</f>
        <v>1.8312225413991217</v>
      </c>
      <c r="I48" s="27">
        <f>$F$24/(1+($F$24*I47/100))</f>
        <v>1.7685045228761771</v>
      </c>
      <c r="J48" s="27">
        <f>$F$24/(1+($F$24*J47/100))</f>
        <v>1.6987932520625542</v>
      </c>
      <c r="M48" s="388">
        <v>23</v>
      </c>
      <c r="N48" s="389">
        <v>8.84</v>
      </c>
    </row>
    <row r="49" spans="3:14">
      <c r="M49" s="390">
        <v>24</v>
      </c>
      <c r="N49" s="389">
        <v>9.01</v>
      </c>
    </row>
    <row r="50" spans="3:14">
      <c r="M50" s="388">
        <v>25</v>
      </c>
      <c r="N50" s="389">
        <v>8.8119999999999994</v>
      </c>
    </row>
    <row r="51" spans="3:14">
      <c r="M51" s="388">
        <v>26</v>
      </c>
      <c r="N51" s="389">
        <v>8.8460000000000001</v>
      </c>
    </row>
    <row r="52" spans="3:14">
      <c r="M52" s="388">
        <v>27</v>
      </c>
      <c r="N52" s="389">
        <v>8.9139999999999997</v>
      </c>
    </row>
    <row r="53" spans="3:14">
      <c r="M53" s="388">
        <v>28</v>
      </c>
      <c r="N53" s="389">
        <v>9.9</v>
      </c>
    </row>
    <row r="54" spans="3:14">
      <c r="C54" s="39"/>
      <c r="D54" s="39"/>
      <c r="E54" s="39"/>
      <c r="F54" s="39"/>
      <c r="G54" s="39"/>
      <c r="H54" s="39"/>
      <c r="I54" s="39"/>
      <c r="J54" s="39"/>
      <c r="M54" s="388">
        <v>29</v>
      </c>
      <c r="N54" s="389">
        <v>8.9</v>
      </c>
    </row>
    <row r="55" spans="3:14">
      <c r="M55" s="385">
        <v>30</v>
      </c>
      <c r="N55" s="391">
        <v>8.8539999999999992</v>
      </c>
    </row>
    <row r="56" spans="3:14">
      <c r="M56" s="388">
        <v>31</v>
      </c>
      <c r="N56" s="389">
        <v>8.8149999999999995</v>
      </c>
    </row>
    <row r="57" spans="3:14">
      <c r="C57" t="s">
        <v>594</v>
      </c>
      <c r="D57" t="s">
        <v>595</v>
      </c>
      <c r="M57" s="388">
        <v>32</v>
      </c>
      <c r="N57" s="389">
        <v>8.9849999999999994</v>
      </c>
    </row>
    <row r="58" spans="3:14">
      <c r="C58" s="1856" t="s">
        <v>33</v>
      </c>
      <c r="D58" s="1856" t="s">
        <v>35</v>
      </c>
      <c r="F58" t="s">
        <v>36</v>
      </c>
      <c r="M58" s="388">
        <v>33</v>
      </c>
      <c r="N58" s="389">
        <v>8.8970000000000002</v>
      </c>
    </row>
    <row r="59" spans="3:14">
      <c r="C59" s="1856"/>
      <c r="D59" s="1856"/>
      <c r="M59" s="388">
        <v>34</v>
      </c>
      <c r="N59" s="389">
        <v>8.91</v>
      </c>
    </row>
    <row r="60" spans="3:14">
      <c r="C60" s="33">
        <f>C124</f>
        <v>13.167411189108696</v>
      </c>
      <c r="D60" s="34">
        <f>IF($D$7="",NA(),C126)</f>
        <v>1.2931296030108577</v>
      </c>
      <c r="F60" s="33">
        <f>F48</f>
        <v>1.9645107114415701</v>
      </c>
      <c r="G60" s="23"/>
      <c r="H60" s="23"/>
      <c r="M60" s="383">
        <v>35</v>
      </c>
      <c r="N60" s="384">
        <v>8.7249999999999996</v>
      </c>
    </row>
    <row r="61" spans="3:14">
      <c r="C61" s="33">
        <f>D124</f>
        <v>15.097802060307783</v>
      </c>
      <c r="D61" s="34">
        <f>IF($D$7="",NA(),D126)</f>
        <v>1.3681606574862033</v>
      </c>
      <c r="F61" s="33">
        <f>G48</f>
        <v>1.8927330950253207</v>
      </c>
      <c r="G61" s="23"/>
      <c r="H61" s="23"/>
      <c r="M61" s="383">
        <v>36</v>
      </c>
      <c r="N61" s="384">
        <v>8.7149999999999999</v>
      </c>
    </row>
    <row r="62" spans="3:14">
      <c r="C62" s="33">
        <f>E124</f>
        <v>16.872478298080438</v>
      </c>
      <c r="D62" s="34">
        <f>IF($D$7="",NA(),E126)</f>
        <v>1.4117929572514401</v>
      </c>
      <c r="F62" s="33">
        <f>H48</f>
        <v>1.8312225413991217</v>
      </c>
      <c r="G62" s="23"/>
      <c r="H62" s="23"/>
      <c r="M62" s="383">
        <v>37</v>
      </c>
      <c r="N62" s="384">
        <v>8.7520000000000007</v>
      </c>
    </row>
    <row r="63" spans="3:14">
      <c r="C63" s="33">
        <f>F124</f>
        <v>18.809101044720649</v>
      </c>
      <c r="D63" s="34">
        <f>IF($D$7="",NA(),F126)</f>
        <v>1.3816414409418438</v>
      </c>
      <c r="F63" s="33">
        <f>I48</f>
        <v>1.7685045228761771</v>
      </c>
      <c r="G63" s="23"/>
      <c r="H63" s="23"/>
      <c r="M63" s="383">
        <v>38</v>
      </c>
      <c r="N63" s="384">
        <v>8.73</v>
      </c>
    </row>
    <row r="64" spans="3:14">
      <c r="C64" s="1003">
        <f>G124</f>
        <v>21.129466000768335</v>
      </c>
      <c r="D64" s="34">
        <f>IF($D$7="",NA(),G126)</f>
        <v>1.316662904302476</v>
      </c>
      <c r="F64" s="33">
        <f>J48</f>
        <v>1.6987932520625542</v>
      </c>
      <c r="G64" s="23"/>
      <c r="H64" s="23"/>
      <c r="M64" s="383">
        <v>39</v>
      </c>
      <c r="N64" s="384">
        <v>8.8610000000000007</v>
      </c>
    </row>
    <row r="65" spans="3:18">
      <c r="C65" s="23"/>
      <c r="D65" s="23"/>
      <c r="E65" s="23"/>
      <c r="F65" s="23"/>
      <c r="G65" s="23"/>
      <c r="H65" s="23" t="s">
        <v>960</v>
      </c>
      <c r="M65" s="383">
        <v>40</v>
      </c>
      <c r="N65" s="384">
        <v>8.8580000000000005</v>
      </c>
    </row>
    <row r="66" spans="3:18" ht="18.75">
      <c r="D66" t="s">
        <v>956</v>
      </c>
      <c r="E66" s="1000">
        <f>IF($D$7="","",MAX(D60:D64))</f>
        <v>1.4117929572514401</v>
      </c>
      <c r="F66" t="s">
        <v>964</v>
      </c>
      <c r="H66" t="str">
        <f>"MDD = "&amp;TEXT(E66,"0.00")&amp;" g/cm³"</f>
        <v>MDD = 1.41 g/cm³</v>
      </c>
      <c r="M66" s="383">
        <v>41</v>
      </c>
      <c r="N66" s="384">
        <v>8.7590000000000003</v>
      </c>
    </row>
    <row r="67" spans="3:18">
      <c r="D67" t="s">
        <v>957</v>
      </c>
      <c r="E67" s="111">
        <f>IF($D$7="","",INDEX(C60:C64,MATCH(E66,D60:D64,0)))</f>
        <v>16.872478298080438</v>
      </c>
      <c r="H67" t="str">
        <f>"OMC = "&amp;TEXT(E67,"0.0")&amp;" %"</f>
        <v>OMC = 16.9 %</v>
      </c>
      <c r="M67" s="383">
        <v>42</v>
      </c>
      <c r="N67" s="384">
        <v>8.8000000000000007</v>
      </c>
    </row>
    <row r="68" spans="3:18">
      <c r="M68" s="383">
        <v>43</v>
      </c>
      <c r="N68" s="384">
        <v>8.8610000000000007</v>
      </c>
    </row>
    <row r="69" spans="3:18">
      <c r="D69" s="519"/>
      <c r="E69" s="1001"/>
      <c r="M69" s="383">
        <v>44</v>
      </c>
      <c r="N69" s="384">
        <v>8.8780000000000001</v>
      </c>
      <c r="R69" s="42"/>
    </row>
    <row r="70" spans="3:18">
      <c r="C70" t="s">
        <v>957</v>
      </c>
      <c r="M70" s="383">
        <v>45</v>
      </c>
      <c r="N70" s="384">
        <v>8.9410000000000007</v>
      </c>
      <c r="R70" s="42"/>
    </row>
    <row r="71" spans="3:18">
      <c r="D71" t="s">
        <v>132</v>
      </c>
      <c r="E71" t="s">
        <v>133</v>
      </c>
      <c r="M71" s="383">
        <v>46</v>
      </c>
      <c r="N71" s="384">
        <v>9.01</v>
      </c>
      <c r="R71" s="42"/>
    </row>
    <row r="72" spans="3:18">
      <c r="D72" s="519">
        <f>E67</f>
        <v>16.872478298080438</v>
      </c>
      <c r="E72" s="1004">
        <v>1.2</v>
      </c>
      <c r="M72" s="383">
        <v>47</v>
      </c>
      <c r="N72" s="384">
        <v>8.8993000000000002</v>
      </c>
      <c r="R72" s="42"/>
    </row>
    <row r="73" spans="3:18">
      <c r="D73" s="519">
        <f>E67</f>
        <v>16.872478298080438</v>
      </c>
      <c r="E73" s="519">
        <f>E66</f>
        <v>1.4117929572514401</v>
      </c>
      <c r="M73" s="383">
        <v>48</v>
      </c>
      <c r="N73" s="384">
        <v>8.7490000000000006</v>
      </c>
      <c r="R73" s="42"/>
    </row>
    <row r="74" spans="3:18">
      <c r="C74" t="s">
        <v>958</v>
      </c>
      <c r="M74" s="383">
        <v>49</v>
      </c>
      <c r="N74" s="384">
        <v>8.8219999999999992</v>
      </c>
      <c r="R74" s="42"/>
    </row>
    <row r="75" spans="3:18">
      <c r="D75">
        <v>0</v>
      </c>
      <c r="E75" s="519">
        <f>E66</f>
        <v>1.4117929572514401</v>
      </c>
      <c r="M75" s="383">
        <v>50</v>
      </c>
      <c r="N75" s="384">
        <v>8.7810000000000006</v>
      </c>
      <c r="R75" s="42"/>
    </row>
    <row r="76" spans="3:18">
      <c r="D76" s="519">
        <f>E67</f>
        <v>16.872478298080438</v>
      </c>
      <c r="E76" s="519">
        <f>E66</f>
        <v>1.4117929572514401</v>
      </c>
      <c r="M76" s="383">
        <v>51</v>
      </c>
      <c r="N76" s="384">
        <v>8.843</v>
      </c>
      <c r="R76" s="42"/>
    </row>
    <row r="77" spans="3:18">
      <c r="M77" s="383">
        <v>52</v>
      </c>
      <c r="N77" s="384">
        <v>8.8580000000000005</v>
      </c>
      <c r="R77" s="42"/>
    </row>
    <row r="78" spans="3:18">
      <c r="M78" s="383">
        <v>53</v>
      </c>
      <c r="N78" s="384">
        <v>8.7810000000000006</v>
      </c>
      <c r="R78" s="42"/>
    </row>
    <row r="79" spans="3:18">
      <c r="I79" s="41"/>
      <c r="J79" s="41"/>
      <c r="M79" s="383">
        <v>54</v>
      </c>
      <c r="N79" s="384">
        <v>8.9179999999999993</v>
      </c>
      <c r="R79" s="42"/>
    </row>
    <row r="80" spans="3:18">
      <c r="I80" s="35"/>
      <c r="J80" s="27"/>
      <c r="M80" s="383">
        <v>55</v>
      </c>
      <c r="N80" s="384">
        <v>9.0299999999999994</v>
      </c>
      <c r="R80" s="42"/>
    </row>
    <row r="81" spans="9:18">
      <c r="I81" s="27"/>
      <c r="J81" s="27"/>
      <c r="M81" s="383">
        <v>56</v>
      </c>
      <c r="N81" s="384">
        <v>8.9239999999999995</v>
      </c>
      <c r="R81" s="42"/>
    </row>
    <row r="82" spans="9:18">
      <c r="I82" s="27"/>
      <c r="J82" s="27"/>
      <c r="M82" s="383">
        <v>57</v>
      </c>
      <c r="N82" s="384">
        <v>9.0109999999999992</v>
      </c>
      <c r="R82" s="42"/>
    </row>
    <row r="83" spans="9:18">
      <c r="I83" s="27"/>
      <c r="J83" s="35"/>
      <c r="M83" s="383">
        <v>58</v>
      </c>
      <c r="N83" s="384">
        <v>8.8539999999999992</v>
      </c>
      <c r="R83" s="42"/>
    </row>
    <row r="84" spans="9:18">
      <c r="M84" s="383">
        <v>59</v>
      </c>
      <c r="N84" s="384">
        <v>8.8989999999999991</v>
      </c>
      <c r="R84" s="42"/>
    </row>
    <row r="85" spans="9:18">
      <c r="M85" s="383">
        <v>60</v>
      </c>
      <c r="N85" s="384">
        <v>8.8209999999999997</v>
      </c>
      <c r="R85" s="42"/>
    </row>
    <row r="86" spans="9:18">
      <c r="M86" s="383">
        <v>61</v>
      </c>
      <c r="N86" s="384">
        <v>8.8450000000000006</v>
      </c>
      <c r="R86" s="42"/>
    </row>
    <row r="87" spans="9:18">
      <c r="M87" s="383">
        <v>62</v>
      </c>
      <c r="N87" s="384">
        <v>8.76</v>
      </c>
      <c r="R87" s="42"/>
    </row>
    <row r="88" spans="9:18">
      <c r="M88" s="383">
        <v>63</v>
      </c>
      <c r="N88" s="384">
        <v>8.86</v>
      </c>
      <c r="R88" s="42"/>
    </row>
    <row r="89" spans="9:18">
      <c r="M89" s="383">
        <v>64</v>
      </c>
      <c r="N89" s="384">
        <v>8.8089999999999993</v>
      </c>
      <c r="R89" s="42"/>
    </row>
    <row r="90" spans="9:18">
      <c r="M90" s="383">
        <v>65</v>
      </c>
      <c r="N90" s="384">
        <v>8.8840000000000003</v>
      </c>
      <c r="R90" s="42"/>
    </row>
    <row r="91" spans="9:18">
      <c r="M91" s="383">
        <v>66</v>
      </c>
      <c r="N91" s="384">
        <v>8.923</v>
      </c>
      <c r="R91" s="42"/>
    </row>
    <row r="92" spans="9:18">
      <c r="M92" s="383">
        <v>67</v>
      </c>
      <c r="N92" s="384">
        <v>8.9600000000000009</v>
      </c>
      <c r="R92" s="42"/>
    </row>
    <row r="93" spans="9:18">
      <c r="M93" s="383">
        <v>68</v>
      </c>
      <c r="N93" s="384">
        <v>8.9870000000000001</v>
      </c>
      <c r="R93" s="42"/>
    </row>
    <row r="94" spans="9:18">
      <c r="M94" s="383">
        <v>69</v>
      </c>
      <c r="N94" s="384">
        <v>8.8239999999999998</v>
      </c>
      <c r="R94" s="42"/>
    </row>
    <row r="95" spans="9:18">
      <c r="M95" s="383">
        <v>70</v>
      </c>
      <c r="N95" s="384">
        <v>8.923</v>
      </c>
      <c r="R95" s="42"/>
    </row>
    <row r="96" spans="9:18">
      <c r="M96" s="383">
        <v>71</v>
      </c>
      <c r="N96" s="384">
        <v>8.8940000000000001</v>
      </c>
      <c r="R96" s="42"/>
    </row>
    <row r="97" spans="1:18">
      <c r="M97" s="383">
        <v>72</v>
      </c>
      <c r="N97" s="384">
        <v>8.8279999999999994</v>
      </c>
      <c r="R97" s="42"/>
    </row>
    <row r="98" spans="1:18">
      <c r="M98" s="383">
        <v>73</v>
      </c>
      <c r="N98" s="384">
        <v>8.8030000000000008</v>
      </c>
      <c r="R98" s="42"/>
    </row>
    <row r="99" spans="1:18">
      <c r="M99" s="383">
        <v>74</v>
      </c>
      <c r="N99" s="384">
        <v>8.9489999999999998</v>
      </c>
      <c r="R99" s="42"/>
    </row>
    <row r="100" spans="1:18">
      <c r="M100" s="383">
        <v>75</v>
      </c>
      <c r="N100" s="384">
        <v>8.8510000000000009</v>
      </c>
      <c r="R100" s="42"/>
    </row>
    <row r="101" spans="1:18">
      <c r="M101" s="383">
        <v>76</v>
      </c>
      <c r="N101" s="384">
        <v>8.7460000000000004</v>
      </c>
      <c r="R101" s="42"/>
    </row>
    <row r="102" spans="1:18">
      <c r="M102" s="383">
        <v>77</v>
      </c>
      <c r="N102" s="384">
        <v>8.843</v>
      </c>
      <c r="R102" s="42"/>
    </row>
    <row r="103" spans="1:18">
      <c r="M103" s="383">
        <v>78</v>
      </c>
      <c r="N103" s="384">
        <v>8.8279999999999994</v>
      </c>
      <c r="R103" s="42"/>
    </row>
    <row r="104" spans="1:18">
      <c r="M104" s="383">
        <v>79</v>
      </c>
      <c r="N104" s="384">
        <v>8.9149999999999991</v>
      </c>
      <c r="R104" s="42"/>
    </row>
    <row r="105" spans="1:18">
      <c r="M105" s="383">
        <v>80</v>
      </c>
      <c r="N105" s="384">
        <v>8.8130000000000006</v>
      </c>
      <c r="R105" s="42"/>
    </row>
    <row r="106" spans="1:18">
      <c r="M106" s="383">
        <v>81</v>
      </c>
      <c r="N106" s="384">
        <v>8.9649999999999999</v>
      </c>
      <c r="R106" s="42"/>
    </row>
    <row r="107" spans="1:18">
      <c r="M107" s="383">
        <v>82</v>
      </c>
      <c r="N107" s="384">
        <v>8.7970000000000006</v>
      </c>
      <c r="R107" s="42"/>
    </row>
    <row r="108" spans="1:18">
      <c r="M108" s="383">
        <v>83</v>
      </c>
      <c r="N108" s="384">
        <v>8.9280000000000008</v>
      </c>
      <c r="R108" s="42"/>
    </row>
    <row r="109" spans="1:18">
      <c r="C109" s="116"/>
      <c r="F109" s="116"/>
      <c r="M109" s="383">
        <v>84</v>
      </c>
      <c r="N109" s="384">
        <v>8.9039999999999999</v>
      </c>
      <c r="R109" s="42"/>
    </row>
    <row r="110" spans="1:18">
      <c r="M110" s="383">
        <v>85</v>
      </c>
      <c r="N110" s="384">
        <v>8.7690000000000001</v>
      </c>
      <c r="R110" s="42"/>
    </row>
    <row r="111" spans="1:18">
      <c r="A111" t="s">
        <v>928</v>
      </c>
      <c r="C111">
        <f>IF($D$7="","",F16)</f>
        <v>2.5</v>
      </c>
      <c r="M111" s="383">
        <v>86</v>
      </c>
      <c r="N111" s="384">
        <v>8.8079999999999998</v>
      </c>
      <c r="R111" s="42"/>
    </row>
    <row r="112" spans="1:18">
      <c r="A112" t="s">
        <v>929</v>
      </c>
      <c r="C112">
        <f>IF($D$7="","",F17)</f>
        <v>30.5</v>
      </c>
      <c r="M112" s="383">
        <v>87</v>
      </c>
      <c r="N112" s="384">
        <v>8.8320000000000007</v>
      </c>
      <c r="R112" s="42"/>
    </row>
    <row r="113" spans="1:18">
      <c r="A113" t="s">
        <v>930</v>
      </c>
      <c r="C113">
        <f>IF($D$7="","",F18)</f>
        <v>3</v>
      </c>
      <c r="M113" s="383">
        <v>88</v>
      </c>
      <c r="N113" s="384">
        <v>8.9280000000000008</v>
      </c>
      <c r="R113" s="42"/>
    </row>
    <row r="114" spans="1:18">
      <c r="A114" t="s">
        <v>931</v>
      </c>
      <c r="C114">
        <f>IF($D$7="","",F19)</f>
        <v>25</v>
      </c>
      <c r="M114" s="383">
        <v>89</v>
      </c>
      <c r="N114" s="384">
        <v>9.0719999999999992</v>
      </c>
      <c r="R114" s="42"/>
    </row>
    <row r="115" spans="1:18">
      <c r="A115" t="s">
        <v>962</v>
      </c>
      <c r="C115">
        <f>IF($D$7="","",F22)</f>
        <v>594</v>
      </c>
      <c r="M115" s="383">
        <v>90</v>
      </c>
      <c r="N115" s="384">
        <v>8.9060000000000006</v>
      </c>
      <c r="R115" s="42"/>
    </row>
    <row r="116" spans="1:18">
      <c r="A116" t="s">
        <v>963</v>
      </c>
      <c r="C116" s="42">
        <f>IF($D$7="","",F24)</f>
        <v>2.65</v>
      </c>
      <c r="M116" s="383">
        <v>91</v>
      </c>
      <c r="N116" s="384">
        <v>8.8390000000000004</v>
      </c>
      <c r="R116" s="42"/>
    </row>
    <row r="117" spans="1:18">
      <c r="M117" s="383">
        <v>92</v>
      </c>
      <c r="N117" s="384">
        <v>8.8219999999999992</v>
      </c>
      <c r="R117" s="42"/>
    </row>
    <row r="118" spans="1:18">
      <c r="M118" s="383">
        <v>93</v>
      </c>
      <c r="N118" s="384">
        <v>8.8539999999999992</v>
      </c>
      <c r="R118" s="42"/>
    </row>
    <row r="119" spans="1:18">
      <c r="A119" t="s">
        <v>950</v>
      </c>
      <c r="C119">
        <v>1</v>
      </c>
      <c r="D119">
        <v>2</v>
      </c>
      <c r="E119">
        <v>3</v>
      </c>
      <c r="F119">
        <v>4</v>
      </c>
      <c r="G119">
        <v>5</v>
      </c>
      <c r="M119" s="383">
        <v>94</v>
      </c>
      <c r="N119" s="384">
        <v>8.8260000000000005</v>
      </c>
      <c r="R119" s="42"/>
    </row>
    <row r="120" spans="1:18">
      <c r="A120" t="s">
        <v>951</v>
      </c>
      <c r="C120">
        <f>IF($D$7="","",F28)</f>
        <v>5588</v>
      </c>
      <c r="D120">
        <f>IF($D$7="","",G28)</f>
        <v>5693</v>
      </c>
      <c r="E120">
        <f>IF($D$7="","",H28)</f>
        <v>5764</v>
      </c>
      <c r="F120">
        <f>IF($D$7="","",I28)</f>
        <v>5756</v>
      </c>
      <c r="G120">
        <f>IF($D$7="","",J28)</f>
        <v>5712</v>
      </c>
      <c r="M120" s="383">
        <v>95</v>
      </c>
      <c r="N120" s="384">
        <v>8.8789999999999996</v>
      </c>
      <c r="R120" s="42"/>
    </row>
    <row r="121" spans="1:18">
      <c r="A121" t="s">
        <v>927</v>
      </c>
      <c r="C121" s="42">
        <f>IF($D$7="","",F30)</f>
        <v>4207.7</v>
      </c>
      <c r="D121" s="42">
        <f>IF($D$7="","",G30)</f>
        <v>4207.7</v>
      </c>
      <c r="E121" s="42">
        <f>IF($D$7="","",H30)</f>
        <v>4207.7</v>
      </c>
      <c r="F121" s="42">
        <f>IF($D$7="","",I30)</f>
        <v>4207.7</v>
      </c>
      <c r="G121" s="42">
        <f>IF($D$7="","",J30)</f>
        <v>4207.7</v>
      </c>
      <c r="M121" s="383">
        <v>96</v>
      </c>
      <c r="N121" s="384">
        <v>11.742000000000001</v>
      </c>
      <c r="R121" s="42"/>
    </row>
    <row r="122" spans="1:18">
      <c r="A122" t="s">
        <v>953</v>
      </c>
      <c r="C122" s="42">
        <f>IF($D$7="","",F34)</f>
        <v>1380.3000000000002</v>
      </c>
      <c r="D122" s="42">
        <f>IF($D$7="","",G34)</f>
        <v>1485.3000000000002</v>
      </c>
      <c r="E122" s="42">
        <f>IF($D$7="","",H34)</f>
        <v>1556.3000000000002</v>
      </c>
      <c r="F122" s="42">
        <f>IF($D$7="","",I34)</f>
        <v>1548.3000000000002</v>
      </c>
      <c r="G122" s="42">
        <f>IF($D$7="","",J34)</f>
        <v>1504.3000000000002</v>
      </c>
      <c r="M122" s="383">
        <v>97</v>
      </c>
      <c r="N122" s="384">
        <v>11.648</v>
      </c>
      <c r="R122" s="42"/>
    </row>
    <row r="123" spans="1:18">
      <c r="A123" t="s">
        <v>952</v>
      </c>
      <c r="C123" s="42">
        <f>IF($D$7="","",F31)</f>
        <v>10.16</v>
      </c>
      <c r="D123" s="42">
        <f>IF($D$7="","",G31)</f>
        <v>10.16</v>
      </c>
      <c r="E123" s="42">
        <f>IF($D$7="","",H31)</f>
        <v>10.16</v>
      </c>
      <c r="F123" s="42">
        <f>IF($D$7="","",I31)</f>
        <v>10.16</v>
      </c>
      <c r="G123" s="42">
        <f>IF($D$7="","",J31)</f>
        <v>10.16</v>
      </c>
      <c r="M123" s="383">
        <v>98</v>
      </c>
      <c r="N123" s="384">
        <v>11.9</v>
      </c>
      <c r="R123" s="42"/>
    </row>
    <row r="124" spans="1:18">
      <c r="A124" t="s">
        <v>907</v>
      </c>
      <c r="C124" s="42">
        <f>IF($D$7="","",F47)</f>
        <v>13.167411189108696</v>
      </c>
      <c r="D124" s="42">
        <f>IF($D$7="","",G47)</f>
        <v>15.097802060307783</v>
      </c>
      <c r="E124" s="42">
        <f>IF($D$7="","",H47)</f>
        <v>16.872478298080438</v>
      </c>
      <c r="F124" s="42">
        <f>IF($D$7="","",I47)</f>
        <v>18.809101044720649</v>
      </c>
      <c r="G124" s="42">
        <f>IF($D$7="","",J47)</f>
        <v>21.129466000768335</v>
      </c>
      <c r="M124" s="383">
        <v>99</v>
      </c>
      <c r="N124" s="384">
        <v>11.936</v>
      </c>
      <c r="R124" s="42"/>
    </row>
    <row r="125" spans="1:18">
      <c r="A125" t="s">
        <v>954</v>
      </c>
      <c r="C125" s="42">
        <f t="shared" ref="C125:G126" si="6">IF($D$7="","",F35)</f>
        <v>1.463401295047386</v>
      </c>
      <c r="D125" s="42">
        <f t="shared" si="6"/>
        <v>1.5747228454204758</v>
      </c>
      <c r="E125" s="42">
        <f t="shared" si="6"/>
        <v>1.6499974175775172</v>
      </c>
      <c r="F125" s="42">
        <f t="shared" si="6"/>
        <v>1.6415157756443295</v>
      </c>
      <c r="G125" s="42">
        <f t="shared" si="6"/>
        <v>1.5948667450117966</v>
      </c>
      <c r="M125" s="383">
        <v>100</v>
      </c>
      <c r="N125" s="384">
        <v>11.704000000000001</v>
      </c>
      <c r="R125" s="42"/>
    </row>
    <row r="126" spans="1:18">
      <c r="A126" t="s">
        <v>955</v>
      </c>
      <c r="C126" s="42">
        <f t="shared" si="6"/>
        <v>1.2931296030108577</v>
      </c>
      <c r="D126" s="42">
        <f t="shared" si="6"/>
        <v>1.3681606574862033</v>
      </c>
      <c r="E126" s="42">
        <f t="shared" si="6"/>
        <v>1.4117929572514401</v>
      </c>
      <c r="F126" s="42">
        <f t="shared" si="6"/>
        <v>1.3816414409418438</v>
      </c>
      <c r="G126" s="42">
        <f t="shared" si="6"/>
        <v>1.316662904302476</v>
      </c>
      <c r="M126" s="383">
        <v>101</v>
      </c>
      <c r="N126" s="384">
        <v>11.682</v>
      </c>
      <c r="R126" s="42"/>
    </row>
    <row r="127" spans="1:18">
      <c r="M127" s="383">
        <v>102</v>
      </c>
      <c r="N127" s="384">
        <v>11.487</v>
      </c>
      <c r="R127" s="42"/>
    </row>
    <row r="128" spans="1:18">
      <c r="M128" s="383">
        <v>103</v>
      </c>
      <c r="N128" s="384">
        <v>11.670999999999999</v>
      </c>
      <c r="R128" s="42"/>
    </row>
    <row r="129" spans="13:18">
      <c r="M129" s="383">
        <v>104</v>
      </c>
      <c r="N129" s="384">
        <v>11.765000000000001</v>
      </c>
      <c r="R129" s="42"/>
    </row>
    <row r="130" spans="13:18">
      <c r="M130" s="383">
        <v>105</v>
      </c>
      <c r="N130" s="384">
        <v>11.739000000000001</v>
      </c>
      <c r="R130" s="42"/>
    </row>
    <row r="131" spans="13:18">
      <c r="M131" s="383">
        <v>106</v>
      </c>
      <c r="N131" s="384">
        <v>11.691000000000001</v>
      </c>
      <c r="R131" s="42"/>
    </row>
    <row r="132" spans="13:18">
      <c r="M132" s="383">
        <v>107</v>
      </c>
      <c r="N132" s="384">
        <v>11.662000000000001</v>
      </c>
      <c r="R132" s="42"/>
    </row>
    <row r="133" spans="13:18">
      <c r="M133" s="383">
        <v>108</v>
      </c>
      <c r="N133" s="384">
        <v>11.763999999999999</v>
      </c>
      <c r="R133" s="42"/>
    </row>
    <row r="134" spans="13:18">
      <c r="M134" s="383">
        <v>109</v>
      </c>
      <c r="N134" s="384">
        <v>11.73</v>
      </c>
      <c r="R134" s="42"/>
    </row>
    <row r="135" spans="13:18">
      <c r="M135" s="383">
        <v>110</v>
      </c>
      <c r="N135" s="384">
        <v>11.663</v>
      </c>
      <c r="R135" s="42"/>
    </row>
    <row r="136" spans="13:18">
      <c r="M136" s="383">
        <v>111</v>
      </c>
      <c r="N136" s="384">
        <v>11.741</v>
      </c>
      <c r="R136" s="42"/>
    </row>
    <row r="137" spans="13:18">
      <c r="M137" s="383">
        <v>112</v>
      </c>
      <c r="N137" s="384">
        <v>11.68</v>
      </c>
      <c r="R137" s="42"/>
    </row>
    <row r="138" spans="13:18">
      <c r="M138" s="383">
        <v>113</v>
      </c>
      <c r="N138" s="384">
        <v>8.9589999999999996</v>
      </c>
      <c r="R138" s="42"/>
    </row>
    <row r="139" spans="13:18">
      <c r="M139" s="383">
        <v>114</v>
      </c>
      <c r="N139" s="384">
        <v>8.8190000000000008</v>
      </c>
      <c r="R139" s="42"/>
    </row>
    <row r="140" spans="13:18">
      <c r="M140" s="392">
        <v>115</v>
      </c>
      <c r="N140" s="393">
        <v>11.619</v>
      </c>
      <c r="R140" s="42"/>
    </row>
    <row r="141" spans="13:18">
      <c r="M141" s="392">
        <v>116</v>
      </c>
      <c r="N141" s="393">
        <v>8.8699999999999992</v>
      </c>
      <c r="R141" s="42"/>
    </row>
    <row r="142" spans="13:18">
      <c r="M142" s="392">
        <v>117</v>
      </c>
      <c r="N142" s="393">
        <v>9</v>
      </c>
      <c r="R142" s="42"/>
    </row>
    <row r="143" spans="13:18">
      <c r="M143" s="392">
        <v>118</v>
      </c>
      <c r="N143" s="393">
        <v>8.8339999999999996</v>
      </c>
      <c r="R143" s="42"/>
    </row>
    <row r="144" spans="13:18">
      <c r="M144" s="392">
        <v>119</v>
      </c>
      <c r="N144" s="393">
        <v>8.9469999999999992</v>
      </c>
      <c r="R144" s="42"/>
    </row>
    <row r="145" spans="1:21">
      <c r="M145" s="392">
        <v>120</v>
      </c>
      <c r="N145" s="393">
        <v>11.666</v>
      </c>
      <c r="R145" s="42"/>
    </row>
    <row r="146" spans="1:21">
      <c r="M146" s="392">
        <v>121</v>
      </c>
      <c r="N146" s="393">
        <v>8.7379999999999995</v>
      </c>
      <c r="R146" s="42"/>
    </row>
    <row r="147" spans="1:21">
      <c r="M147" s="392">
        <v>122</v>
      </c>
      <c r="N147" s="393">
        <v>8.9849999999999994</v>
      </c>
      <c r="R147" s="42"/>
    </row>
    <row r="148" spans="1:21">
      <c r="R148" s="42"/>
    </row>
    <row r="149" spans="1:21">
      <c r="R149" s="42"/>
    </row>
    <row r="150" spans="1:21">
      <c r="A150" s="1566" t="s">
        <v>1719</v>
      </c>
      <c r="B150" s="862"/>
      <c r="C150" s="14"/>
      <c r="D150" s="370"/>
      <c r="E150" s="370"/>
    </row>
    <row r="151" spans="1:21">
      <c r="A151" s="1570" t="s">
        <v>2058</v>
      </c>
      <c r="B151" s="862"/>
      <c r="C151" s="14"/>
      <c r="D151" s="370"/>
      <c r="E151" s="370"/>
    </row>
    <row r="152" spans="1:21">
      <c r="A152" s="1566" t="s">
        <v>1719</v>
      </c>
      <c r="B152" s="862"/>
      <c r="C152" s="14"/>
      <c r="D152" s="370"/>
      <c r="E152" s="370"/>
    </row>
    <row r="153" spans="1:21">
      <c r="A153" s="1566"/>
      <c r="B153" s="862"/>
      <c r="C153" s="14"/>
      <c r="D153" s="370"/>
      <c r="E153" s="370"/>
    </row>
    <row r="154" spans="1:21">
      <c r="B154" t="s">
        <v>1611</v>
      </c>
      <c r="C154" s="299" t="str">
        <f>F12</f>
        <v>CLS</v>
      </c>
    </row>
    <row r="155" spans="1:21">
      <c r="B155" s="116"/>
      <c r="H155" s="116"/>
      <c r="N155" s="116"/>
    </row>
    <row r="156" spans="1:21">
      <c r="B156" s="116" t="s">
        <v>1793</v>
      </c>
      <c r="H156" s="116"/>
      <c r="N156" s="116"/>
    </row>
    <row r="157" spans="1:21">
      <c r="B157" s="1866" t="s">
        <v>124</v>
      </c>
      <c r="C157" s="1866"/>
      <c r="D157" s="1866" t="s">
        <v>1783</v>
      </c>
      <c r="E157" s="1867" t="s">
        <v>1788</v>
      </c>
      <c r="F157" s="1867"/>
      <c r="G157" s="1868" t="s">
        <v>1789</v>
      </c>
      <c r="H157" s="1868"/>
      <c r="I157" s="1868"/>
      <c r="J157" s="1868"/>
      <c r="K157" s="1868"/>
      <c r="L157" s="1868"/>
      <c r="M157" s="1868"/>
      <c r="N157" s="1868"/>
    </row>
    <row r="158" spans="1:21">
      <c r="B158" s="1866"/>
      <c r="C158" s="1866"/>
      <c r="D158" s="1866"/>
      <c r="E158" s="1581" t="s">
        <v>1598</v>
      </c>
      <c r="F158" s="1581" t="s">
        <v>1718</v>
      </c>
      <c r="G158" s="1579" t="s">
        <v>1790</v>
      </c>
      <c r="H158" s="1579" t="s">
        <v>1684</v>
      </c>
      <c r="I158" s="1580" t="s">
        <v>1794</v>
      </c>
      <c r="J158" s="1580" t="s">
        <v>438</v>
      </c>
      <c r="K158" s="1580" t="s">
        <v>1791</v>
      </c>
      <c r="L158" s="1580" t="s">
        <v>1598</v>
      </c>
      <c r="M158" s="1580" t="s">
        <v>1792</v>
      </c>
      <c r="N158" s="1580" t="s">
        <v>1718</v>
      </c>
      <c r="R158" t="s">
        <v>575</v>
      </c>
      <c r="S158" t="s">
        <v>1607</v>
      </c>
      <c r="T158" t="s">
        <v>1608</v>
      </c>
      <c r="U158" t="s">
        <v>1715</v>
      </c>
    </row>
    <row r="159" spans="1:21" ht="110.25" customHeight="1">
      <c r="B159" s="1361" t="s">
        <v>957</v>
      </c>
      <c r="C159" s="326"/>
      <c r="D159" s="1582">
        <f>E67</f>
        <v>16.872478298080438</v>
      </c>
      <c r="E159" s="3" t="str">
        <f>IF(D159="","CHECK",
IFERROR(
IF(AND(
D159&gt;=INDEX($S$159:$S$160,MATCH(B159,$R$159:$R$160,0)),
D159&lt;=INDEX($T$159:$T$160,MATCH(B159,$R$159:$R$160,0))
),
"PASS",
"REVIEW"),
"CHECK"))</f>
        <v>PASS</v>
      </c>
      <c r="F159" s="5" t="str">
        <f>IFERROR(
INDEX($U$159:$U$160,
MATCH(B159,$R$159:$R$160,0)),
"")</f>
        <v>Das (2016)</v>
      </c>
      <c r="G159" s="1569" t="str" cm="1">
        <f t="array" ref="G159">IFERROR(
INDEX($R$164:$R$173,
MATCH(1,
($Q$164:$Q$173=B159)*
($U$164:$U$173&gt;=D159)*
($T$164:$T$173&lt;=D159),
0)),
"")</f>
        <v>Sedang</v>
      </c>
      <c r="H159" s="1569" cm="1">
        <f t="array" ref="H159">IFERROR(
INDEX($S$164:$S$173,
MATCH(1,
($Q$164:$Q$173=B159)*
($U$164:$U$173&gt;=D159)*
($T$164:$T$173&lt;=D159),
0)),
"")</f>
        <v>3</v>
      </c>
      <c r="I159" s="1569" t="str" cm="1">
        <f t="array" ref="I159">IFERROR(
INDEX($S$177:$S$200,
MATCH(1,
($Q$177:$Q$200=$C$154)*
($R$177:$R$200=B159),
0)),
"")</f>
        <v>Sedang</v>
      </c>
      <c r="J159" s="1569" cm="1">
        <f t="array" ref="J159">IFERROR(
INDEX($T$177:$T$200,
MATCH(1,
($Q$177:$Q$200=$C$154)*
($R$177:$R$200=B159),
0)),
"")</f>
        <v>12</v>
      </c>
      <c r="K159" s="1569" cm="1">
        <f t="array" ref="K159">IFERROR(
INDEX($U$177:$U$200,
MATCH(1,
($Q$177:$Q$200=$C$154)*
($R$177:$R$200=B159),
0)),
"")</f>
        <v>22</v>
      </c>
      <c r="L159" s="3" t="str">
        <f>IF(D159="","CHECK",
IF(AND(D159&gt;=J159,D159&lt;K159),"PASS","REVIEW"))</f>
        <v>PASS</v>
      </c>
      <c r="M159" s="9" t="str" cm="1">
        <f t="array" ref="M159">IFERROR(
INDEX($V$177:$V$200,
MATCH(1,
($Q$177:$Q$200=$C$154)*
($R$177:$R$200=B159),
0)),
"")</f>
        <v>OMC sedang dipengaruhi fraksi lanau.</v>
      </c>
      <c r="N159" s="1569" t="str" cm="1">
        <f t="array" ref="N159">IFERROR(
INDEX($W$177:$W$200,
MATCH(1,
($Q$177:$Q$200=$C$154)*
($R$177:$R$200=B159),
0)),
"")</f>
        <v>Das (2016)</v>
      </c>
      <c r="R159" s="326" t="s">
        <v>957</v>
      </c>
      <c r="S159" s="326">
        <v>2</v>
      </c>
      <c r="T159" s="326">
        <v>60</v>
      </c>
      <c r="U159" s="326" t="s">
        <v>1716</v>
      </c>
    </row>
    <row r="160" spans="1:21" ht="123.75" customHeight="1">
      <c r="B160" s="1361" t="s">
        <v>956</v>
      </c>
      <c r="C160" s="326"/>
      <c r="D160" s="1582">
        <f>E66</f>
        <v>1.4117929572514401</v>
      </c>
      <c r="E160" s="3" t="str">
        <f>IF(D160="","CHECK",
IFERROR(
IF(AND(
D160&gt;=INDEX($S$159:$S$160,MATCH(B160,$R$159:$R$160,0)),
D160&lt;=INDEX($T$159:$T$160,MATCH(B160,$R$159:$R$160,0))
),
"PASS",
"REVIEW"),
"CHECK"))</f>
        <v>PASS</v>
      </c>
      <c r="F160" s="5" t="str">
        <f>IFERROR(
INDEX($U$159:$U$160,
MATCH(B160,$R$159:$R$160,0)),
"")</f>
        <v>ASTM D698</v>
      </c>
      <c r="G160" s="1569" t="str" cm="1">
        <f t="array" ref="G160">IFERROR(
INDEX($R$164:$R$173,
MATCH(1,
($Q$164:$Q$173=B160)*
($U$164:$U$173&gt;=D160)*
($T$164:$T$173&lt;=D160),
0)),
"")</f>
        <v>Rendah</v>
      </c>
      <c r="H160" s="1569" cm="1">
        <f t="array" ref="H160">IFERROR(
INDEX($S$164:$S$173,
MATCH(1,
($Q$164:$Q$173=B160)*
($U$164:$U$173&gt;=D160)*
($T$164:$T$173&lt;=D160),
0)),
"")</f>
        <v>2</v>
      </c>
      <c r="I160" s="1569" t="str" cm="1">
        <f t="array" ref="I160">IFERROR(
INDEX($S$177:$S$200,
MATCH(1,
($Q$177:$Q$200=$C$154)*
($R$177:$R$200=B160),
0)),
"")</f>
        <v>Sedang</v>
      </c>
      <c r="J160" s="1569" cm="1">
        <f t="array" ref="J160">IFERROR(
INDEX($T$177:$T$200,
MATCH(1,
($Q$177:$Q$200=$C$154)*
($R$177:$R$200=B160),
0)),
"")</f>
        <v>1.5</v>
      </c>
      <c r="K160" s="1569" cm="1">
        <f t="array" ref="K160">IFERROR(
INDEX($U$177:$U$200,
MATCH(1,
($Q$177:$Q$200=$C$154)*
($R$177:$R$200=B160),
0)),
"")</f>
        <v>1.9</v>
      </c>
      <c r="L160" s="3" t="str">
        <f>IF(D160="","CHECK",
IF(AND(D160&gt;=J160,D160&lt;K160),"PASS","REVIEW"))</f>
        <v>REVIEW</v>
      </c>
      <c r="M160" s="9" t="str" cm="1">
        <f t="array" ref="M160">IFERROR(
INDEX($V$177:$V$200,
MATCH(1,
($Q$177:$Q$200=$C$154)*
($R$177:$R$200=B160),
0)),
"")</f>
        <v>Nilai MDD umumnya sedikit lebih tinggi dibanding clay murni.</v>
      </c>
      <c r="N160" s="1569" t="str" cm="1">
        <f t="array" ref="N160">IFERROR(
INDEX($W$177:$W$200,
MATCH(1,
($Q$177:$Q$200=$C$154)*
($R$177:$R$200=B160),
0)),
"")</f>
        <v>ASTM D698</v>
      </c>
      <c r="R160" s="326" t="s">
        <v>956</v>
      </c>
      <c r="S160" s="326">
        <v>0.8</v>
      </c>
      <c r="T160" s="326">
        <v>3</v>
      </c>
      <c r="U160" s="326" t="s">
        <v>2029</v>
      </c>
    </row>
    <row r="162" spans="1:23">
      <c r="Q162" t="s">
        <v>1797</v>
      </c>
    </row>
    <row r="163" spans="1:23">
      <c r="Q163" t="s">
        <v>575</v>
      </c>
      <c r="R163" t="s">
        <v>2030</v>
      </c>
      <c r="S163" t="s">
        <v>1684</v>
      </c>
      <c r="T163" t="s">
        <v>2031</v>
      </c>
      <c r="U163" t="s">
        <v>2032</v>
      </c>
    </row>
    <row r="164" spans="1:23">
      <c r="Q164" t="s">
        <v>956</v>
      </c>
      <c r="R164" t="s">
        <v>1680</v>
      </c>
      <c r="S164">
        <v>1</v>
      </c>
      <c r="T164">
        <v>0.8</v>
      </c>
      <c r="U164">
        <v>1.2</v>
      </c>
    </row>
    <row r="165" spans="1:23">
      <c r="Q165" t="s">
        <v>956</v>
      </c>
      <c r="R165" t="s">
        <v>1670</v>
      </c>
      <c r="S165">
        <v>2</v>
      </c>
      <c r="T165">
        <v>1.2</v>
      </c>
      <c r="U165">
        <v>1.5</v>
      </c>
    </row>
    <row r="166" spans="1:23">
      <c r="Q166" t="s">
        <v>956</v>
      </c>
      <c r="R166" t="s">
        <v>1672</v>
      </c>
      <c r="S166">
        <v>3</v>
      </c>
      <c r="T166">
        <v>1.5</v>
      </c>
      <c r="U166">
        <v>1.8</v>
      </c>
    </row>
    <row r="167" spans="1:23">
      <c r="Q167" t="s">
        <v>956</v>
      </c>
      <c r="R167" t="s">
        <v>338</v>
      </c>
      <c r="S167">
        <v>4</v>
      </c>
      <c r="T167">
        <v>1.8</v>
      </c>
      <c r="U167">
        <v>2.1</v>
      </c>
    </row>
    <row r="168" spans="1:23">
      <c r="Q168" t="s">
        <v>956</v>
      </c>
      <c r="R168" t="s">
        <v>1681</v>
      </c>
      <c r="S168">
        <v>5</v>
      </c>
      <c r="T168">
        <v>2.1</v>
      </c>
      <c r="U168">
        <v>2.6</v>
      </c>
    </row>
    <row r="169" spans="1:23">
      <c r="Q169" t="s">
        <v>957</v>
      </c>
      <c r="R169" t="s">
        <v>1680</v>
      </c>
      <c r="S169">
        <v>1</v>
      </c>
      <c r="T169">
        <v>2</v>
      </c>
      <c r="U169">
        <v>8</v>
      </c>
    </row>
    <row r="170" spans="1:23">
      <c r="A170" s="116" t="s">
        <v>1795</v>
      </c>
      <c r="Q170" t="s">
        <v>957</v>
      </c>
      <c r="R170" t="s">
        <v>1670</v>
      </c>
      <c r="S170">
        <v>2</v>
      </c>
      <c r="T170">
        <v>8</v>
      </c>
      <c r="U170">
        <v>15</v>
      </c>
    </row>
    <row r="171" spans="1:23">
      <c r="A171" t="s">
        <v>1831</v>
      </c>
      <c r="D171" s="1583" t="str">
        <f>IF(COUNTIF(E159:E160,"REVIEW")&gt;0,
"REVIEW",
"PASS")</f>
        <v>PASS</v>
      </c>
      <c r="Q171" t="s">
        <v>957</v>
      </c>
      <c r="R171" t="s">
        <v>1672</v>
      </c>
      <c r="S171">
        <v>3</v>
      </c>
      <c r="T171">
        <v>15</v>
      </c>
      <c r="U171">
        <v>25</v>
      </c>
    </row>
    <row r="172" spans="1:23">
      <c r="A172" t="s">
        <v>1832</v>
      </c>
      <c r="D172" s="1583" t="str">
        <f>IF(COUNTIF(L159:L160,"REVIEW")&gt;0,
"REVIEW",
"PASS")</f>
        <v>REVIEW</v>
      </c>
      <c r="Q172" t="s">
        <v>957</v>
      </c>
      <c r="R172" t="s">
        <v>338</v>
      </c>
      <c r="S172">
        <v>4</v>
      </c>
      <c r="T172">
        <v>25</v>
      </c>
      <c r="U172">
        <v>35</v>
      </c>
    </row>
    <row r="173" spans="1:23">
      <c r="A173" t="s">
        <v>1605</v>
      </c>
      <c r="D173" s="1583" t="str">
        <f>IF(AND(D171="PASS",D172="PASS"),
"PASS",
IF(AND(D171="PASS",D172="REVIEW"),
"REVIEW",
IF(AND(D171="REVIEW",D172="PASS"),
"REVIEW",
"RE-ANALYZE")))</f>
        <v>REVIEW</v>
      </c>
      <c r="Q173" t="s">
        <v>957</v>
      </c>
      <c r="R173" t="s">
        <v>1681</v>
      </c>
      <c r="S173">
        <v>5</v>
      </c>
      <c r="T173">
        <v>35</v>
      </c>
      <c r="U173">
        <v>60</v>
      </c>
    </row>
    <row r="175" spans="1:23">
      <c r="A175" s="116" t="s">
        <v>1833</v>
      </c>
      <c r="Q175" t="s">
        <v>1798</v>
      </c>
    </row>
    <row r="176" spans="1:23" ht="24.75" customHeight="1">
      <c r="B176" s="1858" t="str" cm="1">
        <f t="array" ref="B176">IFERROR(
INDEX($R$208:$R$211,
MATCH(1,
($O$208:$O$211=D171)*
($P$208:$P$211=D172),
0)),
"")</f>
        <v>Hasil MDD atau OMC berada di luar kisaran umum karakteristik jenis tanah atau menunjukkan kecenderungan yang tidak lazim. Disarankan melakukan peninjauan terhadap data mentah, kurva kompaksi, kadar air, serta hasil regresi sebelum LHU diterbitkan.</v>
      </c>
      <c r="C176" s="1859"/>
      <c r="D176" s="1859"/>
      <c r="E176" s="1859"/>
      <c r="F176" s="1859"/>
      <c r="G176" s="1859"/>
      <c r="H176" s="1859"/>
      <c r="I176" s="1859"/>
      <c r="J176" s="1859"/>
      <c r="K176" s="1860"/>
      <c r="L176" s="1523"/>
      <c r="Q176" t="s">
        <v>1611</v>
      </c>
      <c r="R176" t="s">
        <v>575</v>
      </c>
      <c r="S176" t="s">
        <v>1683</v>
      </c>
      <c r="T176" t="s">
        <v>1607</v>
      </c>
      <c r="U176" t="s">
        <v>1608</v>
      </c>
      <c r="V176" t="s">
        <v>1685</v>
      </c>
      <c r="W176" t="s">
        <v>2033</v>
      </c>
    </row>
    <row r="177" spans="1:23">
      <c r="B177" s="1861"/>
      <c r="C177" s="1814"/>
      <c r="D177" s="1814"/>
      <c r="E177" s="1814"/>
      <c r="F177" s="1814"/>
      <c r="G177" s="1814"/>
      <c r="H177" s="1814"/>
      <c r="I177" s="1814"/>
      <c r="J177" s="1814"/>
      <c r="K177" s="1862"/>
      <c r="L177" s="1578"/>
      <c r="M177" s="1578"/>
      <c r="Q177" t="s">
        <v>1612</v>
      </c>
      <c r="R177" t="s">
        <v>956</v>
      </c>
      <c r="S177" t="s">
        <v>1672</v>
      </c>
      <c r="T177">
        <v>1.45</v>
      </c>
      <c r="U177">
        <v>1.85</v>
      </c>
      <c r="V177" t="s">
        <v>2034</v>
      </c>
      <c r="W177" t="s">
        <v>2035</v>
      </c>
    </row>
    <row r="178" spans="1:23">
      <c r="B178" s="1863"/>
      <c r="C178" s="1864"/>
      <c r="D178" s="1864"/>
      <c r="E178" s="1864"/>
      <c r="F178" s="1864"/>
      <c r="G178" s="1864"/>
      <c r="H178" s="1864"/>
      <c r="I178" s="1864"/>
      <c r="J178" s="1864"/>
      <c r="K178" s="1865"/>
      <c r="L178" s="5"/>
      <c r="M178" s="5"/>
      <c r="Q178" t="s">
        <v>1612</v>
      </c>
      <c r="R178" t="s">
        <v>957</v>
      </c>
      <c r="S178" t="s">
        <v>338</v>
      </c>
      <c r="T178">
        <v>15</v>
      </c>
      <c r="U178">
        <v>25</v>
      </c>
      <c r="V178" t="s">
        <v>2036</v>
      </c>
      <c r="W178" t="s">
        <v>1716</v>
      </c>
    </row>
    <row r="179" spans="1:23">
      <c r="K179" s="5"/>
      <c r="L179" s="5"/>
      <c r="M179" s="5"/>
      <c r="Q179" t="s">
        <v>1614</v>
      </c>
      <c r="R179" t="s">
        <v>956</v>
      </c>
      <c r="S179" t="s">
        <v>1672</v>
      </c>
      <c r="T179">
        <v>1.5</v>
      </c>
      <c r="U179">
        <v>1.9</v>
      </c>
      <c r="V179" t="s">
        <v>2037</v>
      </c>
      <c r="W179" t="s">
        <v>2029</v>
      </c>
    </row>
    <row r="180" spans="1:23">
      <c r="K180" s="5"/>
      <c r="L180" s="5"/>
      <c r="M180" s="5"/>
      <c r="Q180" t="s">
        <v>1614</v>
      </c>
      <c r="R180" t="s">
        <v>957</v>
      </c>
      <c r="S180" t="s">
        <v>1672</v>
      </c>
      <c r="T180">
        <v>12</v>
      </c>
      <c r="U180">
        <v>22</v>
      </c>
      <c r="V180" t="s">
        <v>2038</v>
      </c>
      <c r="W180" t="s">
        <v>1716</v>
      </c>
    </row>
    <row r="181" spans="1:23">
      <c r="A181" t="s">
        <v>2063</v>
      </c>
      <c r="K181" s="5"/>
      <c r="L181" s="5"/>
      <c r="M181" s="5"/>
      <c r="Q181" t="s">
        <v>1617</v>
      </c>
      <c r="R181" t="s">
        <v>956</v>
      </c>
      <c r="S181" t="s">
        <v>1672</v>
      </c>
      <c r="T181">
        <v>1.45</v>
      </c>
      <c r="U181">
        <v>1.85</v>
      </c>
      <c r="V181" t="s">
        <v>2062</v>
      </c>
      <c r="W181" t="s">
        <v>2029</v>
      </c>
    </row>
    <row r="182" spans="1:23">
      <c r="K182" s="5"/>
      <c r="L182" s="5"/>
      <c r="M182" s="5"/>
      <c r="Q182" t="s">
        <v>1617</v>
      </c>
      <c r="R182" t="s">
        <v>957</v>
      </c>
      <c r="S182" t="s">
        <v>338</v>
      </c>
      <c r="T182">
        <v>14</v>
      </c>
      <c r="U182">
        <v>24</v>
      </c>
      <c r="V182" t="s">
        <v>2039</v>
      </c>
      <c r="W182" t="s">
        <v>1716</v>
      </c>
    </row>
    <row r="183" spans="1:23">
      <c r="K183" s="5"/>
      <c r="L183" s="5"/>
      <c r="M183" s="5"/>
      <c r="Q183" t="s">
        <v>1643</v>
      </c>
      <c r="R183" t="s">
        <v>956</v>
      </c>
      <c r="S183" t="s">
        <v>338</v>
      </c>
      <c r="T183">
        <v>1.85</v>
      </c>
      <c r="U183">
        <v>2.15</v>
      </c>
      <c r="V183" t="s">
        <v>2040</v>
      </c>
      <c r="W183" t="s">
        <v>2029</v>
      </c>
    </row>
    <row r="184" spans="1:23">
      <c r="K184" s="5"/>
      <c r="L184" s="5"/>
      <c r="M184" s="5"/>
      <c r="Q184" t="s">
        <v>1643</v>
      </c>
      <c r="R184" t="s">
        <v>957</v>
      </c>
      <c r="S184" t="s">
        <v>1670</v>
      </c>
      <c r="T184">
        <v>8</v>
      </c>
      <c r="U184">
        <v>15</v>
      </c>
      <c r="V184" t="s">
        <v>2041</v>
      </c>
      <c r="W184" t="s">
        <v>1716</v>
      </c>
    </row>
    <row r="185" spans="1:23">
      <c r="K185" s="5"/>
      <c r="L185" s="5"/>
      <c r="M185" s="5"/>
      <c r="Q185" t="s">
        <v>1620</v>
      </c>
      <c r="R185" t="s">
        <v>956</v>
      </c>
      <c r="S185" t="s">
        <v>1681</v>
      </c>
      <c r="T185">
        <v>1.9</v>
      </c>
      <c r="U185">
        <v>2.2000000000000002</v>
      </c>
      <c r="V185" t="s">
        <v>2042</v>
      </c>
      <c r="W185" t="s">
        <v>2029</v>
      </c>
    </row>
    <row r="186" spans="1:23">
      <c r="Q186" t="s">
        <v>1620</v>
      </c>
      <c r="R186" t="s">
        <v>957</v>
      </c>
      <c r="S186" t="s">
        <v>1680</v>
      </c>
      <c r="T186">
        <v>5</v>
      </c>
      <c r="U186">
        <v>10</v>
      </c>
      <c r="V186" t="s">
        <v>2043</v>
      </c>
      <c r="W186" t="s">
        <v>1716</v>
      </c>
    </row>
    <row r="187" spans="1:23">
      <c r="Q187" t="s">
        <v>1621</v>
      </c>
      <c r="R187" t="s">
        <v>956</v>
      </c>
      <c r="S187" t="s">
        <v>338</v>
      </c>
      <c r="T187">
        <v>1.7</v>
      </c>
      <c r="U187">
        <v>2</v>
      </c>
      <c r="V187" t="s">
        <v>2044</v>
      </c>
      <c r="W187" t="s">
        <v>2029</v>
      </c>
    </row>
    <row r="188" spans="1:23">
      <c r="Q188" t="s">
        <v>1621</v>
      </c>
      <c r="R188" t="s">
        <v>957</v>
      </c>
      <c r="S188" t="s">
        <v>1672</v>
      </c>
      <c r="T188">
        <v>10</v>
      </c>
      <c r="U188">
        <v>18</v>
      </c>
      <c r="V188" t="s">
        <v>2045</v>
      </c>
      <c r="W188" t="s">
        <v>1716</v>
      </c>
    </row>
    <row r="189" spans="1:23">
      <c r="Q189" t="s">
        <v>1623</v>
      </c>
      <c r="R189" t="s">
        <v>956</v>
      </c>
      <c r="S189" t="s">
        <v>338</v>
      </c>
      <c r="T189">
        <v>1.75</v>
      </c>
      <c r="U189">
        <v>2.0499999999999998</v>
      </c>
      <c r="V189" t="s">
        <v>2046</v>
      </c>
      <c r="W189" t="s">
        <v>2029</v>
      </c>
    </row>
    <row r="190" spans="1:23">
      <c r="Q190" t="s">
        <v>1623</v>
      </c>
      <c r="R190" t="s">
        <v>957</v>
      </c>
      <c r="S190" t="s">
        <v>1672</v>
      </c>
      <c r="T190">
        <v>8</v>
      </c>
      <c r="U190">
        <v>15</v>
      </c>
      <c r="V190" t="s">
        <v>2047</v>
      </c>
      <c r="W190" t="s">
        <v>1716</v>
      </c>
    </row>
    <row r="191" spans="1:23">
      <c r="Q191" t="s">
        <v>1649</v>
      </c>
      <c r="R191" t="s">
        <v>956</v>
      </c>
      <c r="S191" t="s">
        <v>1681</v>
      </c>
      <c r="T191">
        <v>1.95</v>
      </c>
      <c r="U191">
        <v>2.25</v>
      </c>
      <c r="V191" t="s">
        <v>2048</v>
      </c>
      <c r="W191" t="s">
        <v>2029</v>
      </c>
    </row>
    <row r="192" spans="1:23">
      <c r="Q192" t="s">
        <v>1649</v>
      </c>
      <c r="R192" t="s">
        <v>957</v>
      </c>
      <c r="S192" t="s">
        <v>1680</v>
      </c>
      <c r="T192">
        <v>5</v>
      </c>
      <c r="U192">
        <v>10</v>
      </c>
      <c r="V192" t="s">
        <v>2049</v>
      </c>
      <c r="W192" t="s">
        <v>1716</v>
      </c>
    </row>
    <row r="193" spans="15:23">
      <c r="Q193" t="s">
        <v>1690</v>
      </c>
      <c r="R193" t="s">
        <v>956</v>
      </c>
      <c r="S193" t="s">
        <v>1672</v>
      </c>
      <c r="T193">
        <v>1.55</v>
      </c>
      <c r="U193">
        <v>1.9</v>
      </c>
      <c r="V193" t="s">
        <v>2050</v>
      </c>
      <c r="W193" t="s">
        <v>2029</v>
      </c>
    </row>
    <row r="194" spans="15:23">
      <c r="Q194" t="s">
        <v>1690</v>
      </c>
      <c r="R194" t="s">
        <v>957</v>
      </c>
      <c r="S194" t="s">
        <v>1672</v>
      </c>
      <c r="T194">
        <v>12</v>
      </c>
      <c r="U194">
        <v>22</v>
      </c>
      <c r="V194" t="s">
        <v>2051</v>
      </c>
      <c r="W194" t="s">
        <v>1716</v>
      </c>
    </row>
    <row r="195" spans="15:23">
      <c r="Q195" t="s">
        <v>1626</v>
      </c>
      <c r="R195" t="s">
        <v>956</v>
      </c>
      <c r="S195" t="s">
        <v>1672</v>
      </c>
      <c r="T195">
        <v>1.45</v>
      </c>
      <c r="U195">
        <v>1.8</v>
      </c>
      <c r="V195" t="s">
        <v>2052</v>
      </c>
      <c r="W195" t="s">
        <v>2029</v>
      </c>
    </row>
    <row r="196" spans="15:23">
      <c r="Q196" t="s">
        <v>1626</v>
      </c>
      <c r="R196" t="s">
        <v>957</v>
      </c>
      <c r="S196" t="s">
        <v>338</v>
      </c>
      <c r="T196">
        <v>14</v>
      </c>
      <c r="U196">
        <v>24</v>
      </c>
      <c r="V196" t="s">
        <v>2053</v>
      </c>
      <c r="W196" t="s">
        <v>1716</v>
      </c>
    </row>
    <row r="197" spans="15:23">
      <c r="Q197" t="s">
        <v>1628</v>
      </c>
      <c r="R197" t="s">
        <v>956</v>
      </c>
      <c r="S197" t="s">
        <v>1672</v>
      </c>
      <c r="T197">
        <v>1.6</v>
      </c>
      <c r="U197">
        <v>1.95</v>
      </c>
      <c r="V197" t="s">
        <v>2054</v>
      </c>
      <c r="W197" t="s">
        <v>2029</v>
      </c>
    </row>
    <row r="198" spans="15:23">
      <c r="Q198" t="s">
        <v>1628</v>
      </c>
      <c r="R198" t="s">
        <v>957</v>
      </c>
      <c r="S198" t="s">
        <v>1672</v>
      </c>
      <c r="T198">
        <v>10</v>
      </c>
      <c r="U198">
        <v>18</v>
      </c>
      <c r="V198" t="s">
        <v>2055</v>
      </c>
      <c r="W198" t="s">
        <v>1716</v>
      </c>
    </row>
    <row r="199" spans="15:23">
      <c r="Q199" t="s">
        <v>1630</v>
      </c>
      <c r="R199" t="s">
        <v>956</v>
      </c>
      <c r="S199" t="s">
        <v>1681</v>
      </c>
      <c r="T199">
        <v>2.1</v>
      </c>
      <c r="U199">
        <v>2.35</v>
      </c>
      <c r="V199" t="s">
        <v>2056</v>
      </c>
      <c r="W199" t="s">
        <v>2029</v>
      </c>
    </row>
    <row r="200" spans="15:23">
      <c r="Q200" t="s">
        <v>1630</v>
      </c>
      <c r="R200" t="s">
        <v>957</v>
      </c>
      <c r="S200" t="s">
        <v>1680</v>
      </c>
      <c r="T200">
        <v>4</v>
      </c>
      <c r="U200">
        <v>8</v>
      </c>
      <c r="V200" t="s">
        <v>2057</v>
      </c>
      <c r="W200" t="s">
        <v>2029</v>
      </c>
    </row>
    <row r="207" spans="15:23">
      <c r="O207" t="s">
        <v>1822</v>
      </c>
      <c r="P207" t="s">
        <v>1823</v>
      </c>
      <c r="Q207" t="s">
        <v>1824</v>
      </c>
      <c r="R207" t="s">
        <v>1786</v>
      </c>
    </row>
    <row r="208" spans="15:23">
      <c r="O208" t="s">
        <v>1733</v>
      </c>
      <c r="P208" t="s">
        <v>1733</v>
      </c>
      <c r="Q208" t="s">
        <v>1825</v>
      </c>
      <c r="R208" t="s">
        <v>2059</v>
      </c>
    </row>
    <row r="209" spans="15:18">
      <c r="O209" t="s">
        <v>1733</v>
      </c>
      <c r="P209" t="s">
        <v>1735</v>
      </c>
      <c r="Q209" t="s">
        <v>1735</v>
      </c>
      <c r="R209" t="s">
        <v>2060</v>
      </c>
    </row>
    <row r="210" spans="15:18">
      <c r="O210" t="s">
        <v>1735</v>
      </c>
      <c r="P210" t="s">
        <v>1733</v>
      </c>
      <c r="Q210" t="s">
        <v>1735</v>
      </c>
      <c r="R210" t="s">
        <v>2060</v>
      </c>
    </row>
    <row r="211" spans="15:18">
      <c r="O211" t="s">
        <v>1735</v>
      </c>
      <c r="P211" t="s">
        <v>1735</v>
      </c>
      <c r="Q211" t="s">
        <v>1829</v>
      </c>
      <c r="R211" t="s">
        <v>2061</v>
      </c>
    </row>
  </sheetData>
  <mergeCells count="17">
    <mergeCell ref="B176:K178"/>
    <mergeCell ref="B157:C158"/>
    <mergeCell ref="D157:D158"/>
    <mergeCell ref="E157:F157"/>
    <mergeCell ref="G157:N157"/>
    <mergeCell ref="D58:D59"/>
    <mergeCell ref="C58:C59"/>
    <mergeCell ref="A7:C7"/>
    <mergeCell ref="A9:C9"/>
    <mergeCell ref="L9:N9"/>
    <mergeCell ref="A10:C10"/>
    <mergeCell ref="L10:N10"/>
    <mergeCell ref="A11:C11"/>
    <mergeCell ref="A12:C12"/>
    <mergeCell ref="L12:N12"/>
    <mergeCell ref="A13:C13"/>
    <mergeCell ref="M19:P19"/>
  </mergeCells>
  <conditionalFormatting sqref="D171:D173">
    <cfRule type="expression" dxfId="329" priority="1">
      <formula>ISNUMBER(SEARCH("RE-ANALYZE",$D171))</formula>
    </cfRule>
    <cfRule type="expression" dxfId="328" priority="2">
      <formula>ISNUMBER(SEARCH("REVIEW",$D171))</formula>
    </cfRule>
    <cfRule type="expression" dxfId="327" priority="3">
      <formula>ISNUMBER(SEARCH("CHECK",$D171))</formula>
    </cfRule>
    <cfRule type="expression" dxfId="326" priority="4">
      <formula>ISNUMBER(SEARCH("PASS",$D171))</formula>
    </cfRule>
  </conditionalFormatting>
  <conditionalFormatting sqref="E159:E160">
    <cfRule type="expression" dxfId="325" priority="9">
      <formula>ISNUMBER(SEARCH("RE-ANALYZE",$E159))</formula>
    </cfRule>
    <cfRule type="expression" dxfId="324" priority="10">
      <formula>ISNUMBER(SEARCH("REVIEW",$E159))</formula>
    </cfRule>
    <cfRule type="expression" dxfId="323" priority="11">
      <formula>ISNUMBER(SEARCH("CHECK",$E159))</formula>
    </cfRule>
    <cfRule type="expression" dxfId="322" priority="12">
      <formula>ISNUMBER(SEARCH("PASS",$E159))</formula>
    </cfRule>
  </conditionalFormatting>
  <conditionalFormatting sqref="L159:L160">
    <cfRule type="expression" dxfId="321" priority="5">
      <formula>ISNUMBER(SEARCH("RE-ANALYZE",$L159))</formula>
    </cfRule>
    <cfRule type="expression" dxfId="320" priority="6">
      <formula>ISNUMBER(SEARCH("REVIEW",$L159))</formula>
    </cfRule>
    <cfRule type="expression" dxfId="319" priority="7">
      <formula>ISNUMBER(SEARCH("CHECK",$L159))</formula>
    </cfRule>
    <cfRule type="expression" dxfId="318" priority="8">
      <formula>ISNUMBER(SEARCH("PASS",$L159))</formula>
    </cfRule>
  </conditionalFormatting>
  <dataValidations count="2">
    <dataValidation type="list" allowBlank="1" showInputMessage="1" showErrorMessage="1" sqref="P9" xr:uid="{34934624-D2E3-4E57-9B0E-AF4600E5ABBA}">
      <formula1>"RAFLY,RIZKI,NOUFAL"</formula1>
    </dataValidation>
    <dataValidation type="list" allowBlank="1" showInputMessage="1" showErrorMessage="1" sqref="D12" xr:uid="{A442A779-A200-4D2B-B29E-22F0254E772D}">
      <formula1>$U$28:$U$36</formula1>
    </dataValidation>
  </dataValidations>
  <pageMargins left="0.7" right="0.7" top="0.75" bottom="0.75" header="0.3" footer="0.3"/>
  <pageSetup paperSize="14" orientation="portrait" horizontalDpi="0" verticalDpi="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FA6D-3880-4B43-A4AA-2A40052B653C}">
  <sheetPr>
    <tabColor rgb="FFFFC000"/>
  </sheetPr>
  <dimension ref="A1:AA151"/>
  <sheetViews>
    <sheetView view="pageBreakPreview" topLeftCell="A18" zoomScale="106" zoomScaleNormal="100" zoomScaleSheetLayoutView="106" zoomScalePageLayoutView="128" workbookViewId="0">
      <selection activeCell="Z39" sqref="Z39"/>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 min="26" max="26" width="14" bestFit="1"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IF('WS-standard Proctor'!D7="","",'WS-standard Proctor'!D7)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"&amp;IF('WS-standard Proctor'!D9="","",'WS-standard Proctor'!D9)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"&amp;IF('WS-standard Proctor'!D10="","",'WS-standard Proctor'!D10)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"&amp;IF('WS-standard Proctor'!D11="","",'WS-standard Proctor'!D11)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"&amp;IF('WS-standard Proctor'!D12="","",'WS-standard Proctor'!D12)</f>
        <v>:  Lempung Pasiran / Sandy Clay</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"&amp;IF('WS-standard Proctor'!D13="","",'WS-standard Proctor'!D13)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"&amp;IF('WS-standard Proctor'!O12="","",TEXT('WS-standard Proctor'!O12,"dd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'WS-standard Proctor'!$A$2</f>
        <v>UJI PEMADATAN RINGAN</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INDUK'!$BS$49</f>
        <v>1742:2008</v>
      </c>
      <c r="W26" s="1704"/>
      <c r="X26" s="1704"/>
    </row>
    <row r="27" spans="1:24">
      <c r="A27" s="1650" t="str">
        <f>'WS-standard Proctor'!$A$3</f>
        <v>STANDARD PROCTOR COMPACTION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1874" t="s">
        <v>1331</v>
      </c>
      <c r="B29" s="1875"/>
      <c r="C29" s="1875"/>
      <c r="D29" s="1875"/>
      <c r="E29" s="1875"/>
      <c r="F29" s="1875"/>
      <c r="G29" s="1875"/>
      <c r="H29" s="1875"/>
      <c r="I29" s="1875"/>
      <c r="K29" s="541" t="s">
        <v>1120</v>
      </c>
      <c r="L29" s="877"/>
      <c r="M29" s="541"/>
      <c r="N29" s="541"/>
      <c r="O29" s="541"/>
      <c r="P29" s="541"/>
      <c r="Q29" s="541"/>
      <c r="R29" s="541"/>
      <c r="S29" s="541"/>
      <c r="T29" s="541"/>
      <c r="U29" s="541"/>
      <c r="V29" s="541"/>
      <c r="W29" s="541"/>
      <c r="X29" s="541"/>
    </row>
    <row r="30" spans="1:24">
      <c r="A30" s="1871" t="s">
        <v>1477</v>
      </c>
      <c r="B30" s="1871"/>
      <c r="C30" s="1871"/>
      <c r="D30" s="1871"/>
      <c r="E30" s="1871"/>
      <c r="F30" s="1871"/>
      <c r="G30" s="1871"/>
      <c r="H30" s="1869">
        <f>'WS-standard Proctor'!C111</f>
        <v>2.5</v>
      </c>
      <c r="I30" s="1869"/>
      <c r="K30" s="1342" t="s">
        <v>1332</v>
      </c>
      <c r="L30" s="1342"/>
      <c r="M30" s="1342"/>
      <c r="N30" s="1342"/>
      <c r="O30" s="1870">
        <v>1</v>
      </c>
      <c r="P30" s="1870"/>
      <c r="Q30" s="1870">
        <v>2</v>
      </c>
      <c r="R30" s="1870"/>
      <c r="S30" s="1870">
        <v>3</v>
      </c>
      <c r="T30" s="1870"/>
      <c r="U30" s="1870">
        <v>4</v>
      </c>
      <c r="V30" s="1870"/>
      <c r="W30" s="1870">
        <v>5</v>
      </c>
      <c r="X30" s="1870"/>
    </row>
    <row r="31" spans="1:24" ht="15.95" customHeight="1">
      <c r="A31" s="1871" t="s">
        <v>1478</v>
      </c>
      <c r="B31" s="1871"/>
      <c r="C31" s="1871"/>
      <c r="D31" s="1871"/>
      <c r="E31" s="1871"/>
      <c r="F31" s="1871"/>
      <c r="G31" s="1871"/>
      <c r="H31" s="1869">
        <f>'WS-standard Proctor'!C112</f>
        <v>30.5</v>
      </c>
      <c r="I31" s="1869"/>
      <c r="K31" s="1872" t="s">
        <v>1501</v>
      </c>
      <c r="L31" s="1872"/>
      <c r="M31" s="1872"/>
      <c r="N31" s="1872"/>
      <c r="O31" s="1876">
        <f>'WS-standard Proctor'!C120</f>
        <v>5588</v>
      </c>
      <c r="P31" s="1876"/>
      <c r="Q31" s="1876">
        <f>'WS-standard Proctor'!D120</f>
        <v>5693</v>
      </c>
      <c r="R31" s="1876"/>
      <c r="S31" s="1876">
        <f>'WS-standard Proctor'!E120</f>
        <v>5764</v>
      </c>
      <c r="T31" s="1876"/>
      <c r="U31" s="1876">
        <f>'WS-standard Proctor'!F120</f>
        <v>5756</v>
      </c>
      <c r="V31" s="1876"/>
      <c r="W31" s="1876">
        <f>'WS-standard Proctor'!G120</f>
        <v>5712</v>
      </c>
      <c r="X31" s="1876"/>
    </row>
    <row r="32" spans="1:24" ht="21" customHeight="1">
      <c r="A32" s="1871" t="s">
        <v>1333</v>
      </c>
      <c r="B32" s="1871"/>
      <c r="C32" s="1871"/>
      <c r="D32" s="1871"/>
      <c r="E32" s="1871"/>
      <c r="F32" s="1871"/>
      <c r="G32" s="1871"/>
      <c r="H32" s="1876">
        <f>'WS-standard Proctor'!C113</f>
        <v>3</v>
      </c>
      <c r="I32" s="1876"/>
      <c r="K32" s="1872"/>
      <c r="L32" s="1872"/>
      <c r="M32" s="1872"/>
      <c r="N32" s="1872"/>
      <c r="O32" s="1876"/>
      <c r="P32" s="1876"/>
      <c r="Q32" s="1876"/>
      <c r="R32" s="1876"/>
      <c r="S32" s="1876"/>
      <c r="T32" s="1876"/>
      <c r="U32" s="1876"/>
      <c r="V32" s="1876"/>
      <c r="W32" s="1876"/>
      <c r="X32" s="1876"/>
    </row>
    <row r="33" spans="1:27" ht="15.95" customHeight="1">
      <c r="A33" s="1872" t="s">
        <v>1334</v>
      </c>
      <c r="B33" s="1872"/>
      <c r="C33" s="1872"/>
      <c r="D33" s="1872"/>
      <c r="E33" s="1872"/>
      <c r="F33" s="1872"/>
      <c r="G33" s="1872"/>
      <c r="H33" s="1876">
        <f>'WS-standard Proctor'!C114</f>
        <v>25</v>
      </c>
      <c r="I33" s="1876"/>
      <c r="K33" s="1872" t="s">
        <v>1502</v>
      </c>
      <c r="L33" s="1872"/>
      <c r="M33" s="1872"/>
      <c r="N33" s="1872"/>
      <c r="O33" s="1876">
        <f>'WS-standard Proctor'!C121</f>
        <v>4207.7</v>
      </c>
      <c r="P33" s="1876"/>
      <c r="Q33" s="1876">
        <f>'WS-standard Proctor'!D121</f>
        <v>4207.7</v>
      </c>
      <c r="R33" s="1876"/>
      <c r="S33" s="1876">
        <f>'WS-standard Proctor'!E121</f>
        <v>4207.7</v>
      </c>
      <c r="T33" s="1876"/>
      <c r="U33" s="1876">
        <f>'WS-standard Proctor'!F121</f>
        <v>4207.7</v>
      </c>
      <c r="V33" s="1876"/>
      <c r="W33" s="1876">
        <f>'WS-standard Proctor'!G121</f>
        <v>4207.7</v>
      </c>
      <c r="X33" s="1876"/>
    </row>
    <row r="34" spans="1:27">
      <c r="A34" s="1872"/>
      <c r="B34" s="1872"/>
      <c r="C34" s="1872"/>
      <c r="D34" s="1872"/>
      <c r="E34" s="1872"/>
      <c r="F34" s="1872"/>
      <c r="G34" s="1872"/>
      <c r="H34" s="1876"/>
      <c r="I34" s="1876"/>
      <c r="K34" s="1872"/>
      <c r="L34" s="1872"/>
      <c r="M34" s="1872"/>
      <c r="N34" s="1872"/>
      <c r="O34" s="1876"/>
      <c r="P34" s="1876"/>
      <c r="Q34" s="1876"/>
      <c r="R34" s="1876"/>
      <c r="S34" s="1876"/>
      <c r="T34" s="1876"/>
      <c r="U34" s="1876"/>
      <c r="V34" s="1876"/>
      <c r="W34" s="1876"/>
      <c r="X34" s="1876"/>
    </row>
    <row r="35" spans="1:27" ht="15.95" customHeight="1">
      <c r="A35" s="1871" t="s">
        <v>1476</v>
      </c>
      <c r="B35" s="1871"/>
      <c r="C35" s="1871"/>
      <c r="D35" s="1871"/>
      <c r="E35" s="1871"/>
      <c r="F35" s="1871"/>
      <c r="G35" s="1871"/>
      <c r="H35" s="1869">
        <f>'WS-standard Proctor'!C115</f>
        <v>594</v>
      </c>
      <c r="I35" s="1869"/>
      <c r="K35" s="1872" t="s">
        <v>1503</v>
      </c>
      <c r="L35" s="1872"/>
      <c r="M35" s="1872"/>
      <c r="N35" s="1872"/>
      <c r="O35" s="1876">
        <f>'WS-standard Proctor'!C122</f>
        <v>1380.3000000000002</v>
      </c>
      <c r="P35" s="1876"/>
      <c r="Q35" s="1876">
        <f>'WS-standard Proctor'!D122</f>
        <v>1485.3000000000002</v>
      </c>
      <c r="R35" s="1876"/>
      <c r="S35" s="1876">
        <f>'WS-standard Proctor'!E122</f>
        <v>1556.3000000000002</v>
      </c>
      <c r="T35" s="1876"/>
      <c r="U35" s="1876">
        <f>'WS-standard Proctor'!F122</f>
        <v>1548.3000000000002</v>
      </c>
      <c r="V35" s="1876"/>
      <c r="W35" s="1876">
        <f>'WS-standard Proctor'!G122</f>
        <v>1504.3000000000002</v>
      </c>
      <c r="X35" s="1876"/>
    </row>
    <row r="36" spans="1:27">
      <c r="A36" s="1871" t="s">
        <v>1335</v>
      </c>
      <c r="B36" s="1871"/>
      <c r="C36" s="1871"/>
      <c r="D36" s="1871"/>
      <c r="E36" s="1871"/>
      <c r="F36" s="1871"/>
      <c r="G36" s="1871"/>
      <c r="H36" s="1873">
        <f>'WS-standard Proctor'!C116</f>
        <v>2.65</v>
      </c>
      <c r="I36" s="1873"/>
      <c r="K36" s="1872"/>
      <c r="L36" s="1872"/>
      <c r="M36" s="1872"/>
      <c r="N36" s="1872"/>
      <c r="O36" s="1876"/>
      <c r="P36" s="1876"/>
      <c r="Q36" s="1876"/>
      <c r="R36" s="1876"/>
      <c r="S36" s="1876"/>
      <c r="T36" s="1876"/>
      <c r="U36" s="1876"/>
      <c r="V36" s="1876"/>
      <c r="W36" s="1876"/>
      <c r="X36" s="1876"/>
    </row>
    <row r="37" spans="1:27" ht="15.95" customHeight="1">
      <c r="B37" s="782"/>
      <c r="C37" s="782"/>
      <c r="D37" s="782"/>
      <c r="E37" s="782"/>
      <c r="F37" s="782"/>
      <c r="G37" s="1344"/>
      <c r="K37" s="1872" t="s">
        <v>1504</v>
      </c>
      <c r="L37" s="1872"/>
      <c r="M37" s="1872"/>
      <c r="N37" s="1872"/>
      <c r="O37" s="1876">
        <f>'WS-standard Proctor'!C123</f>
        <v>10.16</v>
      </c>
      <c r="P37" s="1876"/>
      <c r="Q37" s="1876">
        <f>'WS-standard Proctor'!D123</f>
        <v>10.16</v>
      </c>
      <c r="R37" s="1876"/>
      <c r="S37" s="1876">
        <f>'WS-standard Proctor'!E123</f>
        <v>10.16</v>
      </c>
      <c r="T37" s="1876"/>
      <c r="U37" s="1876">
        <f>'WS-standard Proctor'!F123</f>
        <v>10.16</v>
      </c>
      <c r="V37" s="1876"/>
      <c r="W37" s="1876">
        <f>'WS-standard Proctor'!G123</f>
        <v>10.16</v>
      </c>
      <c r="X37" s="1876"/>
    </row>
    <row r="38" spans="1:27">
      <c r="A38" s="818"/>
      <c r="B38" s="782"/>
      <c r="C38" s="782"/>
      <c r="D38" s="782"/>
      <c r="E38" s="782"/>
      <c r="F38" s="782"/>
      <c r="G38" s="1344"/>
      <c r="H38" s="1343"/>
      <c r="K38" s="1872"/>
      <c r="L38" s="1872"/>
      <c r="M38" s="1872"/>
      <c r="N38" s="1872"/>
      <c r="O38" s="1876"/>
      <c r="P38" s="1876"/>
      <c r="Q38" s="1876"/>
      <c r="R38" s="1876"/>
      <c r="S38" s="1876"/>
      <c r="T38" s="1876"/>
      <c r="U38" s="1876"/>
      <c r="V38" s="1876"/>
      <c r="W38" s="1876"/>
      <c r="X38" s="1876"/>
    </row>
    <row r="39" spans="1:27" ht="15.95" customHeight="1">
      <c r="K39" s="1872" t="s">
        <v>1505</v>
      </c>
      <c r="L39" s="1872"/>
      <c r="M39" s="1872"/>
      <c r="N39" s="1872"/>
      <c r="O39" s="1876">
        <f>'WS-standard Proctor'!C124</f>
        <v>13.167411189108696</v>
      </c>
      <c r="P39" s="1876"/>
      <c r="Q39" s="1876">
        <f>'WS-standard Proctor'!D124</f>
        <v>15.097802060307783</v>
      </c>
      <c r="R39" s="1876"/>
      <c r="S39" s="1876">
        <f>'WS-standard Proctor'!E124</f>
        <v>16.872478298080438</v>
      </c>
      <c r="T39" s="1876"/>
      <c r="U39" s="1876">
        <f>'WS-standard Proctor'!F124</f>
        <v>18.809101044720649</v>
      </c>
      <c r="V39" s="1876"/>
      <c r="W39" s="1876">
        <f>'WS-standard Proctor'!G124</f>
        <v>21.129466000768335</v>
      </c>
      <c r="X39" s="1876"/>
    </row>
    <row r="40" spans="1:27">
      <c r="A40" s="1875" t="s">
        <v>556</v>
      </c>
      <c r="B40" s="1875"/>
      <c r="C40" s="1875"/>
      <c r="D40" s="1875"/>
      <c r="E40" s="1875"/>
      <c r="F40" s="1875"/>
      <c r="G40" s="1875"/>
      <c r="H40" s="1877"/>
      <c r="I40" s="541"/>
      <c r="J40" s="710"/>
      <c r="K40" s="1872"/>
      <c r="L40" s="1872"/>
      <c r="M40" s="1872"/>
      <c r="N40" s="1872"/>
      <c r="O40" s="1876"/>
      <c r="P40" s="1876"/>
      <c r="Q40" s="1876"/>
      <c r="R40" s="1876"/>
      <c r="S40" s="1876"/>
      <c r="T40" s="1876"/>
      <c r="U40" s="1876"/>
      <c r="V40" s="1876"/>
      <c r="W40" s="1876"/>
      <c r="X40" s="1876"/>
    </row>
    <row r="41" spans="1:27" ht="15.95" customHeight="1">
      <c r="A41" s="540" t="s">
        <v>1336</v>
      </c>
      <c r="B41" s="116"/>
      <c r="C41" s="116"/>
      <c r="D41" s="116"/>
      <c r="E41" s="116"/>
      <c r="F41" s="116"/>
      <c r="G41" s="116"/>
      <c r="H41" s="116"/>
      <c r="I41" s="1267"/>
      <c r="K41" s="1872" t="s">
        <v>1506</v>
      </c>
      <c r="L41" s="1872"/>
      <c r="M41" s="1872"/>
      <c r="N41" s="1872"/>
      <c r="O41" s="1876">
        <f>'WS-standard Proctor'!C125</f>
        <v>1.463401295047386</v>
      </c>
      <c r="P41" s="1876"/>
      <c r="Q41" s="1876">
        <f>'WS-standard Proctor'!D125</f>
        <v>1.5747228454204758</v>
      </c>
      <c r="R41" s="1876"/>
      <c r="S41" s="1876">
        <f>'WS-standard Proctor'!E125</f>
        <v>1.6499974175775172</v>
      </c>
      <c r="T41" s="1876"/>
      <c r="U41" s="1876">
        <f>'WS-standard Proctor'!F125</f>
        <v>1.6415157756443295</v>
      </c>
      <c r="V41" s="1876"/>
      <c r="W41" s="1876">
        <f>'WS-standard Proctor'!G125</f>
        <v>1.5948667450117966</v>
      </c>
      <c r="X41" s="1876"/>
    </row>
    <row r="42" spans="1:27">
      <c r="A42" s="1248" t="s">
        <v>1337</v>
      </c>
      <c r="K42" s="1872"/>
      <c r="L42" s="1872"/>
      <c r="M42" s="1872"/>
      <c r="N42" s="1872"/>
      <c r="O42" s="1876"/>
      <c r="P42" s="1876"/>
      <c r="Q42" s="1876"/>
      <c r="R42" s="1876"/>
      <c r="S42" s="1876"/>
      <c r="T42" s="1876"/>
      <c r="U42" s="1876"/>
      <c r="V42" s="1876"/>
      <c r="W42" s="1876"/>
      <c r="X42" s="1876"/>
      <c r="Z42" s="1012"/>
      <c r="AA42" s="656" t="str">
        <f>"LHU No.   : "&amp; IF('DATA INDUK'!$H$17="","",'DATA INDUK'!$H$17)</f>
        <v>LHU No.   : 23/MGS/53/II/2026</v>
      </c>
    </row>
    <row r="43" spans="1:27" ht="15.95" customHeight="1">
      <c r="K43" s="1872" t="s">
        <v>1507</v>
      </c>
      <c r="L43" s="1872"/>
      <c r="M43" s="1872"/>
      <c r="N43" s="1872"/>
      <c r="O43" s="1876">
        <f>'WS-standard Proctor'!C126</f>
        <v>1.2931296030108577</v>
      </c>
      <c r="P43" s="1876"/>
      <c r="Q43" s="1876">
        <f>'WS-standard Proctor'!D126</f>
        <v>1.3681606574862033</v>
      </c>
      <c r="R43" s="1876"/>
      <c r="S43" s="1876">
        <f>'WS-standard Proctor'!E126</f>
        <v>1.4117929572514401</v>
      </c>
      <c r="T43" s="1876"/>
      <c r="U43" s="1876">
        <f>'WS-standard Proctor'!F126</f>
        <v>1.3816414409418438</v>
      </c>
      <c r="V43" s="1876"/>
      <c r="W43" s="1876">
        <f>'WS-standard Proctor'!G126</f>
        <v>1.316662904302476</v>
      </c>
      <c r="X43" s="1876"/>
      <c r="Z43" s="1012"/>
      <c r="AA43" s="1275" t="str">
        <f>"LAB ID.        : "&amp;'Template LHU_CBRsoaked'!$N$13&amp;""</f>
        <v>LAB ID.        : 26-001-DS-001</v>
      </c>
    </row>
    <row r="44" spans="1:27">
      <c r="K44" s="1872"/>
      <c r="L44" s="1872"/>
      <c r="M44" s="1872"/>
      <c r="N44" s="1872"/>
      <c r="O44" s="1876"/>
      <c r="P44" s="1876"/>
      <c r="Q44" s="1876"/>
      <c r="R44" s="1876"/>
      <c r="S44" s="1876"/>
      <c r="T44" s="1876"/>
      <c r="U44" s="1876"/>
      <c r="V44" s="1876"/>
      <c r="W44" s="1876"/>
      <c r="X44" s="1876"/>
      <c r="Z44" s="1012" t="s">
        <v>528</v>
      </c>
      <c r="AA44" s="1275" t="str">
        <f>"TEST TYPE   : "&amp;Z44&amp;""</f>
        <v>TEST TYPE   : Standard Proctor</v>
      </c>
    </row>
    <row r="45" spans="1:27">
      <c r="Z45" s="1276"/>
      <c r="AA45" s="1275" t="str">
        <f>"DATE            : "&amp;TEXT('DATA INDUK'!$H$19,"yyyy-mm-dd")</f>
        <v>DATE            : 2026-01-29</v>
      </c>
    </row>
    <row r="46" spans="1:27">
      <c r="K46" s="859" t="s">
        <v>1338</v>
      </c>
      <c r="L46" s="877"/>
      <c r="M46" s="877"/>
      <c r="N46" s="877"/>
      <c r="O46" s="859"/>
      <c r="P46" s="859"/>
      <c r="Q46" s="859"/>
      <c r="R46" s="859"/>
      <c r="S46" s="859"/>
      <c r="T46" s="859"/>
      <c r="U46" s="859"/>
      <c r="V46" s="859"/>
      <c r="W46" s="859"/>
      <c r="X46" s="859"/>
    </row>
    <row r="47" spans="1:27" ht="15.95" customHeight="1">
      <c r="K47" s="1886" t="s">
        <v>1339</v>
      </c>
      <c r="L47" s="1886"/>
      <c r="M47" s="1886"/>
      <c r="N47" s="1886"/>
      <c r="O47" s="1886"/>
      <c r="P47" s="1886"/>
      <c r="Q47" s="1886"/>
      <c r="R47" s="1886"/>
      <c r="S47" s="1886"/>
      <c r="T47" s="1886"/>
      <c r="U47" s="1264">
        <f>'WS-standard Proctor'!$E$66</f>
        <v>1.4117929572514401</v>
      </c>
    </row>
    <row r="48" spans="1:27">
      <c r="K48" s="1886" t="s">
        <v>965</v>
      </c>
      <c r="L48" s="1886"/>
      <c r="M48" s="1886"/>
      <c r="N48" s="1886"/>
      <c r="O48" s="1886"/>
      <c r="P48" s="1886"/>
      <c r="Q48" s="1886"/>
      <c r="R48" s="1886"/>
      <c r="S48" s="1886"/>
      <c r="T48" s="1886"/>
      <c r="U48" s="786">
        <f>'WS-standard Proctor'!$E$67</f>
        <v>16.872478298080438</v>
      </c>
      <c r="V48" s="786"/>
    </row>
    <row r="49" spans="3:23" ht="15.95" customHeight="1">
      <c r="O49" s="782"/>
      <c r="P49" s="782"/>
      <c r="Q49" s="782"/>
      <c r="R49" s="782"/>
      <c r="S49" s="782"/>
      <c r="U49" s="786"/>
    </row>
    <row r="50" spans="3:23">
      <c r="N50" s="782"/>
      <c r="O50" s="782"/>
      <c r="P50" s="782"/>
      <c r="Q50" s="782"/>
      <c r="R50" s="782"/>
      <c r="S50" s="782"/>
    </row>
    <row r="53" spans="3:23" ht="15.95" customHeight="1"/>
    <row r="55" spans="3:23" ht="15.95" customHeight="1"/>
    <row r="58" spans="3:23">
      <c r="N58" s="1263"/>
      <c r="O58" s="1263"/>
      <c r="P58" s="1263"/>
      <c r="Q58" s="1263"/>
      <c r="R58" s="1263"/>
      <c r="S58" s="1263"/>
      <c r="T58" s="786"/>
      <c r="U58" s="786"/>
    </row>
    <row r="59" spans="3:23">
      <c r="T59" s="20" t="s">
        <v>1537</v>
      </c>
    </row>
    <row r="60" spans="3:23">
      <c r="C60" s="1768" t="s">
        <v>623</v>
      </c>
      <c r="D60" s="1769"/>
      <c r="E60" s="1769"/>
      <c r="F60" s="1769"/>
      <c r="G60" s="1770"/>
      <c r="H60" s="1768" t="s">
        <v>292</v>
      </c>
      <c r="I60" s="1769"/>
      <c r="J60" s="1769"/>
      <c r="K60" s="1769"/>
      <c r="L60" s="1769"/>
      <c r="M60" s="1768" t="s">
        <v>294</v>
      </c>
      <c r="N60" s="1769"/>
      <c r="O60" s="1769"/>
      <c r="P60" s="1769"/>
      <c r="Q60" s="1769"/>
      <c r="R60" s="1770"/>
      <c r="T60" s="328"/>
      <c r="U60" s="329"/>
      <c r="V60" s="329"/>
      <c r="W60" s="330"/>
    </row>
    <row r="61" spans="3:23" ht="15.95" customHeight="1">
      <c r="C61" s="1771" t="s">
        <v>624</v>
      </c>
      <c r="D61" s="1646"/>
      <c r="E61" s="1646"/>
      <c r="F61" s="1646"/>
      <c r="G61" s="1772"/>
      <c r="H61" s="1773" t="s">
        <v>293</v>
      </c>
      <c r="I61" s="1652"/>
      <c r="J61" s="1652"/>
      <c r="K61" s="1652"/>
      <c r="L61" s="1652"/>
      <c r="M61" s="1773" t="s">
        <v>295</v>
      </c>
      <c r="N61" s="1652"/>
      <c r="O61" s="1652"/>
      <c r="P61" s="1652"/>
      <c r="Q61" s="1652"/>
      <c r="R61" s="1774"/>
      <c r="T61" s="357"/>
      <c r="W61" s="331"/>
    </row>
    <row r="62" spans="3:23" ht="15.95" customHeight="1">
      <c r="C62" s="357"/>
      <c r="D62" s="359"/>
      <c r="E62" s="359"/>
      <c r="F62" s="359"/>
      <c r="G62" s="360"/>
      <c r="H62" s="357"/>
      <c r="I62"/>
      <c r="K62" s="4"/>
      <c r="M62" s="357"/>
      <c r="R62" s="331"/>
      <c r="T62" s="357"/>
      <c r="W62" s="331"/>
    </row>
    <row r="63" spans="3:23">
      <c r="C63" s="357"/>
      <c r="G63" s="331"/>
      <c r="H63" s="357"/>
      <c r="I63"/>
      <c r="K63" s="4"/>
      <c r="M63" s="357"/>
      <c r="R63" s="331"/>
      <c r="T63" s="357"/>
      <c r="W63" s="331"/>
    </row>
    <row r="64" spans="3:23">
      <c r="C64" s="357"/>
      <c r="G64" s="331"/>
      <c r="H64" s="357"/>
      <c r="I64"/>
      <c r="K64" s="4"/>
      <c r="M64" s="357"/>
      <c r="R64" s="331"/>
      <c r="T64" s="357"/>
      <c r="W64" s="331"/>
    </row>
    <row r="65" spans="1:24">
      <c r="C65" s="1777" t="str">
        <f>'WS-standard Proctor'!O9</f>
        <v>RAFLY</v>
      </c>
      <c r="D65" s="1632"/>
      <c r="E65" s="1632"/>
      <c r="F65" s="1632"/>
      <c r="G65" s="1778"/>
      <c r="H65" s="1777" t="str">
        <f>IF(C65='WS-standard Proctor'!O10," - ",'WS-standard Proctor'!O10)</f>
        <v>NOUFAL</v>
      </c>
      <c r="I65" s="1632"/>
      <c r="J65" s="1632"/>
      <c r="K65" s="1632"/>
      <c r="L65" s="1632"/>
      <c r="M65" s="1777" t="str">
        <f>'WS-standard Proctor'!O11</f>
        <v>A.SUMARTADJI</v>
      </c>
      <c r="N65" s="1632"/>
      <c r="O65" s="1632"/>
      <c r="P65" s="1632"/>
      <c r="Q65" s="1632"/>
      <c r="R65" s="1778"/>
      <c r="T65" s="357"/>
      <c r="W65" s="331"/>
    </row>
    <row r="66" spans="1:24" s="15" customFormat="1" ht="12">
      <c r="C66" s="1779" t="s">
        <v>299</v>
      </c>
      <c r="D66" s="1685"/>
      <c r="E66" s="1685"/>
      <c r="F66" s="1685"/>
      <c r="G66" s="1780"/>
      <c r="H66" s="1779" t="s">
        <v>305</v>
      </c>
      <c r="I66" s="1685"/>
      <c r="J66" s="1685"/>
      <c r="K66" s="1685"/>
      <c r="L66" s="1685"/>
      <c r="M66" s="1779" t="s">
        <v>298</v>
      </c>
      <c r="N66" s="1685"/>
      <c r="O66" s="1685"/>
      <c r="P66" s="1685"/>
      <c r="Q66" s="1685"/>
      <c r="R66" s="1780"/>
      <c r="S66" s="364"/>
      <c r="T66" s="366"/>
      <c r="U66" s="364"/>
      <c r="V66" s="364"/>
      <c r="W66" s="365"/>
      <c r="X66" s="364"/>
    </row>
    <row r="67" spans="1:24" ht="15.95" customHeight="1">
      <c r="C67" s="1783" t="s">
        <v>291</v>
      </c>
      <c r="D67" s="1784"/>
      <c r="E67" s="1775">
        <f>IF('DATA INDUK'!$H$19="","",'DATA INDUK'!$H$19-1)</f>
        <v>46050</v>
      </c>
      <c r="F67" s="1775"/>
      <c r="G67" s="1776"/>
      <c r="H67" s="1783" t="s">
        <v>291</v>
      </c>
      <c r="I67" s="1784"/>
      <c r="J67" s="1775">
        <f>IF('DATA INDUK'!$H$19="","",'DATA INDUK'!$H$19-1)</f>
        <v>46050</v>
      </c>
      <c r="K67" s="1775"/>
      <c r="L67" s="1776"/>
      <c r="M67" s="1783" t="s">
        <v>291</v>
      </c>
      <c r="N67" s="1784"/>
      <c r="O67" s="1784"/>
      <c r="P67" s="1775">
        <f>IF('DATA INDUK'!$H$19="","",'DATA INDUK'!$H$19-1)</f>
        <v>46050</v>
      </c>
      <c r="Q67" s="1775"/>
      <c r="R67" s="1776"/>
      <c r="T67" s="332"/>
      <c r="U67" s="333"/>
      <c r="V67" s="333"/>
      <c r="W67" s="334"/>
    </row>
    <row r="68" spans="1:24" ht="8.1" customHeight="1">
      <c r="A68" s="897"/>
      <c r="B68" s="898"/>
      <c r="C68" s="898"/>
      <c r="D68" s="898"/>
      <c r="E68" s="898"/>
      <c r="F68" s="898"/>
      <c r="G68" s="898"/>
      <c r="H68" s="897"/>
      <c r="I68" s="899"/>
      <c r="J68" s="898"/>
      <c r="K68" s="898"/>
      <c r="L68" s="898"/>
      <c r="M68" s="898"/>
      <c r="N68" s="898"/>
      <c r="O68" s="898"/>
      <c r="P68" s="900"/>
      <c r="Q68" s="897"/>
      <c r="R68" s="897"/>
      <c r="S68" s="897"/>
      <c r="T68" s="897"/>
      <c r="U68" s="897"/>
      <c r="V68" s="897"/>
      <c r="W68" s="897"/>
      <c r="X68" s="897"/>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1002" t="str">
        <f>'DATA INDUK'!$BT$49</f>
        <v>23-MINEARTH-RM-LHU-CMP-S-R0</v>
      </c>
    </row>
    <row r="75" spans="1:24" s="326" customFormat="1" ht="15" customHeight="1">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c r="A83" s="329"/>
      <c r="B83" s="329"/>
      <c r="C83" s="329"/>
      <c r="D83" s="329"/>
      <c r="E83" s="329"/>
      <c r="F83" s="329"/>
      <c r="G83" s="329"/>
      <c r="H83" s="329"/>
      <c r="I83" s="654"/>
      <c r="J83" s="329"/>
      <c r="K83" s="329"/>
      <c r="L83" s="329"/>
      <c r="M83" s="329"/>
      <c r="N83" s="329"/>
      <c r="O83" s="329"/>
      <c r="P83" s="329"/>
      <c r="Q83" s="329"/>
      <c r="R83" s="329"/>
      <c r="S83" s="329"/>
      <c r="T83" s="329"/>
      <c r="U83" s="329"/>
      <c r="V83" s="329"/>
      <c r="W83" s="329"/>
      <c r="X83" s="329"/>
    </row>
    <row r="84" spans="1:24">
      <c r="A84" s="1879"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1249"/>
    </row>
    <row r="85" spans="1:24">
      <c r="A85" s="1634"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2"</f>
        <v>:  2 dari 2</v>
      </c>
      <c r="X85" s="1648"/>
    </row>
    <row r="86" spans="1:24" ht="8.1" customHeight="1"/>
    <row r="87" spans="1:24">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139" spans="1:24">
      <c r="H139" s="686"/>
      <c r="I139" s="687"/>
      <c r="J139" s="686"/>
      <c r="K139" s="686"/>
      <c r="L139" s="686"/>
      <c r="M139" s="686"/>
      <c r="N139" s="686"/>
      <c r="O139" s="686"/>
      <c r="P139" s="686"/>
      <c r="Q139" s="686"/>
      <c r="R139" s="686"/>
      <c r="S139" s="686"/>
      <c r="U139" s="20" t="s">
        <v>1537</v>
      </c>
      <c r="V139" s="686"/>
      <c r="W139" s="686"/>
      <c r="X139" s="686"/>
    </row>
    <row r="140" spans="1:24">
      <c r="A140" s="700" t="s">
        <v>297</v>
      </c>
      <c r="B140" s="338"/>
      <c r="C140" s="338"/>
      <c r="D140" s="4"/>
      <c r="E140" s="4"/>
      <c r="F140" s="4"/>
      <c r="G140" s="690"/>
      <c r="H140" s="1798" t="s">
        <v>623</v>
      </c>
      <c r="I140" s="1798"/>
      <c r="J140" s="1798"/>
      <c r="K140" s="1799"/>
      <c r="L140" s="1800" t="s">
        <v>292</v>
      </c>
      <c r="M140" s="1800"/>
      <c r="N140" s="1800"/>
      <c r="O140" s="1801"/>
      <c r="P140" s="1802" t="s">
        <v>294</v>
      </c>
      <c r="Q140" s="1798"/>
      <c r="R140" s="1798"/>
      <c r="S140" s="1799"/>
      <c r="U140" s="698"/>
      <c r="V140" s="688"/>
      <c r="W140" s="688"/>
      <c r="X140" s="694"/>
    </row>
    <row r="141" spans="1:24" ht="15.95" customHeight="1">
      <c r="G141" s="691"/>
      <c r="H141" s="1675" t="s">
        <v>624</v>
      </c>
      <c r="I141" s="1675"/>
      <c r="J141" s="1675"/>
      <c r="K141" s="1785"/>
      <c r="L141" s="1675" t="s">
        <v>293</v>
      </c>
      <c r="M141" s="1675"/>
      <c r="N141" s="1675"/>
      <c r="O141" s="1785"/>
      <c r="P141" s="1794" t="s">
        <v>295</v>
      </c>
      <c r="Q141" s="1675"/>
      <c r="R141" s="1675"/>
      <c r="S141" s="1785"/>
      <c r="U141" s="697"/>
      <c r="X141" s="691"/>
    </row>
    <row r="142" spans="1:24">
      <c r="G142" s="691"/>
      <c r="I142" s="911"/>
      <c r="J142" s="911"/>
      <c r="K142" s="1121"/>
      <c r="O142" s="690"/>
      <c r="P142" s="697"/>
      <c r="S142" s="691"/>
      <c r="U142" s="697"/>
      <c r="X142" s="691"/>
    </row>
    <row r="143" spans="1:24">
      <c r="G143" s="691"/>
      <c r="H143" s="911"/>
      <c r="I143" s="911"/>
      <c r="J143" s="911"/>
      <c r="K143" s="1121"/>
      <c r="O143" s="690"/>
      <c r="P143" s="697"/>
      <c r="S143" s="691"/>
      <c r="U143" s="697"/>
      <c r="X143" s="691"/>
    </row>
    <row r="144" spans="1:24">
      <c r="G144" s="691"/>
      <c r="H144" s="911"/>
      <c r="I144" s="911"/>
      <c r="J144" s="911"/>
      <c r="K144" s="1121"/>
      <c r="O144" s="690"/>
      <c r="P144" s="697"/>
      <c r="S144" s="691"/>
      <c r="U144" s="697"/>
      <c r="X144" s="691"/>
    </row>
    <row r="145" spans="1:27">
      <c r="G145" s="691"/>
      <c r="H145" s="1797" t="str">
        <f>C65</f>
        <v>RAFLY</v>
      </c>
      <c r="I145" s="1665"/>
      <c r="J145" s="1665"/>
      <c r="K145" s="1796"/>
      <c r="L145" s="1665" t="str">
        <f>H65</f>
        <v>NOUFAL</v>
      </c>
      <c r="M145" s="1665"/>
      <c r="N145" s="1665"/>
      <c r="O145" s="1796"/>
      <c r="P145" s="1797" t="str">
        <f>M65</f>
        <v>A.SUMARTADJI</v>
      </c>
      <c r="Q145" s="1665"/>
      <c r="R145" s="1665"/>
      <c r="S145" s="1796"/>
      <c r="U145" s="697"/>
      <c r="X145" s="691"/>
    </row>
    <row r="146" spans="1:27">
      <c r="G146" s="691"/>
      <c r="H146" s="1668" t="str">
        <f>C66</f>
        <v>Teknisi/Analis</v>
      </c>
      <c r="I146" s="1668"/>
      <c r="J146" s="1668"/>
      <c r="K146" s="1755"/>
      <c r="L146" s="1668" t="str">
        <f>H66</f>
        <v>Koordinator Teknis</v>
      </c>
      <c r="M146" s="1668"/>
      <c r="N146" s="1668"/>
      <c r="O146" s="1755"/>
      <c r="P146" s="1754" t="str">
        <f>M66</f>
        <v>Kepala Laboratorium</v>
      </c>
      <c r="Q146" s="1668"/>
      <c r="R146" s="1668"/>
      <c r="S146" s="1755"/>
      <c r="U146" s="699"/>
      <c r="V146" s="358"/>
      <c r="W146" s="358"/>
      <c r="X146" s="695"/>
      <c r="Y146" s="358"/>
      <c r="Z146" s="358"/>
      <c r="AA146" s="358"/>
    </row>
    <row r="147" spans="1:27" ht="15.95" customHeight="1">
      <c r="G147" s="691"/>
      <c r="H147" s="1880" t="s">
        <v>291</v>
      </c>
      <c r="I147" s="1880"/>
      <c r="J147" s="1881">
        <f>E67</f>
        <v>46050</v>
      </c>
      <c r="K147" s="1882"/>
      <c r="L147" s="1883" t="s">
        <v>300</v>
      </c>
      <c r="M147" s="1883"/>
      <c r="N147" s="1807">
        <f>J67</f>
        <v>46050</v>
      </c>
      <c r="O147" s="1808"/>
      <c r="P147" s="1884" t="s">
        <v>301</v>
      </c>
      <c r="Q147" s="1885"/>
      <c r="R147" s="1792">
        <f>P67</f>
        <v>46050</v>
      </c>
      <c r="S147" s="1793"/>
      <c r="U147" s="692"/>
      <c r="V147" s="693"/>
      <c r="W147" s="693"/>
      <c r="X147" s="696"/>
    </row>
    <row r="148" spans="1:27" ht="8.1" customHeight="1">
      <c r="H148" s="688"/>
      <c r="I148" s="689"/>
      <c r="J148" s="688"/>
      <c r="K148" s="688"/>
      <c r="L148" s="688"/>
      <c r="M148" s="688"/>
      <c r="N148" s="688"/>
      <c r="O148" s="688"/>
      <c r="P148" s="688"/>
      <c r="Q148" s="688"/>
      <c r="R148" s="688"/>
      <c r="S148" s="688"/>
    </row>
    <row r="149" spans="1:27" ht="18" customHeight="1">
      <c r="B149" s="356"/>
      <c r="C149" s="356"/>
      <c r="D149" s="356"/>
      <c r="E149" s="356"/>
      <c r="T149" s="684" t="str">
        <f>$T$74</f>
        <v>23-MINEARTH-RM-LHU-CMP-S-R0</v>
      </c>
      <c r="U149" s="367"/>
      <c r="V149" s="367"/>
      <c r="W149" s="367"/>
      <c r="X149" s="367"/>
    </row>
    <row r="150" spans="1:27" ht="18" customHeight="1">
      <c r="A150" s="362"/>
      <c r="B150" s="362"/>
      <c r="C150" s="362"/>
      <c r="D150" s="362"/>
      <c r="E150" s="362"/>
    </row>
    <row r="151" spans="1:27" ht="8.1" customHeight="1"/>
  </sheetData>
  <mergeCells count="147">
    <mergeCell ref="K39:N40"/>
    <mergeCell ref="O39:P40"/>
    <mergeCell ref="Q39:R40"/>
    <mergeCell ref="W41:X42"/>
    <mergeCell ref="K43:N44"/>
    <mergeCell ref="O43:P44"/>
    <mergeCell ref="Q43:R44"/>
    <mergeCell ref="S43:T44"/>
    <mergeCell ref="U43:V44"/>
    <mergeCell ref="W43:X44"/>
    <mergeCell ref="U41:V42"/>
    <mergeCell ref="K41:N42"/>
    <mergeCell ref="O41:P42"/>
    <mergeCell ref="Q41:R42"/>
    <mergeCell ref="S41:T42"/>
    <mergeCell ref="S39:T40"/>
    <mergeCell ref="U39:V40"/>
    <mergeCell ref="W39:X40"/>
    <mergeCell ref="F80:T80"/>
    <mergeCell ref="F81:T81"/>
    <mergeCell ref="C67:D67"/>
    <mergeCell ref="E67:G67"/>
    <mergeCell ref="H67:I67"/>
    <mergeCell ref="J67:L67"/>
    <mergeCell ref="M67:O67"/>
    <mergeCell ref="P67:R67"/>
    <mergeCell ref="K47:T47"/>
    <mergeCell ref="K48:T48"/>
    <mergeCell ref="C60:G60"/>
    <mergeCell ref="H60:L60"/>
    <mergeCell ref="M60:R60"/>
    <mergeCell ref="C61:G61"/>
    <mergeCell ref="H61:L61"/>
    <mergeCell ref="M61:R61"/>
    <mergeCell ref="H146:K146"/>
    <mergeCell ref="L146:O146"/>
    <mergeCell ref="P146:S146"/>
    <mergeCell ref="H147:I147"/>
    <mergeCell ref="J147:K147"/>
    <mergeCell ref="L147:M147"/>
    <mergeCell ref="N147:O147"/>
    <mergeCell ref="P147:Q147"/>
    <mergeCell ref="R147:S147"/>
    <mergeCell ref="A40:H40"/>
    <mergeCell ref="H141:K141"/>
    <mergeCell ref="L141:O141"/>
    <mergeCell ref="P141:S141"/>
    <mergeCell ref="H145:K145"/>
    <mergeCell ref="L145:O145"/>
    <mergeCell ref="P145:S145"/>
    <mergeCell ref="A87:X87"/>
    <mergeCell ref="H140:K140"/>
    <mergeCell ref="L140:O140"/>
    <mergeCell ref="P140:S140"/>
    <mergeCell ref="C65:G65"/>
    <mergeCell ref="H65:L65"/>
    <mergeCell ref="M65:R65"/>
    <mergeCell ref="C66:G66"/>
    <mergeCell ref="H66:L66"/>
    <mergeCell ref="M66:R66"/>
    <mergeCell ref="M85:Q85"/>
    <mergeCell ref="T85:V85"/>
    <mergeCell ref="W85:X85"/>
    <mergeCell ref="A84:D84"/>
    <mergeCell ref="A85:D85"/>
    <mergeCell ref="A69:C73"/>
    <mergeCell ref="F79:T79"/>
    <mergeCell ref="K37:N38"/>
    <mergeCell ref="O37:P38"/>
    <mergeCell ref="Q37:R38"/>
    <mergeCell ref="S37:T38"/>
    <mergeCell ref="O31:P32"/>
    <mergeCell ref="Q31:R32"/>
    <mergeCell ref="S31:T32"/>
    <mergeCell ref="U31:V32"/>
    <mergeCell ref="W31:X32"/>
    <mergeCell ref="Q33:R34"/>
    <mergeCell ref="S33:T34"/>
    <mergeCell ref="U33:V34"/>
    <mergeCell ref="W33:X34"/>
    <mergeCell ref="K35:N36"/>
    <mergeCell ref="O35:P36"/>
    <mergeCell ref="Q35:R36"/>
    <mergeCell ref="S35:T36"/>
    <mergeCell ref="U35:V36"/>
    <mergeCell ref="W35:X36"/>
    <mergeCell ref="U37:V38"/>
    <mergeCell ref="W37:X38"/>
    <mergeCell ref="F1:T1"/>
    <mergeCell ref="F2:T2"/>
    <mergeCell ref="F3:T3"/>
    <mergeCell ref="A6:D6"/>
    <mergeCell ref="A7:D7"/>
    <mergeCell ref="T7:V7"/>
    <mergeCell ref="M7:Q7"/>
    <mergeCell ref="A12:L12"/>
    <mergeCell ref="N12:X12"/>
    <mergeCell ref="W7:X7"/>
    <mergeCell ref="A9:L9"/>
    <mergeCell ref="A31:G31"/>
    <mergeCell ref="A32:G32"/>
    <mergeCell ref="A33:G34"/>
    <mergeCell ref="A35:G35"/>
    <mergeCell ref="A36:G36"/>
    <mergeCell ref="H35:I35"/>
    <mergeCell ref="H36:I36"/>
    <mergeCell ref="A13:D13"/>
    <mergeCell ref="E13:L13"/>
    <mergeCell ref="A14:D14"/>
    <mergeCell ref="E14:L14"/>
    <mergeCell ref="A26:T26"/>
    <mergeCell ref="A27:T27"/>
    <mergeCell ref="A21:D22"/>
    <mergeCell ref="E21:L22"/>
    <mergeCell ref="A30:G30"/>
    <mergeCell ref="A29:I29"/>
    <mergeCell ref="H32:I32"/>
    <mergeCell ref="H33:I34"/>
    <mergeCell ref="K33:N34"/>
    <mergeCell ref="O33:P34"/>
    <mergeCell ref="H31:I31"/>
    <mergeCell ref="K31:N32"/>
    <mergeCell ref="N13:R13"/>
    <mergeCell ref="S13:X13"/>
    <mergeCell ref="N14:R14"/>
    <mergeCell ref="S14:X14"/>
    <mergeCell ref="A19:D20"/>
    <mergeCell ref="E19:L20"/>
    <mergeCell ref="H30:I30"/>
    <mergeCell ref="O30:P30"/>
    <mergeCell ref="Q30:R30"/>
    <mergeCell ref="S30:T30"/>
    <mergeCell ref="A17:L17"/>
    <mergeCell ref="U26:U27"/>
    <mergeCell ref="V26:X27"/>
    <mergeCell ref="U30:V30"/>
    <mergeCell ref="W30:X30"/>
    <mergeCell ref="N15:R16"/>
    <mergeCell ref="S15:X16"/>
    <mergeCell ref="N17:R17"/>
    <mergeCell ref="S17:X17"/>
    <mergeCell ref="N18:R19"/>
    <mergeCell ref="S18:X19"/>
    <mergeCell ref="N20:R21"/>
    <mergeCell ref="S20:X21"/>
    <mergeCell ref="N22:R23"/>
    <mergeCell ref="S22:X23"/>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9656-8908-894D-A5D6-F1CAEA65A6B7}">
  <dimension ref="A1:AM253"/>
  <sheetViews>
    <sheetView topLeftCell="L11" zoomScale="73" zoomScaleNormal="73" workbookViewId="0">
      <selection activeCell="B187" sqref="B187"/>
    </sheetView>
  </sheetViews>
  <sheetFormatPr defaultColWidth="11" defaultRowHeight="15.75"/>
  <sheetData>
    <row r="1" spans="1:20" ht="18">
      <c r="A1" s="708" t="s">
        <v>701</v>
      </c>
      <c r="B1" s="708"/>
      <c r="C1" s="708"/>
      <c r="D1" s="708"/>
      <c r="E1" s="708"/>
      <c r="F1" s="708"/>
      <c r="G1" s="708"/>
      <c r="H1" s="708"/>
      <c r="I1" s="708"/>
      <c r="J1" s="708"/>
      <c r="K1" s="708"/>
      <c r="L1" s="708"/>
      <c r="M1" s="708"/>
      <c r="N1" s="708"/>
      <c r="O1" s="708"/>
      <c r="P1" s="708"/>
      <c r="Q1" s="708"/>
      <c r="R1" s="708"/>
      <c r="S1" s="708"/>
      <c r="T1" s="708"/>
    </row>
    <row r="2" spans="1:20" ht="23.25">
      <c r="A2" s="663" t="s">
        <v>967</v>
      </c>
      <c r="B2" s="663"/>
      <c r="C2" s="663"/>
      <c r="D2" s="663"/>
      <c r="E2" s="663"/>
      <c r="F2" s="663"/>
      <c r="G2" s="663"/>
      <c r="H2" s="663"/>
      <c r="I2" s="663"/>
      <c r="J2" s="663"/>
      <c r="K2" s="663"/>
      <c r="L2" s="663"/>
      <c r="M2" s="663"/>
      <c r="N2" s="663"/>
      <c r="O2" s="663"/>
      <c r="P2" s="663"/>
      <c r="Q2" s="663"/>
      <c r="R2" s="663"/>
      <c r="S2" s="663"/>
      <c r="T2" s="663"/>
    </row>
    <row r="3" spans="1:20" ht="23.25">
      <c r="A3" s="664" t="s">
        <v>1340</v>
      </c>
      <c r="B3" s="662"/>
      <c r="C3" s="662"/>
      <c r="D3" s="662"/>
      <c r="E3" s="662"/>
      <c r="F3" s="662"/>
      <c r="G3" s="662"/>
      <c r="H3" s="662"/>
      <c r="I3" s="662"/>
      <c r="J3" s="662"/>
      <c r="K3" s="662"/>
      <c r="L3" s="662"/>
      <c r="M3" s="662"/>
      <c r="N3" s="662"/>
      <c r="O3" s="662"/>
      <c r="P3" s="662"/>
      <c r="Q3" s="662"/>
      <c r="R3" s="662"/>
      <c r="S3" s="662"/>
      <c r="T3" s="662"/>
    </row>
    <row r="4" spans="1:20">
      <c r="A4" s="709"/>
      <c r="B4" s="709"/>
      <c r="C4" s="709"/>
      <c r="D4" s="709"/>
      <c r="E4" s="709"/>
      <c r="F4" s="709"/>
      <c r="G4" s="709"/>
      <c r="H4" s="709"/>
      <c r="I4" s="709"/>
      <c r="J4" s="709"/>
      <c r="K4" s="709"/>
      <c r="L4" s="709"/>
      <c r="M4" s="709"/>
      <c r="N4" s="709"/>
      <c r="O4" s="709"/>
      <c r="P4" s="709"/>
      <c r="Q4" s="709"/>
      <c r="R4" s="709"/>
      <c r="S4" s="709"/>
      <c r="T4" s="709"/>
    </row>
    <row r="5" spans="1:20">
      <c r="A5" s="335" t="s">
        <v>1342</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 t="s">
        <v>775</v>
      </c>
      <c r="B7" s="1"/>
      <c r="C7" s="1"/>
      <c r="D7" s="539" t="str">
        <f>IFERROR(INDEX('DATA INDUK'!$H$27:$H$152,MATCH(ROW(D1),'DATA INDUK'!$AU$27:$AU$152,0)),"")</f>
        <v>26-001-DS-001</v>
      </c>
      <c r="E7" s="13"/>
      <c r="F7" s="13"/>
      <c r="G7" s="13"/>
      <c r="H7" s="15"/>
      <c r="I7" s="15"/>
      <c r="J7" s="15"/>
      <c r="K7" s="15"/>
      <c r="L7" s="15"/>
      <c r="M7" s="15"/>
      <c r="N7" s="15"/>
      <c r="O7" s="15"/>
      <c r="P7" s="15"/>
      <c r="Q7" s="15"/>
      <c r="R7" s="15"/>
      <c r="S7" s="15"/>
      <c r="T7" s="335"/>
    </row>
    <row r="8" spans="1:20">
      <c r="A8" s="13"/>
      <c r="B8" s="13"/>
      <c r="C8" s="13"/>
      <c r="D8" s="540"/>
      <c r="E8" s="15"/>
      <c r="F8" s="15"/>
      <c r="G8" s="15"/>
      <c r="H8" s="15"/>
      <c r="I8" s="15"/>
      <c r="J8" s="15"/>
      <c r="K8" s="15"/>
      <c r="L8" s="15"/>
      <c r="M8" s="15"/>
      <c r="N8" s="15"/>
      <c r="O8" s="15"/>
      <c r="P8" s="15"/>
      <c r="Q8" s="15"/>
      <c r="R8" s="15"/>
      <c r="S8" s="15"/>
      <c r="T8" s="15"/>
    </row>
    <row r="9" spans="1:20">
      <c r="A9" s="1" t="s">
        <v>776</v>
      </c>
      <c r="B9" s="1"/>
      <c r="C9" s="1"/>
      <c r="D9" s="13" t="str">
        <f>IFERROR(INDEX('DATA INDUK'!$C$27:$C$152,MATCH(ROW(D1),'DATA INDUK'!$AU$27:$AU$152,0)),"")</f>
        <v>BH-04R1-SPT 15</v>
      </c>
      <c r="E9" s="15"/>
      <c r="F9" s="15"/>
      <c r="G9" s="15"/>
      <c r="H9" s="15"/>
      <c r="I9" s="15"/>
      <c r="J9" s="15"/>
      <c r="K9" s="15"/>
      <c r="L9" s="1" t="s">
        <v>703</v>
      </c>
      <c r="M9" s="1"/>
      <c r="N9" s="1"/>
      <c r="O9" s="15" t="str">
        <f>IF($D$7="","",P9)</f>
        <v>RIZKI</v>
      </c>
      <c r="P9" s="588" t="s">
        <v>1055</v>
      </c>
      <c r="Q9" s="15"/>
      <c r="R9" s="15"/>
      <c r="S9" s="15"/>
      <c r="T9" s="15" t="str">
        <f>"TTD_"&amp;O9&amp;""</f>
        <v>TTD_RIZKI</v>
      </c>
    </row>
    <row r="10" spans="1:20">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row>
    <row r="11" spans="1:20">
      <c r="A11" s="1" t="s">
        <v>778</v>
      </c>
      <c r="B11" s="1"/>
      <c r="C11" s="1"/>
      <c r="D11" s="13" t="str">
        <f>IFERROR(INDEX('DATA INDUK'!$D$27:$D$152,MATCH(ROW(D1),'DATA INDUK'!$AU$27:$AU$152,0)),"")</f>
        <v>Disturbed Sample</v>
      </c>
      <c r="E11" s="15"/>
      <c r="F11" s="15" t="s">
        <v>1611</v>
      </c>
      <c r="G11" s="15"/>
      <c r="H11" s="15"/>
      <c r="I11" s="15"/>
      <c r="J11" s="15"/>
      <c r="K11" s="15"/>
      <c r="L11" s="13" t="s">
        <v>716</v>
      </c>
      <c r="M11" s="15"/>
      <c r="N11" s="15"/>
      <c r="O11" s="15" t="str">
        <f t="shared" si="0"/>
        <v>A.SUMARTADJI</v>
      </c>
      <c r="P11" s="588" t="s">
        <v>766</v>
      </c>
      <c r="Q11" s="15"/>
      <c r="R11" s="15"/>
      <c r="S11" s="15"/>
      <c r="T11" s="15" t="str">
        <f>"TTD_"&amp;O11&amp;""</f>
        <v>TTD_A.SUMARTADJI</v>
      </c>
    </row>
    <row r="12" spans="1:20">
      <c r="A12" s="1" t="s">
        <v>779</v>
      </c>
      <c r="B12" s="1"/>
      <c r="C12" s="1"/>
      <c r="D12" s="1573" t="s">
        <v>1648</v>
      </c>
      <c r="E12" s="15"/>
      <c r="F12" s="15" t="str">
        <f>IFERROR(INDEX($W$21:$W$32,
MATCH(D12,$Z$21:$Z$32,0)),
"CHECK DESKRIPSI")</f>
        <v>SDS</v>
      </c>
      <c r="G12" s="15"/>
      <c r="H12" s="15"/>
      <c r="I12" s="15"/>
      <c r="J12" s="15"/>
      <c r="K12" s="15"/>
      <c r="L12" s="1" t="s">
        <v>705</v>
      </c>
      <c r="M12" s="1"/>
      <c r="N12" s="1"/>
      <c r="O12" s="715"/>
      <c r="P12" s="15"/>
      <c r="Q12" s="15"/>
      <c r="R12" s="15"/>
      <c r="S12" s="15"/>
      <c r="T12" s="335"/>
    </row>
    <row r="13" spans="1:20">
      <c r="A13" s="1" t="s">
        <v>780</v>
      </c>
      <c r="B13" s="1"/>
      <c r="C13" s="1"/>
      <c r="D13" s="714"/>
      <c r="E13" s="15"/>
      <c r="F13" s="15"/>
      <c r="G13" s="15"/>
      <c r="H13" s="15"/>
      <c r="I13" s="15"/>
      <c r="J13" s="15"/>
      <c r="K13" s="15"/>
      <c r="L13" s="15"/>
      <c r="M13" s="15"/>
      <c r="N13" s="15"/>
      <c r="O13" s="15"/>
      <c r="P13" s="15"/>
      <c r="Q13" s="15"/>
      <c r="R13" s="15"/>
      <c r="S13" s="15"/>
      <c r="T13" s="335"/>
    </row>
    <row r="14" spans="1:20"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20">
      <c r="A15" s="539"/>
      <c r="B15" s="539"/>
      <c r="C15" s="988" t="s">
        <v>944</v>
      </c>
      <c r="D15" s="989"/>
      <c r="E15" s="989"/>
      <c r="F15" s="989" t="s">
        <v>185</v>
      </c>
      <c r="G15" s="540"/>
      <c r="H15" s="540"/>
      <c r="I15" s="540"/>
      <c r="J15" s="540"/>
      <c r="K15" s="540"/>
      <c r="L15" s="540"/>
      <c r="M15" s="540"/>
      <c r="N15" s="540"/>
      <c r="O15" s="540"/>
      <c r="P15" s="540"/>
      <c r="Q15" s="540"/>
      <c r="R15" s="540"/>
      <c r="S15" s="540"/>
      <c r="T15" s="531"/>
    </row>
    <row r="16" spans="1:20">
      <c r="C16" t="s">
        <v>928</v>
      </c>
      <c r="F16" s="986">
        <f>IFERROR(VLOOKUP(F15,$R$20:$S$21,2,0),"")</f>
        <v>4.3197000000000001</v>
      </c>
    </row>
    <row r="17" spans="3:27">
      <c r="C17" t="s">
        <v>929</v>
      </c>
      <c r="F17">
        <v>45.7</v>
      </c>
    </row>
    <row r="18" spans="3:27">
      <c r="C18" t="s">
        <v>930</v>
      </c>
      <c r="F18">
        <v>5</v>
      </c>
      <c r="G18" t="s">
        <v>946</v>
      </c>
    </row>
    <row r="19" spans="3:27">
      <c r="C19" t="s">
        <v>931</v>
      </c>
      <c r="F19">
        <v>56</v>
      </c>
      <c r="G19" t="s">
        <v>945</v>
      </c>
      <c r="M19" s="1857" t="s">
        <v>934</v>
      </c>
      <c r="N19" s="1857"/>
      <c r="O19" s="1857"/>
      <c r="P19" s="1857"/>
      <c r="R19" s="990" t="s">
        <v>943</v>
      </c>
      <c r="S19" s="991"/>
      <c r="T19" s="987"/>
      <c r="W19" s="370" t="s">
        <v>1641</v>
      </c>
      <c r="X19" s="370"/>
      <c r="Y19" s="370"/>
      <c r="Z19" s="370"/>
      <c r="AA19" s="370"/>
    </row>
    <row r="20" spans="3:27">
      <c r="C20" t="s">
        <v>947</v>
      </c>
      <c r="F20">
        <f>(F16*F17*F18*F19)/F33</f>
        <v>25.943412839440509</v>
      </c>
      <c r="G20" t="s">
        <v>948</v>
      </c>
      <c r="M20" s="984" t="s">
        <v>935</v>
      </c>
      <c r="N20" s="984" t="s">
        <v>936</v>
      </c>
      <c r="O20" s="984" t="s">
        <v>937</v>
      </c>
      <c r="P20" s="984" t="s">
        <v>938</v>
      </c>
      <c r="R20" t="s">
        <v>185</v>
      </c>
      <c r="S20" s="980">
        <f>4319.7/1000</f>
        <v>4.3197000000000001</v>
      </c>
      <c r="W20" s="370" t="s">
        <v>1611</v>
      </c>
      <c r="X20" s="370" t="s">
        <v>1642</v>
      </c>
      <c r="Y20" s="370" t="s">
        <v>1632</v>
      </c>
      <c r="Z20" s="370" t="s">
        <v>1633</v>
      </c>
      <c r="AA20" s="370"/>
    </row>
    <row r="21" spans="3:27">
      <c r="F21">
        <f>INT(F20*98.065)</f>
        <v>2544</v>
      </c>
      <c r="G21" t="s">
        <v>949</v>
      </c>
      <c r="M21" s="984" t="s">
        <v>185</v>
      </c>
      <c r="N21" s="1007">
        <f>152.1/10</f>
        <v>15.209999999999999</v>
      </c>
      <c r="O21" s="1007">
        <f>116.7/10</f>
        <v>11.67</v>
      </c>
      <c r="P21" s="1007">
        <v>6529.8</v>
      </c>
      <c r="R21" s="979" t="s">
        <v>237</v>
      </c>
      <c r="S21" s="980">
        <f>4384.9/1000</f>
        <v>4.3849</v>
      </c>
      <c r="W21" s="370" t="s">
        <v>1612</v>
      </c>
      <c r="X21" s="370" t="s">
        <v>1613</v>
      </c>
      <c r="Y21" s="370" t="s">
        <v>1610</v>
      </c>
      <c r="Z21" s="370" t="s">
        <v>1510</v>
      </c>
      <c r="AA21" s="370"/>
    </row>
    <row r="22" spans="3:27">
      <c r="F22">
        <v>2700</v>
      </c>
      <c r="G22" t="s">
        <v>961</v>
      </c>
      <c r="M22" s="984" t="s">
        <v>237</v>
      </c>
      <c r="N22" s="1007">
        <f>152.7/10</f>
        <v>15.27</v>
      </c>
      <c r="O22" s="1007">
        <f>116.4/10</f>
        <v>11.64</v>
      </c>
      <c r="P22" s="1007">
        <v>6696</v>
      </c>
      <c r="W22" s="370" t="s">
        <v>1614</v>
      </c>
      <c r="X22" s="370" t="s">
        <v>1615</v>
      </c>
      <c r="Y22" s="370" t="s">
        <v>1634</v>
      </c>
      <c r="Z22" s="370" t="s">
        <v>1635</v>
      </c>
      <c r="AA22" s="370"/>
    </row>
    <row r="23" spans="3:27">
      <c r="M23" s="983"/>
      <c r="W23" s="370" t="s">
        <v>1617</v>
      </c>
      <c r="X23" s="370" t="s">
        <v>1618</v>
      </c>
      <c r="Y23" s="370" t="s">
        <v>1636</v>
      </c>
      <c r="Z23" s="370" t="s">
        <v>1637</v>
      </c>
      <c r="AA23" s="370"/>
    </row>
    <row r="24" spans="3:27">
      <c r="C24" t="s">
        <v>959</v>
      </c>
      <c r="F24" s="102">
        <v>2.65</v>
      </c>
      <c r="W24" s="370" t="s">
        <v>1643</v>
      </c>
      <c r="X24" s="370" t="s">
        <v>1644</v>
      </c>
      <c r="Y24" s="370" t="s">
        <v>1645</v>
      </c>
      <c r="Z24" s="370" t="s">
        <v>1646</v>
      </c>
      <c r="AA24" s="370"/>
    </row>
    <row r="25" spans="3:27">
      <c r="M25" s="975" t="s">
        <v>366</v>
      </c>
      <c r="N25" s="975"/>
      <c r="W25" s="370" t="s">
        <v>1620</v>
      </c>
      <c r="X25" s="370" t="s">
        <v>1616</v>
      </c>
      <c r="Y25" s="370" t="s">
        <v>509</v>
      </c>
      <c r="Z25" s="370" t="s">
        <v>1638</v>
      </c>
      <c r="AA25" s="370"/>
    </row>
    <row r="26" spans="3:27">
      <c r="C26" s="30" t="s">
        <v>20</v>
      </c>
      <c r="D26" s="31"/>
      <c r="E26" s="31"/>
      <c r="F26" s="31"/>
      <c r="G26" s="31"/>
      <c r="H26" s="31"/>
      <c r="I26" s="31"/>
      <c r="J26" s="32"/>
      <c r="M26" s="383">
        <v>1</v>
      </c>
      <c r="N26" s="384">
        <v>9.0299999999999994</v>
      </c>
      <c r="W26" s="370" t="s">
        <v>1621</v>
      </c>
      <c r="X26" s="370" t="s">
        <v>1622</v>
      </c>
      <c r="Y26" s="370" t="s">
        <v>1639</v>
      </c>
      <c r="Z26" s="370" t="s">
        <v>1640</v>
      </c>
      <c r="AA26" s="370"/>
    </row>
    <row r="27" spans="3:27">
      <c r="C27" s="30"/>
      <c r="D27" s="31"/>
      <c r="E27" s="31"/>
      <c r="F27" s="981">
        <v>1</v>
      </c>
      <c r="G27" s="981">
        <v>2</v>
      </c>
      <c r="H27" s="981">
        <v>3</v>
      </c>
      <c r="I27" s="981">
        <v>4</v>
      </c>
      <c r="J27" s="982">
        <v>5</v>
      </c>
      <c r="M27" s="385">
        <v>2</v>
      </c>
      <c r="N27" s="386">
        <v>8.8420000000000005</v>
      </c>
      <c r="R27" s="1887"/>
      <c r="S27" s="1887"/>
      <c r="T27" s="1887"/>
      <c r="W27" s="370" t="s">
        <v>1623</v>
      </c>
      <c r="X27" s="370" t="s">
        <v>1624</v>
      </c>
      <c r="Y27" s="370" t="s">
        <v>1647</v>
      </c>
      <c r="Z27" s="370" t="s">
        <v>1648</v>
      </c>
      <c r="AA27" s="370"/>
    </row>
    <row r="28" spans="3:27">
      <c r="C28" s="24" t="s">
        <v>21</v>
      </c>
      <c r="D28" s="24"/>
      <c r="E28" s="25" t="s">
        <v>22</v>
      </c>
      <c r="F28" s="998">
        <v>10687</v>
      </c>
      <c r="G28" s="998">
        <v>10795</v>
      </c>
      <c r="H28" s="998">
        <v>10898</v>
      </c>
      <c r="I28" s="998">
        <v>10861</v>
      </c>
      <c r="J28" s="998">
        <v>10797</v>
      </c>
      <c r="M28" s="385">
        <v>3</v>
      </c>
      <c r="N28" s="387">
        <v>9.0410000000000004</v>
      </c>
      <c r="R28" s="979"/>
      <c r="S28" s="980"/>
      <c r="T28" s="980"/>
      <c r="W28" s="370" t="s">
        <v>1649</v>
      </c>
      <c r="X28" s="370" t="s">
        <v>1650</v>
      </c>
      <c r="Y28" s="370" t="s">
        <v>1651</v>
      </c>
      <c r="Z28" s="370" t="s">
        <v>1652</v>
      </c>
      <c r="AA28" s="370"/>
    </row>
    <row r="29" spans="3:27">
      <c r="C29" s="992" t="s">
        <v>932</v>
      </c>
      <c r="D29" s="993"/>
      <c r="E29" s="994"/>
      <c r="F29" s="995" t="s">
        <v>237</v>
      </c>
      <c r="G29" s="995" t="s">
        <v>237</v>
      </c>
      <c r="H29" s="995" t="s">
        <v>237</v>
      </c>
      <c r="I29" s="995" t="s">
        <v>237</v>
      </c>
      <c r="J29" s="995" t="s">
        <v>237</v>
      </c>
      <c r="M29" s="388">
        <v>4</v>
      </c>
      <c r="N29" s="389">
        <v>8.9359999999999999</v>
      </c>
      <c r="R29" s="979"/>
      <c r="S29" s="1007"/>
      <c r="T29" s="1007"/>
      <c r="W29" s="370" t="s">
        <v>1690</v>
      </c>
      <c r="X29" s="370" t="s">
        <v>1619</v>
      </c>
      <c r="Y29" s="370" t="s">
        <v>510</v>
      </c>
      <c r="Z29" s="370" t="s">
        <v>1197</v>
      </c>
      <c r="AA29" s="370"/>
    </row>
    <row r="30" spans="3:27">
      <c r="C30" s="28" t="s">
        <v>939</v>
      </c>
      <c r="D30" s="29"/>
      <c r="E30" s="25" t="s">
        <v>22</v>
      </c>
      <c r="F30" s="986">
        <f>IFERROR(VLOOKUP(F29,$M$21:$P$22,4,0),"")</f>
        <v>6696</v>
      </c>
      <c r="G30" s="986">
        <f t="shared" ref="G30:J30" si="1">IFERROR(VLOOKUP(G29,$M$21:$P$22,4,0),"")</f>
        <v>6696</v>
      </c>
      <c r="H30" s="986">
        <f t="shared" si="1"/>
        <v>6696</v>
      </c>
      <c r="I30" s="986">
        <f t="shared" si="1"/>
        <v>6696</v>
      </c>
      <c r="J30" s="986">
        <f t="shared" si="1"/>
        <v>6696</v>
      </c>
      <c r="M30" s="388">
        <v>5</v>
      </c>
      <c r="N30" s="389">
        <v>8.8559999999999999</v>
      </c>
      <c r="R30" s="979"/>
      <c r="S30" s="1007"/>
      <c r="T30" s="1007"/>
      <c r="W30" s="370" t="s">
        <v>1626</v>
      </c>
      <c r="X30" s="370" t="s">
        <v>1627</v>
      </c>
      <c r="Y30" s="370" t="s">
        <v>1653</v>
      </c>
      <c r="Z30" s="370" t="s">
        <v>1654</v>
      </c>
      <c r="AA30" s="370"/>
    </row>
    <row r="31" spans="3:27">
      <c r="C31" t="s">
        <v>941</v>
      </c>
      <c r="E31" t="s">
        <v>45</v>
      </c>
      <c r="F31" s="986">
        <f>IFERROR(VLOOKUP(F29,$M$21:$P$22,2,0),"")</f>
        <v>15.27</v>
      </c>
      <c r="G31" s="986">
        <f t="shared" ref="G31:J31" si="2">IFERROR(VLOOKUP(G29,$M$21:$P$22,2,0),"")</f>
        <v>15.27</v>
      </c>
      <c r="H31" s="986">
        <f t="shared" si="2"/>
        <v>15.27</v>
      </c>
      <c r="I31" s="986">
        <f t="shared" si="2"/>
        <v>15.27</v>
      </c>
      <c r="J31" s="986">
        <f t="shared" si="2"/>
        <v>15.27</v>
      </c>
      <c r="M31" s="388">
        <v>6</v>
      </c>
      <c r="N31" s="389">
        <v>8.7260000000000009</v>
      </c>
      <c r="R31" s="979"/>
      <c r="S31" s="1007"/>
      <c r="T31" s="1007"/>
      <c r="W31" s="370" t="s">
        <v>1628</v>
      </c>
      <c r="X31" s="370" t="s">
        <v>1629</v>
      </c>
      <c r="Y31" s="370" t="s">
        <v>1655</v>
      </c>
      <c r="Z31" s="370" t="s">
        <v>1656</v>
      </c>
      <c r="AA31" s="370"/>
    </row>
    <row r="32" spans="3:27">
      <c r="C32" t="s">
        <v>942</v>
      </c>
      <c r="E32" t="s">
        <v>45</v>
      </c>
      <c r="F32" s="986">
        <f>IFERROR(VLOOKUP(F29,$M$21:$P$22,3,0),"")</f>
        <v>11.64</v>
      </c>
      <c r="G32" s="986">
        <f t="shared" ref="G32:J32" si="3">IFERROR(VLOOKUP(G29,$M$21:$P$22,3,0),"")</f>
        <v>11.64</v>
      </c>
      <c r="H32" s="986">
        <f t="shared" si="3"/>
        <v>11.64</v>
      </c>
      <c r="I32" s="986">
        <f t="shared" si="3"/>
        <v>11.64</v>
      </c>
      <c r="J32" s="986">
        <f t="shared" si="3"/>
        <v>11.64</v>
      </c>
      <c r="M32" s="388">
        <v>7</v>
      </c>
      <c r="N32" s="389">
        <v>8.8819999999999997</v>
      </c>
      <c r="W32" s="370" t="s">
        <v>1630</v>
      </c>
      <c r="X32" s="370" t="s">
        <v>1631</v>
      </c>
      <c r="Y32" s="370" t="s">
        <v>1657</v>
      </c>
      <c r="Z32" s="370" t="s">
        <v>1658</v>
      </c>
      <c r="AA32" s="370"/>
    </row>
    <row r="33" spans="3:39">
      <c r="C33" s="28" t="s">
        <v>940</v>
      </c>
      <c r="D33" s="29"/>
      <c r="E33" s="25" t="s">
        <v>104</v>
      </c>
      <c r="F33" s="26">
        <f>(3.14*(F31^2)/4)*F32</f>
        <v>2130.59405646</v>
      </c>
      <c r="G33" s="26">
        <f t="shared" ref="G33:J33" si="4">(3.14*(G31^2)/4)*G32</f>
        <v>2130.59405646</v>
      </c>
      <c r="H33" s="26">
        <f t="shared" si="4"/>
        <v>2130.59405646</v>
      </c>
      <c r="I33" s="26">
        <f t="shared" si="4"/>
        <v>2130.59405646</v>
      </c>
      <c r="J33" s="26">
        <f t="shared" si="4"/>
        <v>2130.59405646</v>
      </c>
      <c r="M33" s="388">
        <v>8</v>
      </c>
      <c r="N33" s="389">
        <v>8.8179999999999996</v>
      </c>
      <c r="T33" s="1008"/>
      <c r="U33" s="1009"/>
      <c r="V33" s="1009"/>
      <c r="W33" s="53"/>
      <c r="X33" s="1008"/>
      <c r="Y33" s="1009"/>
      <c r="Z33" s="1009"/>
      <c r="AA33" s="53"/>
      <c r="AB33" s="1008"/>
      <c r="AC33" s="1009"/>
      <c r="AD33" s="1009"/>
      <c r="AE33" s="53"/>
      <c r="AF33" s="1008"/>
      <c r="AG33" s="1009"/>
      <c r="AH33" s="1009"/>
      <c r="AI33" s="53"/>
      <c r="AJ33" s="1008"/>
      <c r="AK33" s="1009"/>
      <c r="AL33" s="1009"/>
      <c r="AM33" s="53"/>
    </row>
    <row r="34" spans="3:39">
      <c r="C34" s="28" t="s">
        <v>23</v>
      </c>
      <c r="D34" s="29"/>
      <c r="E34" s="25" t="s">
        <v>22</v>
      </c>
      <c r="F34" s="999">
        <f>F28-F30</f>
        <v>3991</v>
      </c>
      <c r="G34" s="999">
        <f>G28-G30</f>
        <v>4099</v>
      </c>
      <c r="H34" s="999">
        <f>H28-H30</f>
        <v>4202</v>
      </c>
      <c r="I34" s="999">
        <f>I28-I30</f>
        <v>4165</v>
      </c>
      <c r="J34" s="999">
        <f>J28-J30</f>
        <v>4101</v>
      </c>
      <c r="M34" s="388">
        <v>9</v>
      </c>
      <c r="N34" s="389">
        <v>8.7989999999999995</v>
      </c>
    </row>
    <row r="35" spans="3:39">
      <c r="C35" s="28" t="s">
        <v>25</v>
      </c>
      <c r="D35" s="29"/>
      <c r="E35" s="25" t="s">
        <v>24</v>
      </c>
      <c r="F35" s="26">
        <f>F34/F33</f>
        <v>1.8731864889509173</v>
      </c>
      <c r="G35" s="26">
        <f>G34/G33</f>
        <v>1.9238765768503658</v>
      </c>
      <c r="H35" s="26">
        <f>H34/H33</f>
        <v>1.9722199014211361</v>
      </c>
      <c r="I35" s="26">
        <f>I34/I33</f>
        <v>1.9548538527889177</v>
      </c>
      <c r="J35" s="26">
        <f>J34/J33</f>
        <v>1.9248152821818372</v>
      </c>
      <c r="M35" s="383">
        <v>10</v>
      </c>
      <c r="N35" s="384">
        <v>8.7929999999999993</v>
      </c>
    </row>
    <row r="36" spans="3:39">
      <c r="C36" s="28" t="s">
        <v>26</v>
      </c>
      <c r="D36" s="29"/>
      <c r="E36" s="25" t="s">
        <v>24</v>
      </c>
      <c r="F36" s="26">
        <f>F35/(1+F47/100)</f>
        <v>1.465090917429366</v>
      </c>
      <c r="G36" s="26">
        <f>G35/(1+G47/100)</f>
        <v>1.4731951621221948</v>
      </c>
      <c r="H36" s="26">
        <f>H35/(1+H47/100)</f>
        <v>1.4770097086095009</v>
      </c>
      <c r="I36" s="26">
        <f>I35/(1+I47/100)</f>
        <v>1.4345473806004014</v>
      </c>
      <c r="J36" s="26">
        <f>J35/(1+J47/100)</f>
        <v>1.3796685274317693</v>
      </c>
      <c r="M36" s="383">
        <v>11</v>
      </c>
      <c r="N36" s="384">
        <v>8.8040000000000003</v>
      </c>
    </row>
    <row r="37" spans="3:39">
      <c r="M37" s="383">
        <v>12</v>
      </c>
      <c r="N37" s="384">
        <v>8.9280000000000008</v>
      </c>
    </row>
    <row r="38" spans="3:39">
      <c r="M38" s="383">
        <v>13</v>
      </c>
      <c r="N38" s="384">
        <v>8.8770000000000007</v>
      </c>
    </row>
    <row r="39" spans="3:39">
      <c r="C39" s="36" t="s">
        <v>27</v>
      </c>
      <c r="D39" s="37"/>
      <c r="E39" s="37"/>
      <c r="M39" s="383">
        <v>14</v>
      </c>
      <c r="N39" s="384">
        <v>8.8919999999999995</v>
      </c>
    </row>
    <row r="40" spans="3:39">
      <c r="F40" s="37">
        <v>1</v>
      </c>
      <c r="G40" s="37">
        <v>2</v>
      </c>
      <c r="H40" s="37">
        <v>3</v>
      </c>
      <c r="I40" s="37">
        <v>4</v>
      </c>
      <c r="J40" s="38">
        <v>5</v>
      </c>
      <c r="M40" s="383">
        <v>15</v>
      </c>
      <c r="N40" s="384">
        <v>8.9930000000000003</v>
      </c>
    </row>
    <row r="41" spans="3:39">
      <c r="C41" s="36" t="s">
        <v>28</v>
      </c>
      <c r="D41" s="37"/>
      <c r="E41" s="37" t="s">
        <v>22</v>
      </c>
      <c r="F41" s="1010">
        <v>56.17</v>
      </c>
      <c r="G41" s="1010">
        <v>52.68</v>
      </c>
      <c r="H41" s="1010">
        <v>49.12</v>
      </c>
      <c r="I41" s="1010">
        <v>55.69</v>
      </c>
      <c r="J41" s="1011">
        <v>40.729999999999997</v>
      </c>
      <c r="M41" s="383">
        <v>16</v>
      </c>
      <c r="N41" s="384">
        <v>8.9090000000000007</v>
      </c>
    </row>
    <row r="42" spans="3:39">
      <c r="C42" s="36" t="s">
        <v>29</v>
      </c>
      <c r="D42" s="37"/>
      <c r="E42" s="37" t="s">
        <v>22</v>
      </c>
      <c r="F42" s="1010">
        <v>45.9</v>
      </c>
      <c r="G42" s="1010">
        <v>42.45</v>
      </c>
      <c r="H42" s="1010">
        <v>39.01</v>
      </c>
      <c r="I42" s="1010">
        <v>43.19</v>
      </c>
      <c r="J42" s="1011">
        <v>31.71</v>
      </c>
      <c r="M42" s="383">
        <v>17</v>
      </c>
      <c r="N42" s="384">
        <v>9.0489999999999995</v>
      </c>
    </row>
    <row r="43" spans="3:39">
      <c r="C43" s="996" t="s">
        <v>628</v>
      </c>
      <c r="D43" s="997"/>
      <c r="E43" s="997"/>
      <c r="F43" s="997">
        <v>1</v>
      </c>
      <c r="G43" s="997">
        <v>46</v>
      </c>
      <c r="H43" s="997">
        <v>5</v>
      </c>
      <c r="I43" s="997">
        <v>6</v>
      </c>
      <c r="J43" s="997">
        <v>7</v>
      </c>
      <c r="M43" s="383">
        <v>18</v>
      </c>
      <c r="N43" s="384">
        <v>8.9339999999999993</v>
      </c>
    </row>
    <row r="44" spans="3:39">
      <c r="C44" s="36" t="s">
        <v>30</v>
      </c>
      <c r="D44" s="37"/>
      <c r="E44" s="37" t="s">
        <v>22</v>
      </c>
      <c r="F44" s="986">
        <f>IFERROR(VLOOKUP(F43,$M$26:$N$147,2,0),"")</f>
        <v>9.0299999999999994</v>
      </c>
      <c r="G44" s="986">
        <f t="shared" ref="G44:J44" si="5">IFERROR(VLOOKUP(G43,$M$26:$N$147,2,0),"")</f>
        <v>9.01</v>
      </c>
      <c r="H44" s="986">
        <f t="shared" si="5"/>
        <v>8.8559999999999999</v>
      </c>
      <c r="I44" s="986">
        <f t="shared" si="5"/>
        <v>8.7260000000000009</v>
      </c>
      <c r="J44" s="986">
        <f t="shared" si="5"/>
        <v>8.8819999999999997</v>
      </c>
      <c r="M44" s="388">
        <v>19</v>
      </c>
      <c r="N44" s="389">
        <v>8.9610000000000003</v>
      </c>
    </row>
    <row r="45" spans="3:39">
      <c r="C45" s="36" t="s">
        <v>31</v>
      </c>
      <c r="D45" s="37"/>
      <c r="E45" s="37" t="s">
        <v>22</v>
      </c>
      <c r="F45" s="37">
        <f>F41-F42</f>
        <v>10.270000000000003</v>
      </c>
      <c r="G45" s="37">
        <f>G41-G42</f>
        <v>10.229999999999997</v>
      </c>
      <c r="H45" s="37">
        <f>H41-H42</f>
        <v>10.11</v>
      </c>
      <c r="I45" s="37">
        <f>I41-I42</f>
        <v>12.5</v>
      </c>
      <c r="J45" s="38">
        <f>J41-J42</f>
        <v>9.019999999999996</v>
      </c>
      <c r="M45" s="388">
        <v>20</v>
      </c>
      <c r="N45" s="389">
        <v>8.7759999999999998</v>
      </c>
    </row>
    <row r="46" spans="3:39">
      <c r="C46" s="36" t="s">
        <v>32</v>
      </c>
      <c r="D46" s="37"/>
      <c r="E46" s="37" t="s">
        <v>22</v>
      </c>
      <c r="F46" s="37">
        <f>F42-F44</f>
        <v>36.869999999999997</v>
      </c>
      <c r="G46" s="37">
        <f>G42-G44</f>
        <v>33.440000000000005</v>
      </c>
      <c r="H46" s="37">
        <f>H42-H44</f>
        <v>30.153999999999996</v>
      </c>
      <c r="I46" s="37">
        <f>I42-I44</f>
        <v>34.463999999999999</v>
      </c>
      <c r="J46" s="38">
        <f>J42-J44</f>
        <v>22.828000000000003</v>
      </c>
      <c r="M46" s="388">
        <v>21</v>
      </c>
      <c r="N46" s="389">
        <v>8.9030000000000005</v>
      </c>
    </row>
    <row r="47" spans="3:39">
      <c r="C47" s="36" t="s">
        <v>33</v>
      </c>
      <c r="D47" s="37"/>
      <c r="E47" s="37" t="s">
        <v>34</v>
      </c>
      <c r="F47" s="37">
        <f>(F45/F46)*100</f>
        <v>27.854624355844869</v>
      </c>
      <c r="G47" s="37">
        <f>(G45/G46)*100</f>
        <v>30.592105263157883</v>
      </c>
      <c r="H47" s="37">
        <f>(H45/H46)*100</f>
        <v>33.527890163825695</v>
      </c>
      <c r="I47" s="37">
        <f>(I45/I46)*100</f>
        <v>36.269730733519033</v>
      </c>
      <c r="J47" s="38">
        <f>(J45/J46)*100</f>
        <v>39.51287892062377</v>
      </c>
      <c r="M47" s="388">
        <v>22</v>
      </c>
      <c r="N47" s="389">
        <v>8.843</v>
      </c>
    </row>
    <row r="48" spans="3:39">
      <c r="C48" s="27" t="s">
        <v>36</v>
      </c>
      <c r="D48" s="27"/>
      <c r="E48" s="27"/>
      <c r="F48" s="27">
        <f>$F$24/(1+($F$24*F47/100))</f>
        <v>1.5246116516216615</v>
      </c>
      <c r="G48" s="27">
        <f>$F$24/(1+($F$24*G47/100))</f>
        <v>1.4635298392224545</v>
      </c>
      <c r="H48" s="27">
        <f>$F$24/(1+($F$24*H47/100))</f>
        <v>1.4032381838775672</v>
      </c>
      <c r="I48" s="27">
        <f>$F$24/(1+($F$24*I47/100))</f>
        <v>1.3512494636701238</v>
      </c>
      <c r="J48" s="27">
        <f>$F$24/(1+($F$24*J47/100))</f>
        <v>1.2945196978451139</v>
      </c>
      <c r="M48" s="388">
        <v>23</v>
      </c>
      <c r="N48" s="389">
        <v>8.84</v>
      </c>
    </row>
    <row r="49" spans="3:14">
      <c r="M49" s="390">
        <v>24</v>
      </c>
      <c r="N49" s="389">
        <v>9.01</v>
      </c>
    </row>
    <row r="50" spans="3:14">
      <c r="M50" s="388">
        <v>25</v>
      </c>
      <c r="N50" s="389">
        <v>8.8119999999999994</v>
      </c>
    </row>
    <row r="51" spans="3:14">
      <c r="M51" s="388">
        <v>26</v>
      </c>
      <c r="N51" s="389">
        <v>8.8460000000000001</v>
      </c>
    </row>
    <row r="52" spans="3:14">
      <c r="M52" s="388">
        <v>27</v>
      </c>
      <c r="N52" s="389">
        <v>8.9139999999999997</v>
      </c>
    </row>
    <row r="53" spans="3:14">
      <c r="M53" s="388">
        <v>28</v>
      </c>
      <c r="N53" s="389">
        <v>9.9</v>
      </c>
    </row>
    <row r="54" spans="3:14">
      <c r="C54" s="39"/>
      <c r="D54" s="39"/>
      <c r="E54" s="39"/>
      <c r="F54" s="39"/>
      <c r="G54" s="39"/>
      <c r="H54" s="39"/>
      <c r="I54" s="39"/>
      <c r="J54" s="39"/>
      <c r="M54" s="388">
        <v>29</v>
      </c>
      <c r="N54" s="389">
        <v>8.9</v>
      </c>
    </row>
    <row r="55" spans="3:14">
      <c r="M55" s="385">
        <v>30</v>
      </c>
      <c r="N55" s="391">
        <v>8.8539999999999992</v>
      </c>
    </row>
    <row r="56" spans="3:14">
      <c r="M56" s="388">
        <v>31</v>
      </c>
      <c r="N56" s="389">
        <v>8.8149999999999995</v>
      </c>
    </row>
    <row r="57" spans="3:14">
      <c r="M57" s="388">
        <v>32</v>
      </c>
      <c r="N57" s="389">
        <v>8.9849999999999994</v>
      </c>
    </row>
    <row r="58" spans="3:14">
      <c r="C58" s="1856" t="s">
        <v>33</v>
      </c>
      <c r="D58" s="1856" t="s">
        <v>35</v>
      </c>
      <c r="F58" t="s">
        <v>36</v>
      </c>
      <c r="M58" s="388">
        <v>33</v>
      </c>
      <c r="N58" s="389">
        <v>8.8970000000000002</v>
      </c>
    </row>
    <row r="59" spans="3:14">
      <c r="C59" s="1856"/>
      <c r="D59" s="1856"/>
      <c r="M59" s="388">
        <v>34</v>
      </c>
      <c r="N59" s="389">
        <v>8.91</v>
      </c>
    </row>
    <row r="60" spans="3:14">
      <c r="C60" s="33">
        <f>C124</f>
        <v>27.854624355844869</v>
      </c>
      <c r="D60" s="34">
        <f>IF($D$7="",NA(),C126)</f>
        <v>1.465090917429366</v>
      </c>
      <c r="F60" s="33">
        <f>F48</f>
        <v>1.5246116516216615</v>
      </c>
      <c r="G60" s="23"/>
      <c r="H60" s="23"/>
      <c r="M60" s="383">
        <v>35</v>
      </c>
      <c r="N60" s="384">
        <v>8.7249999999999996</v>
      </c>
    </row>
    <row r="61" spans="3:14">
      <c r="C61" s="33">
        <f>D124</f>
        <v>30.592105263157883</v>
      </c>
      <c r="D61" s="34">
        <f>IF($D$7="",NA(),D126)</f>
        <v>1.4731951621221948</v>
      </c>
      <c r="F61" s="33">
        <f>G48</f>
        <v>1.4635298392224545</v>
      </c>
      <c r="G61" s="23"/>
      <c r="H61" s="23"/>
      <c r="M61" s="383">
        <v>36</v>
      </c>
      <c r="N61" s="384">
        <v>8.7149999999999999</v>
      </c>
    </row>
    <row r="62" spans="3:14">
      <c r="C62" s="33">
        <f>E124</f>
        <v>33.527890163825695</v>
      </c>
      <c r="D62" s="34">
        <f>IF($D$7="",NA(),E126)</f>
        <v>1.4770097086095009</v>
      </c>
      <c r="F62" s="33">
        <f>H48</f>
        <v>1.4032381838775672</v>
      </c>
      <c r="G62" s="23"/>
      <c r="H62" s="23"/>
      <c r="M62" s="383">
        <v>37</v>
      </c>
      <c r="N62" s="384">
        <v>8.7520000000000007</v>
      </c>
    </row>
    <row r="63" spans="3:14">
      <c r="C63" s="33">
        <f>F124</f>
        <v>36.269730733519033</v>
      </c>
      <c r="D63" s="34">
        <f>IF($D$7="",NA(),F126)</f>
        <v>1.4345473806004014</v>
      </c>
      <c r="F63" s="33">
        <f>I48</f>
        <v>1.3512494636701238</v>
      </c>
      <c r="G63" s="23"/>
      <c r="H63" s="23"/>
      <c r="M63" s="383">
        <v>38</v>
      </c>
      <c r="N63" s="384">
        <v>8.73</v>
      </c>
    </row>
    <row r="64" spans="3:14">
      <c r="C64" s="1003">
        <f>G124</f>
        <v>39.51287892062377</v>
      </c>
      <c r="D64" s="34">
        <f>IF($D$7="",NA(),G126)</f>
        <v>1.3796685274317693</v>
      </c>
      <c r="F64" s="33">
        <f>J48</f>
        <v>1.2945196978451139</v>
      </c>
      <c r="G64" s="23"/>
      <c r="H64" s="23"/>
      <c r="M64" s="383">
        <v>39</v>
      </c>
      <c r="N64" s="384">
        <v>8.8610000000000007</v>
      </c>
    </row>
    <row r="65" spans="3:18">
      <c r="C65" s="23"/>
      <c r="D65" s="23"/>
      <c r="E65" s="23"/>
      <c r="F65" s="23"/>
      <c r="G65" s="23"/>
      <c r="H65" s="23" t="s">
        <v>960</v>
      </c>
      <c r="M65" s="383">
        <v>40</v>
      </c>
      <c r="N65" s="384">
        <v>8.8580000000000005</v>
      </c>
    </row>
    <row r="66" spans="3:18" ht="18.75">
      <c r="D66" t="s">
        <v>956</v>
      </c>
      <c r="E66" s="1000">
        <f>IF($D$7="","",MAX(D60:D64))</f>
        <v>1.4770097086095009</v>
      </c>
      <c r="F66" t="s">
        <v>964</v>
      </c>
      <c r="H66" t="str">
        <f>"MDD = "&amp;TEXT(E66,"0.00")&amp;" g/cm³"</f>
        <v>MDD = 1.48 g/cm³</v>
      </c>
      <c r="M66" s="383">
        <v>41</v>
      </c>
      <c r="N66" s="384">
        <v>8.7590000000000003</v>
      </c>
    </row>
    <row r="67" spans="3:18">
      <c r="D67" t="s">
        <v>957</v>
      </c>
      <c r="E67" s="111">
        <f>IF($D$7="","",INDEX(C60:C64,MATCH(E66,D60:D64,0)))</f>
        <v>33.527890163825695</v>
      </c>
      <c r="H67" t="str">
        <f>"OMC = "&amp;TEXT(E67,"0.0")&amp;" %"</f>
        <v>OMC = 33.5 %</v>
      </c>
      <c r="M67" s="383">
        <v>42</v>
      </c>
      <c r="N67" s="384">
        <v>8.8000000000000007</v>
      </c>
    </row>
    <row r="68" spans="3:18">
      <c r="M68" s="383">
        <v>43</v>
      </c>
      <c r="N68" s="384">
        <v>8.8610000000000007</v>
      </c>
    </row>
    <row r="69" spans="3:18">
      <c r="C69" t="s">
        <v>957</v>
      </c>
      <c r="M69" s="383">
        <v>44</v>
      </c>
      <c r="N69" s="384">
        <v>8.8780000000000001</v>
      </c>
      <c r="R69" s="42"/>
    </row>
    <row r="70" spans="3:18">
      <c r="D70" t="s">
        <v>132</v>
      </c>
      <c r="E70" t="s">
        <v>133</v>
      </c>
      <c r="M70" s="383">
        <v>45</v>
      </c>
      <c r="N70" s="384">
        <v>8.9410000000000007</v>
      </c>
      <c r="R70" s="42"/>
    </row>
    <row r="71" spans="3:18">
      <c r="D71" s="519">
        <f>E67</f>
        <v>33.527890163825695</v>
      </c>
      <c r="E71" s="1004">
        <v>1.2</v>
      </c>
      <c r="M71" s="383">
        <v>46</v>
      </c>
      <c r="N71" s="384">
        <v>9.01</v>
      </c>
      <c r="R71" s="42"/>
    </row>
    <row r="72" spans="3:18">
      <c r="D72" s="519">
        <f>E67</f>
        <v>33.527890163825695</v>
      </c>
      <c r="E72" s="519">
        <f>E66</f>
        <v>1.4770097086095009</v>
      </c>
      <c r="M72" s="383">
        <v>47</v>
      </c>
      <c r="N72" s="384">
        <v>8.8993000000000002</v>
      </c>
      <c r="R72" s="42"/>
    </row>
    <row r="73" spans="3:18">
      <c r="C73" t="s">
        <v>958</v>
      </c>
      <c r="M73" s="383">
        <v>48</v>
      </c>
      <c r="N73" s="384">
        <v>8.7490000000000006</v>
      </c>
      <c r="R73" s="42"/>
    </row>
    <row r="74" spans="3:18">
      <c r="D74">
        <v>0</v>
      </c>
      <c r="E74" s="519">
        <f>E66</f>
        <v>1.4770097086095009</v>
      </c>
      <c r="M74" s="383">
        <v>49</v>
      </c>
      <c r="N74" s="384">
        <v>8.8219999999999992</v>
      </c>
      <c r="R74" s="42"/>
    </row>
    <row r="75" spans="3:18">
      <c r="D75" s="519">
        <f>E67</f>
        <v>33.527890163825695</v>
      </c>
      <c r="E75" s="519">
        <f>E66</f>
        <v>1.4770097086095009</v>
      </c>
      <c r="M75" s="383">
        <v>50</v>
      </c>
      <c r="N75" s="384">
        <v>8.7810000000000006</v>
      </c>
      <c r="R75" s="42"/>
    </row>
    <row r="76" spans="3:18">
      <c r="M76" s="383">
        <v>51</v>
      </c>
      <c r="N76" s="384">
        <v>8.843</v>
      </c>
      <c r="R76" s="42"/>
    </row>
    <row r="77" spans="3:18">
      <c r="M77" s="383">
        <v>52</v>
      </c>
      <c r="N77" s="384">
        <v>8.8580000000000005</v>
      </c>
      <c r="R77" s="42"/>
    </row>
    <row r="78" spans="3:18">
      <c r="M78" s="383">
        <v>53</v>
      </c>
      <c r="N78" s="384">
        <v>8.7810000000000006</v>
      </c>
      <c r="R78" s="42"/>
    </row>
    <row r="79" spans="3:18">
      <c r="I79" s="41"/>
      <c r="J79" s="41"/>
      <c r="M79" s="383">
        <v>54</v>
      </c>
      <c r="N79" s="384">
        <v>8.9179999999999993</v>
      </c>
      <c r="R79" s="42"/>
    </row>
    <row r="80" spans="3:18">
      <c r="I80" s="35"/>
      <c r="J80" s="27"/>
      <c r="M80" s="383">
        <v>55</v>
      </c>
      <c r="N80" s="384">
        <v>9.0299999999999994</v>
      </c>
      <c r="R80" s="42"/>
    </row>
    <row r="81" spans="9:18">
      <c r="I81" s="27"/>
      <c r="J81" s="27"/>
      <c r="M81" s="383">
        <v>56</v>
      </c>
      <c r="N81" s="384">
        <v>8.9239999999999995</v>
      </c>
      <c r="R81" s="42"/>
    </row>
    <row r="82" spans="9:18">
      <c r="I82" s="27"/>
      <c r="J82" s="27"/>
      <c r="M82" s="383">
        <v>57</v>
      </c>
      <c r="N82" s="384">
        <v>9.0109999999999992</v>
      </c>
      <c r="R82" s="42"/>
    </row>
    <row r="83" spans="9:18">
      <c r="I83" s="27"/>
      <c r="J83" s="35"/>
      <c r="M83" s="383">
        <v>58</v>
      </c>
      <c r="N83" s="384">
        <v>8.8539999999999992</v>
      </c>
      <c r="R83" s="42"/>
    </row>
    <row r="84" spans="9:18">
      <c r="M84" s="383">
        <v>59</v>
      </c>
      <c r="N84" s="384">
        <v>8.8989999999999991</v>
      </c>
      <c r="R84" s="42"/>
    </row>
    <row r="85" spans="9:18">
      <c r="M85" s="383">
        <v>60</v>
      </c>
      <c r="N85" s="384">
        <v>8.8209999999999997</v>
      </c>
      <c r="R85" s="42"/>
    </row>
    <row r="86" spans="9:18">
      <c r="M86" s="383">
        <v>61</v>
      </c>
      <c r="N86" s="384">
        <v>8.8450000000000006</v>
      </c>
      <c r="R86" s="42"/>
    </row>
    <row r="87" spans="9:18">
      <c r="M87" s="383">
        <v>62</v>
      </c>
      <c r="N87" s="384">
        <v>8.76</v>
      </c>
      <c r="R87" s="42"/>
    </row>
    <row r="88" spans="9:18">
      <c r="M88" s="383">
        <v>63</v>
      </c>
      <c r="N88" s="384">
        <v>8.86</v>
      </c>
      <c r="R88" s="42"/>
    </row>
    <row r="89" spans="9:18">
      <c r="M89" s="383">
        <v>64</v>
      </c>
      <c r="N89" s="384">
        <v>8.8089999999999993</v>
      </c>
      <c r="R89" s="42"/>
    </row>
    <row r="90" spans="9:18">
      <c r="M90" s="383">
        <v>65</v>
      </c>
      <c r="N90" s="384">
        <v>8.8840000000000003</v>
      </c>
      <c r="R90" s="42"/>
    </row>
    <row r="91" spans="9:18">
      <c r="M91" s="383">
        <v>66</v>
      </c>
      <c r="N91" s="384">
        <v>8.923</v>
      </c>
      <c r="R91" s="42"/>
    </row>
    <row r="92" spans="9:18">
      <c r="M92" s="383">
        <v>67</v>
      </c>
      <c r="N92" s="384">
        <v>8.9600000000000009</v>
      </c>
      <c r="R92" s="42"/>
    </row>
    <row r="93" spans="9:18">
      <c r="M93" s="383">
        <v>68</v>
      </c>
      <c r="N93" s="384">
        <v>8.9870000000000001</v>
      </c>
      <c r="R93" s="42"/>
    </row>
    <row r="94" spans="9:18">
      <c r="M94" s="383">
        <v>69</v>
      </c>
      <c r="N94" s="384">
        <v>8.8239999999999998</v>
      </c>
      <c r="R94" s="42"/>
    </row>
    <row r="95" spans="9:18">
      <c r="M95" s="383">
        <v>70</v>
      </c>
      <c r="N95" s="384">
        <v>8.923</v>
      </c>
      <c r="R95" s="42"/>
    </row>
    <row r="96" spans="9:18">
      <c r="M96" s="383">
        <v>71</v>
      </c>
      <c r="N96" s="384">
        <v>8.8940000000000001</v>
      </c>
      <c r="R96" s="42"/>
    </row>
    <row r="97" spans="1:18">
      <c r="M97" s="383">
        <v>72</v>
      </c>
      <c r="N97" s="384">
        <v>8.8279999999999994</v>
      </c>
      <c r="R97" s="42"/>
    </row>
    <row r="98" spans="1:18">
      <c r="M98" s="383">
        <v>73</v>
      </c>
      <c r="N98" s="384">
        <v>8.8030000000000008</v>
      </c>
      <c r="R98" s="42"/>
    </row>
    <row r="99" spans="1:18">
      <c r="M99" s="383">
        <v>74</v>
      </c>
      <c r="N99" s="384">
        <v>8.9489999999999998</v>
      </c>
      <c r="R99" s="42"/>
    </row>
    <row r="100" spans="1:18">
      <c r="M100" s="383">
        <v>75</v>
      </c>
      <c r="N100" s="384">
        <v>8.8510000000000009</v>
      </c>
      <c r="R100" s="42"/>
    </row>
    <row r="101" spans="1:18">
      <c r="M101" s="383">
        <v>76</v>
      </c>
      <c r="N101" s="384">
        <v>8.7460000000000004</v>
      </c>
      <c r="R101" s="42"/>
    </row>
    <row r="102" spans="1:18">
      <c r="M102" s="383">
        <v>77</v>
      </c>
      <c r="N102" s="384">
        <v>8.843</v>
      </c>
      <c r="R102" s="42"/>
    </row>
    <row r="103" spans="1:18">
      <c r="M103" s="383">
        <v>78</v>
      </c>
      <c r="N103" s="384">
        <v>8.8279999999999994</v>
      </c>
      <c r="R103" s="42"/>
    </row>
    <row r="104" spans="1:18">
      <c r="M104" s="383">
        <v>79</v>
      </c>
      <c r="N104" s="384">
        <v>8.9149999999999991</v>
      </c>
      <c r="R104" s="42"/>
    </row>
    <row r="105" spans="1:18">
      <c r="M105" s="383">
        <v>80</v>
      </c>
      <c r="N105" s="384">
        <v>8.8130000000000006</v>
      </c>
      <c r="R105" s="42"/>
    </row>
    <row r="106" spans="1:18">
      <c r="M106" s="383">
        <v>81</v>
      </c>
      <c r="N106" s="384">
        <v>8.9649999999999999</v>
      </c>
      <c r="R106" s="42"/>
    </row>
    <row r="107" spans="1:18">
      <c r="M107" s="383">
        <v>82</v>
      </c>
      <c r="N107" s="384">
        <v>8.7970000000000006</v>
      </c>
      <c r="R107" s="42"/>
    </row>
    <row r="108" spans="1:18">
      <c r="M108" s="383">
        <v>83</v>
      </c>
      <c r="N108" s="384">
        <v>8.9280000000000008</v>
      </c>
      <c r="R108" s="42"/>
    </row>
    <row r="109" spans="1:18">
      <c r="C109" s="116"/>
      <c r="F109" s="116"/>
      <c r="M109" s="383">
        <v>84</v>
      </c>
      <c r="N109" s="384">
        <v>8.9039999999999999</v>
      </c>
      <c r="R109" s="42"/>
    </row>
    <row r="110" spans="1:18">
      <c r="M110" s="383">
        <v>85</v>
      </c>
      <c r="N110" s="384">
        <v>8.7690000000000001</v>
      </c>
      <c r="R110" s="42"/>
    </row>
    <row r="111" spans="1:18">
      <c r="A111" t="s">
        <v>928</v>
      </c>
      <c r="C111">
        <f>IF($D$7="","",F16)</f>
        <v>4.3197000000000001</v>
      </c>
      <c r="M111" s="383">
        <v>86</v>
      </c>
      <c r="N111" s="384">
        <v>8.8079999999999998</v>
      </c>
      <c r="R111" s="42"/>
    </row>
    <row r="112" spans="1:18">
      <c r="A112" t="s">
        <v>929</v>
      </c>
      <c r="C112">
        <f>IF($D$7="","",F17)</f>
        <v>45.7</v>
      </c>
      <c r="M112" s="383">
        <v>87</v>
      </c>
      <c r="N112" s="384">
        <v>8.8320000000000007</v>
      </c>
      <c r="R112" s="42"/>
    </row>
    <row r="113" spans="1:18">
      <c r="A113" t="s">
        <v>930</v>
      </c>
      <c r="C113">
        <f>IF($D$7="","",F18)</f>
        <v>5</v>
      </c>
      <c r="M113" s="383">
        <v>88</v>
      </c>
      <c r="N113" s="384">
        <v>8.9280000000000008</v>
      </c>
      <c r="R113" s="42"/>
    </row>
    <row r="114" spans="1:18">
      <c r="A114" t="s">
        <v>931</v>
      </c>
      <c r="C114">
        <f>IF($D$7="","",F19)</f>
        <v>56</v>
      </c>
      <c r="M114" s="383">
        <v>89</v>
      </c>
      <c r="N114" s="384">
        <v>9.0719999999999992</v>
      </c>
      <c r="R114" s="42"/>
    </row>
    <row r="115" spans="1:18">
      <c r="A115" t="s">
        <v>962</v>
      </c>
      <c r="C115">
        <f>IF($D$7="","",F22)</f>
        <v>2700</v>
      </c>
      <c r="M115" s="383">
        <v>90</v>
      </c>
      <c r="N115" s="384">
        <v>8.9060000000000006</v>
      </c>
      <c r="R115" s="42"/>
    </row>
    <row r="116" spans="1:18">
      <c r="A116" t="s">
        <v>963</v>
      </c>
      <c r="C116" s="42">
        <f>IF($D$7="","",F24)</f>
        <v>2.65</v>
      </c>
      <c r="M116" s="383">
        <v>91</v>
      </c>
      <c r="N116" s="384">
        <v>8.8390000000000004</v>
      </c>
      <c r="R116" s="42"/>
    </row>
    <row r="117" spans="1:18">
      <c r="M117" s="383">
        <v>92</v>
      </c>
      <c r="N117" s="384">
        <v>8.8219999999999992</v>
      </c>
      <c r="R117" s="42"/>
    </row>
    <row r="118" spans="1:18">
      <c r="M118" s="383">
        <v>93</v>
      </c>
      <c r="N118" s="384">
        <v>8.8539999999999992</v>
      </c>
      <c r="R118" s="42"/>
    </row>
    <row r="119" spans="1:18">
      <c r="A119" t="s">
        <v>950</v>
      </c>
      <c r="C119">
        <v>1</v>
      </c>
      <c r="D119">
        <v>2</v>
      </c>
      <c r="E119">
        <v>3</v>
      </c>
      <c r="F119">
        <v>4</v>
      </c>
      <c r="G119">
        <v>5</v>
      </c>
      <c r="M119" s="383">
        <v>94</v>
      </c>
      <c r="N119" s="384">
        <v>8.8260000000000005</v>
      </c>
      <c r="R119" s="42"/>
    </row>
    <row r="120" spans="1:18">
      <c r="A120" t="s">
        <v>951</v>
      </c>
      <c r="C120">
        <f>IF($D$7="","",F28)</f>
        <v>10687</v>
      </c>
      <c r="D120">
        <f>IF($D$7="","",G28)</f>
        <v>10795</v>
      </c>
      <c r="E120">
        <f>IF($D$7="","",H28)</f>
        <v>10898</v>
      </c>
      <c r="F120">
        <f>IF($D$7="","",I28)</f>
        <v>10861</v>
      </c>
      <c r="G120">
        <f>IF($D$7="","",J28)</f>
        <v>10797</v>
      </c>
      <c r="M120" s="383">
        <v>95</v>
      </c>
      <c r="N120" s="384">
        <v>8.8789999999999996</v>
      </c>
      <c r="R120" s="42"/>
    </row>
    <row r="121" spans="1:18">
      <c r="A121" t="s">
        <v>927</v>
      </c>
      <c r="C121" s="42">
        <f>IF($D$7="","",F30)</f>
        <v>6696</v>
      </c>
      <c r="D121" s="42">
        <f>IF($D$7="","",G30)</f>
        <v>6696</v>
      </c>
      <c r="E121" s="42">
        <f>IF($D$7="","",H30)</f>
        <v>6696</v>
      </c>
      <c r="F121" s="42">
        <f>IF($D$7="","",I30)</f>
        <v>6696</v>
      </c>
      <c r="G121" s="42">
        <f>IF($D$7="","",J30)</f>
        <v>6696</v>
      </c>
      <c r="M121" s="383">
        <v>96</v>
      </c>
      <c r="N121" s="384">
        <v>11.742000000000001</v>
      </c>
      <c r="R121" s="42"/>
    </row>
    <row r="122" spans="1:18">
      <c r="A122" t="s">
        <v>953</v>
      </c>
      <c r="C122" s="42">
        <f>IF($D$7="","",F34)</f>
        <v>3991</v>
      </c>
      <c r="D122" s="42">
        <f>IF($D$7="","",G34)</f>
        <v>4099</v>
      </c>
      <c r="E122" s="42">
        <f>IF($D$7="","",H34)</f>
        <v>4202</v>
      </c>
      <c r="F122" s="42">
        <f>IF($D$7="","",I34)</f>
        <v>4165</v>
      </c>
      <c r="G122" s="42">
        <f>IF($D$7="","",J34)</f>
        <v>4101</v>
      </c>
      <c r="M122" s="383">
        <v>97</v>
      </c>
      <c r="N122" s="384">
        <v>11.648</v>
      </c>
      <c r="R122" s="42"/>
    </row>
    <row r="123" spans="1:18">
      <c r="A123" t="s">
        <v>952</v>
      </c>
      <c r="C123" s="42">
        <f>IF($D$7="","",F31)</f>
        <v>15.27</v>
      </c>
      <c r="D123" s="42">
        <f>IF($D$7="","",G31)</f>
        <v>15.27</v>
      </c>
      <c r="E123" s="42">
        <f>IF($D$7="","",H31)</f>
        <v>15.27</v>
      </c>
      <c r="F123" s="42">
        <f>IF($D$7="","",I31)</f>
        <v>15.27</v>
      </c>
      <c r="G123" s="42">
        <f>IF($D$7="","",J31)</f>
        <v>15.27</v>
      </c>
      <c r="M123" s="383">
        <v>98</v>
      </c>
      <c r="N123" s="384">
        <v>11.9</v>
      </c>
      <c r="R123" s="42"/>
    </row>
    <row r="124" spans="1:18">
      <c r="A124" t="s">
        <v>907</v>
      </c>
      <c r="C124" s="42">
        <f>IF($D$7="","",F47)</f>
        <v>27.854624355844869</v>
      </c>
      <c r="D124" s="42">
        <f>IF($D$7="","",G47)</f>
        <v>30.592105263157883</v>
      </c>
      <c r="E124" s="42">
        <f>IF($D$7="","",H47)</f>
        <v>33.527890163825695</v>
      </c>
      <c r="F124" s="42">
        <f>IF($D$7="","",I47)</f>
        <v>36.269730733519033</v>
      </c>
      <c r="G124" s="42">
        <f>IF($D$7="","",J47)</f>
        <v>39.51287892062377</v>
      </c>
      <c r="M124" s="383">
        <v>99</v>
      </c>
      <c r="N124" s="384">
        <v>11.936</v>
      </c>
      <c r="R124" s="42"/>
    </row>
    <row r="125" spans="1:18">
      <c r="A125" t="s">
        <v>954</v>
      </c>
      <c r="C125" s="42">
        <f t="shared" ref="C125:G126" si="6">IF($D$7="","",F35)</f>
        <v>1.8731864889509173</v>
      </c>
      <c r="D125" s="42">
        <f t="shared" si="6"/>
        <v>1.9238765768503658</v>
      </c>
      <c r="E125" s="42">
        <f t="shared" si="6"/>
        <v>1.9722199014211361</v>
      </c>
      <c r="F125" s="42">
        <f t="shared" si="6"/>
        <v>1.9548538527889177</v>
      </c>
      <c r="G125" s="42">
        <f t="shared" si="6"/>
        <v>1.9248152821818372</v>
      </c>
      <c r="M125" s="383">
        <v>100</v>
      </c>
      <c r="N125" s="384">
        <v>11.704000000000001</v>
      </c>
      <c r="R125" s="42"/>
    </row>
    <row r="126" spans="1:18">
      <c r="A126" t="s">
        <v>955</v>
      </c>
      <c r="C126" s="42">
        <f t="shared" si="6"/>
        <v>1.465090917429366</v>
      </c>
      <c r="D126" s="42">
        <f t="shared" si="6"/>
        <v>1.4731951621221948</v>
      </c>
      <c r="E126" s="42">
        <f t="shared" si="6"/>
        <v>1.4770097086095009</v>
      </c>
      <c r="F126" s="42">
        <f t="shared" si="6"/>
        <v>1.4345473806004014</v>
      </c>
      <c r="G126" s="42">
        <f t="shared" si="6"/>
        <v>1.3796685274317693</v>
      </c>
      <c r="M126" s="383">
        <v>101</v>
      </c>
      <c r="N126" s="384">
        <v>11.682</v>
      </c>
      <c r="R126" s="42"/>
    </row>
    <row r="127" spans="1:18">
      <c r="M127" s="383">
        <v>102</v>
      </c>
      <c r="N127" s="384">
        <v>11.487</v>
      </c>
      <c r="R127" s="42"/>
    </row>
    <row r="128" spans="1:18">
      <c r="M128" s="383">
        <v>103</v>
      </c>
      <c r="N128" s="384">
        <v>11.670999999999999</v>
      </c>
      <c r="R128" s="42"/>
    </row>
    <row r="129" spans="13:18">
      <c r="M129" s="383">
        <v>104</v>
      </c>
      <c r="N129" s="384">
        <v>11.765000000000001</v>
      </c>
      <c r="R129" s="42"/>
    </row>
    <row r="130" spans="13:18">
      <c r="M130" s="383">
        <v>105</v>
      </c>
      <c r="N130" s="384">
        <v>11.739000000000001</v>
      </c>
      <c r="R130" s="42"/>
    </row>
    <row r="131" spans="13:18">
      <c r="M131" s="383">
        <v>106</v>
      </c>
      <c r="N131" s="384">
        <v>11.691000000000001</v>
      </c>
      <c r="R131" s="42"/>
    </row>
    <row r="132" spans="13:18">
      <c r="M132" s="383">
        <v>107</v>
      </c>
      <c r="N132" s="384">
        <v>11.662000000000001</v>
      </c>
      <c r="R132" s="42"/>
    </row>
    <row r="133" spans="13:18">
      <c r="M133" s="383">
        <v>108</v>
      </c>
      <c r="N133" s="384">
        <v>11.763999999999999</v>
      </c>
      <c r="R133" s="42"/>
    </row>
    <row r="134" spans="13:18">
      <c r="M134" s="383">
        <v>109</v>
      </c>
      <c r="N134" s="384">
        <v>11.73</v>
      </c>
      <c r="R134" s="42"/>
    </row>
    <row r="135" spans="13:18">
      <c r="M135" s="383">
        <v>110</v>
      </c>
      <c r="N135" s="384">
        <v>11.663</v>
      </c>
      <c r="R135" s="42"/>
    </row>
    <row r="136" spans="13:18">
      <c r="M136" s="383">
        <v>111</v>
      </c>
      <c r="N136" s="384">
        <v>11.741</v>
      </c>
      <c r="R136" s="42"/>
    </row>
    <row r="137" spans="13:18">
      <c r="M137" s="383">
        <v>112</v>
      </c>
      <c r="N137" s="384">
        <v>11.68</v>
      </c>
      <c r="R137" s="42"/>
    </row>
    <row r="138" spans="13:18">
      <c r="M138" s="383">
        <v>113</v>
      </c>
      <c r="N138" s="384">
        <v>8.9589999999999996</v>
      </c>
      <c r="R138" s="42"/>
    </row>
    <row r="139" spans="13:18">
      <c r="M139" s="383">
        <v>114</v>
      </c>
      <c r="N139" s="384">
        <v>8.8190000000000008</v>
      </c>
      <c r="R139" s="42"/>
    </row>
    <row r="140" spans="13:18">
      <c r="M140" s="392">
        <v>115</v>
      </c>
      <c r="N140" s="393">
        <v>11.619</v>
      </c>
      <c r="R140" s="42"/>
    </row>
    <row r="141" spans="13:18">
      <c r="M141" s="392">
        <v>116</v>
      </c>
      <c r="N141" s="393">
        <v>8.8699999999999992</v>
      </c>
      <c r="R141" s="42"/>
    </row>
    <row r="142" spans="13:18">
      <c r="M142" s="392">
        <v>117</v>
      </c>
      <c r="N142" s="393">
        <v>9</v>
      </c>
      <c r="R142" s="42"/>
    </row>
    <row r="143" spans="13:18">
      <c r="M143" s="392">
        <v>118</v>
      </c>
      <c r="N143" s="393">
        <v>8.8339999999999996</v>
      </c>
      <c r="R143" s="42"/>
    </row>
    <row r="144" spans="13:18">
      <c r="M144" s="392">
        <v>119</v>
      </c>
      <c r="N144" s="393">
        <v>8.9469999999999992</v>
      </c>
      <c r="R144" s="42"/>
    </row>
    <row r="145" spans="1:21">
      <c r="M145" s="392">
        <v>120</v>
      </c>
      <c r="N145" s="393">
        <v>11.666</v>
      </c>
      <c r="R145" s="42"/>
    </row>
    <row r="146" spans="1:21">
      <c r="M146" s="392">
        <v>121</v>
      </c>
      <c r="N146" s="393">
        <v>8.7379999999999995</v>
      </c>
      <c r="R146" s="42"/>
    </row>
    <row r="147" spans="1:21">
      <c r="M147" s="392">
        <v>122</v>
      </c>
      <c r="N147" s="393">
        <v>8.9849999999999994</v>
      </c>
      <c r="R147" s="42"/>
    </row>
    <row r="148" spans="1:21">
      <c r="R148" s="42"/>
    </row>
    <row r="149" spans="1:21">
      <c r="R149" s="42"/>
    </row>
    <row r="150" spans="1:21">
      <c r="A150" s="1566" t="s">
        <v>1719</v>
      </c>
      <c r="B150" s="862"/>
      <c r="C150" s="14"/>
      <c r="D150" s="370"/>
      <c r="E150" s="370"/>
    </row>
    <row r="151" spans="1:21">
      <c r="A151" s="1570" t="s">
        <v>2064</v>
      </c>
      <c r="B151" s="862"/>
      <c r="C151" s="14"/>
      <c r="D151" s="370"/>
      <c r="E151" s="370"/>
    </row>
    <row r="152" spans="1:21">
      <c r="A152" s="1566" t="s">
        <v>1719</v>
      </c>
      <c r="B152" s="862"/>
      <c r="C152" s="14"/>
      <c r="D152" s="370"/>
      <c r="E152" s="370"/>
    </row>
    <row r="153" spans="1:21">
      <c r="A153" s="1566"/>
      <c r="B153" s="862"/>
      <c r="C153" s="14"/>
      <c r="D153" s="370"/>
      <c r="E153" s="370"/>
    </row>
    <row r="154" spans="1:21">
      <c r="B154" t="s">
        <v>1611</v>
      </c>
      <c r="C154" s="299" t="str">
        <f>F12</f>
        <v>SDS</v>
      </c>
    </row>
    <row r="155" spans="1:21">
      <c r="B155" s="116"/>
      <c r="H155" s="116"/>
      <c r="N155" s="116"/>
    </row>
    <row r="156" spans="1:21">
      <c r="B156" s="116" t="s">
        <v>1793</v>
      </c>
      <c r="H156" s="116"/>
      <c r="N156" s="116"/>
    </row>
    <row r="157" spans="1:21">
      <c r="B157" s="1866" t="s">
        <v>124</v>
      </c>
      <c r="C157" s="1866"/>
      <c r="D157" s="1866" t="s">
        <v>1783</v>
      </c>
      <c r="E157" s="1867" t="s">
        <v>1788</v>
      </c>
      <c r="F157" s="1867"/>
      <c r="G157" s="1868" t="s">
        <v>1789</v>
      </c>
      <c r="H157" s="1868"/>
      <c r="I157" s="1868"/>
      <c r="J157" s="1868"/>
      <c r="K157" s="1868"/>
      <c r="L157" s="1868"/>
      <c r="M157" s="1868"/>
      <c r="N157" s="1868"/>
    </row>
    <row r="158" spans="1:21">
      <c r="B158" s="1866"/>
      <c r="C158" s="1866"/>
      <c r="D158" s="1866"/>
      <c r="E158" s="1581" t="s">
        <v>1598</v>
      </c>
      <c r="F158" s="1581" t="s">
        <v>1718</v>
      </c>
      <c r="G158" s="1579" t="s">
        <v>1790</v>
      </c>
      <c r="H158" s="1579" t="s">
        <v>1684</v>
      </c>
      <c r="I158" s="1580" t="s">
        <v>1794</v>
      </c>
      <c r="J158" s="1580" t="s">
        <v>438</v>
      </c>
      <c r="K158" s="1580" t="s">
        <v>1791</v>
      </c>
      <c r="L158" s="1580" t="s">
        <v>1598</v>
      </c>
      <c r="M158" s="1580" t="s">
        <v>1792</v>
      </c>
      <c r="N158" s="1580" t="s">
        <v>1718</v>
      </c>
      <c r="R158" t="s">
        <v>575</v>
      </c>
      <c r="S158" t="s">
        <v>1607</v>
      </c>
      <c r="T158" t="s">
        <v>1608</v>
      </c>
      <c r="U158" t="s">
        <v>1715</v>
      </c>
    </row>
    <row r="159" spans="1:21" ht="78.75">
      <c r="B159" s="1361" t="s">
        <v>957</v>
      </c>
      <c r="C159" s="326"/>
      <c r="D159" s="1582">
        <f>E67</f>
        <v>33.527890163825695</v>
      </c>
      <c r="E159" s="3" t="str">
        <f>IF(D159="","CHECK",
IFERROR(
IF(AND(
D159&gt;=INDEX($S$159:$S$160,MATCH(B159,$R$159:$R$160,0)),
D159&lt;=INDEX($T$159:$T$160,MATCH(B159,$R$159:$R$160,0))
),
"PASS",
"REVIEW"),
"CHECK"))</f>
        <v>PASS</v>
      </c>
      <c r="F159" s="5" t="str">
        <f>IFERROR(
INDEX($U$159:$U$160,
MATCH(B159,$R$159:$R$160,0)),
"")</f>
        <v>Das (2016)</v>
      </c>
      <c r="G159" s="1569" t="str" cm="1">
        <f t="array" ref="G159">IFERROR(
INDEX($R$164:$R$173,
MATCH(1,
($Q$164:$Q$173=B159)*
($U$164:$U$173&gt;=D159)*
($T$164:$T$173&lt;=D159),
0)),
"")</f>
        <v>Tinggi</v>
      </c>
      <c r="H159" s="1569" cm="1">
        <f t="array" ref="H159">IFERROR(
INDEX($S$164:$S$173,
MATCH(1,
($Q$164:$Q$173=B159)*
($U$164:$U$173&gt;=D159)*
($T$164:$T$173&lt;=D159),
0)),
"")</f>
        <v>4</v>
      </c>
      <c r="I159" s="1569" t="str" cm="1">
        <f t="array" ref="I159">IFERROR(
INDEX($S$177:$S$200,
MATCH(1,
($Q$177:$Q$200=$C$154)*
($R$177:$R$200=B159),
0)),
"")</f>
        <v>Sedang</v>
      </c>
      <c r="J159" s="1569" cm="1">
        <f t="array" ref="J159">IFERROR(
INDEX($T$177:$T$200,
MATCH(1,
($Q$177:$Q$200=$C$154)*
($R$177:$R$200=B159),
0)),
"")</f>
        <v>8</v>
      </c>
      <c r="K159" s="1569" cm="1">
        <f t="array" ref="K159">IFERROR(
INDEX($U$177:$U$200,
MATCH(1,
($Q$177:$Q$200=$C$154)*
($R$177:$R$200=B159),
0)),
"")</f>
        <v>15</v>
      </c>
      <c r="L159" s="3" t="str">
        <f>IF(D159="","CHECK",
IF(AND(D159&gt;=J159,D159&lt;K159),"PASS","REVIEW"))</f>
        <v>REVIEW</v>
      </c>
      <c r="M159" s="9" t="str" cm="1">
        <f t="array" ref="M159">IFERROR(
INDEX($V$177:$V$200,
MATCH(1,
($Q$177:$Q$200=$C$154)*
($R$177:$R$200=B159),
0)),
"")</f>
        <v>OMC sedang akibat fraksi lanau.</v>
      </c>
      <c r="N159" s="1569" t="str" cm="1">
        <f t="array" ref="N159">IFERROR(
INDEX($W$177:$W$200,
MATCH(1,
($Q$177:$Q$200=$C$154)*
($R$177:$R$200=B159),
0)),
"")</f>
        <v>Das (2016)</v>
      </c>
      <c r="R159" s="326" t="s">
        <v>957</v>
      </c>
      <c r="S159" s="326">
        <v>2</v>
      </c>
      <c r="T159" s="326">
        <v>60</v>
      </c>
      <c r="U159" s="326" t="s">
        <v>1716</v>
      </c>
    </row>
    <row r="160" spans="1:21" ht="94.5" customHeight="1">
      <c r="B160" s="1361" t="s">
        <v>956</v>
      </c>
      <c r="C160" s="326"/>
      <c r="D160" s="1582">
        <f>E66</f>
        <v>1.4770097086095009</v>
      </c>
      <c r="E160" s="3" t="str">
        <f>IF(D160="","CHECK",
IFERROR(
IF(AND(
D160&gt;=INDEX($S$159:$S$160,MATCH(B160,$R$159:$R$160,0)),
D160&lt;=INDEX($T$159:$T$160,MATCH(B160,$R$159:$R$160,0))
),
"PASS",
"REVIEW"),
"CHECK"))</f>
        <v>PASS</v>
      </c>
      <c r="F160" s="5" t="str">
        <f>IFERROR(
INDEX($U$159:$U$160,
MATCH(B160,$R$159:$R$160,0)),
"")</f>
        <v>ASTM D1557</v>
      </c>
      <c r="G160" s="1569" t="str" cm="1">
        <f t="array" ref="G160">IFERROR(
INDEX($R$164:$R$173,
MATCH(1,
($Q$164:$Q$173=B160)*
($U$164:$U$173&gt;=D160)*
($T$164:$T$173&lt;=D160),
0)),
"")</f>
        <v>Rendah</v>
      </c>
      <c r="H160" s="1569" cm="1">
        <f t="array" ref="H160">IFERROR(
INDEX($S$164:$S$173,
MATCH(1,
($Q$164:$Q$173=B160)*
($U$164:$U$173&gt;=D160)*
($T$164:$T$173&lt;=D160),
0)),
"")</f>
        <v>2</v>
      </c>
      <c r="I160" s="1569" t="str" cm="1">
        <f t="array" ref="I160">IFERROR(
INDEX($S$177:$S$200,
MATCH(1,
($Q$177:$Q$200=$C$154)*
($R$177:$R$200=B160),
0)),
"")</f>
        <v>Tinggi</v>
      </c>
      <c r="J160" s="1569" cm="1">
        <f t="array" ref="J160">IFERROR(
INDEX($T$177:$T$200,
MATCH(1,
($Q$177:$Q$200=$C$154)*
($R$177:$R$200=B160),
0)),
"")</f>
        <v>1.75</v>
      </c>
      <c r="K160" s="1569" cm="1">
        <f t="array" ref="K160">IFERROR(
INDEX($U$177:$U$200,
MATCH(1,
($Q$177:$Q$200=$C$154)*
($R$177:$R$200=B160),
0)),
"")</f>
        <v>2.0499999999999998</v>
      </c>
      <c r="L160" s="3" t="str">
        <f>IF(D160="","CHECK",
IF(AND(D160&gt;=J160,D160&lt;K160),"PASS","REVIEW"))</f>
        <v>REVIEW</v>
      </c>
      <c r="M160" s="9" t="str" cm="1">
        <f t="array" ref="M160">IFERROR(
INDEX($V$177:$V$200,
MATCH(1,
($Q$177:$Q$200=$C$154)*
($R$177:$R$200=B160),
0)),
"")</f>
        <v>Kandungan lanau sedikit menurunkan MDD.</v>
      </c>
      <c r="N160" s="1569" t="str" cm="1">
        <f t="array" ref="N160">IFERROR(
INDEX($W$177:$W$200,
MATCH(1,
($Q$177:$Q$200=$C$154)*
($R$177:$R$200=B160),
0)),
"")</f>
        <v>ASTM D1557</v>
      </c>
      <c r="R160" s="326" t="s">
        <v>956</v>
      </c>
      <c r="S160" s="326">
        <v>0.8</v>
      </c>
      <c r="T160" s="326">
        <v>3</v>
      </c>
      <c r="U160" s="326" t="s">
        <v>2065</v>
      </c>
    </row>
    <row r="162" spans="1:23">
      <c r="Q162" t="s">
        <v>1797</v>
      </c>
    </row>
    <row r="163" spans="1:23">
      <c r="Q163" t="s">
        <v>575</v>
      </c>
      <c r="R163" t="s">
        <v>2030</v>
      </c>
      <c r="S163" t="s">
        <v>1684</v>
      </c>
      <c r="T163" t="s">
        <v>2031</v>
      </c>
      <c r="U163" t="s">
        <v>2032</v>
      </c>
    </row>
    <row r="164" spans="1:23">
      <c r="Q164" t="s">
        <v>956</v>
      </c>
      <c r="R164" t="s">
        <v>1680</v>
      </c>
      <c r="S164">
        <v>1</v>
      </c>
      <c r="T164">
        <v>0.8</v>
      </c>
      <c r="U164">
        <v>1.2</v>
      </c>
    </row>
    <row r="165" spans="1:23">
      <c r="Q165" t="s">
        <v>956</v>
      </c>
      <c r="R165" t="s">
        <v>1670</v>
      </c>
      <c r="S165">
        <v>2</v>
      </c>
      <c r="T165">
        <v>1.2</v>
      </c>
      <c r="U165">
        <v>1.5</v>
      </c>
    </row>
    <row r="166" spans="1:23">
      <c r="Q166" t="s">
        <v>956</v>
      </c>
      <c r="R166" t="s">
        <v>1672</v>
      </c>
      <c r="S166">
        <v>3</v>
      </c>
      <c r="T166">
        <v>1.5</v>
      </c>
      <c r="U166">
        <v>1.8</v>
      </c>
    </row>
    <row r="167" spans="1:23">
      <c r="Q167" t="s">
        <v>956</v>
      </c>
      <c r="R167" t="s">
        <v>338</v>
      </c>
      <c r="S167">
        <v>4</v>
      </c>
      <c r="T167">
        <v>1.8</v>
      </c>
      <c r="U167">
        <v>2.1</v>
      </c>
    </row>
    <row r="168" spans="1:23">
      <c r="Q168" t="s">
        <v>956</v>
      </c>
      <c r="R168" t="s">
        <v>1681</v>
      </c>
      <c r="S168">
        <v>5</v>
      </c>
      <c r="T168">
        <v>2.1</v>
      </c>
      <c r="U168">
        <v>2.6</v>
      </c>
    </row>
    <row r="169" spans="1:23">
      <c r="Q169" t="s">
        <v>957</v>
      </c>
      <c r="R169" t="s">
        <v>1680</v>
      </c>
      <c r="S169">
        <v>1</v>
      </c>
      <c r="T169">
        <v>2</v>
      </c>
      <c r="U169">
        <v>8</v>
      </c>
    </row>
    <row r="170" spans="1:23">
      <c r="A170" s="116" t="s">
        <v>1795</v>
      </c>
      <c r="Q170" t="s">
        <v>957</v>
      </c>
      <c r="R170" t="s">
        <v>1670</v>
      </c>
      <c r="S170">
        <v>2</v>
      </c>
      <c r="T170">
        <v>8</v>
      </c>
      <c r="U170">
        <v>15</v>
      </c>
    </row>
    <row r="171" spans="1:23">
      <c r="A171" t="s">
        <v>2114</v>
      </c>
      <c r="D171" s="1583" t="str">
        <f>IF(COUNTIF(E159:E160,"REVIEW")&gt;0,
"REVIEW",
"PASS")</f>
        <v>PASS</v>
      </c>
      <c r="Q171" t="s">
        <v>957</v>
      </c>
      <c r="R171" t="s">
        <v>1672</v>
      </c>
      <c r="S171">
        <v>3</v>
      </c>
      <c r="T171">
        <v>15</v>
      </c>
      <c r="U171">
        <v>25</v>
      </c>
    </row>
    <row r="172" spans="1:23">
      <c r="A172" t="s">
        <v>1832</v>
      </c>
      <c r="D172" s="1583" t="str">
        <f>IF(COUNTIF(L159:L160,"REVIEW")&gt;0,
"REVIEW",
"PASS")</f>
        <v>REVIEW</v>
      </c>
      <c r="Q172" t="s">
        <v>957</v>
      </c>
      <c r="R172" t="s">
        <v>338</v>
      </c>
      <c r="S172">
        <v>4</v>
      </c>
      <c r="T172">
        <v>25</v>
      </c>
      <c r="U172">
        <v>35</v>
      </c>
    </row>
    <row r="173" spans="1:23">
      <c r="A173" t="s">
        <v>1605</v>
      </c>
      <c r="D173" s="1583" t="str">
        <f>IF(AND(D171="PASS",D172="PASS"),
"PASS",
IF(AND(D171="PASS",D172="REVIEW"),
"REVIEW",
IF(AND(D171="REVIEW",D172="PASS"),
"REVIEW",
"RE-ANALYZE")))</f>
        <v>REVIEW</v>
      </c>
      <c r="Q173" t="s">
        <v>957</v>
      </c>
      <c r="R173" t="s">
        <v>1681</v>
      </c>
      <c r="S173">
        <v>5</v>
      </c>
      <c r="T173">
        <v>35</v>
      </c>
      <c r="U173">
        <v>60</v>
      </c>
    </row>
    <row r="175" spans="1:23">
      <c r="A175" s="116" t="s">
        <v>1833</v>
      </c>
      <c r="Q175" t="s">
        <v>1798</v>
      </c>
    </row>
    <row r="176" spans="1:23">
      <c r="B176" s="1858" t="str" cm="1">
        <f t="array" ref="B176">IFERROR(
INDEX($T$203:$T$206,
MATCH(1,
($Q$203:$Q$206=D171)*
($R$203:$R$206=D172),
0)),
"")</f>
        <v>Modified Proctor menggunakan energi pemadatan yang lebih besar sehingga umumnya menghasilkan MDD lebih tinggi dan OMC lebih rendah dibanding Standard Proctor pada material yang sama.</v>
      </c>
      <c r="C176" s="1859"/>
      <c r="D176" s="1859"/>
      <c r="E176" s="1859"/>
      <c r="F176" s="1859"/>
      <c r="G176" s="1859"/>
      <c r="H176" s="1859"/>
      <c r="I176" s="1859"/>
      <c r="J176" s="1859"/>
      <c r="K176" s="1860"/>
      <c r="L176" s="1523"/>
      <c r="Q176" t="s">
        <v>1611</v>
      </c>
      <c r="R176" t="s">
        <v>575</v>
      </c>
      <c r="S176" t="s">
        <v>1683</v>
      </c>
      <c r="T176" t="s">
        <v>1607</v>
      </c>
      <c r="U176" t="s">
        <v>1608</v>
      </c>
      <c r="V176" t="s">
        <v>1685</v>
      </c>
      <c r="W176" t="s">
        <v>2033</v>
      </c>
    </row>
    <row r="177" spans="2:23">
      <c r="B177" s="1861"/>
      <c r="C177" s="1814"/>
      <c r="D177" s="1814"/>
      <c r="E177" s="1814"/>
      <c r="F177" s="1814"/>
      <c r="G177" s="1814"/>
      <c r="H177" s="1814"/>
      <c r="I177" s="1814"/>
      <c r="J177" s="1814"/>
      <c r="K177" s="1862"/>
      <c r="L177" s="1578"/>
      <c r="M177" s="1578"/>
      <c r="Q177" t="s">
        <v>1612</v>
      </c>
      <c r="R177" t="s">
        <v>956</v>
      </c>
      <c r="S177" t="s">
        <v>1672</v>
      </c>
      <c r="T177">
        <v>1.45</v>
      </c>
      <c r="U177">
        <v>1.85</v>
      </c>
      <c r="V177" t="s">
        <v>2034</v>
      </c>
      <c r="W177" t="s">
        <v>2066</v>
      </c>
    </row>
    <row r="178" spans="2:23">
      <c r="B178" s="1863"/>
      <c r="C178" s="1864"/>
      <c r="D178" s="1864"/>
      <c r="E178" s="1864"/>
      <c r="F178" s="1864"/>
      <c r="G178" s="1864"/>
      <c r="H178" s="1864"/>
      <c r="I178" s="1864"/>
      <c r="J178" s="1864"/>
      <c r="K178" s="1865"/>
      <c r="L178" s="5"/>
      <c r="M178" s="5"/>
      <c r="Q178" t="s">
        <v>1612</v>
      </c>
      <c r="R178" t="s">
        <v>957</v>
      </c>
      <c r="S178" t="s">
        <v>338</v>
      </c>
      <c r="T178">
        <v>15</v>
      </c>
      <c r="U178">
        <v>25</v>
      </c>
      <c r="V178" t="s">
        <v>2036</v>
      </c>
      <c r="W178" t="s">
        <v>1716</v>
      </c>
    </row>
    <row r="179" spans="2:23">
      <c r="K179" s="5"/>
      <c r="L179" s="5"/>
      <c r="M179" s="5"/>
      <c r="Q179" t="s">
        <v>1614</v>
      </c>
      <c r="R179" t="s">
        <v>956</v>
      </c>
      <c r="S179" t="s">
        <v>1672</v>
      </c>
      <c r="T179">
        <v>1.5</v>
      </c>
      <c r="U179">
        <v>1.9</v>
      </c>
      <c r="V179" t="s">
        <v>2037</v>
      </c>
      <c r="W179" t="s">
        <v>2065</v>
      </c>
    </row>
    <row r="180" spans="2:23">
      <c r="K180" s="5"/>
      <c r="L180" s="5"/>
      <c r="M180" s="5"/>
      <c r="Q180" t="s">
        <v>1614</v>
      </c>
      <c r="R180" t="s">
        <v>957</v>
      </c>
      <c r="S180" t="s">
        <v>1672</v>
      </c>
      <c r="T180">
        <v>12</v>
      </c>
      <c r="U180">
        <v>22</v>
      </c>
      <c r="V180" t="s">
        <v>2038</v>
      </c>
      <c r="W180" t="s">
        <v>1716</v>
      </c>
    </row>
    <row r="181" spans="2:23">
      <c r="B181" s="1814" t="s">
        <v>2063</v>
      </c>
      <c r="C181" s="1814"/>
      <c r="D181" s="1814"/>
      <c r="E181" s="1814"/>
      <c r="F181" s="1814"/>
      <c r="G181" s="1814"/>
      <c r="H181" s="1814"/>
      <c r="I181" s="1814"/>
      <c r="J181" s="1814"/>
      <c r="K181" s="1814"/>
      <c r="L181" s="1814"/>
      <c r="M181" s="1814"/>
      <c r="N181" s="1814"/>
      <c r="O181" s="1814"/>
      <c r="Q181" t="s">
        <v>1617</v>
      </c>
      <c r="R181" t="s">
        <v>956</v>
      </c>
      <c r="S181" t="s">
        <v>1672</v>
      </c>
      <c r="T181">
        <v>1.45</v>
      </c>
      <c r="U181">
        <v>1.85</v>
      </c>
      <c r="V181" t="s">
        <v>2062</v>
      </c>
      <c r="W181" t="s">
        <v>2065</v>
      </c>
    </row>
    <row r="182" spans="2:23">
      <c r="B182" s="1814"/>
      <c r="C182" s="1814"/>
      <c r="D182" s="1814"/>
      <c r="E182" s="1814"/>
      <c r="F182" s="1814"/>
      <c r="G182" s="1814"/>
      <c r="H182" s="1814"/>
      <c r="I182" s="1814"/>
      <c r="J182" s="1814"/>
      <c r="K182" s="1814"/>
      <c r="L182" s="1814"/>
      <c r="M182" s="1814"/>
      <c r="N182" s="1814"/>
      <c r="O182" s="1814"/>
      <c r="Q182" t="s">
        <v>1617</v>
      </c>
      <c r="R182" t="s">
        <v>957</v>
      </c>
      <c r="S182" t="s">
        <v>338</v>
      </c>
      <c r="T182">
        <v>14</v>
      </c>
      <c r="U182">
        <v>24</v>
      </c>
      <c r="V182" t="s">
        <v>2039</v>
      </c>
      <c r="W182" t="s">
        <v>1716</v>
      </c>
    </row>
    <row r="183" spans="2:23">
      <c r="B183" s="1814"/>
      <c r="C183" s="1814"/>
      <c r="D183" s="1814"/>
      <c r="E183" s="1814"/>
      <c r="F183" s="1814"/>
      <c r="G183" s="1814"/>
      <c r="H183" s="1814"/>
      <c r="I183" s="1814"/>
      <c r="J183" s="1814"/>
      <c r="K183" s="1814"/>
      <c r="L183" s="1814"/>
      <c r="M183" s="1814"/>
      <c r="N183" s="1814"/>
      <c r="O183" s="1814"/>
      <c r="Q183" t="s">
        <v>1643</v>
      </c>
      <c r="R183" t="s">
        <v>956</v>
      </c>
      <c r="S183" t="s">
        <v>338</v>
      </c>
      <c r="T183">
        <v>1.85</v>
      </c>
      <c r="U183">
        <v>2.15</v>
      </c>
      <c r="V183" t="s">
        <v>2040</v>
      </c>
      <c r="W183" t="s">
        <v>2065</v>
      </c>
    </row>
    <row r="184" spans="2:23">
      <c r="K184" s="5"/>
      <c r="L184" s="5"/>
      <c r="M184" s="5"/>
      <c r="Q184" t="s">
        <v>1643</v>
      </c>
      <c r="R184" t="s">
        <v>957</v>
      </c>
      <c r="S184" t="s">
        <v>1670</v>
      </c>
      <c r="T184">
        <v>8</v>
      </c>
      <c r="U184">
        <v>15</v>
      </c>
      <c r="V184" t="s">
        <v>2041</v>
      </c>
      <c r="W184" t="s">
        <v>1716</v>
      </c>
    </row>
    <row r="185" spans="2:23">
      <c r="K185" s="5"/>
      <c r="L185" s="5"/>
      <c r="M185" s="5"/>
      <c r="Q185" t="s">
        <v>1620</v>
      </c>
      <c r="R185" t="s">
        <v>956</v>
      </c>
      <c r="S185" t="s">
        <v>1681</v>
      </c>
      <c r="T185">
        <v>1.9</v>
      </c>
      <c r="U185">
        <v>2.2000000000000002</v>
      </c>
      <c r="V185" t="s">
        <v>2042</v>
      </c>
      <c r="W185" t="s">
        <v>2065</v>
      </c>
    </row>
    <row r="186" spans="2:23">
      <c r="Q186" t="s">
        <v>1620</v>
      </c>
      <c r="R186" t="s">
        <v>957</v>
      </c>
      <c r="S186" t="s">
        <v>1680</v>
      </c>
      <c r="T186">
        <v>5</v>
      </c>
      <c r="U186">
        <v>10</v>
      </c>
      <c r="V186" t="s">
        <v>2043</v>
      </c>
      <c r="W186" t="s">
        <v>1716</v>
      </c>
    </row>
    <row r="187" spans="2:23" ht="23.25">
      <c r="B187" s="1616" t="s">
        <v>2070</v>
      </c>
      <c r="Q187" t="s">
        <v>1621</v>
      </c>
      <c r="R187" t="s">
        <v>956</v>
      </c>
      <c r="S187" t="s">
        <v>338</v>
      </c>
      <c r="T187">
        <v>1.7</v>
      </c>
      <c r="U187">
        <v>2</v>
      </c>
      <c r="V187" t="s">
        <v>2044</v>
      </c>
      <c r="W187" t="s">
        <v>2065</v>
      </c>
    </row>
    <row r="188" spans="2:23">
      <c r="Q188" t="s">
        <v>1621</v>
      </c>
      <c r="R188" t="s">
        <v>957</v>
      </c>
      <c r="S188" t="s">
        <v>1672</v>
      </c>
      <c r="T188">
        <v>10</v>
      </c>
      <c r="U188">
        <v>18</v>
      </c>
      <c r="V188" t="s">
        <v>2045</v>
      </c>
      <c r="W188" t="s">
        <v>1716</v>
      </c>
    </row>
    <row r="189" spans="2:23">
      <c r="B189" t="s">
        <v>2071</v>
      </c>
      <c r="J189" t="s">
        <v>2078</v>
      </c>
      <c r="M189">
        <f>'WS-standard Proctor'!D160</f>
        <v>1.4117929572514401</v>
      </c>
      <c r="Q189" t="s">
        <v>1623</v>
      </c>
      <c r="R189" t="s">
        <v>956</v>
      </c>
      <c r="S189" t="s">
        <v>338</v>
      </c>
      <c r="T189">
        <v>1.75</v>
      </c>
      <c r="U189">
        <v>2.0499999999999998</v>
      </c>
      <c r="V189" t="s">
        <v>2046</v>
      </c>
      <c r="W189" t="s">
        <v>2065</v>
      </c>
    </row>
    <row r="190" spans="2:23">
      <c r="B190" t="s">
        <v>2072</v>
      </c>
      <c r="J190" t="s">
        <v>2084</v>
      </c>
      <c r="M190" s="43">
        <f>D160</f>
        <v>1.4770097086095009</v>
      </c>
      <c r="Q190" t="s">
        <v>1623</v>
      </c>
      <c r="R190" t="s">
        <v>957</v>
      </c>
      <c r="S190" t="s">
        <v>1672</v>
      </c>
      <c r="T190">
        <v>8</v>
      </c>
      <c r="U190">
        <v>15</v>
      </c>
      <c r="V190" t="s">
        <v>2047</v>
      </c>
      <c r="W190" t="s">
        <v>1716</v>
      </c>
    </row>
    <row r="191" spans="2:23">
      <c r="B191" t="s">
        <v>2073</v>
      </c>
      <c r="Q191" t="s">
        <v>1649</v>
      </c>
      <c r="R191" t="s">
        <v>956</v>
      </c>
      <c r="S191" t="s">
        <v>1681</v>
      </c>
      <c r="T191">
        <v>1.95</v>
      </c>
      <c r="U191">
        <v>2.25</v>
      </c>
      <c r="V191" t="s">
        <v>2048</v>
      </c>
      <c r="W191" t="s">
        <v>2065</v>
      </c>
    </row>
    <row r="192" spans="2:23">
      <c r="J192" t="s">
        <v>2082</v>
      </c>
      <c r="M192">
        <f>'WS-standard Proctor'!D159</f>
        <v>16.872478298080438</v>
      </c>
      <c r="Q192" t="s">
        <v>1649</v>
      </c>
      <c r="R192" t="s">
        <v>957</v>
      </c>
      <c r="S192" t="s">
        <v>1680</v>
      </c>
      <c r="T192">
        <v>5</v>
      </c>
      <c r="U192">
        <v>10</v>
      </c>
      <c r="V192" t="s">
        <v>2049</v>
      </c>
      <c r="W192" t="s">
        <v>1716</v>
      </c>
    </row>
    <row r="193" spans="2:23">
      <c r="B193" t="s">
        <v>2074</v>
      </c>
      <c r="F193" t="s">
        <v>1598</v>
      </c>
      <c r="J193" t="s">
        <v>2083</v>
      </c>
      <c r="M193" s="43">
        <f>D159</f>
        <v>33.527890163825695</v>
      </c>
      <c r="Q193" t="s">
        <v>1690</v>
      </c>
      <c r="R193" t="s">
        <v>956</v>
      </c>
      <c r="S193" t="s">
        <v>1672</v>
      </c>
      <c r="T193">
        <v>1.55</v>
      </c>
      <c r="U193">
        <v>1.9</v>
      </c>
      <c r="V193" t="s">
        <v>2050</v>
      </c>
      <c r="W193" t="s">
        <v>2065</v>
      </c>
    </row>
    <row r="194" spans="2:23">
      <c r="B194" t="s">
        <v>2075</v>
      </c>
      <c r="F194" s="1583" t="str">
        <f>IF($M$190="","CHECK",
IF($M$189="","CHECK",
IF($M$190&gt;=$M$189*1.02,"PASS",
IF($M$190&gt;=$M$189,"REVIEW",
"RE-ANALYZE"))))</f>
        <v>PASS</v>
      </c>
      <c r="Q194" t="s">
        <v>1690</v>
      </c>
      <c r="R194" t="s">
        <v>957</v>
      </c>
      <c r="S194" t="s">
        <v>1672</v>
      </c>
      <c r="T194">
        <v>12</v>
      </c>
      <c r="U194">
        <v>22</v>
      </c>
      <c r="V194" t="s">
        <v>2051</v>
      </c>
      <c r="W194" t="s">
        <v>1716</v>
      </c>
    </row>
    <row r="195" spans="2:23">
      <c r="B195" t="s">
        <v>2076</v>
      </c>
      <c r="F195" s="1583" t="str">
        <f>IF($M$190="","CHECK",
IF($M$189="","CHECK",
IF($M$190&gt;=$M$189*1.02,"PASS",
IF($M$190&gt;=$M$189,"REVIEW",
"RE-ANALYZE"))))</f>
        <v>PASS</v>
      </c>
      <c r="Q195" t="s">
        <v>1626</v>
      </c>
      <c r="R195" t="s">
        <v>956</v>
      </c>
      <c r="S195" t="s">
        <v>1672</v>
      </c>
      <c r="T195">
        <v>1.45</v>
      </c>
      <c r="U195">
        <v>1.8</v>
      </c>
      <c r="V195" t="s">
        <v>2052</v>
      </c>
      <c r="W195" t="s">
        <v>2065</v>
      </c>
    </row>
    <row r="196" spans="2:23">
      <c r="B196" t="s">
        <v>2077</v>
      </c>
      <c r="F196" s="1583" t="str">
        <f>IF($M$190="","CHECK",
IF($M$189="","CHECK",
IF($M$190&gt;=$M$189*1.02,"PASS",
IF($M$190&gt;=$M$189,"REVIEW",
"RE-ANALYZE"))))</f>
        <v>PASS</v>
      </c>
      <c r="Q196" t="s">
        <v>1626</v>
      </c>
      <c r="R196" t="s">
        <v>957</v>
      </c>
      <c r="S196" t="s">
        <v>338</v>
      </c>
      <c r="T196">
        <v>14</v>
      </c>
      <c r="U196">
        <v>24</v>
      </c>
      <c r="V196" t="s">
        <v>2053</v>
      </c>
      <c r="W196" t="s">
        <v>1716</v>
      </c>
    </row>
    <row r="197" spans="2:23">
      <c r="Q197" t="s">
        <v>1628</v>
      </c>
      <c r="R197" t="s">
        <v>956</v>
      </c>
      <c r="S197" t="s">
        <v>1672</v>
      </c>
      <c r="T197">
        <v>1.6</v>
      </c>
      <c r="U197">
        <v>1.95</v>
      </c>
      <c r="V197" t="s">
        <v>2054</v>
      </c>
      <c r="W197" t="s">
        <v>2065</v>
      </c>
    </row>
    <row r="198" spans="2:23">
      <c r="B198" t="s">
        <v>2079</v>
      </c>
      <c r="Q198" t="s">
        <v>1628</v>
      </c>
      <c r="R198" t="s">
        <v>957</v>
      </c>
      <c r="S198" t="s">
        <v>1672</v>
      </c>
      <c r="T198">
        <v>10</v>
      </c>
      <c r="U198">
        <v>18</v>
      </c>
      <c r="V198" t="s">
        <v>2055</v>
      </c>
      <c r="W198" t="s">
        <v>1716</v>
      </c>
    </row>
    <row r="199" spans="2:23">
      <c r="B199" t="s">
        <v>2080</v>
      </c>
      <c r="Q199" t="s">
        <v>1630</v>
      </c>
      <c r="R199" t="s">
        <v>956</v>
      </c>
      <c r="S199" t="s">
        <v>1681</v>
      </c>
      <c r="T199">
        <v>2.1</v>
      </c>
      <c r="U199">
        <v>2.35</v>
      </c>
      <c r="V199" t="s">
        <v>2056</v>
      </c>
      <c r="W199" t="s">
        <v>2065</v>
      </c>
    </row>
    <row r="200" spans="2:23">
      <c r="B200" t="s">
        <v>2081</v>
      </c>
      <c r="Q200" t="s">
        <v>1630</v>
      </c>
      <c r="R200" t="s">
        <v>957</v>
      </c>
      <c r="S200" t="s">
        <v>1680</v>
      </c>
      <c r="T200">
        <v>4</v>
      </c>
      <c r="U200">
        <v>8</v>
      </c>
      <c r="V200" t="s">
        <v>2057</v>
      </c>
      <c r="W200" t="s">
        <v>2065</v>
      </c>
    </row>
    <row r="202" spans="2:23">
      <c r="B202" t="s">
        <v>2074</v>
      </c>
      <c r="F202" t="s">
        <v>1598</v>
      </c>
      <c r="Q202" t="s">
        <v>1822</v>
      </c>
      <c r="R202" t="s">
        <v>1823</v>
      </c>
      <c r="S202" t="s">
        <v>1824</v>
      </c>
      <c r="T202" t="s">
        <v>1786</v>
      </c>
    </row>
    <row r="203" spans="2:23">
      <c r="B203" t="s">
        <v>2085</v>
      </c>
      <c r="F203" s="1583" t="str">
        <f>IF($M$193="","CHECK",
IF($M$192="","CHECK",
IF($M$193&gt;=$M$192*1.02,"PASS",
IF($M$193&gt;=$M$192,"REVIEW",
"RE-ANALYZE"))))</f>
        <v>PASS</v>
      </c>
      <c r="Q203" t="s">
        <v>1733</v>
      </c>
      <c r="R203" t="s">
        <v>1733</v>
      </c>
      <c r="S203" t="s">
        <v>1733</v>
      </c>
      <c r="T203" t="s">
        <v>2067</v>
      </c>
    </row>
    <row r="204" spans="2:23">
      <c r="B204" t="s">
        <v>2113</v>
      </c>
      <c r="F204" s="1583" t="str">
        <f>IF($M$193="","CHECK",
IF($M$192="","CHECK",
IF($M$193&gt;=$M$192*1.02,"PASS",
IF($M$193&gt;=$M$192,"REVIEW",
"RE-ANALYZE"))))</f>
        <v>PASS</v>
      </c>
      <c r="Q204" t="s">
        <v>1733</v>
      </c>
      <c r="R204" t="s">
        <v>1735</v>
      </c>
      <c r="S204" t="s">
        <v>1735</v>
      </c>
      <c r="T204" t="s">
        <v>2068</v>
      </c>
    </row>
    <row r="205" spans="2:23">
      <c r="B205" t="s">
        <v>2086</v>
      </c>
      <c r="F205" s="1583" t="str">
        <f>IF($M$193="","CHECK",
IF($M$192="","CHECK",
IF($M$193&gt;=$M$192*1.02,"PASS",
IF($M$193&gt;=$M$192,"REVIEW",
"RE-ANALYZE"))))</f>
        <v>PASS</v>
      </c>
      <c r="Q205" t="s">
        <v>1735</v>
      </c>
      <c r="R205" t="s">
        <v>1733</v>
      </c>
      <c r="S205" t="s">
        <v>1735</v>
      </c>
      <c r="T205" t="s">
        <v>2068</v>
      </c>
    </row>
    <row r="206" spans="2:23">
      <c r="Q206" t="s">
        <v>1735</v>
      </c>
      <c r="R206" t="s">
        <v>1735</v>
      </c>
      <c r="S206" t="s">
        <v>1829</v>
      </c>
      <c r="T206" t="s">
        <v>2069</v>
      </c>
    </row>
    <row r="207" spans="2:23">
      <c r="B207" t="s">
        <v>2087</v>
      </c>
    </row>
    <row r="208" spans="2:23">
      <c r="B208" t="s">
        <v>2088</v>
      </c>
    </row>
    <row r="209" spans="2:9">
      <c r="B209" s="1615" t="s">
        <v>2089</v>
      </c>
      <c r="F209" s="43">
        <f>M190-M189</f>
        <v>6.521675135806082E-2</v>
      </c>
      <c r="H209" t="s">
        <v>2115</v>
      </c>
      <c r="I209" s="1617">
        <f>((M190-M189)/M189)</f>
        <v>4.6194274467148889E-2</v>
      </c>
    </row>
    <row r="212" spans="2:9">
      <c r="B212" t="s">
        <v>2090</v>
      </c>
      <c r="C212" t="s">
        <v>1749</v>
      </c>
      <c r="F212" t="s">
        <v>1598</v>
      </c>
    </row>
    <row r="213" spans="2:9">
      <c r="B213" t="s">
        <v>2091</v>
      </c>
      <c r="C213" t="s">
        <v>1480</v>
      </c>
      <c r="F213" s="1583" t="str">
        <f>IF($F$209="","CHECK",
IF($F$209&gt;=0.02,"PASS",
IF($F$209&gt;=0,"REVIEW",
"RE-ANALYZE")))</f>
        <v>PASS</v>
      </c>
    </row>
    <row r="214" spans="2:9">
      <c r="B214" t="s">
        <v>2092</v>
      </c>
      <c r="C214" t="s">
        <v>2093</v>
      </c>
      <c r="F214" s="1583" t="str">
        <f>IF($F$209="","CHECK",
IF($F$209&gt;=0.02,"PASS",
IF($F$209&gt;=0,"REVIEW",
"RE-ANALYZE")))</f>
        <v>PASS</v>
      </c>
    </row>
    <row r="215" spans="2:9">
      <c r="B215" t="s">
        <v>2094</v>
      </c>
      <c r="C215" t="s">
        <v>2095</v>
      </c>
      <c r="F215" s="1583" t="str">
        <f>IF($F$209="","CHECK",
IF($F$209&gt;=0.02,"PASS",
IF($F$209&gt;=0,"REVIEW",
"RE-ANALYZE")))</f>
        <v>PASS</v>
      </c>
    </row>
    <row r="217" spans="2:9">
      <c r="B217" t="s">
        <v>2096</v>
      </c>
    </row>
    <row r="218" spans="2:9">
      <c r="B218" t="s">
        <v>2088</v>
      </c>
    </row>
    <row r="219" spans="2:9">
      <c r="B219" t="s">
        <v>2097</v>
      </c>
      <c r="F219" s="43">
        <f>M193-M192</f>
        <v>16.655411865745258</v>
      </c>
      <c r="H219" t="s">
        <v>2116</v>
      </c>
      <c r="I219" s="1617">
        <f>((M193-M192)/M192)</f>
        <v>0.98713488152123596</v>
      </c>
    </row>
    <row r="221" spans="2:9">
      <c r="B221" t="s">
        <v>2098</v>
      </c>
      <c r="C221" t="s">
        <v>1749</v>
      </c>
    </row>
    <row r="222" spans="2:9">
      <c r="B222" t="s">
        <v>2091</v>
      </c>
      <c r="C222" t="s">
        <v>1480</v>
      </c>
      <c r="F222" s="1583" t="str">
        <f>IF($F$219="","CHECK",
IF($F$219&gt;=0.02,"PASS",
IF($F$219&gt;=0,"REVIEW",
"RE-ANALYZE")))</f>
        <v>PASS</v>
      </c>
    </row>
    <row r="223" spans="2:9">
      <c r="B223" t="s">
        <v>2092</v>
      </c>
      <c r="C223" t="s">
        <v>2093</v>
      </c>
      <c r="F223" s="1583" t="str">
        <f>IF($F$219="","CHECK",
IF($F$219&gt;=0.02,"PASS",
IF($F$219&gt;=0,"REVIEW",
"RE-ANALYZE")))</f>
        <v>PASS</v>
      </c>
    </row>
    <row r="224" spans="2:9">
      <c r="B224" t="s">
        <v>2094</v>
      </c>
      <c r="C224" t="s">
        <v>2095</v>
      </c>
      <c r="F224" s="1583" t="str">
        <f>IF($F$219="","CHECK",
IF($F$219&gt;=0.02,"PASS",
IF($F$219&gt;=0,"REVIEW",
"RE-ANALYZE")))</f>
        <v>PASS</v>
      </c>
    </row>
    <row r="226" spans="2:6">
      <c r="B226" t="s">
        <v>2099</v>
      </c>
    </row>
    <row r="228" spans="2:6">
      <c r="B228" t="s">
        <v>2100</v>
      </c>
      <c r="C228" t="s">
        <v>2101</v>
      </c>
      <c r="F228" t="s">
        <v>1598</v>
      </c>
    </row>
    <row r="229" spans="2:6">
      <c r="B229" t="s">
        <v>2102</v>
      </c>
      <c r="C229" t="s">
        <v>2103</v>
      </c>
      <c r="F229" s="1583" t="str">
        <f>IF(OR(COUNTIF($F$194:$F$196,"CHECK")&gt;0,COUNTIF($F$203:$F$205,"CHECK")&gt;0),"CHECK",
IF(OR(COUNTIF($F$194:$F$196,"RE-ANALYZE")&gt;0,COUNTIF($F$203:$F$205,"RE-ANALYZE")&gt;0),"RE-ANALYZE",
IF(OR(COUNTIF($F$194:$F$196,"REVIEW")&gt;0,COUNTIF($F$203:$F$205,"REVIEW")&gt;0),"REVIEW",
"PASS")))</f>
        <v>PASS</v>
      </c>
    </row>
    <row r="230" spans="2:6">
      <c r="B230" t="s">
        <v>2102</v>
      </c>
      <c r="C230" t="s">
        <v>2104</v>
      </c>
      <c r="F230" s="1583" t="str">
        <f t="shared" ref="F230:F232" si="7">IF(OR(COUNTIF($F$194:$F$196,"CHECK")&gt;0,COUNTIF($F$203:$F$205,"CHECK")&gt;0),"CHECK",
IF(OR(COUNTIF($F$194:$F$196,"RE-ANALYZE")&gt;0,COUNTIF($F$203:$F$205,"RE-ANALYZE")&gt;0),"RE-ANALYZE",
IF(OR(COUNTIF($F$194:$F$196,"REVIEW")&gt;0,COUNTIF($F$203:$F$205,"REVIEW")&gt;0),"REVIEW",
"PASS")))</f>
        <v>PASS</v>
      </c>
    </row>
    <row r="231" spans="2:6">
      <c r="B231" t="s">
        <v>2105</v>
      </c>
      <c r="C231" t="s">
        <v>2103</v>
      </c>
      <c r="F231" s="1583" t="str">
        <f t="shared" si="7"/>
        <v>PASS</v>
      </c>
    </row>
    <row r="232" spans="2:6">
      <c r="B232" t="s">
        <v>2105</v>
      </c>
      <c r="C232" t="s">
        <v>2104</v>
      </c>
      <c r="F232" s="1583" t="str">
        <f t="shared" si="7"/>
        <v>PASS</v>
      </c>
    </row>
    <row r="234" spans="2:6">
      <c r="B234" t="s">
        <v>2106</v>
      </c>
    </row>
    <row r="235" spans="2:6">
      <c r="B235" t="s">
        <v>2107</v>
      </c>
    </row>
    <row r="236" spans="2:6">
      <c r="B236" t="s">
        <v>2108</v>
      </c>
    </row>
    <row r="237" spans="2:6">
      <c r="B237" t="s">
        <v>2109</v>
      </c>
    </row>
    <row r="239" spans="2:6" ht="23.25">
      <c r="B239" s="1616" t="s">
        <v>2110</v>
      </c>
    </row>
    <row r="240" spans="2:6">
      <c r="B240" t="s">
        <v>575</v>
      </c>
      <c r="F240" t="s">
        <v>1598</v>
      </c>
    </row>
    <row r="241" spans="2:12">
      <c r="B241" t="s">
        <v>2111</v>
      </c>
      <c r="F241" s="1583" t="str">
        <f>IF(COUNTIF($F$194:$F$196,"CHECK")&gt;0,"CHECK",
IF(COUNTIF($F$194:$F$196,"RE-ANALYZE")&gt;0,"RE-ANALYZE",
IF(COUNTIF($F$194:$F$196,"REVIEW")&gt;0,"REVIEW",
"PASS")))</f>
        <v>PASS</v>
      </c>
    </row>
    <row r="242" spans="2:12">
      <c r="B242" t="s">
        <v>2112</v>
      </c>
      <c r="F242" s="1583" t="str">
        <f>IF(COUNTIF($F$203:$F$205,"CHECK")&gt;0,"CHECK",
IF(COUNTIF($F$203:$F$205,"RE-ANALYZE")&gt;0,"RE-ANALYZE",
IF(COUNTIF($F$203:$F$205,"REVIEW")&gt;0,"REVIEW",
"PASS")))</f>
        <v>PASS</v>
      </c>
    </row>
    <row r="243" spans="2:12">
      <c r="B243" t="s">
        <v>2090</v>
      </c>
      <c r="F243" s="1583" t="str">
        <f>IF(COUNTIF($F$213:$F$215,"CHECK")&gt;0,"CHECK",
IF(COUNTIF($F$213:$F$215,"RE-ANALYZE")&gt;0,"RE-ANALYZE",
IF(COUNTIF($F$213:$F$215,"REVIEW")&gt;0,"REVIEW",
"PASS")))</f>
        <v>PASS</v>
      </c>
    </row>
    <row r="244" spans="2:12">
      <c r="B244" t="s">
        <v>2098</v>
      </c>
      <c r="F244" s="1583" t="str">
        <f>IF(COUNTIF($F$222:$F$224,"CHECK")&gt;0,"CHECK",
IF(COUNTIF($F$222:$F$224,"RE-ANALYZE")&gt;0,"RE-ANALYZE",
IF(COUNTIF($F$222:$F$224,"REVIEW")&gt;0,"REVIEW",
"PASS")))</f>
        <v>PASS</v>
      </c>
    </row>
    <row r="245" spans="2:12">
      <c r="B245" t="s">
        <v>1666</v>
      </c>
      <c r="F245" s="1583" t="str">
        <f>IF(COUNTIF($F$229:$F$232,"CHECK")&gt;0,"CHECK",
IF(COUNTIF($F$229:$F$232,"RE-ANALYZE")&gt;0,"RE-ANALYZE",
IF(COUNTIF($F$229:$F$232,"REVIEW")&gt;0,"REVIEW",
"PASS")))</f>
        <v>PASS</v>
      </c>
    </row>
    <row r="248" spans="2:12">
      <c r="B248" s="1814" t="s">
        <v>2117</v>
      </c>
      <c r="C248" s="1814"/>
      <c r="D248" s="1814"/>
      <c r="E248" s="1814"/>
      <c r="F248" s="1814"/>
      <c r="G248" s="1814"/>
      <c r="H248" s="1814"/>
      <c r="I248" s="1814"/>
      <c r="J248" s="1814"/>
      <c r="K248" s="1814"/>
      <c r="L248" s="1814"/>
    </row>
    <row r="249" spans="2:12">
      <c r="B249" s="1814"/>
      <c r="C249" s="1814"/>
      <c r="D249" s="1814"/>
      <c r="E249" s="1814"/>
      <c r="F249" s="1814"/>
      <c r="G249" s="1814"/>
      <c r="H249" s="1814"/>
      <c r="I249" s="1814"/>
      <c r="J249" s="1814"/>
      <c r="K249" s="1814"/>
      <c r="L249" s="1814"/>
    </row>
    <row r="250" spans="2:12">
      <c r="B250" s="1814"/>
      <c r="C250" s="1814"/>
      <c r="D250" s="1814"/>
      <c r="E250" s="1814"/>
      <c r="F250" s="1814"/>
      <c r="G250" s="1814"/>
      <c r="H250" s="1814"/>
      <c r="I250" s="1814"/>
      <c r="J250" s="1814"/>
      <c r="K250" s="1814"/>
      <c r="L250" s="1814"/>
    </row>
    <row r="251" spans="2:12">
      <c r="B251" s="1814"/>
      <c r="C251" s="1814"/>
      <c r="D251" s="1814"/>
      <c r="E251" s="1814"/>
      <c r="F251" s="1814"/>
      <c r="G251" s="1814"/>
      <c r="H251" s="1814"/>
      <c r="I251" s="1814"/>
      <c r="J251" s="1814"/>
      <c r="K251" s="1814"/>
      <c r="L251" s="1814"/>
    </row>
    <row r="252" spans="2:12">
      <c r="B252" s="1814"/>
      <c r="C252" s="1814"/>
      <c r="D252" s="1814"/>
      <c r="E252" s="1814"/>
      <c r="F252" s="1814"/>
      <c r="G252" s="1814"/>
      <c r="H252" s="1814"/>
      <c r="I252" s="1814"/>
      <c r="J252" s="1814"/>
      <c r="K252" s="1814"/>
      <c r="L252" s="1814"/>
    </row>
    <row r="253" spans="2:12">
      <c r="B253" s="1814"/>
      <c r="C253" s="1814"/>
      <c r="D253" s="1814"/>
      <c r="E253" s="1814"/>
      <c r="F253" s="1814"/>
      <c r="G253" s="1814"/>
      <c r="H253" s="1814"/>
      <c r="I253" s="1814"/>
      <c r="J253" s="1814"/>
      <c r="K253" s="1814"/>
      <c r="L253" s="1814"/>
    </row>
  </sheetData>
  <mergeCells count="20">
    <mergeCell ref="C58:C59"/>
    <mergeCell ref="D58:D59"/>
    <mergeCell ref="A7:C7"/>
    <mergeCell ref="A9:C9"/>
    <mergeCell ref="L9:N9"/>
    <mergeCell ref="A10:C10"/>
    <mergeCell ref="L10:N10"/>
    <mergeCell ref="A11:C11"/>
    <mergeCell ref="R27:T27"/>
    <mergeCell ref="A12:C12"/>
    <mergeCell ref="L12:N12"/>
    <mergeCell ref="A13:C13"/>
    <mergeCell ref="M19:P19"/>
    <mergeCell ref="B181:O183"/>
    <mergeCell ref="B248:L253"/>
    <mergeCell ref="B157:C158"/>
    <mergeCell ref="D157:D158"/>
    <mergeCell ref="E157:F157"/>
    <mergeCell ref="G157:N157"/>
    <mergeCell ref="B176:K178"/>
  </mergeCells>
  <conditionalFormatting sqref="D171:D173">
    <cfRule type="expression" dxfId="317" priority="28">
      <formula>ISNUMBER(SEARCH("PASS",$D171))</formula>
    </cfRule>
    <cfRule type="expression" dxfId="316" priority="27">
      <formula>ISNUMBER(SEARCH("CHECK",$D171))</formula>
    </cfRule>
    <cfRule type="expression" dxfId="315" priority="26">
      <formula>ISNUMBER(SEARCH("REVIEW",$D171))</formula>
    </cfRule>
    <cfRule type="expression" dxfId="314" priority="25">
      <formula>ISNUMBER(SEARCH("RE-ANALYZE",$D171))</formula>
    </cfRule>
  </conditionalFormatting>
  <conditionalFormatting sqref="E159:E160">
    <cfRule type="expression" dxfId="313" priority="36">
      <formula>ISNUMBER(SEARCH("PASS",$E159))</formula>
    </cfRule>
    <cfRule type="expression" dxfId="312" priority="35">
      <formula>ISNUMBER(SEARCH("CHECK",$E159))</formula>
    </cfRule>
    <cfRule type="expression" dxfId="311" priority="34">
      <formula>ISNUMBER(SEARCH("REVIEW",$E159))</formula>
    </cfRule>
    <cfRule type="expression" dxfId="310" priority="33">
      <formula>ISNUMBER(SEARCH("RE-ANALYZE",$E159))</formula>
    </cfRule>
  </conditionalFormatting>
  <conditionalFormatting sqref="F194:F196">
    <cfRule type="expression" dxfId="309" priority="24">
      <formula>ISNUMBER(SEARCH("PASS",$F194))</formula>
    </cfRule>
    <cfRule type="expression" dxfId="308" priority="23">
      <formula>ISNUMBER(SEARCH("CHECK",$F194))</formula>
    </cfRule>
    <cfRule type="expression" dxfId="307" priority="22">
      <formula>ISNUMBER(SEARCH("REVIEW",$F194))</formula>
    </cfRule>
    <cfRule type="expression" dxfId="306" priority="21">
      <formula>ISNUMBER(SEARCH("RE-ANALYZE",$F194))</formula>
    </cfRule>
  </conditionalFormatting>
  <conditionalFormatting sqref="F203:F205">
    <cfRule type="expression" dxfId="305" priority="17">
      <formula>ISNUMBER(SEARCH("RE-ANALYZE",$F203))</formula>
    </cfRule>
    <cfRule type="expression" dxfId="304" priority="18">
      <formula>ISNUMBER(SEARCH("REVIEW",$F203))</formula>
    </cfRule>
    <cfRule type="expression" dxfId="303" priority="19">
      <formula>ISNUMBER(SEARCH("CHECK",$F203))</formula>
    </cfRule>
    <cfRule type="expression" dxfId="302" priority="20">
      <formula>ISNUMBER(SEARCH("PASS",$F203))</formula>
    </cfRule>
  </conditionalFormatting>
  <conditionalFormatting sqref="F213:F215">
    <cfRule type="expression" dxfId="301" priority="16">
      <formula>ISNUMBER(SEARCH("PASS",$F213))</formula>
    </cfRule>
    <cfRule type="expression" dxfId="300" priority="15">
      <formula>ISNUMBER(SEARCH("CHECK",$F213))</formula>
    </cfRule>
    <cfRule type="expression" dxfId="299" priority="14">
      <formula>ISNUMBER(SEARCH("REVIEW",$F213))</formula>
    </cfRule>
    <cfRule type="expression" dxfId="298" priority="13">
      <formula>ISNUMBER(SEARCH("RE-ANALYZE",$F213))</formula>
    </cfRule>
  </conditionalFormatting>
  <conditionalFormatting sqref="F222:F224">
    <cfRule type="expression" dxfId="297" priority="12">
      <formula>ISNUMBER(SEARCH("PASS",$F222))</formula>
    </cfRule>
    <cfRule type="expression" dxfId="296" priority="11">
      <formula>ISNUMBER(SEARCH("CHECK",$F222))</formula>
    </cfRule>
    <cfRule type="expression" dxfId="295" priority="10">
      <formula>ISNUMBER(SEARCH("REVIEW",$F222))</formula>
    </cfRule>
    <cfRule type="expression" dxfId="294" priority="9">
      <formula>ISNUMBER(SEARCH("RE-ANALYZE",$F222))</formula>
    </cfRule>
  </conditionalFormatting>
  <conditionalFormatting sqref="F229:F232">
    <cfRule type="expression" dxfId="293" priority="5">
      <formula>ISNUMBER(SEARCH("RE-ANALYZE",$F229))</formula>
    </cfRule>
    <cfRule type="expression" dxfId="292" priority="8">
      <formula>ISNUMBER(SEARCH("PASS",$F229))</formula>
    </cfRule>
    <cfRule type="expression" dxfId="291" priority="7">
      <formula>ISNUMBER(SEARCH("CHECK",$F229))</formula>
    </cfRule>
    <cfRule type="expression" dxfId="290" priority="6">
      <formula>ISNUMBER(SEARCH("REVIEW",$F229))</formula>
    </cfRule>
  </conditionalFormatting>
  <conditionalFormatting sqref="F241:F245">
    <cfRule type="expression" dxfId="289" priority="2">
      <formula>ISNUMBER(SEARCH("REVIEW",$F241))</formula>
    </cfRule>
    <cfRule type="expression" dxfId="288" priority="3">
      <formula>ISNUMBER(SEARCH("CHECK",$F241))</formula>
    </cfRule>
    <cfRule type="expression" dxfId="287" priority="4">
      <formula>ISNUMBER(SEARCH("PASS",$F241))</formula>
    </cfRule>
    <cfRule type="expression" dxfId="286" priority="1">
      <formula>ISNUMBER(SEARCH("RE-ANALYZE",$F241))</formula>
    </cfRule>
  </conditionalFormatting>
  <conditionalFormatting sqref="L159:L160">
    <cfRule type="expression" dxfId="285" priority="29">
      <formula>ISNUMBER(SEARCH("RE-ANALYZE",$L159))</formula>
    </cfRule>
    <cfRule type="expression" dxfId="284" priority="30">
      <formula>ISNUMBER(SEARCH("REVIEW",$L159))</formula>
    </cfRule>
    <cfRule type="expression" dxfId="283" priority="31">
      <formula>ISNUMBER(SEARCH("CHECK",$L159))</formula>
    </cfRule>
    <cfRule type="expression" dxfId="282" priority="32">
      <formula>ISNUMBER(SEARCH("PASS",$L159))</formula>
    </cfRule>
  </conditionalFormatting>
  <dataValidations disablePrompts="1" count="2">
    <dataValidation type="list" allowBlank="1" showInputMessage="1" showErrorMessage="1" sqref="P9" xr:uid="{C1C4E7EF-53EA-4D95-B501-01A56BE6DCC6}">
      <formula1>"RAFLY,RIZKI,NOUFAL"</formula1>
    </dataValidation>
    <dataValidation type="list" allowBlank="1" showInputMessage="1" showErrorMessage="1" sqref="D12" xr:uid="{95AF1162-D638-4231-B800-152DC42869B9}">
      <formula1>$Z$21:$Z$32</formula1>
    </dataValidation>
  </dataValidations>
  <pageMargins left="0.7" right="0.7" top="0.75" bottom="0.75" header="0.3" footer="0.3"/>
  <pageSetup paperSize="14" orientation="portrait" horizontalDpi="0" verticalDpi="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CBB0-27DF-431D-808E-895D66282A30}">
  <sheetPr>
    <tabColor rgb="FFFFC000"/>
  </sheetPr>
  <dimension ref="A1:AI151"/>
  <sheetViews>
    <sheetView view="pageBreakPreview" topLeftCell="A14" zoomScale="89" zoomScaleNormal="100" zoomScaleSheetLayoutView="89" zoomScalePageLayoutView="128" workbookViewId="0">
      <selection activeCell="AB41" sqref="AB41"/>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 min="26" max="26" width="13.75" bestFit="1"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897"/>
      <c r="B3" s="897"/>
      <c r="C3" s="897"/>
      <c r="D3" s="897"/>
      <c r="E3" s="897"/>
      <c r="F3" s="1700" t="s">
        <v>304</v>
      </c>
      <c r="G3" s="1700"/>
      <c r="H3" s="1700"/>
      <c r="I3" s="1700"/>
      <c r="J3" s="1700"/>
      <c r="K3" s="1700"/>
      <c r="L3" s="1700"/>
      <c r="M3" s="1700"/>
      <c r="N3" s="1700"/>
      <c r="O3" s="1700"/>
      <c r="P3" s="1700"/>
      <c r="Q3" s="1700"/>
      <c r="R3" s="1700"/>
      <c r="S3" s="1700"/>
      <c r="T3" s="1700"/>
      <c r="U3" s="897"/>
      <c r="V3" s="897"/>
      <c r="W3" s="897"/>
      <c r="X3" s="897"/>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IF('WS-modified proctor'!D9="","",'WS-modified proctor'!D9)</f>
        <v>BH-04R1-SPT 15</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"&amp;IF('WS-modified proctor'!D9="","",'WS-modified proctor'!D9)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"&amp;IF('WS-modified proctor'!D10="","",'WS-modified proctor'!D10)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"&amp;IF('WS-modified proctor'!D11="","",'WS-modified proctor'!D11)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"&amp;IF('WS-modified proctor'!D12="","",'WS-modified proctor'!D12)</f>
        <v>:  Pasir Lanauan / Silty Sand</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"&amp;IF('WS-modified proctor'!D13="","",'WS-modified proctor'!D13)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"&amp;IF('WS-modified proctor'!O12="","",TEXT('WS-modified proctor'!O12,"dd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'WS-modified proctor'!A2</f>
        <v>UJI PEMADATAN BERAT</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INDUK'!$BS$50</f>
        <v>1743:2008</v>
      </c>
      <c r="W26" s="1704"/>
      <c r="X26" s="1704"/>
    </row>
    <row r="27" spans="1:24">
      <c r="A27" s="1650" t="str">
        <f>'WS-modified proctor'!A3</f>
        <v>MODIFIED PROCTOR COMPACTION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1875" t="s">
        <v>1331</v>
      </c>
      <c r="B29" s="1875"/>
      <c r="C29" s="1875"/>
      <c r="D29" s="1875"/>
      <c r="E29" s="1875"/>
      <c r="F29" s="1875"/>
      <c r="G29" s="1875"/>
      <c r="H29" s="1875"/>
      <c r="I29" s="878"/>
      <c r="J29" s="710"/>
      <c r="K29" s="541" t="s">
        <v>1147</v>
      </c>
      <c r="L29" s="541"/>
      <c r="M29" s="541"/>
      <c r="N29" s="541"/>
      <c r="O29" s="541"/>
      <c r="P29" s="541"/>
      <c r="Q29" s="541"/>
      <c r="R29" s="541"/>
      <c r="S29" s="541"/>
      <c r="T29" s="541"/>
      <c r="U29" s="541"/>
      <c r="V29" s="541"/>
      <c r="W29" s="541"/>
      <c r="X29" s="541"/>
    </row>
    <row r="30" spans="1:24">
      <c r="A30" s="1871" t="s">
        <v>1477</v>
      </c>
      <c r="B30" s="1871"/>
      <c r="C30" s="1871"/>
      <c r="D30" s="1871"/>
      <c r="E30" s="1871"/>
      <c r="F30" s="1871"/>
      <c r="G30" s="1871"/>
      <c r="H30" s="1888">
        <f>'WS-modified proctor'!C111</f>
        <v>4.3197000000000001</v>
      </c>
      <c r="I30" s="1888"/>
      <c r="J30" s="15"/>
      <c r="K30" s="1342" t="s">
        <v>1332</v>
      </c>
      <c r="L30" s="1342"/>
      <c r="M30" s="1342"/>
      <c r="N30" s="1342"/>
      <c r="O30" s="1870">
        <v>1</v>
      </c>
      <c r="P30" s="1870"/>
      <c r="Q30" s="1870">
        <v>2</v>
      </c>
      <c r="R30" s="1870"/>
      <c r="S30" s="1870">
        <v>3</v>
      </c>
      <c r="T30" s="1870"/>
      <c r="U30" s="1870">
        <v>4</v>
      </c>
      <c r="V30" s="1870"/>
      <c r="W30" s="1870">
        <v>5</v>
      </c>
      <c r="X30" s="1870"/>
    </row>
    <row r="31" spans="1:24" ht="21" customHeight="1">
      <c r="A31" s="1871" t="s">
        <v>1478</v>
      </c>
      <c r="B31" s="1871"/>
      <c r="C31" s="1871"/>
      <c r="D31" s="1871"/>
      <c r="E31" s="1871"/>
      <c r="F31" s="1871"/>
      <c r="G31" s="1871"/>
      <c r="H31" s="1888">
        <f>'WS-modified proctor'!C112</f>
        <v>45.7</v>
      </c>
      <c r="I31" s="1888"/>
      <c r="J31" s="15"/>
      <c r="K31" s="1872" t="s">
        <v>1508</v>
      </c>
      <c r="L31" s="1872"/>
      <c r="M31" s="1872"/>
      <c r="N31" s="1872"/>
      <c r="O31" s="1876">
        <f>'WS-modified proctor'!$C$120</f>
        <v>10687</v>
      </c>
      <c r="P31" s="1876"/>
      <c r="Q31" s="1876">
        <f>'WS-modified proctor'!D120</f>
        <v>10795</v>
      </c>
      <c r="R31" s="1876"/>
      <c r="S31" s="1876">
        <f>'WS-modified proctor'!E120</f>
        <v>10898</v>
      </c>
      <c r="T31" s="1876"/>
      <c r="U31" s="1876">
        <f>'WS-modified proctor'!F120</f>
        <v>10861</v>
      </c>
      <c r="V31" s="1876"/>
      <c r="W31" s="1876">
        <f>'WS-modified proctor'!G120</f>
        <v>10797</v>
      </c>
      <c r="X31" s="1876"/>
    </row>
    <row r="32" spans="1:24">
      <c r="A32" s="1871" t="s">
        <v>1333</v>
      </c>
      <c r="B32" s="1871"/>
      <c r="C32" s="1871"/>
      <c r="D32" s="1871"/>
      <c r="E32" s="1871"/>
      <c r="F32" s="1871"/>
      <c r="G32" s="1871"/>
      <c r="H32" s="1888">
        <f>'WS-modified proctor'!C113</f>
        <v>5</v>
      </c>
      <c r="I32" s="1888"/>
      <c r="J32" s="15"/>
      <c r="K32" s="1872"/>
      <c r="L32" s="1872"/>
      <c r="M32" s="1872"/>
      <c r="N32" s="1872"/>
      <c r="O32" s="1876"/>
      <c r="P32" s="1876"/>
      <c r="Q32" s="1876"/>
      <c r="R32" s="1876"/>
      <c r="S32" s="1876"/>
      <c r="T32" s="1876"/>
      <c r="U32" s="1876"/>
      <c r="V32" s="1876"/>
      <c r="W32" s="1876"/>
      <c r="X32" s="1876"/>
    </row>
    <row r="33" spans="1:35" ht="15.75" customHeight="1">
      <c r="A33" s="1872" t="s">
        <v>1334</v>
      </c>
      <c r="B33" s="1872"/>
      <c r="C33" s="1872"/>
      <c r="D33" s="1872"/>
      <c r="E33" s="1872"/>
      <c r="F33" s="1872"/>
      <c r="G33" s="1872"/>
      <c r="H33" s="1869">
        <f>'WS-modified proctor'!C114</f>
        <v>56</v>
      </c>
      <c r="I33" s="1869"/>
      <c r="J33" s="15"/>
      <c r="K33" s="1872" t="s">
        <v>1502</v>
      </c>
      <c r="L33" s="1872"/>
      <c r="M33" s="1872"/>
      <c r="N33" s="1872"/>
      <c r="O33" s="1876">
        <f>'WS-modified proctor'!C121</f>
        <v>6696</v>
      </c>
      <c r="P33" s="1876"/>
      <c r="Q33" s="1876">
        <f>'WS-modified proctor'!D121</f>
        <v>6696</v>
      </c>
      <c r="R33" s="1876"/>
      <c r="S33" s="1876">
        <f>'WS-modified proctor'!E121</f>
        <v>6696</v>
      </c>
      <c r="T33" s="1876"/>
      <c r="U33" s="1876">
        <f>'WS-modified proctor'!F121</f>
        <v>6696</v>
      </c>
      <c r="V33" s="1876"/>
      <c r="W33" s="1876">
        <f>'WS-modified proctor'!G121</f>
        <v>6696</v>
      </c>
      <c r="X33" s="1876"/>
    </row>
    <row r="34" spans="1:35">
      <c r="A34" s="1872"/>
      <c r="B34" s="1872"/>
      <c r="C34" s="1872"/>
      <c r="D34" s="1872"/>
      <c r="E34" s="1872"/>
      <c r="F34" s="1872"/>
      <c r="G34" s="1872"/>
      <c r="H34" s="1869"/>
      <c r="I34" s="1869"/>
      <c r="J34" s="15"/>
      <c r="K34" s="1872"/>
      <c r="L34" s="1872"/>
      <c r="M34" s="1872"/>
      <c r="N34" s="1872"/>
      <c r="O34" s="1876"/>
      <c r="P34" s="1876"/>
      <c r="Q34" s="1876"/>
      <c r="R34" s="1876"/>
      <c r="S34" s="1876"/>
      <c r="T34" s="1876"/>
      <c r="U34" s="1876"/>
      <c r="V34" s="1876"/>
      <c r="W34" s="1876"/>
      <c r="X34" s="1876"/>
    </row>
    <row r="35" spans="1:35" ht="15.75" customHeight="1">
      <c r="A35" s="1871" t="s">
        <v>1479</v>
      </c>
      <c r="B35" s="1871"/>
      <c r="C35" s="1871"/>
      <c r="D35" s="1871"/>
      <c r="E35" s="1871"/>
      <c r="F35" s="1871"/>
      <c r="G35" s="1871"/>
      <c r="H35" s="1889">
        <f>'WS-modified proctor'!C115</f>
        <v>2700</v>
      </c>
      <c r="I35" s="1889"/>
      <c r="J35" s="15"/>
      <c r="K35" s="1872" t="s">
        <v>1503</v>
      </c>
      <c r="L35" s="1872"/>
      <c r="M35" s="1872"/>
      <c r="N35" s="1872"/>
      <c r="O35" s="1876">
        <f>'WS-modified proctor'!C122</f>
        <v>3991</v>
      </c>
      <c r="P35" s="1876"/>
      <c r="Q35" s="1876">
        <f>'WS-modified proctor'!D122</f>
        <v>4099</v>
      </c>
      <c r="R35" s="1876"/>
      <c r="S35" s="1876">
        <f>'WS-modified proctor'!E122</f>
        <v>4202</v>
      </c>
      <c r="T35" s="1876"/>
      <c r="U35" s="1876">
        <f>'WS-modified proctor'!F122</f>
        <v>4165</v>
      </c>
      <c r="V35" s="1876"/>
      <c r="W35" s="1876">
        <f>'WS-modified proctor'!G122</f>
        <v>4101</v>
      </c>
      <c r="X35" s="1876"/>
      <c r="AA35" s="4"/>
    </row>
    <row r="36" spans="1:35">
      <c r="A36" s="1871" t="s">
        <v>1335</v>
      </c>
      <c r="B36" s="1871"/>
      <c r="C36" s="1871"/>
      <c r="D36" s="1871"/>
      <c r="E36" s="1871"/>
      <c r="F36" s="1871"/>
      <c r="G36" s="1871"/>
      <c r="H36" s="1888">
        <f>'WS-modified proctor'!C116</f>
        <v>2.65</v>
      </c>
      <c r="I36" s="1888"/>
      <c r="J36" s="15"/>
      <c r="K36" s="1872"/>
      <c r="L36" s="1872"/>
      <c r="M36" s="1872"/>
      <c r="N36" s="1872"/>
      <c r="O36" s="1876"/>
      <c r="P36" s="1876"/>
      <c r="Q36" s="1876"/>
      <c r="R36" s="1876"/>
      <c r="S36" s="1876"/>
      <c r="T36" s="1876"/>
      <c r="U36" s="1876"/>
      <c r="V36" s="1876"/>
      <c r="W36" s="1876"/>
      <c r="X36" s="1876"/>
      <c r="Z36" s="1268"/>
      <c r="AA36" s="4"/>
    </row>
    <row r="37" spans="1:35" ht="15.75" customHeight="1">
      <c r="I37" s="1346"/>
      <c r="J37" s="15"/>
      <c r="K37" s="1872" t="s">
        <v>1509</v>
      </c>
      <c r="L37" s="1872"/>
      <c r="M37" s="1872"/>
      <c r="N37" s="1872"/>
      <c r="O37" s="1876">
        <f>'WS-modified proctor'!C123</f>
        <v>15.27</v>
      </c>
      <c r="P37" s="1876"/>
      <c r="Q37" s="1876">
        <f>'WS-modified proctor'!D123</f>
        <v>15.27</v>
      </c>
      <c r="R37" s="1876"/>
      <c r="S37" s="1876">
        <f>'WS-modified proctor'!E123</f>
        <v>15.27</v>
      </c>
      <c r="T37" s="1876"/>
      <c r="U37" s="1876">
        <f>'WS-modified proctor'!F123</f>
        <v>15.27</v>
      </c>
      <c r="V37" s="1876"/>
      <c r="W37" s="1876">
        <f>'WS-modified proctor'!G123</f>
        <v>15.27</v>
      </c>
      <c r="X37" s="1876"/>
      <c r="AA37" s="4"/>
    </row>
    <row r="38" spans="1:35">
      <c r="A38" s="1345"/>
      <c r="B38" s="1345"/>
      <c r="C38" s="1345"/>
      <c r="D38" s="1345"/>
      <c r="E38" s="1345"/>
      <c r="F38" s="1345"/>
      <c r="G38" s="1349"/>
      <c r="H38" s="1347"/>
      <c r="I38" s="1348"/>
      <c r="K38" s="1872"/>
      <c r="L38" s="1872"/>
      <c r="M38" s="1872"/>
      <c r="N38" s="1872"/>
      <c r="O38" s="1876"/>
      <c r="P38" s="1876"/>
      <c r="Q38" s="1876"/>
      <c r="R38" s="1876"/>
      <c r="S38" s="1876"/>
      <c r="T38" s="1876"/>
      <c r="U38" s="1876"/>
      <c r="V38" s="1876"/>
      <c r="W38" s="1876"/>
      <c r="X38" s="1876"/>
      <c r="Z38" s="1210"/>
      <c r="AA38" s="4"/>
    </row>
    <row r="39" spans="1:35">
      <c r="A39" s="710"/>
      <c r="B39" s="710"/>
      <c r="C39" s="710"/>
      <c r="D39" s="710"/>
      <c r="E39" s="710"/>
      <c r="F39" s="710"/>
      <c r="G39" s="710"/>
      <c r="H39" s="710"/>
      <c r="I39" s="710"/>
      <c r="J39" s="710"/>
      <c r="K39" s="1872" t="s">
        <v>1505</v>
      </c>
      <c r="L39" s="1872"/>
      <c r="M39" s="1872"/>
      <c r="N39" s="1872"/>
      <c r="O39" s="1876">
        <f>'WS-modified proctor'!C124</f>
        <v>27.854624355844869</v>
      </c>
      <c r="P39" s="1876"/>
      <c r="Q39" s="1876">
        <f>'WS-modified proctor'!D124</f>
        <v>30.592105263157883</v>
      </c>
      <c r="R39" s="1876"/>
      <c r="S39" s="1876">
        <f>'WS-modified proctor'!E124</f>
        <v>33.527890163825695</v>
      </c>
      <c r="T39" s="1876"/>
      <c r="U39" s="1876">
        <f>'WS-modified proctor'!F124</f>
        <v>36.269730733519033</v>
      </c>
      <c r="V39" s="1876"/>
      <c r="W39" s="1876">
        <f>'WS-modified proctor'!G124</f>
        <v>39.51287892062377</v>
      </c>
      <c r="X39" s="1876"/>
    </row>
    <row r="40" spans="1:35">
      <c r="A40" s="1875" t="s">
        <v>556</v>
      </c>
      <c r="B40" s="1875"/>
      <c r="C40" s="1875"/>
      <c r="D40" s="1875"/>
      <c r="E40" s="1875"/>
      <c r="F40" s="1875"/>
      <c r="G40" s="1875"/>
      <c r="H40" s="1877"/>
      <c r="I40" s="878"/>
      <c r="K40" s="1872"/>
      <c r="L40" s="1872"/>
      <c r="M40" s="1872"/>
      <c r="N40" s="1872"/>
      <c r="O40" s="1876"/>
      <c r="P40" s="1876"/>
      <c r="Q40" s="1876"/>
      <c r="R40" s="1876"/>
      <c r="S40" s="1876"/>
      <c r="T40" s="1876"/>
      <c r="U40" s="1876"/>
      <c r="V40" s="1876"/>
      <c r="W40" s="1876"/>
      <c r="X40" s="1876"/>
      <c r="Z40" s="1012"/>
      <c r="AA40" s="656" t="str">
        <f>"LHU No.   : "&amp; IF('DATA INDUK'!$H$17="","",'DATA INDUK'!$H$17)</f>
        <v>LHU No.   : 23/MGS/53/II/2026</v>
      </c>
    </row>
    <row r="41" spans="1:35" ht="15.95" customHeight="1">
      <c r="A41" s="540" t="s">
        <v>1336</v>
      </c>
      <c r="B41" s="116"/>
      <c r="C41" s="116"/>
      <c r="D41" s="116"/>
      <c r="E41" s="116"/>
      <c r="F41" s="116"/>
      <c r="G41" s="116"/>
      <c r="H41" s="116"/>
      <c r="K41" s="1872" t="s">
        <v>1500</v>
      </c>
      <c r="L41" s="1872"/>
      <c r="M41" s="1872"/>
      <c r="N41" s="1872"/>
      <c r="O41" s="1876">
        <f>'WS-modified proctor'!C125</f>
        <v>1.8731864889509173</v>
      </c>
      <c r="P41" s="1876"/>
      <c r="Q41" s="1876">
        <f>'WS-modified proctor'!D125</f>
        <v>1.9238765768503658</v>
      </c>
      <c r="R41" s="1876"/>
      <c r="S41" s="1876">
        <f>'WS-modified proctor'!E125</f>
        <v>1.9722199014211361</v>
      </c>
      <c r="T41" s="1876"/>
      <c r="U41" s="1876">
        <f>'WS-modified proctor'!F125</f>
        <v>1.9548538527889177</v>
      </c>
      <c r="V41" s="1876"/>
      <c r="W41" s="1876">
        <f>'WS-modified proctor'!G125</f>
        <v>1.9248152821818372</v>
      </c>
      <c r="X41" s="1876"/>
      <c r="Z41" s="1012"/>
      <c r="AA41" s="1275" t="str">
        <f>"LAB ID.        : "&amp;'Template LHU_CBRsoaked'!$N$13&amp;""</f>
        <v>LAB ID.        : 26-001-DS-001</v>
      </c>
    </row>
    <row r="42" spans="1:35">
      <c r="A42" s="1248" t="s">
        <v>1337</v>
      </c>
      <c r="K42" s="1872"/>
      <c r="L42" s="1872"/>
      <c r="M42" s="1872"/>
      <c r="N42" s="1872"/>
      <c r="O42" s="1876"/>
      <c r="P42" s="1876"/>
      <c r="Q42" s="1876"/>
      <c r="R42" s="1876"/>
      <c r="S42" s="1876"/>
      <c r="T42" s="1876"/>
      <c r="U42" s="1876"/>
      <c r="V42" s="1876"/>
      <c r="W42" s="1876"/>
      <c r="X42" s="1876"/>
      <c r="Z42" s="1012" t="s">
        <v>975</v>
      </c>
      <c r="AA42" s="1275" t="str">
        <f>"TEST TYPE   : "&amp;Z42&amp;""</f>
        <v>TEST TYPE   : Modified Proctor</v>
      </c>
    </row>
    <row r="43" spans="1:35" ht="15.95" customHeight="1">
      <c r="K43" s="1872" t="s">
        <v>1507</v>
      </c>
      <c r="L43" s="1872"/>
      <c r="M43" s="1872"/>
      <c r="N43" s="1872"/>
      <c r="O43" s="1876">
        <f>'WS-modified proctor'!C126</f>
        <v>1.465090917429366</v>
      </c>
      <c r="P43" s="1876"/>
      <c r="Q43" s="1876">
        <f>'WS-modified proctor'!D126</f>
        <v>1.4731951621221948</v>
      </c>
      <c r="R43" s="1876"/>
      <c r="S43" s="1876">
        <f>'WS-modified proctor'!E126</f>
        <v>1.4770097086095009</v>
      </c>
      <c r="T43" s="1876"/>
      <c r="U43" s="1876">
        <f>'WS-modified proctor'!F126</f>
        <v>1.4345473806004014</v>
      </c>
      <c r="V43" s="1876"/>
      <c r="W43" s="1876">
        <f>'WS-modified proctor'!G126</f>
        <v>1.3796685274317693</v>
      </c>
      <c r="X43" s="1876"/>
      <c r="Z43" s="1276"/>
      <c r="AA43" s="1275" t="str">
        <f>"DATE            : "&amp;TEXT('DATA INDUK'!$H$19,"yyyy-mm-dd")</f>
        <v>DATE            : 2026-01-29</v>
      </c>
    </row>
    <row r="44" spans="1:35">
      <c r="K44" s="1872"/>
      <c r="L44" s="1872"/>
      <c r="M44" s="1872"/>
      <c r="N44" s="1872"/>
      <c r="O44" s="1876"/>
      <c r="P44" s="1876"/>
      <c r="Q44" s="1876"/>
      <c r="R44" s="1876"/>
      <c r="S44" s="1876"/>
      <c r="T44" s="1876"/>
      <c r="U44" s="1876"/>
      <c r="V44" s="1876"/>
      <c r="W44" s="1876"/>
      <c r="X44" s="1876"/>
    </row>
    <row r="45" spans="1:35">
      <c r="AA45" s="1270"/>
      <c r="AC45" s="1270"/>
      <c r="AE45" s="1270"/>
      <c r="AG45" s="1270"/>
      <c r="AI45" s="1270"/>
    </row>
    <row r="46" spans="1:35">
      <c r="K46" s="859" t="s">
        <v>1338</v>
      </c>
      <c r="L46" s="877"/>
      <c r="M46" s="877"/>
      <c r="N46" s="877"/>
      <c r="O46" s="859"/>
      <c r="P46" s="859"/>
      <c r="Q46" s="859"/>
      <c r="R46" s="859"/>
      <c r="S46" s="859"/>
      <c r="T46" s="859"/>
      <c r="U46" s="877"/>
      <c r="AA46" s="589"/>
      <c r="AC46" s="589"/>
      <c r="AE46" s="589"/>
      <c r="AG46" s="589"/>
      <c r="AI46" s="589"/>
    </row>
    <row r="47" spans="1:35">
      <c r="K47" s="1886" t="s">
        <v>1339</v>
      </c>
      <c r="L47" s="1886"/>
      <c r="M47" s="1886"/>
      <c r="N47" s="1886"/>
      <c r="O47" s="1886"/>
      <c r="P47" s="1886"/>
      <c r="Q47" s="1886"/>
      <c r="R47" s="1886"/>
      <c r="S47" s="1886"/>
      <c r="T47" s="1886"/>
      <c r="U47" s="1269">
        <f>'WS-modified proctor'!E66</f>
        <v>1.4770097086095009</v>
      </c>
      <c r="AA47" s="589"/>
      <c r="AC47" s="589"/>
      <c r="AE47" s="589"/>
      <c r="AG47" s="589"/>
      <c r="AI47" s="589"/>
    </row>
    <row r="48" spans="1:35">
      <c r="K48" s="1886" t="s">
        <v>965</v>
      </c>
      <c r="L48" s="1886"/>
      <c r="M48" s="1886"/>
      <c r="N48" s="1886"/>
      <c r="O48" s="1886"/>
      <c r="P48" s="1886"/>
      <c r="Q48" s="1886"/>
      <c r="R48" s="1886"/>
      <c r="S48" s="1886"/>
      <c r="T48" s="1886"/>
      <c r="U48" s="13">
        <f>'WS-modified proctor'!E67</f>
        <v>33.527890163825695</v>
      </c>
      <c r="AA48" s="589"/>
      <c r="AC48" s="589"/>
      <c r="AE48" s="589"/>
      <c r="AG48" s="589"/>
      <c r="AI48" s="589"/>
    </row>
    <row r="49" spans="3:35">
      <c r="AA49" s="589"/>
      <c r="AC49" s="589"/>
      <c r="AE49" s="589"/>
      <c r="AG49" s="589"/>
      <c r="AI49" s="589"/>
    </row>
    <row r="50" spans="3:35">
      <c r="AA50" s="589"/>
      <c r="AC50" s="589"/>
      <c r="AE50" s="589"/>
      <c r="AG50" s="589"/>
      <c r="AI50" s="589"/>
    </row>
    <row r="51" spans="3:35">
      <c r="AA51" s="589"/>
      <c r="AC51" s="589"/>
      <c r="AE51" s="589"/>
      <c r="AG51" s="589"/>
      <c r="AI51" s="589"/>
    </row>
    <row r="52" spans="3:35">
      <c r="AA52" s="589"/>
      <c r="AC52" s="589"/>
      <c r="AE52" s="589"/>
      <c r="AG52" s="589"/>
      <c r="AI52" s="589"/>
    </row>
    <row r="59" spans="3:35">
      <c r="T59" s="20" t="s">
        <v>1537</v>
      </c>
    </row>
    <row r="60" spans="3:35">
      <c r="C60" s="1827" t="s">
        <v>623</v>
      </c>
      <c r="D60" s="1828"/>
      <c r="E60" s="1828"/>
      <c r="F60" s="1828"/>
      <c r="G60" s="1829"/>
      <c r="H60" s="1827" t="s">
        <v>292</v>
      </c>
      <c r="I60" s="1828"/>
      <c r="J60" s="1828"/>
      <c r="K60" s="1828"/>
      <c r="L60" s="1829"/>
      <c r="M60" s="1827" t="s">
        <v>294</v>
      </c>
      <c r="N60" s="1828"/>
      <c r="O60" s="1828"/>
      <c r="P60" s="1828"/>
      <c r="Q60" s="1828"/>
      <c r="R60" s="1829"/>
      <c r="T60" s="904"/>
      <c r="U60" s="905"/>
      <c r="V60" s="905"/>
      <c r="W60" s="906"/>
    </row>
    <row r="61" spans="3:35" ht="15.95" customHeight="1">
      <c r="C61" s="1903" t="s">
        <v>624</v>
      </c>
      <c r="D61" s="1646"/>
      <c r="E61" s="1646"/>
      <c r="F61" s="1646"/>
      <c r="G61" s="1904"/>
      <c r="H61" s="1905" t="s">
        <v>293</v>
      </c>
      <c r="I61" s="1652"/>
      <c r="J61" s="1652"/>
      <c r="K61" s="1652"/>
      <c r="L61" s="1906"/>
      <c r="M61" s="1905" t="s">
        <v>295</v>
      </c>
      <c r="N61" s="1652"/>
      <c r="O61" s="1652"/>
      <c r="P61" s="1652"/>
      <c r="Q61" s="1652"/>
      <c r="R61" s="1906"/>
      <c r="T61" s="901"/>
      <c r="W61" s="903"/>
    </row>
    <row r="62" spans="3:35" ht="15.95" customHeight="1">
      <c r="C62" s="901"/>
      <c r="D62" s="359"/>
      <c r="E62" s="359"/>
      <c r="F62" s="359"/>
      <c r="G62" s="902"/>
      <c r="H62" s="901"/>
      <c r="I62"/>
      <c r="K62" s="4"/>
      <c r="L62" s="903"/>
      <c r="M62" s="901"/>
      <c r="R62" s="903"/>
      <c r="T62" s="901"/>
      <c r="W62" s="903"/>
    </row>
    <row r="63" spans="3:35">
      <c r="C63" s="901"/>
      <c r="G63" s="903"/>
      <c r="H63" s="901"/>
      <c r="I63"/>
      <c r="K63" s="4"/>
      <c r="L63" s="903"/>
      <c r="M63" s="901"/>
      <c r="R63" s="903"/>
      <c r="T63" s="901"/>
      <c r="W63" s="903"/>
    </row>
    <row r="64" spans="3:35">
      <c r="C64" s="901"/>
      <c r="G64" s="903"/>
      <c r="H64" s="901"/>
      <c r="I64"/>
      <c r="K64" s="4"/>
      <c r="L64" s="903"/>
      <c r="M64" s="901"/>
      <c r="R64" s="903"/>
      <c r="T64" s="901"/>
      <c r="W64" s="903"/>
    </row>
    <row r="65" spans="1:24">
      <c r="C65" s="1812" t="str">
        <f>'WS-modified proctor'!$O$9</f>
        <v>RIZKI</v>
      </c>
      <c r="D65" s="1632"/>
      <c r="E65" s="1632"/>
      <c r="F65" s="1632"/>
      <c r="G65" s="1846"/>
      <c r="H65" s="1812" t="str">
        <f>IF(C65='WS-modified proctor'!O10," - ",'WS-modified proctor'!O10)</f>
        <v>NOUFAL</v>
      </c>
      <c r="I65" s="1632"/>
      <c r="J65" s="1632"/>
      <c r="K65" s="1632"/>
      <c r="L65" s="1846"/>
      <c r="M65" s="1812" t="str">
        <f>'WS-modified proctor'!$O$11</f>
        <v>A.SUMARTADJI</v>
      </c>
      <c r="N65" s="1632"/>
      <c r="O65" s="1632"/>
      <c r="P65" s="1632"/>
      <c r="Q65" s="1632"/>
      <c r="R65" s="1846"/>
      <c r="T65" s="901"/>
      <c r="W65" s="903"/>
    </row>
    <row r="66" spans="1:24" s="15" customFormat="1" ht="12">
      <c r="C66" s="1842" t="s">
        <v>299</v>
      </c>
      <c r="D66" s="1685"/>
      <c r="E66" s="1685"/>
      <c r="F66" s="1685"/>
      <c r="G66" s="1843"/>
      <c r="H66" s="1842" t="s">
        <v>305</v>
      </c>
      <c r="I66" s="1685"/>
      <c r="J66" s="1685"/>
      <c r="K66" s="1685"/>
      <c r="L66" s="1843"/>
      <c r="M66" s="1842" t="s">
        <v>298</v>
      </c>
      <c r="N66" s="1685"/>
      <c r="O66" s="1685"/>
      <c r="P66" s="1685"/>
      <c r="Q66" s="1685"/>
      <c r="R66" s="1843"/>
      <c r="S66" s="364"/>
      <c r="T66" s="907"/>
      <c r="U66" s="364"/>
      <c r="V66" s="364"/>
      <c r="W66" s="908"/>
      <c r="X66" s="364"/>
    </row>
    <row r="67" spans="1:24" ht="15.95" customHeight="1">
      <c r="C67" s="1844" t="s">
        <v>291</v>
      </c>
      <c r="D67" s="1845"/>
      <c r="E67" s="1839">
        <f>IF('DATA INDUK'!$H$19="","",'DATA INDUK'!$H$19-1)</f>
        <v>46050</v>
      </c>
      <c r="F67" s="1839"/>
      <c r="G67" s="1840"/>
      <c r="H67" s="1844" t="s">
        <v>291</v>
      </c>
      <c r="I67" s="1845"/>
      <c r="J67" s="1839">
        <f>IF('DATA INDUK'!$H$19="","",'DATA INDUK'!$H$19-1)</f>
        <v>46050</v>
      </c>
      <c r="K67" s="1839"/>
      <c r="L67" s="1840"/>
      <c r="M67" s="1844" t="s">
        <v>291</v>
      </c>
      <c r="N67" s="1845"/>
      <c r="O67" s="1845"/>
      <c r="P67" s="1839">
        <f>IF('DATA INDUK'!$H$19="","",'DATA INDUK'!$H$19-1)</f>
        <v>46050</v>
      </c>
      <c r="Q67" s="1839"/>
      <c r="R67" s="1840"/>
      <c r="T67" s="909"/>
      <c r="U67" s="897"/>
      <c r="V67" s="897"/>
      <c r="W67" s="910"/>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1002" t="str">
        <f>'DATA INDUK'!$BT$50</f>
        <v>23-MINEARTH-RM-LHU-CMP-M-R0</v>
      </c>
    </row>
    <row r="75" spans="1:24" s="326" customFormat="1" ht="15" customHeight="1">
      <c r="A75" s="361" t="s">
        <v>892</v>
      </c>
      <c r="B75" s="893"/>
      <c r="C75" s="893"/>
      <c r="D75" s="893"/>
      <c r="E75" s="893"/>
      <c r="F75" s="893"/>
      <c r="G75" s="893"/>
      <c r="H75" s="893"/>
      <c r="I75" s="894"/>
      <c r="J75" s="893"/>
      <c r="K75" s="361" t="s">
        <v>284</v>
      </c>
      <c r="L75" s="893"/>
      <c r="M75" s="893"/>
      <c r="N75" s="893"/>
      <c r="O75" s="893"/>
      <c r="P75" s="893"/>
      <c r="Q75" s="893"/>
      <c r="R75" s="893"/>
      <c r="S75" s="361" t="s">
        <v>285</v>
      </c>
      <c r="T75" s="893"/>
      <c r="U75" s="895"/>
      <c r="V75" s="893"/>
      <c r="W75" s="893"/>
      <c r="X75" s="893"/>
    </row>
    <row r="76" spans="1:24"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897"/>
      <c r="B82" s="897"/>
      <c r="C82" s="897"/>
      <c r="D82" s="897"/>
      <c r="E82" s="897"/>
      <c r="F82" s="897"/>
      <c r="G82" s="897"/>
      <c r="H82" s="897"/>
      <c r="I82" s="899"/>
      <c r="J82" s="897"/>
      <c r="K82" s="897"/>
      <c r="L82" s="897"/>
      <c r="M82" s="897"/>
      <c r="N82" s="897"/>
      <c r="O82" s="897"/>
      <c r="P82" s="897"/>
      <c r="Q82" s="897"/>
      <c r="R82" s="897"/>
      <c r="S82" s="897"/>
      <c r="T82" s="897"/>
      <c r="U82" s="897"/>
      <c r="V82" s="897"/>
      <c r="W82" s="897"/>
      <c r="X82" s="897"/>
    </row>
    <row r="83" spans="1:24" ht="8.1" customHeight="1"/>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676"/>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2"</f>
        <v>:  2 dari 2</v>
      </c>
      <c r="X85" s="1895"/>
    </row>
    <row r="86" spans="1:24" ht="8.1" customHeight="1"/>
    <row r="87" spans="1:24" ht="20.25" customHeight="1">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139" spans="1:24">
      <c r="H139" s="897"/>
      <c r="I139" s="899"/>
      <c r="J139" s="897"/>
      <c r="K139" s="897"/>
      <c r="L139" s="897"/>
      <c r="M139" s="897"/>
      <c r="N139" s="897"/>
      <c r="O139" s="897"/>
      <c r="P139" s="897"/>
      <c r="Q139" s="897"/>
      <c r="R139" s="897"/>
      <c r="S139" s="897"/>
      <c r="U139" s="20" t="s">
        <v>1537</v>
      </c>
      <c r="V139" s="897"/>
      <c r="W139" s="897"/>
      <c r="X139" s="897"/>
    </row>
    <row r="140" spans="1:24">
      <c r="A140" s="700" t="s">
        <v>297</v>
      </c>
      <c r="B140" s="338"/>
      <c r="C140" s="338"/>
      <c r="D140" s="4"/>
      <c r="E140" s="4"/>
      <c r="F140" s="4"/>
      <c r="G140" s="946"/>
      <c r="H140" s="1827" t="s">
        <v>623</v>
      </c>
      <c r="I140" s="1828"/>
      <c r="J140" s="1828"/>
      <c r="K140" s="1829"/>
      <c r="L140" s="1800" t="s">
        <v>292</v>
      </c>
      <c r="M140" s="1800"/>
      <c r="N140" s="1800"/>
      <c r="O140" s="1894"/>
      <c r="P140" s="1800" t="s">
        <v>294</v>
      </c>
      <c r="Q140" s="1800"/>
      <c r="R140" s="1800"/>
      <c r="S140" s="1894"/>
      <c r="T140" s="1350"/>
      <c r="X140" s="906"/>
    </row>
    <row r="141" spans="1:24" ht="15.95" customHeight="1">
      <c r="G141" s="903"/>
      <c r="H141" s="1890" t="s">
        <v>624</v>
      </c>
      <c r="I141" s="1675"/>
      <c r="J141" s="1675"/>
      <c r="K141" s="1891"/>
      <c r="L141" s="1675" t="s">
        <v>293</v>
      </c>
      <c r="M141" s="1675"/>
      <c r="N141" s="1675"/>
      <c r="O141" s="1891"/>
      <c r="P141" s="1675" t="s">
        <v>295</v>
      </c>
      <c r="Q141" s="1675"/>
      <c r="R141" s="1675"/>
      <c r="S141" s="1891"/>
      <c r="T141" s="1350"/>
      <c r="X141" s="903"/>
    </row>
    <row r="142" spans="1:24">
      <c r="G142" s="903"/>
      <c r="H142" s="1892" t="str">
        <f>C65</f>
        <v>RIZKI</v>
      </c>
      <c r="I142" s="1665"/>
      <c r="J142" s="1665"/>
      <c r="K142" s="1893"/>
      <c r="O142" s="946"/>
      <c r="S142" s="903"/>
      <c r="T142" s="1350"/>
      <c r="X142" s="903"/>
    </row>
    <row r="143" spans="1:24">
      <c r="G143" s="903"/>
      <c r="H143" s="1892"/>
      <c r="I143" s="1665"/>
      <c r="J143" s="1665"/>
      <c r="K143" s="1893"/>
      <c r="O143" s="946"/>
      <c r="S143" s="903"/>
      <c r="T143" s="1350"/>
      <c r="X143" s="903"/>
    </row>
    <row r="144" spans="1:24">
      <c r="G144" s="903"/>
      <c r="H144" s="1892"/>
      <c r="I144" s="1665"/>
      <c r="J144" s="1665"/>
      <c r="K144" s="1893"/>
      <c r="O144" s="946"/>
      <c r="S144" s="903"/>
      <c r="T144" s="1350"/>
      <c r="X144" s="903"/>
    </row>
    <row r="145" spans="1:27">
      <c r="G145" s="903"/>
      <c r="H145" s="1892"/>
      <c r="I145" s="1665"/>
      <c r="J145" s="1665"/>
      <c r="K145" s="1893"/>
      <c r="L145" s="1665" t="str">
        <f>H65</f>
        <v>NOUFAL</v>
      </c>
      <c r="M145" s="1665"/>
      <c r="N145" s="1665"/>
      <c r="O145" s="1893"/>
      <c r="P145" s="1665" t="str">
        <f>M65</f>
        <v>A.SUMARTADJI</v>
      </c>
      <c r="Q145" s="1665"/>
      <c r="R145" s="1665"/>
      <c r="S145" s="1893"/>
      <c r="T145" s="1350"/>
      <c r="X145" s="903"/>
    </row>
    <row r="146" spans="1:27">
      <c r="G146" s="903"/>
      <c r="H146" s="1896" t="str">
        <f>C66</f>
        <v>Teknisi/Analis</v>
      </c>
      <c r="I146" s="1668"/>
      <c r="J146" s="1668"/>
      <c r="K146" s="1897"/>
      <c r="L146" s="1668" t="str">
        <f>H66</f>
        <v>Koordinator Teknis</v>
      </c>
      <c r="M146" s="1668"/>
      <c r="N146" s="1668"/>
      <c r="O146" s="1897"/>
      <c r="P146" s="1668" t="str">
        <f>M66</f>
        <v>Kepala Laboratorium</v>
      </c>
      <c r="Q146" s="1668"/>
      <c r="R146" s="1668"/>
      <c r="S146" s="1897"/>
      <c r="T146" s="1350"/>
      <c r="U146" s="358"/>
      <c r="V146" s="358"/>
      <c r="W146" s="358"/>
      <c r="X146" s="948"/>
      <c r="Y146" s="358"/>
      <c r="Z146" s="358"/>
      <c r="AA146" s="358"/>
    </row>
    <row r="147" spans="1:27" ht="15.95" customHeight="1">
      <c r="G147" s="903"/>
      <c r="H147" s="1898" t="s">
        <v>291</v>
      </c>
      <c r="I147" s="1899"/>
      <c r="J147" s="1839">
        <f>E67</f>
        <v>46050</v>
      </c>
      <c r="K147" s="1840"/>
      <c r="L147" s="1900" t="s">
        <v>300</v>
      </c>
      <c r="M147" s="1900"/>
      <c r="N147" s="1901">
        <f>J67</f>
        <v>46050</v>
      </c>
      <c r="O147" s="1902"/>
      <c r="P147" s="1899" t="s">
        <v>291</v>
      </c>
      <c r="Q147" s="1899"/>
      <c r="R147" s="1839">
        <f>P67</f>
        <v>46050</v>
      </c>
      <c r="S147" s="1840"/>
      <c r="T147" s="1350"/>
      <c r="U147" s="949"/>
      <c r="V147" s="896"/>
      <c r="W147" s="896"/>
      <c r="X147" s="950"/>
    </row>
    <row r="148" spans="1:27" ht="8.1" customHeight="1"/>
    <row r="149" spans="1:27" ht="18" customHeight="1">
      <c r="B149" s="356"/>
      <c r="C149" s="356"/>
      <c r="D149" s="356"/>
      <c r="E149" s="356"/>
      <c r="T149" s="684" t="str">
        <f>$T$74</f>
        <v>23-MINEARTH-RM-LHU-CMP-M-R0</v>
      </c>
      <c r="U149" s="367"/>
      <c r="V149" s="367"/>
      <c r="W149" s="367"/>
      <c r="X149" s="367"/>
    </row>
    <row r="150" spans="1:27" ht="18" customHeight="1">
      <c r="A150" s="362"/>
      <c r="B150" s="362"/>
      <c r="C150" s="362"/>
      <c r="D150" s="362"/>
      <c r="E150" s="362"/>
    </row>
    <row r="151" spans="1:27" ht="8.1" customHeight="1"/>
  </sheetData>
  <mergeCells count="147">
    <mergeCell ref="W41:X42"/>
    <mergeCell ref="K43:N44"/>
    <mergeCell ref="O43:P44"/>
    <mergeCell ref="Q43:R44"/>
    <mergeCell ref="S43:T44"/>
    <mergeCell ref="U43:V44"/>
    <mergeCell ref="W43:X44"/>
    <mergeCell ref="U41:V42"/>
    <mergeCell ref="K41:N42"/>
    <mergeCell ref="O41:P42"/>
    <mergeCell ref="Q41:R42"/>
    <mergeCell ref="S41:T42"/>
    <mergeCell ref="F80:T80"/>
    <mergeCell ref="F81:T81"/>
    <mergeCell ref="C67:D67"/>
    <mergeCell ref="E67:G67"/>
    <mergeCell ref="H67:I67"/>
    <mergeCell ref="J67:L67"/>
    <mergeCell ref="M67:O67"/>
    <mergeCell ref="P67:R67"/>
    <mergeCell ref="K47:T47"/>
    <mergeCell ref="K48:T48"/>
    <mergeCell ref="C60:G60"/>
    <mergeCell ref="H60:L60"/>
    <mergeCell ref="M60:R60"/>
    <mergeCell ref="C61:G61"/>
    <mergeCell ref="H61:L61"/>
    <mergeCell ref="M61:R61"/>
    <mergeCell ref="H146:K146"/>
    <mergeCell ref="L146:O146"/>
    <mergeCell ref="P146:S146"/>
    <mergeCell ref="H147:I147"/>
    <mergeCell ref="J147:K147"/>
    <mergeCell ref="L147:M147"/>
    <mergeCell ref="N147:O147"/>
    <mergeCell ref="P147:Q147"/>
    <mergeCell ref="R147:S147"/>
    <mergeCell ref="A40:H40"/>
    <mergeCell ref="H141:K141"/>
    <mergeCell ref="L141:O141"/>
    <mergeCell ref="P141:S141"/>
    <mergeCell ref="H142:K145"/>
    <mergeCell ref="L145:O145"/>
    <mergeCell ref="P145:S145"/>
    <mergeCell ref="A87:X87"/>
    <mergeCell ref="H140:K140"/>
    <mergeCell ref="L140:O140"/>
    <mergeCell ref="P140:S140"/>
    <mergeCell ref="C65:G65"/>
    <mergeCell ref="H65:L65"/>
    <mergeCell ref="M65:R65"/>
    <mergeCell ref="C66:G66"/>
    <mergeCell ref="H66:L66"/>
    <mergeCell ref="M66:R66"/>
    <mergeCell ref="M85:Q85"/>
    <mergeCell ref="T85:V85"/>
    <mergeCell ref="W85:X85"/>
    <mergeCell ref="A84:D84"/>
    <mergeCell ref="A85:D85"/>
    <mergeCell ref="A69:C73"/>
    <mergeCell ref="F79:T79"/>
    <mergeCell ref="U37:V38"/>
    <mergeCell ref="W37:X38"/>
    <mergeCell ref="K39:N40"/>
    <mergeCell ref="O39:P40"/>
    <mergeCell ref="Q39:R40"/>
    <mergeCell ref="S39:T40"/>
    <mergeCell ref="U39:V40"/>
    <mergeCell ref="W39:X40"/>
    <mergeCell ref="K37:N38"/>
    <mergeCell ref="O37:P38"/>
    <mergeCell ref="Q37:R38"/>
    <mergeCell ref="S37:T38"/>
    <mergeCell ref="K35:N36"/>
    <mergeCell ref="O35:P36"/>
    <mergeCell ref="Q35:R36"/>
    <mergeCell ref="S35:T36"/>
    <mergeCell ref="U35:V36"/>
    <mergeCell ref="W35:X36"/>
    <mergeCell ref="A35:G35"/>
    <mergeCell ref="A36:G36"/>
    <mergeCell ref="H35:I35"/>
    <mergeCell ref="H36:I36"/>
    <mergeCell ref="H31:I31"/>
    <mergeCell ref="K31:N32"/>
    <mergeCell ref="O31:P32"/>
    <mergeCell ref="Q31:R32"/>
    <mergeCell ref="S31:T32"/>
    <mergeCell ref="U31:V32"/>
    <mergeCell ref="W31:X32"/>
    <mergeCell ref="A33:G34"/>
    <mergeCell ref="A31:G31"/>
    <mergeCell ref="A32:G32"/>
    <mergeCell ref="H32:I32"/>
    <mergeCell ref="H33:I34"/>
    <mergeCell ref="K33:N34"/>
    <mergeCell ref="O33:P34"/>
    <mergeCell ref="Q33:R34"/>
    <mergeCell ref="S33:T34"/>
    <mergeCell ref="U33:V34"/>
    <mergeCell ref="W33:X34"/>
    <mergeCell ref="A19:D20"/>
    <mergeCell ref="E19:L20"/>
    <mergeCell ref="N17:R17"/>
    <mergeCell ref="S17:X17"/>
    <mergeCell ref="N18:R19"/>
    <mergeCell ref="S18:X19"/>
    <mergeCell ref="A29:H29"/>
    <mergeCell ref="H30:I30"/>
    <mergeCell ref="O30:P30"/>
    <mergeCell ref="Q30:R30"/>
    <mergeCell ref="S30:T30"/>
    <mergeCell ref="A26:T26"/>
    <mergeCell ref="U26:U27"/>
    <mergeCell ref="V26:X27"/>
    <mergeCell ref="A27:T27"/>
    <mergeCell ref="A21:D22"/>
    <mergeCell ref="E21:L22"/>
    <mergeCell ref="A30:G30"/>
    <mergeCell ref="N20:R21"/>
    <mergeCell ref="S20:X21"/>
    <mergeCell ref="N22:R23"/>
    <mergeCell ref="S22:X23"/>
    <mergeCell ref="U30:V30"/>
    <mergeCell ref="W30:X30"/>
    <mergeCell ref="N14:R14"/>
    <mergeCell ref="S14:X14"/>
    <mergeCell ref="N15:R16"/>
    <mergeCell ref="S15:X16"/>
    <mergeCell ref="A17:L17"/>
    <mergeCell ref="A9:L9"/>
    <mergeCell ref="A12:L12"/>
    <mergeCell ref="N12:X12"/>
    <mergeCell ref="A13:D13"/>
    <mergeCell ref="E13:L13"/>
    <mergeCell ref="A14:D14"/>
    <mergeCell ref="E14:L14"/>
    <mergeCell ref="F1:T1"/>
    <mergeCell ref="F2:T2"/>
    <mergeCell ref="F3:T3"/>
    <mergeCell ref="A6:D6"/>
    <mergeCell ref="A7:D7"/>
    <mergeCell ref="T7:V7"/>
    <mergeCell ref="M7:Q7"/>
    <mergeCell ref="W7:X7"/>
    <mergeCell ref="N13:R13"/>
    <mergeCell ref="S13:X13"/>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89D1-9E55-1844-8FF3-6D0CA71E0002}">
  <dimension ref="A1:AC119"/>
  <sheetViews>
    <sheetView topLeftCell="A16" zoomScale="68" zoomScaleNormal="68" workbookViewId="0">
      <selection activeCell="D21" sqref="D21"/>
    </sheetView>
  </sheetViews>
  <sheetFormatPr defaultColWidth="11" defaultRowHeight="15.75"/>
  <cols>
    <col min="3" max="3" width="13.5" bestFit="1" customWidth="1"/>
    <col min="4" max="4" width="14.375" customWidth="1"/>
    <col min="17" max="17" width="11.875" bestFit="1" customWidth="1"/>
    <col min="24" max="24" width="23.375" customWidth="1"/>
  </cols>
  <sheetData>
    <row r="1" spans="1:21" ht="18">
      <c r="A1" s="708" t="s">
        <v>701</v>
      </c>
      <c r="B1" s="708"/>
      <c r="C1" s="708"/>
      <c r="D1" s="708"/>
      <c r="E1" s="708"/>
      <c r="F1" s="708"/>
      <c r="G1" s="708"/>
      <c r="H1" s="708"/>
      <c r="I1" s="708"/>
      <c r="J1" s="708"/>
      <c r="K1" s="708"/>
      <c r="L1" s="708"/>
      <c r="M1" s="708"/>
      <c r="N1" s="708"/>
      <c r="O1" s="708"/>
      <c r="P1" s="708"/>
      <c r="Q1" s="708"/>
      <c r="R1" s="708"/>
      <c r="S1" s="708"/>
      <c r="T1" s="708"/>
      <c r="U1" s="708"/>
    </row>
    <row r="2" spans="1:21" ht="23.25">
      <c r="A2" s="663" t="s">
        <v>1542</v>
      </c>
      <c r="B2" s="663"/>
      <c r="C2" s="663"/>
      <c r="D2" s="663"/>
      <c r="E2" s="663"/>
      <c r="F2" s="663"/>
      <c r="G2" s="663"/>
      <c r="H2" s="663"/>
      <c r="I2" s="663"/>
      <c r="J2" s="663"/>
      <c r="K2" s="663"/>
      <c r="L2" s="663"/>
      <c r="M2" s="663"/>
      <c r="N2" s="663"/>
      <c r="O2" s="663"/>
      <c r="P2" s="663"/>
      <c r="Q2" s="663"/>
      <c r="R2" s="663"/>
      <c r="S2" s="663"/>
      <c r="T2" s="663"/>
      <c r="U2" s="663"/>
    </row>
    <row r="3" spans="1:21" ht="23.25">
      <c r="A3" s="664" t="s">
        <v>1543</v>
      </c>
      <c r="B3" s="662"/>
      <c r="C3" s="662"/>
      <c r="D3" s="662"/>
      <c r="E3" s="662"/>
      <c r="F3" s="662"/>
      <c r="G3" s="662"/>
      <c r="H3" s="662"/>
      <c r="I3" s="662"/>
      <c r="J3" s="662"/>
      <c r="K3" s="662"/>
      <c r="L3" s="662"/>
      <c r="M3" s="662"/>
      <c r="N3" s="662"/>
      <c r="O3" s="662"/>
      <c r="P3" s="662"/>
      <c r="Q3" s="662"/>
      <c r="R3" s="662"/>
      <c r="S3" s="662"/>
      <c r="T3" s="662"/>
      <c r="U3" s="662"/>
    </row>
    <row r="4" spans="1:21" ht="23.25">
      <c r="A4" s="616"/>
      <c r="B4" s="616"/>
      <c r="C4" s="616"/>
      <c r="D4" s="616"/>
      <c r="E4" s="616"/>
      <c r="F4" s="616"/>
      <c r="G4" s="616"/>
      <c r="H4" s="616"/>
      <c r="I4" s="616"/>
      <c r="J4" s="616"/>
      <c r="K4" s="616"/>
      <c r="L4" s="616"/>
      <c r="M4" s="616"/>
      <c r="N4" s="616"/>
      <c r="O4" s="616"/>
      <c r="P4" s="616"/>
      <c r="Q4" s="616"/>
      <c r="R4" s="616"/>
      <c r="S4" s="616"/>
      <c r="T4" s="616"/>
      <c r="U4" s="616"/>
    </row>
    <row r="5" spans="1:21">
      <c r="A5" s="335" t="s">
        <v>1544</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 t="s">
        <v>775</v>
      </c>
      <c r="B7" s="1"/>
      <c r="C7" s="1"/>
      <c r="D7" s="539" t="str">
        <f>IFERROR(INDEX('DATA INDUK'!$H$27:$H$152,MATCH(ROW(D1),'DATA INDUK'!$AV$27:$AV$152,0)),"")</f>
        <v>26-001-DS-001</v>
      </c>
      <c r="E7" s="13"/>
      <c r="F7" s="13"/>
      <c r="G7" s="13"/>
      <c r="H7" s="15"/>
      <c r="I7" s="15"/>
      <c r="J7" s="15"/>
      <c r="K7" s="15"/>
      <c r="L7" s="15"/>
      <c r="M7" s="15"/>
      <c r="N7" s="15"/>
      <c r="O7" s="15"/>
      <c r="P7" s="15"/>
      <c r="Q7" s="15"/>
      <c r="R7" s="15"/>
      <c r="S7" s="15"/>
      <c r="T7" s="15"/>
      <c r="U7" s="15"/>
    </row>
    <row r="8" spans="1:21">
      <c r="A8" s="13"/>
      <c r="B8" s="13"/>
      <c r="C8" s="13"/>
      <c r="D8" s="540"/>
      <c r="E8" s="15"/>
      <c r="F8" s="15"/>
      <c r="G8" s="15"/>
      <c r="H8" s="15"/>
      <c r="I8" s="15"/>
      <c r="J8" s="15"/>
      <c r="K8" s="15"/>
      <c r="L8" s="15"/>
      <c r="M8" s="15"/>
      <c r="N8" s="15"/>
      <c r="O8" s="15"/>
      <c r="P8" s="15"/>
      <c r="Q8" s="15"/>
      <c r="R8" s="15"/>
      <c r="S8" s="15"/>
      <c r="T8" s="15"/>
      <c r="U8" s="15"/>
    </row>
    <row r="9" spans="1:21">
      <c r="A9" s="1" t="s">
        <v>776</v>
      </c>
      <c r="B9" s="1"/>
      <c r="C9" s="1"/>
      <c r="D9" s="13" t="str">
        <f>IFERROR(INDEX('DATA INDUK'!$C$27:$C$152,MATCH(ROW(D1),'DATA INDUK'!$AV$27:$AV$152,0)),"")</f>
        <v>BH-04R1-SPT 15</v>
      </c>
      <c r="E9" s="15"/>
      <c r="F9" s="15"/>
      <c r="G9" s="15"/>
      <c r="H9" s="15"/>
      <c r="I9" s="15"/>
      <c r="J9" s="15"/>
      <c r="K9" s="15"/>
      <c r="L9" s="1" t="s">
        <v>703</v>
      </c>
      <c r="M9" s="1"/>
      <c r="N9" s="1"/>
      <c r="O9" s="15" t="str">
        <f>IF($D$7="","",P9)</f>
        <v>NOUFAL</v>
      </c>
      <c r="P9" s="588" t="s">
        <v>1051</v>
      </c>
      <c r="Q9" s="15"/>
      <c r="R9" s="15"/>
      <c r="S9" s="15"/>
      <c r="T9" s="15" t="str">
        <f>"TTD_"&amp;O9&amp;""</f>
        <v>TTD_NOUFAL</v>
      </c>
      <c r="U9" s="15"/>
    </row>
    <row r="10" spans="1:21">
      <c r="A10" s="1" t="s">
        <v>777</v>
      </c>
      <c r="B10" s="1"/>
      <c r="C10" s="1"/>
      <c r="D10" s="13" t="str">
        <f>IFERROR(INDEX('DATA INDUK'!$J$27:$J$152,MATCH(ROW(D1),'DATA INDUK'!$AV$27:$AV$152,0)),"")</f>
        <v>22.50 - 22.95 m</v>
      </c>
      <c r="E10" s="15"/>
      <c r="F10" s="15"/>
      <c r="G10" s="15"/>
      <c r="H10" s="15"/>
      <c r="I10" s="15"/>
      <c r="J10" s="15"/>
      <c r="K10" s="15"/>
      <c r="L10" s="1" t="s">
        <v>704</v>
      </c>
      <c r="M10" s="1"/>
      <c r="N10" s="1"/>
      <c r="O10" s="15" t="str">
        <f t="shared" ref="O10:O11" si="0">IF($D$7="","",P10)</f>
        <v>NOUFAL</v>
      </c>
      <c r="P10" s="15" t="s">
        <v>1051</v>
      </c>
      <c r="Q10" s="15"/>
      <c r="R10" s="15"/>
      <c r="S10" s="15"/>
      <c r="T10" s="15" t="str">
        <f>IF(O9=O10,"TTD_","TTD_"&amp;O10&amp;"")</f>
        <v>TTD_</v>
      </c>
      <c r="U10" s="15"/>
    </row>
    <row r="11" spans="1:21">
      <c r="A11" s="1" t="s">
        <v>778</v>
      </c>
      <c r="B11" s="1"/>
      <c r="C11" s="1"/>
      <c r="D11" s="13" t="str">
        <f>IFERROR(INDEX('DATA INDUK'!$D$27:$D$152,MATCH(ROW(D1),'DATA INDUK'!$AV$27:$AV$152,0)),"")</f>
        <v>Disturbed Sample</v>
      </c>
      <c r="E11" s="15"/>
      <c r="F11" s="15" t="s">
        <v>1659</v>
      </c>
      <c r="G11" s="15"/>
      <c r="H11" s="15"/>
      <c r="I11" s="15"/>
      <c r="J11" s="15"/>
      <c r="K11" s="15"/>
      <c r="L11" s="13" t="s">
        <v>716</v>
      </c>
      <c r="M11" s="15"/>
      <c r="N11" s="15"/>
      <c r="O11" s="15" t="str">
        <f t="shared" si="0"/>
        <v>A.SUMARTADJI</v>
      </c>
      <c r="P11" s="15" t="s">
        <v>766</v>
      </c>
      <c r="Q11" s="15"/>
      <c r="R11" s="15"/>
      <c r="S11" s="15"/>
      <c r="T11" s="15" t="str">
        <f>"TTD_"&amp;O11&amp;""</f>
        <v>TTD_A.SUMARTADJI</v>
      </c>
      <c r="U11" s="15"/>
    </row>
    <row r="12" spans="1:21">
      <c r="A12" s="1" t="s">
        <v>779</v>
      </c>
      <c r="B12" s="1"/>
      <c r="C12" s="1"/>
      <c r="D12" s="1573" t="s">
        <v>1648</v>
      </c>
      <c r="E12" s="15"/>
      <c r="F12" s="15" t="str">
        <f>IFERROR(INDEX($W$33:$W$44,
MATCH(D12,$Z$33:$Z$44,0)),
"CHECK DESKRIPSI")</f>
        <v>SDS</v>
      </c>
      <c r="G12" s="15"/>
      <c r="H12" s="15"/>
      <c r="I12" s="15"/>
      <c r="J12" s="15"/>
      <c r="K12" s="15"/>
      <c r="L12" s="1" t="s">
        <v>705</v>
      </c>
      <c r="M12" s="1"/>
      <c r="N12" s="1"/>
      <c r="O12" s="1171">
        <v>46137</v>
      </c>
      <c r="P12" s="15"/>
      <c r="Q12" s="15"/>
      <c r="R12" s="15"/>
      <c r="S12" s="15"/>
      <c r="T12" s="15"/>
      <c r="U12" s="15"/>
    </row>
    <row r="13" spans="1:21">
      <c r="A13" s="1" t="s">
        <v>780</v>
      </c>
      <c r="B13" s="1"/>
      <c r="C13" s="1"/>
      <c r="D13" s="13" t="s">
        <v>1577</v>
      </c>
      <c r="E13" s="15"/>
      <c r="F13" s="15"/>
      <c r="G13" s="15"/>
      <c r="H13" s="15"/>
      <c r="I13" s="15"/>
      <c r="J13" s="15"/>
      <c r="K13" s="15"/>
      <c r="L13" s="15"/>
      <c r="M13" s="15"/>
      <c r="N13" s="15"/>
      <c r="O13" s="15"/>
      <c r="P13" s="15"/>
      <c r="Q13" s="15"/>
      <c r="R13" s="15"/>
      <c r="S13" s="15"/>
      <c r="T13" s="15"/>
      <c r="U13" s="15"/>
    </row>
    <row r="14" spans="1:21"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717"/>
      <c r="U14" s="717"/>
    </row>
    <row r="17" spans="1:27" ht="15.75" customHeight="1">
      <c r="D17" s="1502"/>
      <c r="E17" s="1502"/>
      <c r="F17" s="1502"/>
      <c r="G17" s="1502"/>
      <c r="H17" s="1502"/>
      <c r="I17" s="1502"/>
      <c r="J17" s="1502"/>
      <c r="K17" s="1502"/>
      <c r="M17" s="1907" t="s">
        <v>1574</v>
      </c>
      <c r="N17" s="1907"/>
      <c r="O17" s="1907"/>
      <c r="P17" s="1907"/>
      <c r="Q17" s="1907"/>
      <c r="R17" s="1907"/>
      <c r="S17" s="1502"/>
      <c r="T17" s="1502"/>
    </row>
    <row r="18" spans="1:27">
      <c r="A18" s="1503" t="s">
        <v>1558</v>
      </c>
      <c r="D18" s="1502"/>
      <c r="G18" s="1503" t="s">
        <v>1559</v>
      </c>
      <c r="H18" s="1502"/>
      <c r="I18" s="1502"/>
      <c r="K18" s="1502"/>
      <c r="L18" s="1523"/>
      <c r="M18" s="1907"/>
      <c r="N18" s="1907"/>
      <c r="O18" s="1907"/>
      <c r="P18" s="1907"/>
      <c r="Q18" s="1907"/>
      <c r="R18" s="1907"/>
      <c r="S18" s="1502"/>
      <c r="T18" s="1502"/>
    </row>
    <row r="19" spans="1:27">
      <c r="A19" s="13" t="s">
        <v>1565</v>
      </c>
      <c r="D19" s="1626">
        <v>6.44</v>
      </c>
      <c r="G19" s="13" t="s">
        <v>1551</v>
      </c>
      <c r="H19" s="1502"/>
      <c r="K19" s="1626">
        <v>1.4990000000000001</v>
      </c>
      <c r="L19" s="1523"/>
      <c r="M19" s="1907"/>
      <c r="N19" s="1907"/>
      <c r="O19" s="1907"/>
      <c r="P19" s="1907"/>
      <c r="Q19" s="1907"/>
      <c r="R19" s="1907"/>
      <c r="T19" s="1502"/>
    </row>
    <row r="20" spans="1:27">
      <c r="A20" s="13" t="s">
        <v>1566</v>
      </c>
      <c r="D20" s="1626">
        <v>6.37</v>
      </c>
      <c r="G20" s="13" t="s">
        <v>1552</v>
      </c>
      <c r="H20" s="1502"/>
      <c r="K20" s="1505">
        <f>PI()*(K19)^2/4</f>
        <v>1.76479045855223</v>
      </c>
      <c r="P20" s="1502"/>
      <c r="Q20" s="1502"/>
      <c r="T20" s="1502"/>
    </row>
    <row r="21" spans="1:27">
      <c r="A21" s="13" t="s">
        <v>1576</v>
      </c>
      <c r="D21" s="1505">
        <f>PI()*(D19)^2/4</f>
        <v>32.573289269480412</v>
      </c>
      <c r="G21" s="13" t="s">
        <v>1553</v>
      </c>
      <c r="H21" s="1502"/>
      <c r="K21" s="1505">
        <f>I35</f>
        <v>169.3</v>
      </c>
      <c r="P21" s="1502"/>
      <c r="Q21" s="1502"/>
      <c r="T21" s="1502"/>
    </row>
    <row r="22" spans="1:27">
      <c r="A22" s="13" t="s">
        <v>1567</v>
      </c>
      <c r="D22" s="1505">
        <f>D20*D21</f>
        <v>207.49185264659022</v>
      </c>
      <c r="G22" s="13" t="s">
        <v>1554</v>
      </c>
      <c r="H22" s="1502"/>
      <c r="K22" s="1506">
        <f>J39</f>
        <v>156.80000000000001</v>
      </c>
      <c r="N22" s="1522"/>
      <c r="P22" s="1502"/>
      <c r="Q22" s="1502"/>
      <c r="T22" s="1502"/>
    </row>
    <row r="23" spans="1:27">
      <c r="A23" s="13" t="s">
        <v>1108</v>
      </c>
      <c r="D23" s="1505"/>
      <c r="G23" s="13" t="s">
        <v>1556</v>
      </c>
      <c r="H23" s="1502"/>
      <c r="K23" s="1504">
        <f>AVERAGE(N35:N47)</f>
        <v>26</v>
      </c>
      <c r="R23" s="1504">
        <f>H36</f>
        <v>60</v>
      </c>
      <c r="T23" s="1502"/>
    </row>
    <row r="24" spans="1:27">
      <c r="A24" s="13" t="s">
        <v>1109</v>
      </c>
      <c r="D24" s="1505"/>
      <c r="G24" s="13" t="s">
        <v>1557</v>
      </c>
      <c r="H24" s="1502"/>
      <c r="K24" s="1504">
        <f>AVERAGE(P35:P47)</f>
        <v>0.86999999999999988</v>
      </c>
      <c r="P24" s="1502"/>
      <c r="Q24" s="1502"/>
      <c r="T24" s="1502"/>
    </row>
    <row r="25" spans="1:27">
      <c r="A25" s="13" t="s">
        <v>1110</v>
      </c>
      <c r="D25" s="1505"/>
      <c r="G25" s="1502" t="s">
        <v>2019</v>
      </c>
      <c r="I25" s="1506"/>
      <c r="J25" s="1502"/>
      <c r="K25" s="1603">
        <v>0.46826388888888887</v>
      </c>
      <c r="P25" s="1502"/>
      <c r="Q25" s="1502"/>
      <c r="T25" s="1502"/>
    </row>
    <row r="26" spans="1:27">
      <c r="A26" s="1502"/>
      <c r="D26" s="1505"/>
      <c r="F26" s="1502"/>
      <c r="G26" s="1502" t="s">
        <v>2020</v>
      </c>
      <c r="I26" s="1502"/>
      <c r="J26" s="1502"/>
      <c r="K26" s="1603">
        <f>G39</f>
        <v>0.47173611111111108</v>
      </c>
      <c r="P26" s="1502"/>
      <c r="Q26" s="1502"/>
      <c r="T26" s="1502"/>
    </row>
    <row r="27" spans="1:27">
      <c r="D27" s="1502"/>
      <c r="E27" s="1502"/>
      <c r="F27" s="1502"/>
      <c r="G27" s="1608" t="s">
        <v>2024</v>
      </c>
      <c r="I27" s="1502"/>
      <c r="J27" s="1502"/>
      <c r="K27" s="1607">
        <f>K26-K25</f>
        <v>3.4722222222222099E-3</v>
      </c>
      <c r="L27" s="1502"/>
      <c r="M27" s="1502"/>
      <c r="N27" s="1502"/>
      <c r="O27" s="1502"/>
      <c r="P27" s="1502">
        <f>LOG(I35/J35)</f>
        <v>5.4206850059377127E-3</v>
      </c>
      <c r="Q27" s="1502"/>
      <c r="R27" s="1502"/>
      <c r="S27" s="1502"/>
      <c r="T27" s="1502"/>
    </row>
    <row r="28" spans="1:27">
      <c r="D28" s="1502"/>
      <c r="E28" s="1502"/>
      <c r="F28" s="1502"/>
      <c r="G28" s="13" t="s">
        <v>1555</v>
      </c>
      <c r="H28" s="1502"/>
      <c r="K28" s="1516">
        <f>(K26-K25)*86400</f>
        <v>299.99999999999892</v>
      </c>
      <c r="L28" s="1502"/>
      <c r="M28" s="1502"/>
      <c r="N28" s="1502"/>
      <c r="O28" s="1502"/>
      <c r="P28" s="1502"/>
      <c r="Q28" s="1502"/>
      <c r="R28" s="1502"/>
      <c r="S28" s="1502"/>
      <c r="T28" s="1502"/>
    </row>
    <row r="29" spans="1:27">
      <c r="D29" s="1503"/>
      <c r="E29" s="1502"/>
      <c r="F29" s="1502"/>
      <c r="G29" s="13"/>
      <c r="H29" s="1502"/>
      <c r="K29" s="1516"/>
      <c r="L29" s="1502"/>
      <c r="M29" s="1502"/>
      <c r="N29" s="1502"/>
      <c r="O29" s="1502"/>
      <c r="P29" s="1502"/>
      <c r="Q29" s="1502"/>
      <c r="R29" s="1502"/>
      <c r="S29" s="1502"/>
      <c r="T29" s="1502"/>
    </row>
    <row r="30" spans="1:27">
      <c r="D30" s="1610"/>
      <c r="E30" s="1502"/>
      <c r="F30" s="1502"/>
      <c r="G30" s="13"/>
      <c r="H30" s="1502"/>
      <c r="K30" s="1516"/>
      <c r="L30" s="1502"/>
      <c r="M30" s="1502"/>
      <c r="N30" s="1502"/>
      <c r="O30" s="1502"/>
      <c r="P30" s="1502"/>
      <c r="Q30" s="1502"/>
      <c r="R30" s="1502"/>
      <c r="S30" s="1502"/>
      <c r="T30" s="1502"/>
    </row>
    <row r="31" spans="1:27">
      <c r="D31" s="1502"/>
      <c r="E31" s="1502"/>
      <c r="F31" s="1502"/>
      <c r="I31" s="1502"/>
      <c r="J31" s="1502"/>
      <c r="K31" s="1502"/>
      <c r="L31" s="1502"/>
      <c r="M31" s="1502"/>
      <c r="N31" s="1502"/>
      <c r="O31" s="1502"/>
      <c r="P31" s="1502"/>
      <c r="Q31" s="1502"/>
      <c r="R31" s="1502"/>
      <c r="S31" s="1502"/>
      <c r="T31" s="1502"/>
      <c r="W31" s="370" t="s">
        <v>1641</v>
      </c>
      <c r="X31" s="370"/>
      <c r="Y31" s="370"/>
      <c r="Z31" s="370"/>
      <c r="AA31" s="370"/>
    </row>
    <row r="32" spans="1:27">
      <c r="D32" s="1502"/>
      <c r="F32" s="1908" t="s">
        <v>55</v>
      </c>
      <c r="G32" s="1908"/>
      <c r="H32" s="1507" t="s">
        <v>98</v>
      </c>
      <c r="I32" s="1511" t="s">
        <v>1560</v>
      </c>
      <c r="J32" s="1507" t="s">
        <v>1561</v>
      </c>
      <c r="K32" s="1503" t="s">
        <v>1562</v>
      </c>
      <c r="L32" s="1503" t="s">
        <v>1563</v>
      </c>
      <c r="M32" t="s">
        <v>2028</v>
      </c>
      <c r="N32" s="1503" t="s">
        <v>1564</v>
      </c>
      <c r="O32" s="1507" t="s">
        <v>886</v>
      </c>
      <c r="P32" s="1503" t="s">
        <v>1573</v>
      </c>
      <c r="Q32" s="1507" t="s">
        <v>1997</v>
      </c>
      <c r="R32" s="1503"/>
      <c r="S32" t="s">
        <v>1571</v>
      </c>
      <c r="T32" s="1502" t="s">
        <v>1572</v>
      </c>
      <c r="W32" s="370" t="s">
        <v>1611</v>
      </c>
      <c r="X32" s="370" t="s">
        <v>1642</v>
      </c>
      <c r="Y32" s="370" t="s">
        <v>1632</v>
      </c>
      <c r="Z32" s="370" t="s">
        <v>1633</v>
      </c>
      <c r="AA32" s="370"/>
    </row>
    <row r="33" spans="2:27">
      <c r="F33" s="1503" t="s">
        <v>2021</v>
      </c>
      <c r="G33" s="1503" t="s">
        <v>2022</v>
      </c>
      <c r="H33" s="1504" t="s">
        <v>177</v>
      </c>
      <c r="I33" s="1504" t="s">
        <v>45</v>
      </c>
      <c r="J33" s="1504" t="s">
        <v>45</v>
      </c>
      <c r="K33" s="1503"/>
      <c r="L33" s="1503"/>
      <c r="N33" s="1503"/>
      <c r="O33" s="1504" t="s">
        <v>887</v>
      </c>
      <c r="R33" s="1503"/>
      <c r="S33">
        <v>15</v>
      </c>
      <c r="T33" s="1504">
        <v>1.1399999999999999</v>
      </c>
      <c r="W33" s="370" t="s">
        <v>1612</v>
      </c>
      <c r="X33" s="370" t="s">
        <v>1613</v>
      </c>
      <c r="Y33" s="370" t="s">
        <v>1610</v>
      </c>
      <c r="Z33" s="370" t="s">
        <v>1510</v>
      </c>
      <c r="AA33" s="370"/>
    </row>
    <row r="34" spans="2:27">
      <c r="E34" s="1504"/>
      <c r="F34" s="1503"/>
      <c r="G34" s="1507"/>
      <c r="H34" s="1504"/>
      <c r="I34" s="1504"/>
      <c r="J34" s="1504"/>
      <c r="K34" s="1507"/>
      <c r="L34" s="1507"/>
      <c r="N34" s="1507"/>
      <c r="O34" s="1504"/>
      <c r="R34" s="1507"/>
      <c r="S34">
        <v>16</v>
      </c>
      <c r="T34" s="1504">
        <v>1.1100000000000001</v>
      </c>
      <c r="W34" s="370" t="s">
        <v>1614</v>
      </c>
      <c r="X34" s="370" t="s">
        <v>1615</v>
      </c>
      <c r="Y34" s="370" t="s">
        <v>1634</v>
      </c>
      <c r="Z34" s="370" t="s">
        <v>1635</v>
      </c>
      <c r="AA34" s="370"/>
    </row>
    <row r="35" spans="2:27">
      <c r="B35" s="1609"/>
      <c r="C35" s="1608">
        <f>2.303*($K$20*$D$20)/($D$21*H35)*LOG(I35/J35)</f>
        <v>7.1807171847125233E-5</v>
      </c>
      <c r="D35" s="1611"/>
      <c r="E35" s="1610"/>
      <c r="F35" s="1447">
        <f>K25</f>
        <v>0.46826388888888887</v>
      </c>
      <c r="G35" s="1513">
        <f>F35+(H35/86400)</f>
        <v>0.46895833333333331</v>
      </c>
      <c r="H35" s="1605">
        <v>60</v>
      </c>
      <c r="I35" s="1606">
        <v>169.3</v>
      </c>
      <c r="J35" s="1606">
        <v>167.2</v>
      </c>
      <c r="K35" s="1514">
        <f>IFERROR(I35/J35, "")</f>
        <v>1.0125598086124403</v>
      </c>
      <c r="L35" s="1514">
        <f>IFERROR(LOG(K35), "")</f>
        <v>5.4206850059377127E-3</v>
      </c>
      <c r="M35" s="1608">
        <f>($K$20*$D$20)/($D$21*H35)</f>
        <v>5.7520110664776311E-3</v>
      </c>
      <c r="N35" s="1502">
        <v>26</v>
      </c>
      <c r="O35" s="1515">
        <f>2.303*M35*L35</f>
        <v>7.180717184712522E-5</v>
      </c>
      <c r="P35">
        <f>VLOOKUP(N35,$S$33:$T$48,2)</f>
        <v>0.87</v>
      </c>
      <c r="Q35">
        <f>O35*P35</f>
        <v>6.2472239506998945E-5</v>
      </c>
      <c r="R35" s="1502"/>
      <c r="S35">
        <v>17</v>
      </c>
      <c r="T35" s="1504">
        <v>1.08</v>
      </c>
      <c r="W35" s="370" t="s">
        <v>1617</v>
      </c>
      <c r="X35" s="370" t="s">
        <v>1618</v>
      </c>
      <c r="Y35" s="370" t="s">
        <v>1636</v>
      </c>
      <c r="Z35" s="370" t="s">
        <v>1637</v>
      </c>
      <c r="AA35" s="370"/>
    </row>
    <row r="36" spans="2:27">
      <c r="B36" s="1609"/>
      <c r="F36" s="1604">
        <f>G35</f>
        <v>0.46895833333333331</v>
      </c>
      <c r="G36" s="1513">
        <f t="shared" ref="G36:G39" si="1">F36+(H36/86400)</f>
        <v>0.46965277777777775</v>
      </c>
      <c r="H36" s="1605">
        <v>60</v>
      </c>
      <c r="I36" s="1506">
        <f>J35</f>
        <v>167.2</v>
      </c>
      <c r="J36" s="1606">
        <v>165.1</v>
      </c>
      <c r="K36" s="1514">
        <f>IFERROR(I36/J36, "")</f>
        <v>1.0127195639006663</v>
      </c>
      <c r="L36" s="1514">
        <f>IFERROR(LOG(K36), "")</f>
        <v>5.4891998402039743E-3</v>
      </c>
      <c r="M36">
        <f>($K$20*$D$20)/($D$21*H36)</f>
        <v>5.7520110664776311E-3</v>
      </c>
      <c r="N36" s="1502">
        <v>26</v>
      </c>
      <c r="O36" s="1515">
        <f t="shared" ref="O36:O39" si="2">2.303*M36*L36</f>
        <v>7.2714779736690033E-5</v>
      </c>
      <c r="P36">
        <f>VLOOKUP(N36,$S$33:$T$48,2)</f>
        <v>0.87</v>
      </c>
      <c r="Q36">
        <f>O36*P36</f>
        <v>6.3261858370920325E-5</v>
      </c>
      <c r="R36" s="1502"/>
      <c r="S36">
        <v>18</v>
      </c>
      <c r="T36" s="1504">
        <v>1.05</v>
      </c>
      <c r="W36" s="370" t="s">
        <v>1643</v>
      </c>
      <c r="X36" s="370" t="s">
        <v>1644</v>
      </c>
      <c r="Y36" s="370" t="s">
        <v>1645</v>
      </c>
      <c r="Z36" s="370" t="s">
        <v>1646</v>
      </c>
      <c r="AA36" s="370"/>
    </row>
    <row r="37" spans="2:27">
      <c r="B37" s="1609"/>
      <c r="F37" s="1604">
        <f>G36</f>
        <v>0.46965277777777775</v>
      </c>
      <c r="G37" s="1513">
        <f t="shared" si="1"/>
        <v>0.47034722222222219</v>
      </c>
      <c r="H37" s="1605">
        <v>60</v>
      </c>
      <c r="I37" s="1506">
        <f>J36</f>
        <v>165.1</v>
      </c>
      <c r="J37" s="1606">
        <v>163</v>
      </c>
      <c r="K37" s="1514">
        <f>IFERROR(I37/J37, "")</f>
        <v>1.012883435582822</v>
      </c>
      <c r="L37" s="1514">
        <f>IFERROR(LOG(K37), "")</f>
        <v>5.5594688588357939E-3</v>
      </c>
      <c r="M37">
        <f t="shared" ref="M37:M39" si="3">($K$20*$D$20)/($D$21*H37)</f>
        <v>5.7520110664776311E-3</v>
      </c>
      <c r="N37" s="1502">
        <v>26</v>
      </c>
      <c r="O37" s="1515">
        <f t="shared" si="2"/>
        <v>7.364562509865016E-5</v>
      </c>
      <c r="P37">
        <f>VLOOKUP(N37,$S$33:$T$48,2)</f>
        <v>0.87</v>
      </c>
      <c r="Q37">
        <f>O37*P37</f>
        <v>6.4071693835825644E-5</v>
      </c>
      <c r="R37" s="1502"/>
      <c r="S37">
        <v>19</v>
      </c>
      <c r="T37" s="1504">
        <v>1.03</v>
      </c>
      <c r="W37" s="370" t="s">
        <v>1620</v>
      </c>
      <c r="X37" s="370" t="s">
        <v>1616</v>
      </c>
      <c r="Y37" s="370" t="s">
        <v>509</v>
      </c>
      <c r="Z37" s="370" t="s">
        <v>1638</v>
      </c>
      <c r="AA37" s="370"/>
    </row>
    <row r="38" spans="2:27">
      <c r="B38" s="1609"/>
      <c r="F38" s="1604">
        <f>G37</f>
        <v>0.47034722222222219</v>
      </c>
      <c r="G38" s="1513">
        <f t="shared" si="1"/>
        <v>0.47104166666666664</v>
      </c>
      <c r="H38" s="1605">
        <v>60</v>
      </c>
      <c r="I38" s="1506">
        <f>J37</f>
        <v>163</v>
      </c>
      <c r="J38" s="1606">
        <v>158.80000000000001</v>
      </c>
      <c r="K38" s="1514">
        <f>IFERROR(I38/J38, "")</f>
        <v>1.0264483627204029</v>
      </c>
      <c r="L38" s="1514">
        <f>IFERROR(LOG(K38), "")</f>
        <v>1.1337106312880279E-2</v>
      </c>
      <c r="M38">
        <f t="shared" si="3"/>
        <v>5.7520110664776311E-3</v>
      </c>
      <c r="N38" s="1502">
        <v>26</v>
      </c>
      <c r="O38" s="1515">
        <f t="shared" si="2"/>
        <v>1.5018130372201834E-4</v>
      </c>
      <c r="P38">
        <f>VLOOKUP(N38,$S$33:$T$48,2)</f>
        <v>0.87</v>
      </c>
      <c r="Q38">
        <f>O38*P38</f>
        <v>1.3065773423815596E-4</v>
      </c>
      <c r="R38" s="1502"/>
      <c r="S38">
        <v>20</v>
      </c>
      <c r="T38" s="1504">
        <v>1</v>
      </c>
      <c r="W38" s="370" t="s">
        <v>1621</v>
      </c>
      <c r="X38" s="370" t="s">
        <v>1622</v>
      </c>
      <c r="Y38" s="370" t="s">
        <v>1639</v>
      </c>
      <c r="Z38" s="370" t="s">
        <v>1640</v>
      </c>
      <c r="AA38" s="370"/>
    </row>
    <row r="39" spans="2:27">
      <c r="B39" s="1609"/>
      <c r="F39" s="1604">
        <f>G38</f>
        <v>0.47104166666666664</v>
      </c>
      <c r="G39" s="1513">
        <f t="shared" si="1"/>
        <v>0.47173611111111108</v>
      </c>
      <c r="H39" s="1605">
        <v>60</v>
      </c>
      <c r="I39" s="1506">
        <f>J38</f>
        <v>158.80000000000001</v>
      </c>
      <c r="J39" s="1606">
        <v>156.80000000000001</v>
      </c>
      <c r="K39" s="1514">
        <f>IFERROR(I39/J39, "")</f>
        <v>1.0127551020408163</v>
      </c>
      <c r="L39" s="1514">
        <f>IFERROR(LOG(K39), "")</f>
        <v>5.5044397426578127E-3</v>
      </c>
      <c r="M39">
        <f t="shared" si="3"/>
        <v>5.7520110664776311E-3</v>
      </c>
      <c r="N39" s="1502">
        <v>26</v>
      </c>
      <c r="O39" s="1515">
        <f t="shared" si="2"/>
        <v>7.2916660918355734E-5</v>
      </c>
      <c r="P39">
        <f>VLOOKUP(N39,$S$33:$T$48,2)</f>
        <v>0.87</v>
      </c>
      <c r="Q39">
        <f>O39*P39</f>
        <v>6.343749499896949E-5</v>
      </c>
      <c r="R39" s="1502"/>
      <c r="S39">
        <v>21</v>
      </c>
      <c r="T39" s="1504">
        <v>0.98</v>
      </c>
      <c r="W39" s="370" t="s">
        <v>1623</v>
      </c>
      <c r="X39" s="370" t="s">
        <v>1624</v>
      </c>
      <c r="Y39" s="370" t="s">
        <v>1647</v>
      </c>
      <c r="Z39" s="370" t="s">
        <v>1648</v>
      </c>
      <c r="AA39" s="370"/>
    </row>
    <row r="40" spans="2:27">
      <c r="D40" s="1502"/>
      <c r="E40" s="1504"/>
      <c r="F40" s="1516"/>
      <c r="G40" s="1513"/>
      <c r="H40" s="1504"/>
      <c r="I40" s="1506"/>
      <c r="J40" s="1506"/>
      <c r="K40" s="1514"/>
      <c r="L40" s="1514"/>
      <c r="M40" s="1515"/>
      <c r="N40" s="1502"/>
      <c r="O40" s="1515"/>
      <c r="R40" s="1502"/>
      <c r="S40">
        <v>22</v>
      </c>
      <c r="T40" s="1504">
        <v>0.96</v>
      </c>
      <c r="W40" s="370" t="s">
        <v>1649</v>
      </c>
      <c r="X40" s="370" t="s">
        <v>1650</v>
      </c>
      <c r="Y40" s="370" t="s">
        <v>1651</v>
      </c>
      <c r="Z40" s="370" t="s">
        <v>1652</v>
      </c>
      <c r="AA40" s="370"/>
    </row>
    <row r="41" spans="2:27">
      <c r="D41" s="1504"/>
      <c r="E41" s="1504"/>
      <c r="F41" s="1516"/>
      <c r="G41" s="1513"/>
      <c r="H41" s="1504"/>
      <c r="J41" s="1506"/>
      <c r="K41" s="1514"/>
      <c r="L41" s="1514"/>
      <c r="M41" s="1515"/>
      <c r="N41" s="1502"/>
      <c r="O41" s="1515"/>
      <c r="R41" s="1502"/>
      <c r="S41">
        <v>23</v>
      </c>
      <c r="T41" s="1504">
        <v>0.94</v>
      </c>
      <c r="W41" s="370" t="s">
        <v>1690</v>
      </c>
      <c r="X41" s="370" t="s">
        <v>1619</v>
      </c>
      <c r="Y41" s="370" t="s">
        <v>510</v>
      </c>
      <c r="Z41" s="370" t="s">
        <v>1197</v>
      </c>
      <c r="AA41" s="370"/>
    </row>
    <row r="42" spans="2:27">
      <c r="D42" s="1504"/>
      <c r="E42" s="1504"/>
      <c r="F42" s="1516"/>
      <c r="G42" s="1513"/>
      <c r="H42" s="1504"/>
      <c r="I42" s="1506"/>
      <c r="M42" s="1517" t="s">
        <v>2023</v>
      </c>
      <c r="O42" s="1510">
        <f>AVERAGE(O35:O39)</f>
        <v>8.8253108264567894E-5</v>
      </c>
      <c r="Q42">
        <f>AVERAGE(Q35:Q39)</f>
        <v>7.6780204190174067E-5</v>
      </c>
      <c r="R42" s="1502"/>
      <c r="S42">
        <v>24</v>
      </c>
      <c r="T42" s="1504">
        <v>0.92</v>
      </c>
      <c r="W42" s="370" t="s">
        <v>1626</v>
      </c>
      <c r="X42" s="370" t="s">
        <v>1627</v>
      </c>
      <c r="Y42" s="370" t="s">
        <v>1653</v>
      </c>
      <c r="Z42" s="370" t="s">
        <v>1654</v>
      </c>
      <c r="AA42" s="370"/>
    </row>
    <row r="43" spans="2:27">
      <c r="D43" s="1502"/>
      <c r="E43" s="1504"/>
      <c r="F43" s="1512"/>
      <c r="G43" s="1513"/>
      <c r="H43" s="1504"/>
      <c r="I43" s="1506"/>
      <c r="J43" s="1506"/>
      <c r="K43" s="1514"/>
      <c r="L43" s="1514"/>
      <c r="M43" s="1515"/>
      <c r="N43" s="1502"/>
      <c r="O43" s="1515"/>
      <c r="R43" s="1502"/>
      <c r="S43">
        <v>25</v>
      </c>
      <c r="T43" s="1504">
        <v>0.89</v>
      </c>
      <c r="W43" s="370" t="s">
        <v>1628</v>
      </c>
      <c r="X43" s="370" t="s">
        <v>1629</v>
      </c>
      <c r="Y43" s="370" t="s">
        <v>1655</v>
      </c>
      <c r="Z43" s="370" t="s">
        <v>1656</v>
      </c>
      <c r="AA43" s="370"/>
    </row>
    <row r="44" spans="2:27">
      <c r="D44" s="1504"/>
      <c r="E44" s="1504"/>
      <c r="F44" s="1512"/>
      <c r="G44" s="1513"/>
      <c r="H44" s="1509"/>
      <c r="J44" s="1506"/>
      <c r="K44" s="1514"/>
      <c r="L44" s="1514"/>
      <c r="M44" s="1515"/>
      <c r="N44" s="1608"/>
      <c r="O44" s="1515"/>
      <c r="R44" s="1502"/>
      <c r="S44">
        <v>26</v>
      </c>
      <c r="T44" s="1505">
        <v>0.87</v>
      </c>
      <c r="W44" s="370" t="s">
        <v>1630</v>
      </c>
      <c r="X44" s="370" t="s">
        <v>1631</v>
      </c>
      <c r="Y44" s="370" t="s">
        <v>1657</v>
      </c>
      <c r="Z44" s="370" t="s">
        <v>1658</v>
      </c>
      <c r="AA44" s="370"/>
    </row>
    <row r="45" spans="2:27">
      <c r="D45" s="1504"/>
      <c r="E45" s="1504"/>
      <c r="F45" s="1512"/>
      <c r="G45" s="1513"/>
      <c r="H45" s="1509"/>
      <c r="I45" s="1506"/>
      <c r="O45" s="502"/>
      <c r="R45" s="1502"/>
      <c r="S45">
        <v>27</v>
      </c>
      <c r="T45" s="1504">
        <v>0.85</v>
      </c>
    </row>
    <row r="46" spans="2:27">
      <c r="D46" s="1502"/>
      <c r="E46" s="1504"/>
      <c r="F46" s="1512"/>
      <c r="G46" s="1513"/>
      <c r="H46" s="1504"/>
      <c r="I46" s="1506"/>
      <c r="J46" s="1506"/>
      <c r="K46" s="1514"/>
      <c r="L46" s="1514"/>
      <c r="M46" s="1515"/>
      <c r="N46" s="1502"/>
      <c r="O46" s="1515"/>
      <c r="R46" s="1502"/>
      <c r="S46">
        <v>28</v>
      </c>
      <c r="T46" s="1504">
        <v>0.83</v>
      </c>
    </row>
    <row r="47" spans="2:27">
      <c r="D47" s="1504"/>
      <c r="E47" s="1504"/>
      <c r="F47" s="1512"/>
      <c r="G47" s="1513"/>
      <c r="H47" s="1504"/>
      <c r="J47" s="1506"/>
      <c r="K47" s="1514"/>
      <c r="L47" s="1514"/>
      <c r="M47" s="1515"/>
      <c r="N47" s="1502"/>
      <c r="O47" s="1515"/>
      <c r="R47" s="1502"/>
      <c r="S47">
        <v>29</v>
      </c>
      <c r="T47" s="1504">
        <v>0.81</v>
      </c>
    </row>
    <row r="48" spans="2:27">
      <c r="D48" s="1504"/>
      <c r="E48" s="1504"/>
      <c r="F48" s="1512"/>
      <c r="G48" s="1513"/>
      <c r="H48" s="1504"/>
      <c r="I48" s="1506"/>
      <c r="O48" s="502"/>
      <c r="R48" s="1502"/>
      <c r="S48">
        <v>30</v>
      </c>
      <c r="T48" s="1504">
        <v>0.8</v>
      </c>
    </row>
    <row r="49" spans="4:20">
      <c r="D49" s="1512"/>
      <c r="E49" s="1512"/>
      <c r="F49" s="1502"/>
      <c r="G49" s="1502"/>
      <c r="H49" s="1502"/>
      <c r="I49" s="1516"/>
      <c r="J49" s="1506"/>
      <c r="K49" s="1514"/>
      <c r="L49" s="1514"/>
      <c r="M49" s="1515"/>
      <c r="N49" s="1508"/>
      <c r="O49" s="1504"/>
      <c r="R49" s="1508"/>
      <c r="T49" s="1502"/>
    </row>
    <row r="50" spans="4:20">
      <c r="D50" s="1504"/>
      <c r="E50" s="1504"/>
      <c r="F50" s="1512"/>
      <c r="G50" s="1513"/>
      <c r="H50" s="1504"/>
      <c r="I50" s="1506"/>
      <c r="J50" s="1506"/>
      <c r="K50" s="1514"/>
      <c r="L50" s="1514"/>
      <c r="M50" s="1515"/>
      <c r="N50" s="1502"/>
      <c r="O50" s="1504"/>
      <c r="R50" s="1502"/>
      <c r="T50" s="1504"/>
    </row>
    <row r="51" spans="4:20">
      <c r="D51" s="1504"/>
      <c r="E51" s="1504"/>
      <c r="F51" s="1512"/>
      <c r="G51" s="1513"/>
      <c r="H51" s="1504"/>
      <c r="I51" s="1506"/>
      <c r="J51" s="1506"/>
      <c r="K51" s="1514" t="str">
        <f>IFERROR(I50/J51, "")</f>
        <v/>
      </c>
      <c r="L51" s="1514" t="str">
        <f>IFERROR(LOG(K51), "")</f>
        <v/>
      </c>
      <c r="M51" s="1515" t="str">
        <f>IFERROR(#REF!/H51, "")</f>
        <v/>
      </c>
      <c r="N51" s="1502"/>
      <c r="O51" s="1515" t="str">
        <f>IFERROR((2.3*($Q$25/$Q$26)*M51*L51), "")</f>
        <v/>
      </c>
      <c r="R51" s="1502"/>
      <c r="T51" s="1504"/>
    </row>
    <row r="52" spans="4:20">
      <c r="D52" s="1512"/>
      <c r="E52" s="1512"/>
      <c r="F52" s="1504"/>
      <c r="G52" s="1504"/>
      <c r="H52" s="1504"/>
      <c r="I52" s="1502"/>
      <c r="J52" s="1502"/>
      <c r="K52" s="1502"/>
      <c r="M52" s="1504"/>
      <c r="N52" s="1504"/>
      <c r="O52" s="1504"/>
      <c r="P52" s="1504"/>
      <c r="Q52" s="1509"/>
      <c r="R52" s="1509"/>
      <c r="S52" s="1509"/>
      <c r="T52" s="1502"/>
    </row>
    <row r="53" spans="4:20">
      <c r="D53" s="1911"/>
      <c r="E53" s="1911"/>
      <c r="F53" s="1504"/>
      <c r="G53" s="1504"/>
      <c r="H53" s="1504"/>
      <c r="I53" s="1504"/>
      <c r="J53" s="1504"/>
      <c r="K53" s="1504"/>
      <c r="Q53" s="1510"/>
      <c r="R53" s="1509"/>
      <c r="T53" s="1504"/>
    </row>
    <row r="57" spans="4:20">
      <c r="F57" s="1566" t="s">
        <v>1719</v>
      </c>
      <c r="G57" s="862"/>
      <c r="H57" s="14"/>
      <c r="I57" s="370"/>
      <c r="J57" s="370"/>
    </row>
    <row r="58" spans="4:20">
      <c r="F58" s="1570" t="s">
        <v>2013</v>
      </c>
      <c r="G58" s="862"/>
      <c r="H58" s="14"/>
      <c r="I58" s="370"/>
      <c r="J58" s="370"/>
    </row>
    <row r="59" spans="4:20">
      <c r="F59" s="1566" t="s">
        <v>1719</v>
      </c>
      <c r="G59" s="862"/>
      <c r="H59" s="14"/>
      <c r="I59" s="370"/>
      <c r="J59" s="370"/>
    </row>
    <row r="60" spans="4:20">
      <c r="F60" s="1566"/>
      <c r="G60" s="862"/>
      <c r="H60" s="14"/>
      <c r="I60" s="370"/>
      <c r="J60" s="370"/>
    </row>
    <row r="61" spans="4:20">
      <c r="G61" t="s">
        <v>1611</v>
      </c>
      <c r="H61" s="299" t="str">
        <f>F12</f>
        <v>SDS</v>
      </c>
    </row>
    <row r="62" spans="4:20">
      <c r="G62" s="116"/>
      <c r="M62" s="116"/>
      <c r="S62" s="116"/>
    </row>
    <row r="63" spans="4:20">
      <c r="G63" s="116" t="s">
        <v>1793</v>
      </c>
      <c r="M63" s="116"/>
      <c r="S63" s="116"/>
    </row>
    <row r="64" spans="4:20">
      <c r="G64" s="116"/>
      <c r="M64" s="116"/>
      <c r="S64" s="116"/>
    </row>
    <row r="65" spans="6:28">
      <c r="G65" s="1866" t="s">
        <v>124</v>
      </c>
      <c r="H65" s="1866"/>
      <c r="I65" s="1866" t="s">
        <v>1783</v>
      </c>
      <c r="J65" s="1867" t="s">
        <v>1788</v>
      </c>
      <c r="K65" s="1867"/>
      <c r="L65" s="1868" t="s">
        <v>1789</v>
      </c>
      <c r="M65" s="1868"/>
      <c r="N65" s="1868"/>
      <c r="O65" s="1868"/>
      <c r="P65" s="1868"/>
      <c r="Q65" s="1868"/>
      <c r="R65" s="1868"/>
      <c r="S65" s="1868"/>
    </row>
    <row r="66" spans="6:28">
      <c r="G66" s="1866"/>
      <c r="H66" s="1866"/>
      <c r="I66" s="1866"/>
      <c r="J66" s="1581" t="s">
        <v>1598</v>
      </c>
      <c r="K66" s="1581" t="s">
        <v>1718</v>
      </c>
      <c r="L66" s="1579" t="s">
        <v>1790</v>
      </c>
      <c r="M66" s="1579" t="s">
        <v>1684</v>
      </c>
      <c r="N66" s="1580" t="s">
        <v>1794</v>
      </c>
      <c r="O66" s="1580" t="s">
        <v>438</v>
      </c>
      <c r="P66" s="1580" t="s">
        <v>1791</v>
      </c>
      <c r="Q66" s="1580" t="s">
        <v>1598</v>
      </c>
      <c r="R66" s="1580" t="s">
        <v>1792</v>
      </c>
      <c r="S66" s="1580" t="s">
        <v>1718</v>
      </c>
      <c r="W66" t="s">
        <v>575</v>
      </c>
      <c r="X66" t="s">
        <v>1607</v>
      </c>
      <c r="Y66" t="s">
        <v>1608</v>
      </c>
      <c r="Z66" t="s">
        <v>1715</v>
      </c>
    </row>
    <row r="67" spans="6:28" ht="60" customHeight="1">
      <c r="G67" s="1909" t="s">
        <v>886</v>
      </c>
      <c r="H67" s="1909"/>
      <c r="I67" s="1613">
        <f>O42</f>
        <v>8.8253108264567894E-5</v>
      </c>
      <c r="J67" s="1597" t="str">
        <f>IF(I67="","CHECK",
IFERROR(
IF(AND(
I67&gt;=INDEX($X$67:$X$68,MATCH(G67,$W$67:$W$68,0)),
I67&lt;=INDEX($Y$67:$Y$68,MATCH(G67,$W$67:$W$68,0))
),
"PASS",
"REVIEW"),
"CHECK"))</f>
        <v>PASS</v>
      </c>
      <c r="K67" s="1598" t="str">
        <f>IFERROR(
INDEX($Z$67:$Z$68,
MATCH(G67,$W$67:$W$68,0)),
"")</f>
        <v>ASTM D5084; SNI; Das (2016)</v>
      </c>
      <c r="L67" s="1596" t="str" cm="1">
        <f t="array" ref="L67">IFERROR(
INDEX($X$74:$X$83,
MATCH(1,
($W$74:$W$83=G67)*
(I67&gt;=$Z$74:$Z$83)*
(I67&lt;$AA$74:$AA$83),
0)),
"")</f>
        <v>Tinggi</v>
      </c>
      <c r="M67" s="1596" cm="1">
        <f t="array" ref="M67">IFERROR(
INDEX($Y$74:$Y$83,
MATCH(1,
($W$74:$W$83=G67)*
(I67&gt;=$Z$74:$Z$83)*
(I67&lt;$AA$74:$AA$83),
0)),
"")</f>
        <v>4</v>
      </c>
      <c r="N67" s="1596" t="str" cm="1">
        <f t="array" ref="N67">IFERROR(
INDEX($Y$88:$Y$111,
MATCH(1,
($W$88:$W$111=$H$61)*
($X$88:$X$111=G67),
0)),
"")</f>
        <v>Sedang-Tinggi</v>
      </c>
      <c r="O67" s="1596" cm="1">
        <f t="array" ref="O67">IFERROR(
INDEX($Z$88:$Z$112,
MATCH(1,
($W$88:$W$111=$H$61)*
($X$88:$X$111=G67),
0)),
"")</f>
        <v>3</v>
      </c>
      <c r="P67" s="1596" cm="1">
        <f t="array" ref="P67">IFERROR(
INDEX($AA$88:$AA$112,
MATCH(1,
($W$88:$W$111=$H$61)*
($X$88:$X$111=G67),
0)),
"")</f>
        <v>4</v>
      </c>
      <c r="Q67" s="1597" t="str">
        <f>IF(AND(M67&gt;=O67,M67&lt;=P67),"PASS","REVIEW")</f>
        <v>PASS</v>
      </c>
      <c r="R67" s="1596" t="str" cm="1">
        <f t="array" ref="R67">IFERROR(
INDEX($AB$88:$AB$112,
MATCH(1,
($W$88:$W$111=$H$61)*
($X$88:$X$111=G67),
0)),
"")</f>
        <v>Pasir berlempung memiliki permeabilitas sedang karena fraksi halus.</v>
      </c>
      <c r="S67" s="1596" t="str" cm="1">
        <f t="array" ref="S67">IFERROR(
INDEX($AC$88:$AC$112,
MATCH(1,
($W$88:$W$111=$H$61)*
($X$88:$X$111=G67),
0)),
"")</f>
        <v>ASTM D5084; SNI 2435; Das (2016); Head (2006)</v>
      </c>
      <c r="W67" s="326" t="s">
        <v>886</v>
      </c>
      <c r="X67" s="1600">
        <v>9.9999999999999998E-13</v>
      </c>
      <c r="Y67" s="1601">
        <v>1</v>
      </c>
      <c r="Z67" s="326" t="s">
        <v>1996</v>
      </c>
      <c r="AA67" s="326"/>
      <c r="AB67" s="326"/>
    </row>
    <row r="68" spans="6:28" ht="72.75" customHeight="1">
      <c r="G68" s="1909" t="s">
        <v>1997</v>
      </c>
      <c r="H68" s="1909"/>
      <c r="I68" s="1613">
        <f>Q42</f>
        <v>7.6780204190174067E-5</v>
      </c>
      <c r="J68" s="1597" t="str">
        <f>IF(I68="","CHECK",
IFERROR(
IF(AND(
I68&gt;=INDEX($X$67:$X$68,MATCH(G68,$W$67:$W$68,0)),
I68&lt;=INDEX($Y$67:$Y$68,MATCH(G68,$W$67:$W$68,0))
),
"PASS",
"REVIEW"),
"CHECK"))</f>
        <v>PASS</v>
      </c>
      <c r="K68" s="1598" t="str">
        <f>IFERROR(
INDEX($Z$67:$Z$68,
MATCH(G68,$W$67:$W$68,0)),
"")</f>
        <v>ASTM D5084; SNI; Das (2016)</v>
      </c>
      <c r="L68" s="1596" t="str" cm="1">
        <f t="array" ref="L68">IFERROR(
INDEX($X$74:$X$83,
MATCH(1,
($W$74:$W$83=G68)*
(I68&gt;=$Z$74:$Z$83)*
(I68&lt;$AA$74:$AA$83),
0)),
"")</f>
        <v>Tinggi</v>
      </c>
      <c r="M68" s="1596" cm="1">
        <f t="array" ref="M68">IFERROR(
INDEX($Y$74:$Y$83,
MATCH(1,
($W$74:$W$83=G68)*
(I68&gt;=$Z$74:$Z$83)*
(I68&lt;$AA$74:$AA$83),
0)),
"")</f>
        <v>4</v>
      </c>
      <c r="N68" s="1596" t="str" cm="1">
        <f t="array" ref="N68">IFERROR(
INDEX($Y$88:$Y$111,
MATCH(1,
($W$88:$W$111=$H$61)*
($X$88:$X$111=G68),
0)),
"")</f>
        <v>Sedang-Tinggi</v>
      </c>
      <c r="O68" s="1596" cm="1">
        <f t="array" ref="O68">IFERROR(
INDEX($Z$88:$Z$112,
MATCH(1,
($W$88:$W$111=$H$61)*
($X$88:$X$111=G68),
0)),
"")</f>
        <v>3</v>
      </c>
      <c r="P68" s="1596" cm="1">
        <f t="array" ref="P68">IFERROR(
INDEX($AA$88:$AA$112,
MATCH(1,
($W$88:$W$111=$H$61)*
($X$88:$X$111=G68),
0)),
"")</f>
        <v>4</v>
      </c>
      <c r="Q68" s="1597" t="str">
        <f t="shared" ref="Q68" si="4">IF(AND(M68&gt;=O68,M68&lt;=P68),"PASS","REVIEW")</f>
        <v>PASS</v>
      </c>
      <c r="R68" s="1596" t="str" cm="1">
        <f t="array" ref="R68">IFERROR(
INDEX($AB$88:$AB$112,
MATCH(1,
($W$88:$W$111=$H$61)*
($X$88:$X$111=G68),
0)),
"")</f>
        <v>Pasir berlanau umumnya berkategori sedang hingga tinggi.</v>
      </c>
      <c r="S68" s="1596" t="str" cm="1">
        <f t="array" ref="S68">IFERROR(
INDEX($AC$88:$AC$112,
MATCH(1,
($W$88:$W$111=$H$61)*
($X$88:$X$111=G68),
0)),
"")</f>
        <v>ASTM D5084; SNI 2435; Das (2016); Head (2006)</v>
      </c>
      <c r="W68" s="326" t="s">
        <v>1997</v>
      </c>
      <c r="X68" s="1600">
        <v>9.9999999999999998E-13</v>
      </c>
      <c r="Y68" s="1601">
        <v>1</v>
      </c>
      <c r="Z68" s="326" t="s">
        <v>1996</v>
      </c>
      <c r="AA68" s="326"/>
      <c r="AB68" s="326"/>
    </row>
    <row r="69" spans="6:28">
      <c r="G69" s="1910"/>
      <c r="H69" s="1910"/>
      <c r="I69" s="869"/>
      <c r="J69" s="1597"/>
      <c r="K69" s="1598"/>
      <c r="L69" s="1596"/>
      <c r="M69" s="1596"/>
      <c r="N69" s="1596"/>
      <c r="O69" s="1596"/>
      <c r="P69" s="1596"/>
      <c r="Q69" s="1597"/>
      <c r="R69" s="1596"/>
      <c r="S69" s="1596"/>
      <c r="W69" t="s">
        <v>1898</v>
      </c>
      <c r="X69" s="5"/>
    </row>
    <row r="70" spans="6:28">
      <c r="G70" s="1910"/>
      <c r="H70" s="1910"/>
      <c r="I70" s="869"/>
      <c r="J70" s="1597"/>
      <c r="K70" s="1598"/>
      <c r="L70" s="1596"/>
      <c r="M70" s="1596"/>
      <c r="N70" s="1596"/>
      <c r="O70" s="1596"/>
      <c r="P70" s="1596"/>
      <c r="Q70" s="1597"/>
      <c r="R70" s="1596"/>
      <c r="S70" s="1602"/>
      <c r="W70" t="s">
        <v>1998</v>
      </c>
      <c r="X70" s="5"/>
    </row>
    <row r="71" spans="6:28">
      <c r="G71" s="1910"/>
      <c r="H71" s="1910"/>
      <c r="I71" s="1599"/>
      <c r="J71" s="1597"/>
      <c r="K71" s="1598"/>
      <c r="L71" s="1596"/>
      <c r="M71" s="1596"/>
      <c r="N71" s="1596"/>
      <c r="O71" s="1596"/>
      <c r="P71" s="1596"/>
      <c r="Q71" s="1597"/>
      <c r="R71" s="1596"/>
      <c r="S71" s="1596"/>
    </row>
    <row r="72" spans="6:28">
      <c r="G72" s="875"/>
      <c r="H72" s="875"/>
      <c r="I72" s="1599"/>
      <c r="J72" s="1597"/>
      <c r="K72" s="1598"/>
      <c r="L72" s="1596"/>
      <c r="M72" s="1596"/>
      <c r="N72" s="875"/>
      <c r="O72" s="875"/>
      <c r="P72" s="875"/>
      <c r="Q72" s="1597"/>
      <c r="R72" s="875"/>
      <c r="S72" s="1596"/>
    </row>
    <row r="73" spans="6:28">
      <c r="W73" t="s">
        <v>575</v>
      </c>
      <c r="X73" t="s">
        <v>1667</v>
      </c>
      <c r="Y73" t="s">
        <v>1611</v>
      </c>
      <c r="Z73" t="s">
        <v>1607</v>
      </c>
      <c r="AA73" t="s">
        <v>1608</v>
      </c>
    </row>
    <row r="74" spans="6:28">
      <c r="W74" s="326" t="s">
        <v>886</v>
      </c>
      <c r="X74" t="s">
        <v>1680</v>
      </c>
      <c r="Y74">
        <v>1</v>
      </c>
      <c r="Z74" s="502">
        <v>9.9999999999999998E-13</v>
      </c>
      <c r="AA74" s="502">
        <v>1.0000000000000001E-9</v>
      </c>
    </row>
    <row r="75" spans="6:28">
      <c r="F75" s="116" t="s">
        <v>1795</v>
      </c>
      <c r="W75" s="326" t="s">
        <v>886</v>
      </c>
      <c r="X75" t="s">
        <v>1670</v>
      </c>
      <c r="Y75">
        <v>2</v>
      </c>
      <c r="Z75" s="502">
        <v>1.0000000000000001E-9</v>
      </c>
      <c r="AA75" s="502">
        <v>9.9999999999999995E-8</v>
      </c>
    </row>
    <row r="76" spans="6:28">
      <c r="F76" t="s">
        <v>1831</v>
      </c>
      <c r="I76" s="1583" t="str">
        <f>IF(COUNTIF(J67:J68,"REVIEW")&gt;0,
"REVIEW",
"PASS")</f>
        <v>PASS</v>
      </c>
      <c r="V76" s="326"/>
      <c r="W76" s="326" t="s">
        <v>886</v>
      </c>
      <c r="X76" t="s">
        <v>1672</v>
      </c>
      <c r="Y76">
        <v>3</v>
      </c>
      <c r="Z76" s="502">
        <v>9.9999999999999995E-8</v>
      </c>
      <c r="AA76" s="502">
        <v>1.0000000000000001E-5</v>
      </c>
    </row>
    <row r="77" spans="6:28">
      <c r="F77" t="s">
        <v>1832</v>
      </c>
      <c r="I77" s="1583" t="str">
        <f>IF(COUNTIF(Q67:Q68,"REVIEW")&gt;0,
"REVIEW",
"PASS")</f>
        <v>PASS</v>
      </c>
      <c r="V77" s="326"/>
      <c r="W77" s="326" t="s">
        <v>886</v>
      </c>
      <c r="X77" t="s">
        <v>338</v>
      </c>
      <c r="Y77">
        <v>4</v>
      </c>
      <c r="Z77" s="502">
        <v>1.0000000000000001E-5</v>
      </c>
      <c r="AA77" s="502">
        <v>1E-3</v>
      </c>
    </row>
    <row r="78" spans="6:28">
      <c r="F78" t="s">
        <v>1605</v>
      </c>
      <c r="I78" s="1583" t="str">
        <f>IF(AND(I76="PASS",I77="PASS"),
"PASS",
IF(AND(I76="PASS",I77="REVIEW"),
"REVIEW",
IF(AND(I76="REVIEW",I77="PASS"),
"REVIEW",
"RE-ANALYZE")))</f>
        <v>PASS</v>
      </c>
      <c r="V78" s="326"/>
      <c r="W78" s="326" t="s">
        <v>886</v>
      </c>
      <c r="X78" t="s">
        <v>1681</v>
      </c>
      <c r="Y78">
        <v>5</v>
      </c>
      <c r="Z78" s="502">
        <v>1E-3</v>
      </c>
      <c r="AA78" s="502">
        <v>1</v>
      </c>
    </row>
    <row r="79" spans="6:28">
      <c r="V79" s="326"/>
      <c r="W79" s="326" t="s">
        <v>1997</v>
      </c>
      <c r="X79" t="s">
        <v>1680</v>
      </c>
      <c r="Y79">
        <v>1</v>
      </c>
      <c r="Z79" s="502">
        <v>9.9999999999999998E-13</v>
      </c>
      <c r="AA79" s="502">
        <v>1.0000000000000001E-9</v>
      </c>
    </row>
    <row r="80" spans="6:28">
      <c r="F80" s="116" t="s">
        <v>1833</v>
      </c>
      <c r="V80" s="326"/>
      <c r="W80" s="326" t="s">
        <v>1997</v>
      </c>
      <c r="X80" t="s">
        <v>1670</v>
      </c>
      <c r="Y80">
        <v>2</v>
      </c>
      <c r="Z80" s="502">
        <v>1.0000000000000001E-9</v>
      </c>
      <c r="AA80" s="502">
        <v>9.9999999999999995E-8</v>
      </c>
    </row>
    <row r="81" spans="6:29">
      <c r="G81" s="1907" t="str" cm="1">
        <f t="array" ref="G81">IFERROR(
INDEX($Z$116:$Z$119,
MATCH(1,
($W$116:$W$119=I76)*
($X$116:$X$119=I77),
0)),
"")</f>
        <v>Nilai koefisien permeabilitas berada dalam rentang teoritis dan sesuai dengan karakteristik umum tanah berdasarkan deskripsi megaskopis. Hasil pengujian dapat diterima secara engineering.</v>
      </c>
      <c r="H81" s="1907"/>
      <c r="I81" s="1907"/>
      <c r="J81" s="1907"/>
      <c r="K81" s="1907"/>
      <c r="L81" s="1907"/>
      <c r="M81" s="1907"/>
      <c r="N81" s="1907"/>
      <c r="O81" s="1907"/>
      <c r="P81" s="1907"/>
      <c r="Q81" s="1907"/>
      <c r="V81" s="326"/>
      <c r="W81" s="326" t="s">
        <v>1997</v>
      </c>
      <c r="X81" t="s">
        <v>1672</v>
      </c>
      <c r="Y81">
        <v>3</v>
      </c>
      <c r="Z81" s="502">
        <v>9.9999999999999995E-8</v>
      </c>
      <c r="AA81" s="502">
        <v>1.0000000000000001E-5</v>
      </c>
    </row>
    <row r="82" spans="6:29">
      <c r="G82" s="1907"/>
      <c r="H82" s="1907"/>
      <c r="I82" s="1907"/>
      <c r="J82" s="1907"/>
      <c r="K82" s="1907"/>
      <c r="L82" s="1907"/>
      <c r="M82" s="1907"/>
      <c r="N82" s="1907"/>
      <c r="O82" s="1907"/>
      <c r="P82" s="1907"/>
      <c r="Q82" s="1907"/>
      <c r="V82" s="326"/>
      <c r="W82" s="326" t="s">
        <v>1997</v>
      </c>
      <c r="X82" t="s">
        <v>338</v>
      </c>
      <c r="Y82">
        <v>4</v>
      </c>
      <c r="Z82" s="502">
        <v>1.0000000000000001E-5</v>
      </c>
      <c r="AA82" s="502">
        <v>1E-3</v>
      </c>
    </row>
    <row r="83" spans="6:29">
      <c r="G83" s="6"/>
      <c r="H83" s="6"/>
      <c r="I83" s="6"/>
      <c r="J83" s="6"/>
      <c r="K83" s="6"/>
      <c r="L83" s="6"/>
      <c r="M83" s="6"/>
      <c r="N83" s="6"/>
      <c r="O83" s="6"/>
      <c r="P83" s="6"/>
      <c r="Q83" s="6"/>
      <c r="V83" s="326"/>
      <c r="W83" s="326" t="s">
        <v>1997</v>
      </c>
      <c r="X83" t="s">
        <v>1681</v>
      </c>
      <c r="Y83">
        <v>5</v>
      </c>
      <c r="Z83" s="502">
        <v>1E-3</v>
      </c>
      <c r="AA83" s="502">
        <v>1</v>
      </c>
    </row>
    <row r="84" spans="6:29">
      <c r="F84" s="116" t="s">
        <v>2027</v>
      </c>
      <c r="V84" s="326"/>
    </row>
    <row r="85" spans="6:29">
      <c r="F85" t="s">
        <v>2025</v>
      </c>
      <c r="I85" s="1583" t="str">
        <f>IF(K23="","CHECK",
IF(AND(K23&gt;=15,K23&lt;=35),"PASS","REVIEW"))</f>
        <v>PASS</v>
      </c>
      <c r="V85" s="326"/>
    </row>
    <row r="86" spans="6:29">
      <c r="F86" s="116" t="s">
        <v>2026</v>
      </c>
      <c r="I86" s="1583" t="str">
        <f>IF(OR(K23="",K24=""),"CHECK",
IF(K23=20,
IF(ABS(K24-1)&lt;=0.01,"PASS","REVIEW"),
"PASS"))</f>
        <v>PASS</v>
      </c>
      <c r="V86" s="326"/>
    </row>
    <row r="87" spans="6:29">
      <c r="F87" t="s">
        <v>2017</v>
      </c>
      <c r="I87" s="1583" t="str">
        <f>IF(OR(K21="",K22=""),"CHECK",
IF(K21&gt;K22,"PASS","REVIEW"))</f>
        <v>PASS</v>
      </c>
      <c r="W87" s="1592" t="s">
        <v>1961</v>
      </c>
      <c r="X87" s="1592" t="s">
        <v>575</v>
      </c>
      <c r="Y87" s="1592" t="s">
        <v>1683</v>
      </c>
      <c r="Z87" s="1592" t="s">
        <v>1607</v>
      </c>
      <c r="AA87" s="1592" t="s">
        <v>1608</v>
      </c>
      <c r="AB87" s="1592" t="s">
        <v>1685</v>
      </c>
      <c r="AC87" s="1592" t="s">
        <v>1715</v>
      </c>
    </row>
    <row r="88" spans="6:29">
      <c r="F88" t="s">
        <v>2018</v>
      </c>
      <c r="I88" s="1583" t="str">
        <f>IF(K28="","CHECK",
IF(AND(K28&gt;0,K28&lt;86400),"PASS","REVIEW"))</f>
        <v>PASS</v>
      </c>
      <c r="P88" s="1578"/>
      <c r="Q88" s="1578"/>
      <c r="R88" s="1578"/>
      <c r="W88" t="s">
        <v>1612</v>
      </c>
      <c r="X88" t="s">
        <v>886</v>
      </c>
      <c r="Y88" t="s">
        <v>1680</v>
      </c>
      <c r="Z88">
        <v>1</v>
      </c>
      <c r="AA88">
        <v>2</v>
      </c>
      <c r="AB88" t="s">
        <v>1999</v>
      </c>
      <c r="AC88" t="s">
        <v>2000</v>
      </c>
    </row>
    <row r="89" spans="6:29">
      <c r="H89" s="1614"/>
      <c r="I89" s="1583"/>
      <c r="P89" s="5"/>
      <c r="Q89" s="5"/>
      <c r="R89" s="5"/>
      <c r="W89" t="s">
        <v>1612</v>
      </c>
      <c r="X89" t="s">
        <v>1997</v>
      </c>
      <c r="Y89" t="s">
        <v>1680</v>
      </c>
      <c r="Z89">
        <v>1</v>
      </c>
      <c r="AA89">
        <v>2</v>
      </c>
      <c r="AB89" t="s">
        <v>1999</v>
      </c>
      <c r="AC89" t="s">
        <v>2000</v>
      </c>
    </row>
    <row r="90" spans="6:29">
      <c r="P90" s="5"/>
      <c r="Q90" s="5"/>
      <c r="R90" s="5"/>
      <c r="W90" t="s">
        <v>1614</v>
      </c>
      <c r="X90" t="s">
        <v>886</v>
      </c>
      <c r="Y90" t="s">
        <v>2001</v>
      </c>
      <c r="Z90">
        <v>1</v>
      </c>
      <c r="AA90">
        <v>2</v>
      </c>
      <c r="AB90" t="s">
        <v>2002</v>
      </c>
      <c r="AC90" t="s">
        <v>2000</v>
      </c>
    </row>
    <row r="91" spans="6:29">
      <c r="G91" s="1612"/>
      <c r="P91" s="5"/>
      <c r="Q91" s="5"/>
      <c r="R91" s="5"/>
      <c r="W91" t="s">
        <v>1614</v>
      </c>
      <c r="X91" t="s">
        <v>1997</v>
      </c>
      <c r="Y91" t="s">
        <v>2001</v>
      </c>
    </row>
    <row r="92" spans="6:29">
      <c r="F92" s="116" t="s">
        <v>2027</v>
      </c>
      <c r="G92" s="116"/>
      <c r="H92" s="116"/>
      <c r="I92" s="1583" t="str">
        <f>IF(COUNTIF(I85:I89,"RE-ANALYZE")&gt;0,"RE-ANALYZE",
IF(COUNTIF(I85:I89,"REVIEW")&gt;0,"REVIEW",
IF(COUNTIF(I85:I89,"CHECK")&gt;0,"CHECK",
"PASS")))</f>
        <v>PASS</v>
      </c>
      <c r="P92" s="5"/>
      <c r="Q92" s="5"/>
      <c r="R92" s="5"/>
      <c r="W92" t="s">
        <v>1617</v>
      </c>
      <c r="X92" t="s">
        <v>886</v>
      </c>
      <c r="Y92" t="s">
        <v>2001</v>
      </c>
      <c r="Z92">
        <v>1</v>
      </c>
      <c r="AA92">
        <v>2</v>
      </c>
      <c r="AB92" t="s">
        <v>2002</v>
      </c>
      <c r="AC92" t="s">
        <v>2000</v>
      </c>
    </row>
    <row r="93" spans="6:29">
      <c r="P93" s="5"/>
      <c r="Q93" s="5"/>
      <c r="R93" s="5"/>
      <c r="W93" t="s">
        <v>1617</v>
      </c>
      <c r="X93" t="s">
        <v>1997</v>
      </c>
      <c r="Y93" t="s">
        <v>2001</v>
      </c>
      <c r="Z93">
        <v>1</v>
      </c>
      <c r="AA93">
        <v>2</v>
      </c>
      <c r="AB93" t="s">
        <v>2003</v>
      </c>
      <c r="AC93" t="s">
        <v>2000</v>
      </c>
    </row>
    <row r="94" spans="6:29">
      <c r="F94" s="5"/>
      <c r="G94" s="5"/>
      <c r="H94" s="5"/>
      <c r="I94" s="5"/>
      <c r="J94" s="5"/>
      <c r="K94" s="5"/>
      <c r="L94" s="5"/>
      <c r="M94" s="5"/>
      <c r="N94" s="5"/>
      <c r="O94" s="5"/>
      <c r="P94" s="5"/>
      <c r="Q94" s="5"/>
      <c r="R94" s="5"/>
      <c r="W94" t="s">
        <v>1643</v>
      </c>
      <c r="X94" t="s">
        <v>886</v>
      </c>
      <c r="Y94" t="s">
        <v>1670</v>
      </c>
      <c r="Z94">
        <v>1</v>
      </c>
      <c r="AA94">
        <v>2</v>
      </c>
      <c r="AB94" t="s">
        <v>2003</v>
      </c>
      <c r="AC94" t="s">
        <v>2000</v>
      </c>
    </row>
    <row r="95" spans="6:29">
      <c r="F95" s="5"/>
      <c r="G95" s="5"/>
      <c r="H95" s="5"/>
      <c r="I95" s="5"/>
      <c r="J95" s="5"/>
      <c r="K95" s="5"/>
      <c r="L95" s="5"/>
      <c r="M95" s="5"/>
      <c r="N95" s="5"/>
      <c r="O95" s="5"/>
      <c r="P95" s="5"/>
      <c r="Q95" s="5"/>
      <c r="R95" s="5"/>
      <c r="W95" t="s">
        <v>1643</v>
      </c>
      <c r="X95" t="s">
        <v>1997</v>
      </c>
      <c r="Y95" t="s">
        <v>1670</v>
      </c>
      <c r="Z95">
        <v>2</v>
      </c>
      <c r="AA95">
        <v>3</v>
      </c>
      <c r="AB95" t="s">
        <v>2004</v>
      </c>
      <c r="AC95" t="s">
        <v>2000</v>
      </c>
    </row>
    <row r="96" spans="6:29">
      <c r="F96" s="5"/>
      <c r="G96" s="5"/>
      <c r="H96" s="5"/>
      <c r="I96" s="5"/>
      <c r="J96" s="5"/>
      <c r="K96" s="5"/>
      <c r="L96" s="5"/>
      <c r="M96" s="5"/>
      <c r="N96" s="5"/>
      <c r="O96" s="5"/>
      <c r="P96" s="5"/>
      <c r="Q96" s="5"/>
      <c r="R96" s="5"/>
      <c r="W96" t="s">
        <v>1690</v>
      </c>
      <c r="X96" t="s">
        <v>886</v>
      </c>
      <c r="Y96" t="s">
        <v>1670</v>
      </c>
      <c r="Z96">
        <v>2</v>
      </c>
      <c r="AA96">
        <v>3</v>
      </c>
      <c r="AB96" t="s">
        <v>2004</v>
      </c>
      <c r="AC96" t="s">
        <v>2000</v>
      </c>
    </row>
    <row r="97" spans="16:29">
      <c r="P97" s="5"/>
      <c r="Q97" s="5"/>
      <c r="R97" s="5"/>
      <c r="W97" t="s">
        <v>1690</v>
      </c>
      <c r="X97" t="s">
        <v>1997</v>
      </c>
      <c r="Y97" t="s">
        <v>1670</v>
      </c>
      <c r="Z97">
        <v>2</v>
      </c>
      <c r="AA97">
        <v>3</v>
      </c>
      <c r="AB97" t="s">
        <v>2005</v>
      </c>
      <c r="AC97" t="s">
        <v>2000</v>
      </c>
    </row>
    <row r="98" spans="16:29">
      <c r="W98" t="s">
        <v>1626</v>
      </c>
      <c r="X98" t="s">
        <v>886</v>
      </c>
      <c r="Y98" t="s">
        <v>1670</v>
      </c>
      <c r="Z98">
        <v>2</v>
      </c>
      <c r="AA98">
        <v>3</v>
      </c>
      <c r="AB98" t="s">
        <v>2005</v>
      </c>
      <c r="AC98" t="s">
        <v>2000</v>
      </c>
    </row>
    <row r="99" spans="16:29">
      <c r="W99" t="s">
        <v>1626</v>
      </c>
      <c r="X99" t="s">
        <v>1997</v>
      </c>
      <c r="Y99" t="s">
        <v>1670</v>
      </c>
      <c r="Z99">
        <v>2</v>
      </c>
      <c r="AA99">
        <v>3</v>
      </c>
      <c r="AB99" t="s">
        <v>2006</v>
      </c>
      <c r="AC99" t="s">
        <v>2000</v>
      </c>
    </row>
    <row r="100" spans="16:29">
      <c r="W100" t="s">
        <v>1628</v>
      </c>
      <c r="X100" t="s">
        <v>886</v>
      </c>
      <c r="Y100" t="s">
        <v>1672</v>
      </c>
      <c r="Z100">
        <v>2</v>
      </c>
      <c r="AA100">
        <v>3</v>
      </c>
      <c r="AB100" t="s">
        <v>2006</v>
      </c>
      <c r="AC100" t="s">
        <v>2000</v>
      </c>
    </row>
    <row r="101" spans="16:29">
      <c r="W101" t="s">
        <v>1628</v>
      </c>
      <c r="X101" t="s">
        <v>1997</v>
      </c>
      <c r="Y101" t="s">
        <v>1672</v>
      </c>
      <c r="Z101">
        <v>3</v>
      </c>
      <c r="AA101">
        <v>4</v>
      </c>
      <c r="AB101" t="s">
        <v>2007</v>
      </c>
      <c r="AC101" t="s">
        <v>2000</v>
      </c>
    </row>
    <row r="102" spans="16:29">
      <c r="W102" t="s">
        <v>1621</v>
      </c>
      <c r="X102" t="s">
        <v>886</v>
      </c>
      <c r="Y102" t="s">
        <v>1672</v>
      </c>
      <c r="Z102">
        <v>3</v>
      </c>
      <c r="AA102">
        <v>4</v>
      </c>
      <c r="AB102" t="s">
        <v>2007</v>
      </c>
      <c r="AC102" t="s">
        <v>2000</v>
      </c>
    </row>
    <row r="103" spans="16:29">
      <c r="W103" t="s">
        <v>1621</v>
      </c>
      <c r="X103" t="s">
        <v>1997</v>
      </c>
      <c r="Y103" t="s">
        <v>1672</v>
      </c>
      <c r="Z103">
        <v>3</v>
      </c>
      <c r="AA103">
        <v>4</v>
      </c>
      <c r="AB103" t="s">
        <v>2008</v>
      </c>
      <c r="AC103" t="s">
        <v>2000</v>
      </c>
    </row>
    <row r="104" spans="16:29">
      <c r="W104" t="s">
        <v>1623</v>
      </c>
      <c r="X104" t="s">
        <v>886</v>
      </c>
      <c r="Y104" t="s">
        <v>1668</v>
      </c>
      <c r="Z104">
        <v>3</v>
      </c>
      <c r="AA104">
        <v>4</v>
      </c>
      <c r="AB104" t="s">
        <v>2008</v>
      </c>
      <c r="AC104" t="s">
        <v>2000</v>
      </c>
    </row>
    <row r="105" spans="16:29">
      <c r="W105" t="s">
        <v>1623</v>
      </c>
      <c r="X105" t="s">
        <v>1997</v>
      </c>
      <c r="Y105" t="s">
        <v>1668</v>
      </c>
      <c r="Z105">
        <v>3</v>
      </c>
      <c r="AA105">
        <v>4</v>
      </c>
      <c r="AB105" t="s">
        <v>2009</v>
      </c>
      <c r="AC105" t="s">
        <v>2000</v>
      </c>
    </row>
    <row r="106" spans="16:29">
      <c r="W106" t="s">
        <v>1620</v>
      </c>
      <c r="X106" t="s">
        <v>886</v>
      </c>
      <c r="Y106" t="s">
        <v>338</v>
      </c>
      <c r="Z106">
        <v>3</v>
      </c>
      <c r="AA106">
        <v>4</v>
      </c>
      <c r="AB106" t="s">
        <v>2009</v>
      </c>
      <c r="AC106" t="s">
        <v>2000</v>
      </c>
    </row>
    <row r="107" spans="16:29">
      <c r="W107" t="s">
        <v>1620</v>
      </c>
      <c r="X107" t="s">
        <v>1997</v>
      </c>
      <c r="Y107" t="s">
        <v>338</v>
      </c>
      <c r="Z107">
        <v>4</v>
      </c>
      <c r="AA107">
        <v>5</v>
      </c>
      <c r="AB107" t="s">
        <v>2010</v>
      </c>
      <c r="AC107" t="s">
        <v>2000</v>
      </c>
    </row>
    <row r="108" spans="16:29">
      <c r="W108" t="s">
        <v>1649</v>
      </c>
      <c r="X108" t="s">
        <v>886</v>
      </c>
      <c r="Y108" t="s">
        <v>1681</v>
      </c>
      <c r="Z108">
        <v>4</v>
      </c>
      <c r="AA108">
        <v>5</v>
      </c>
      <c r="AB108" t="s">
        <v>2010</v>
      </c>
      <c r="AC108" t="s">
        <v>2000</v>
      </c>
    </row>
    <row r="109" spans="16:29">
      <c r="W109" t="s">
        <v>1649</v>
      </c>
      <c r="X109" t="s">
        <v>1997</v>
      </c>
      <c r="Y109" t="s">
        <v>1681</v>
      </c>
      <c r="Z109">
        <v>5</v>
      </c>
      <c r="AA109">
        <v>5</v>
      </c>
      <c r="AB109" t="s">
        <v>2011</v>
      </c>
      <c r="AC109" t="s">
        <v>2000</v>
      </c>
    </row>
    <row r="110" spans="16:29">
      <c r="W110" t="s">
        <v>1630</v>
      </c>
      <c r="X110" t="s">
        <v>886</v>
      </c>
      <c r="Y110" t="s">
        <v>1681</v>
      </c>
      <c r="Z110">
        <v>5</v>
      </c>
      <c r="AA110">
        <v>5</v>
      </c>
      <c r="AB110" t="s">
        <v>2011</v>
      </c>
      <c r="AC110" t="s">
        <v>2000</v>
      </c>
    </row>
    <row r="111" spans="16:29">
      <c r="W111" t="s">
        <v>1630</v>
      </c>
      <c r="X111" t="s">
        <v>1997</v>
      </c>
      <c r="Y111" t="s">
        <v>1681</v>
      </c>
      <c r="Z111">
        <v>5</v>
      </c>
      <c r="AA111">
        <v>5</v>
      </c>
      <c r="AB111" t="s">
        <v>2012</v>
      </c>
      <c r="AC111" t="s">
        <v>2000</v>
      </c>
    </row>
    <row r="112" spans="16:29">
      <c r="Z112">
        <v>5</v>
      </c>
      <c r="AA112">
        <v>5</v>
      </c>
      <c r="AB112" t="s">
        <v>2012</v>
      </c>
      <c r="AC112" t="s">
        <v>2000</v>
      </c>
    </row>
    <row r="113" spans="20:27">
      <c r="T113" s="1592"/>
      <c r="U113" s="1592"/>
      <c r="V113" s="1592"/>
      <c r="W113" s="1592"/>
      <c r="X113" s="1592"/>
      <c r="Y113" s="1592"/>
      <c r="Z113" s="1592"/>
      <c r="AA113" s="1592"/>
    </row>
    <row r="115" spans="20:27">
      <c r="W115" t="s">
        <v>1982</v>
      </c>
      <c r="X115" t="s">
        <v>1983</v>
      </c>
      <c r="Y115" t="s">
        <v>1984</v>
      </c>
      <c r="Z115" t="s">
        <v>1749</v>
      </c>
    </row>
    <row r="116" spans="20:27">
      <c r="W116" t="s">
        <v>1733</v>
      </c>
      <c r="X116" t="s">
        <v>1733</v>
      </c>
      <c r="Y116" t="s">
        <v>1733</v>
      </c>
      <c r="Z116" t="s">
        <v>2014</v>
      </c>
    </row>
    <row r="117" spans="20:27">
      <c r="W117" t="s">
        <v>1733</v>
      </c>
      <c r="X117" t="s">
        <v>1735</v>
      </c>
      <c r="Y117" t="s">
        <v>1735</v>
      </c>
      <c r="Z117" t="s">
        <v>2015</v>
      </c>
    </row>
    <row r="118" spans="20:27">
      <c r="W118" t="s">
        <v>1735</v>
      </c>
      <c r="X118" t="s">
        <v>1733</v>
      </c>
      <c r="Y118" t="s">
        <v>1735</v>
      </c>
      <c r="Z118" t="s">
        <v>2015</v>
      </c>
    </row>
    <row r="119" spans="20:27">
      <c r="W119" t="s">
        <v>1735</v>
      </c>
      <c r="X119" t="s">
        <v>1735</v>
      </c>
      <c r="Y119" t="s">
        <v>1829</v>
      </c>
      <c r="Z119" t="s">
        <v>2016</v>
      </c>
    </row>
  </sheetData>
  <mergeCells count="22">
    <mergeCell ref="D53:E53"/>
    <mergeCell ref="A12:C12"/>
    <mergeCell ref="L12:N12"/>
    <mergeCell ref="A13:C13"/>
    <mergeCell ref="A7:C7"/>
    <mergeCell ref="A9:C9"/>
    <mergeCell ref="L9:N9"/>
    <mergeCell ref="A10:C10"/>
    <mergeCell ref="L10:N10"/>
    <mergeCell ref="A11:C11"/>
    <mergeCell ref="M17:R19"/>
    <mergeCell ref="G81:Q82"/>
    <mergeCell ref="F32:G32"/>
    <mergeCell ref="G68:H68"/>
    <mergeCell ref="G69:H69"/>
    <mergeCell ref="G70:H70"/>
    <mergeCell ref="G71:H71"/>
    <mergeCell ref="G65:H66"/>
    <mergeCell ref="I65:I66"/>
    <mergeCell ref="J65:K65"/>
    <mergeCell ref="L65:S65"/>
    <mergeCell ref="G67:H67"/>
  </mergeCells>
  <conditionalFormatting sqref="H89">
    <cfRule type="expression" dxfId="281" priority="33">
      <formula>ISNUMBER(SEARCH("RE-ANALYZE",$I90))</formula>
    </cfRule>
    <cfRule type="expression" dxfId="280" priority="34">
      <formula>ISNUMBER(SEARCH("REVIEW",$I90))</formula>
    </cfRule>
    <cfRule type="expression" dxfId="279" priority="35">
      <formula>ISNUMBER(SEARCH("CHECK",$I90))</formula>
    </cfRule>
    <cfRule type="expression" dxfId="278" priority="36">
      <formula>ISNUMBER(SEARCH("PASS",$I90))</formula>
    </cfRule>
  </conditionalFormatting>
  <conditionalFormatting sqref="I76:I78 G91">
    <cfRule type="expression" dxfId="277" priority="17">
      <formula>ISNUMBER(SEARCH("RE-ANALYZE",$I76))</formula>
    </cfRule>
    <cfRule type="expression" dxfId="276" priority="18">
      <formula>ISNUMBER(SEARCH("REVIEW",$I76))</formula>
    </cfRule>
    <cfRule type="expression" dxfId="275" priority="19">
      <formula>ISNUMBER(SEARCH("CHECK",$I76))</formula>
    </cfRule>
    <cfRule type="expression" dxfId="274" priority="20">
      <formula>ISNUMBER(SEARCH("PASS",$I76))</formula>
    </cfRule>
  </conditionalFormatting>
  <conditionalFormatting sqref="I85:I89">
    <cfRule type="expression" dxfId="273" priority="5">
      <formula>ISNUMBER(SEARCH("RE-ANALYZE",$I85))</formula>
    </cfRule>
    <cfRule type="expression" dxfId="272" priority="6">
      <formula>ISNUMBER(SEARCH("REVIEW",$I85))</formula>
    </cfRule>
    <cfRule type="expression" dxfId="271" priority="7">
      <formula>ISNUMBER(SEARCH("CHECK",$I85))</formula>
    </cfRule>
    <cfRule type="expression" dxfId="270" priority="8">
      <formula>ISNUMBER(SEARCH("PASS",$I85))</formula>
    </cfRule>
  </conditionalFormatting>
  <conditionalFormatting sqref="I92">
    <cfRule type="expression" dxfId="269" priority="1">
      <formula>ISNUMBER(SEARCH("RE-ANALYZE",$I92))</formula>
    </cfRule>
    <cfRule type="expression" dxfId="268" priority="2">
      <formula>ISNUMBER(SEARCH("REVIEW",$I92))</formula>
    </cfRule>
    <cfRule type="expression" dxfId="267" priority="3">
      <formula>ISNUMBER(SEARCH("CHECK",$I92))</formula>
    </cfRule>
    <cfRule type="expression" dxfId="266" priority="4">
      <formula>ISNUMBER(SEARCH("PASS",$I92))</formula>
    </cfRule>
  </conditionalFormatting>
  <conditionalFormatting sqref="J67:J72">
    <cfRule type="expression" dxfId="265" priority="25">
      <formula>ISNUMBER(SEARCH("RE-ANALYZE",$J67))</formula>
    </cfRule>
    <cfRule type="expression" dxfId="264" priority="26">
      <formula>ISNUMBER(SEARCH("REVIEW",$J67))</formula>
    </cfRule>
    <cfRule type="expression" dxfId="263" priority="27">
      <formula>ISNUMBER(SEARCH("CHECK",$J67))</formula>
    </cfRule>
    <cfRule type="expression" dxfId="262" priority="28">
      <formula>ISNUMBER(SEARCH("PASS",$J67))</formula>
    </cfRule>
  </conditionalFormatting>
  <conditionalFormatting sqref="Q67:Q72">
    <cfRule type="expression" dxfId="261" priority="21">
      <formula>ISNUMBER(SEARCH("RE-ANALYZE",$Q67))</formula>
    </cfRule>
    <cfRule type="expression" dxfId="260" priority="22">
      <formula>ISNUMBER(SEARCH("REVIEW",$Q67))</formula>
    </cfRule>
    <cfRule type="expression" dxfId="259" priority="23">
      <formula>ISNUMBER(SEARCH("CHECK",$Q67))</formula>
    </cfRule>
    <cfRule type="expression" dxfId="258" priority="24">
      <formula>ISNUMBER(SEARCH("PASS",$Q67))</formula>
    </cfRule>
  </conditionalFormatting>
  <dataValidations count="2">
    <dataValidation type="list" allowBlank="1" showInputMessage="1" showErrorMessage="1" sqref="P9" xr:uid="{55182249-E605-4BE5-AB45-4591927DF3D2}">
      <formula1>"RAFLY,RIZKI,NOUFAL"</formula1>
    </dataValidation>
    <dataValidation type="list" allowBlank="1" showInputMessage="1" showErrorMessage="1" sqref="D12" xr:uid="{95E051E7-FD76-40F1-97AE-BC95C5B8EFA0}">
      <formula1>$Z$33:$Z$44</formula1>
    </dataValidation>
  </dataValidations>
  <pageMargins left="0.7" right="0.7" top="0.75" bottom="0.75" header="0.3" footer="0.3"/>
  <pageSetup paperSize="14"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848E-53A6-4A52-965B-49F7AD265F1D}">
  <sheetPr>
    <tabColor rgb="FFFF0000"/>
  </sheetPr>
  <dimension ref="A1:AA151"/>
  <sheetViews>
    <sheetView view="pageLayout" topLeftCell="A53" zoomScaleNormal="100" zoomScaleSheetLayoutView="69" workbookViewId="0">
      <selection activeCell="W46" sqref="W46"/>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897"/>
      <c r="B3" s="897"/>
      <c r="C3" s="897"/>
      <c r="D3" s="897"/>
      <c r="E3" s="897"/>
      <c r="F3" s="1700" t="s">
        <v>304</v>
      </c>
      <c r="G3" s="1700"/>
      <c r="H3" s="1700"/>
      <c r="I3" s="1700"/>
      <c r="J3" s="1700"/>
      <c r="K3" s="1700"/>
      <c r="L3" s="1700"/>
      <c r="M3" s="1700"/>
      <c r="N3" s="1700"/>
      <c r="O3" s="1700"/>
      <c r="P3" s="1700"/>
      <c r="Q3" s="1700"/>
      <c r="R3" s="1700"/>
      <c r="S3" s="1700"/>
      <c r="T3" s="1700"/>
      <c r="U3" s="897"/>
      <c r="V3" s="897"/>
      <c r="W3" s="897"/>
      <c r="X3" s="897"/>
    </row>
    <row r="4" spans="1:25" ht="8.1" customHeight="1"/>
    <row r="5" spans="1:25" ht="8.1" customHeight="1"/>
    <row r="6" spans="1:25" ht="15.95" customHeight="1">
      <c r="A6" s="1912" t="s">
        <v>1346</v>
      </c>
      <c r="B6" s="1912"/>
      <c r="C6" s="1912"/>
      <c r="D6" s="1912"/>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1"</f>
        <v>:  1 dari 1</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IF('WS-PFH'!D7="","",'WS-PFH'!D7)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"&amp;IF('WS-PFH'!D9="","",'WS-PFH'!D9)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str">
        <f>":  "&amp;IF('WS-PFH'!D10="","",'WS-PFH'!D10)</f>
        <v>:  22.50 - 22.95 m</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"&amp;IF('WS-PFH'!D11="","",'WS-PFH'!D11)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"&amp;IF('WS-PFH'!D12="","",'WS-PFH'!D12)</f>
        <v>:  Pasir Lanauan / Silty Sand</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"&amp;IF('WS-PFH'!D13="","",'WS-PFH'!D13)</f>
        <v>:  Hitam / Black</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"&amp;IF('WS-PFH'!O12="","",TEXT('WS-PFH'!O12,"dd mmmm yyyy"))</f>
        <v>:  25 April 2026</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'WS-PFH'!A2</f>
        <v>UJI PERMEABILITAS-METODE FALLING HEAD</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INDUK'!$BS$54</f>
        <v>03-6870-2002</v>
      </c>
      <c r="W26" s="1704"/>
      <c r="X26" s="1704"/>
    </row>
    <row r="27" spans="1:24">
      <c r="A27" s="1650" t="str">
        <f>'WS-PFH'!A3</f>
        <v>PERMEABILITY TEST - FALLING HEAD METHOD</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1117" t="s">
        <v>1331</v>
      </c>
      <c r="B29" s="879"/>
      <c r="C29" s="879"/>
      <c r="D29" s="879"/>
      <c r="E29" s="879"/>
      <c r="F29" s="879"/>
      <c r="G29" s="879"/>
      <c r="H29" s="879"/>
      <c r="I29" s="1189"/>
      <c r="J29" s="879"/>
      <c r="K29" s="335"/>
      <c r="L29" s="1117" t="s">
        <v>1550</v>
      </c>
      <c r="M29" s="1117"/>
      <c r="N29" s="1174"/>
      <c r="O29" s="1174"/>
      <c r="P29" s="1117"/>
      <c r="Q29" s="1117"/>
      <c r="R29" s="1117"/>
      <c r="S29" s="1117"/>
      <c r="T29" s="1117"/>
      <c r="U29" s="1117"/>
      <c r="V29" s="1117"/>
      <c r="W29" s="335"/>
      <c r="X29" s="335"/>
    </row>
    <row r="30" spans="1:24">
      <c r="A30" s="1913" t="s">
        <v>575</v>
      </c>
      <c r="B30" s="1913"/>
      <c r="C30" s="1913"/>
      <c r="D30" s="1913"/>
      <c r="E30" s="1913"/>
      <c r="F30" s="1913"/>
      <c r="G30" s="1913"/>
      <c r="H30" s="1913"/>
      <c r="I30" s="1176"/>
      <c r="J30" s="15"/>
      <c r="K30" s="15"/>
      <c r="L30" s="1913" t="s">
        <v>575</v>
      </c>
      <c r="M30" s="1913"/>
      <c r="N30" s="1913"/>
      <c r="O30" s="1913"/>
      <c r="P30" s="1913"/>
      <c r="Q30" s="1913"/>
      <c r="R30" s="1913"/>
      <c r="S30" s="1913"/>
      <c r="T30" s="1913"/>
      <c r="U30" s="335"/>
      <c r="V30" s="335"/>
      <c r="W30" s="335"/>
      <c r="X30" s="335"/>
    </row>
    <row r="31" spans="1:24">
      <c r="A31" s="13" t="s">
        <v>1565</v>
      </c>
      <c r="B31" s="13"/>
      <c r="C31" s="13"/>
      <c r="D31" s="13"/>
      <c r="E31" s="13"/>
      <c r="F31" s="13"/>
      <c r="G31" s="13"/>
      <c r="H31" s="13">
        <f>'WS-PFH'!D19</f>
        <v>6.44</v>
      </c>
      <c r="I31" s="1176"/>
      <c r="J31" s="15"/>
      <c r="K31" s="15"/>
      <c r="L31" s="13" t="s">
        <v>1551</v>
      </c>
      <c r="M31" s="13"/>
      <c r="N31" s="13"/>
      <c r="O31" s="13"/>
      <c r="P31" s="13"/>
      <c r="Q31" s="13"/>
      <c r="R31" s="13"/>
      <c r="S31" s="13"/>
      <c r="T31" s="13"/>
      <c r="U31" s="1919">
        <f>'WS-PFH'!K19</f>
        <v>1.4990000000000001</v>
      </c>
      <c r="V31" s="1919"/>
      <c r="W31" s="335"/>
      <c r="X31" s="335"/>
    </row>
    <row r="32" spans="1:24">
      <c r="A32" s="13" t="s">
        <v>1566</v>
      </c>
      <c r="B32" s="13"/>
      <c r="C32" s="13"/>
      <c r="D32" s="13"/>
      <c r="E32" s="13"/>
      <c r="F32" s="13"/>
      <c r="G32" s="13"/>
      <c r="H32" s="13">
        <f>'WS-PFH'!D20</f>
        <v>6.37</v>
      </c>
      <c r="I32" s="1176"/>
      <c r="J32" s="15"/>
      <c r="K32" s="15"/>
      <c r="L32" s="13" t="s">
        <v>1552</v>
      </c>
      <c r="M32" s="13"/>
      <c r="N32" s="13"/>
      <c r="O32" s="13"/>
      <c r="P32" s="13"/>
      <c r="Q32" s="13"/>
      <c r="R32" s="13"/>
      <c r="S32" s="13"/>
      <c r="T32" s="13"/>
      <c r="U32" s="1919">
        <f>'WS-PFH'!K20</f>
        <v>1.76479045855223</v>
      </c>
      <c r="V32" s="1919"/>
      <c r="W32" s="335"/>
      <c r="X32" s="335"/>
    </row>
    <row r="33" spans="1:24">
      <c r="A33" s="13" t="s">
        <v>1576</v>
      </c>
      <c r="B33" s="13"/>
      <c r="C33" s="13"/>
      <c r="D33" s="13"/>
      <c r="E33" s="13"/>
      <c r="F33" s="13"/>
      <c r="G33" s="13"/>
      <c r="H33" s="13">
        <f>'WS-PFH'!$D$21</f>
        <v>32.573289269480412</v>
      </c>
      <c r="I33" s="1176"/>
      <c r="J33" s="15"/>
      <c r="K33" s="15"/>
      <c r="L33" s="13" t="s">
        <v>1553</v>
      </c>
      <c r="M33" s="13"/>
      <c r="N33" s="13"/>
      <c r="O33" s="13"/>
      <c r="P33" s="13"/>
      <c r="Q33" s="13"/>
      <c r="R33" s="13"/>
      <c r="S33" s="13"/>
      <c r="T33" s="13"/>
      <c r="U33" s="1920">
        <f>'WS-PFH'!K21</f>
        <v>169.3</v>
      </c>
      <c r="V33" s="1920"/>
      <c r="W33" s="335"/>
      <c r="X33" s="335"/>
    </row>
    <row r="34" spans="1:24">
      <c r="A34" s="13" t="s">
        <v>1567</v>
      </c>
      <c r="B34" s="13"/>
      <c r="C34" s="13"/>
      <c r="D34" s="13"/>
      <c r="E34" s="13"/>
      <c r="F34" s="13"/>
      <c r="G34" s="13"/>
      <c r="H34" s="13"/>
      <c r="I34" s="1176"/>
      <c r="J34" s="15"/>
      <c r="K34" s="15"/>
      <c r="L34" s="13" t="s">
        <v>1554</v>
      </c>
      <c r="M34" s="13"/>
      <c r="N34" s="13"/>
      <c r="O34" s="13"/>
      <c r="P34" s="13"/>
      <c r="Q34" s="13"/>
      <c r="R34" s="13"/>
      <c r="S34" s="13"/>
      <c r="T34" s="13"/>
      <c r="U34" s="1920">
        <f>'WS-PFH'!K22</f>
        <v>156.80000000000001</v>
      </c>
      <c r="V34" s="1920"/>
      <c r="W34" s="335"/>
      <c r="X34" s="335"/>
    </row>
    <row r="35" spans="1:24">
      <c r="A35" s="13" t="s">
        <v>1108</v>
      </c>
      <c r="B35" s="13"/>
      <c r="C35" s="13"/>
      <c r="D35" s="13"/>
      <c r="E35" s="13"/>
      <c r="F35" s="13"/>
      <c r="G35" s="13"/>
      <c r="H35" s="13"/>
      <c r="I35" s="1176"/>
      <c r="J35" s="15"/>
      <c r="K35" s="15"/>
      <c r="L35" s="13" t="s">
        <v>1555</v>
      </c>
      <c r="M35" s="13"/>
      <c r="N35" s="13"/>
      <c r="O35" s="13"/>
      <c r="P35" s="13"/>
      <c r="Q35" s="13"/>
      <c r="R35" s="13"/>
      <c r="S35" s="13"/>
      <c r="T35" s="13"/>
      <c r="U35" s="1920">
        <f>'WS-PFH'!K28</f>
        <v>299.99999999999892</v>
      </c>
      <c r="V35" s="1920"/>
      <c r="W35" s="335"/>
      <c r="X35" s="335"/>
    </row>
    <row r="36" spans="1:24">
      <c r="A36" s="13" t="s">
        <v>1109</v>
      </c>
      <c r="B36" s="13"/>
      <c r="C36" s="13"/>
      <c r="D36" s="13"/>
      <c r="E36" s="13"/>
      <c r="F36" s="13"/>
      <c r="G36" s="13"/>
      <c r="H36" s="13"/>
      <c r="I36" s="1176"/>
      <c r="J36" s="15"/>
      <c r="K36" s="15"/>
      <c r="L36" s="13" t="s">
        <v>1556</v>
      </c>
      <c r="M36" s="13"/>
      <c r="N36" s="13"/>
      <c r="O36" s="13"/>
      <c r="P36" s="13"/>
      <c r="Q36" s="13"/>
      <c r="R36" s="13"/>
      <c r="S36" s="13"/>
      <c r="T36" s="13"/>
      <c r="U36" s="1920">
        <f>'WS-PFH'!K23</f>
        <v>26</v>
      </c>
      <c r="V36" s="1920"/>
      <c r="W36" s="335"/>
      <c r="X36" s="335"/>
    </row>
    <row r="37" spans="1:24">
      <c r="A37" s="13" t="s">
        <v>1110</v>
      </c>
      <c r="B37" s="13"/>
      <c r="C37" s="13"/>
      <c r="D37" s="13"/>
      <c r="E37" s="13"/>
      <c r="F37" s="13"/>
      <c r="G37" s="13"/>
      <c r="H37" s="13"/>
      <c r="I37" s="1521"/>
      <c r="J37" s="1127"/>
      <c r="K37" s="1127"/>
      <c r="L37" s="13" t="s">
        <v>1557</v>
      </c>
      <c r="M37" s="13"/>
      <c r="N37" s="13"/>
      <c r="O37" s="13"/>
      <c r="P37" s="13"/>
      <c r="Q37" s="13"/>
      <c r="R37" s="13"/>
      <c r="S37" s="13"/>
      <c r="T37" s="13"/>
      <c r="U37" s="1920">
        <f>'WS-PFH'!P35</f>
        <v>0.87</v>
      </c>
      <c r="V37" s="1920"/>
    </row>
    <row r="41" spans="1:24">
      <c r="G41" s="1117" t="s">
        <v>1120</v>
      </c>
      <c r="H41" s="1174"/>
      <c r="I41" s="1175"/>
      <c r="J41" s="1174"/>
      <c r="K41" s="1174"/>
      <c r="L41" s="1174"/>
      <c r="M41" s="1174"/>
      <c r="N41" s="1174"/>
      <c r="O41" s="1174"/>
      <c r="P41" s="1174"/>
      <c r="Q41" s="1174"/>
      <c r="R41" s="1174"/>
      <c r="S41" s="1174"/>
      <c r="T41" s="116"/>
      <c r="U41" s="116"/>
      <c r="V41" s="116"/>
    </row>
    <row r="42" spans="1:24">
      <c r="G42" s="13" t="s">
        <v>1</v>
      </c>
      <c r="H42" s="1632" t="s">
        <v>1545</v>
      </c>
      <c r="I42" s="1632"/>
      <c r="J42" s="1632" t="s">
        <v>1546</v>
      </c>
      <c r="K42" s="1632"/>
      <c r="L42" s="786" t="s">
        <v>1547</v>
      </c>
      <c r="M42" s="1632" t="s">
        <v>1548</v>
      </c>
      <c r="N42" s="1632"/>
      <c r="O42" s="1632"/>
      <c r="P42" s="1632"/>
      <c r="Q42" s="1914" t="s">
        <v>1575</v>
      </c>
      <c r="R42" s="1914"/>
      <c r="S42" s="1914"/>
    </row>
    <row r="43" spans="1:24">
      <c r="G43" s="1520">
        <v>1</v>
      </c>
      <c r="H43" s="1918">
        <f>'WS-PFH'!I35</f>
        <v>169.3</v>
      </c>
      <c r="I43" s="1918"/>
      <c r="J43" s="1918">
        <f>'WS-PFH'!J35</f>
        <v>167.2</v>
      </c>
      <c r="K43" s="1918"/>
      <c r="L43" s="786">
        <v>60</v>
      </c>
      <c r="M43" s="1915">
        <f>'WS-PFH'!O35</f>
        <v>7.180717184712522E-5</v>
      </c>
      <c r="N43" s="1916"/>
      <c r="O43" s="1916"/>
      <c r="P43" s="1916"/>
      <c r="Q43" s="1916">
        <f>'WS-PFH'!Q35</f>
        <v>6.2472239506998945E-5</v>
      </c>
      <c r="R43" s="1916"/>
      <c r="S43" s="1916"/>
    </row>
    <row r="44" spans="1:24">
      <c r="G44" s="1520">
        <v>2</v>
      </c>
      <c r="H44" s="1918">
        <f>'WS-PFH'!I36</f>
        <v>167.2</v>
      </c>
      <c r="I44" s="1918"/>
      <c r="J44" s="1918">
        <f>'WS-PFH'!J36</f>
        <v>165.1</v>
      </c>
      <c r="K44" s="1918"/>
      <c r="L44" s="786">
        <v>60</v>
      </c>
      <c r="M44" s="1915">
        <f>'WS-PFH'!O36</f>
        <v>7.2714779736690033E-5</v>
      </c>
      <c r="N44" s="1916"/>
      <c r="O44" s="1916"/>
      <c r="P44" s="1916"/>
      <c r="Q44" s="1916">
        <f>'WS-PFH'!Q36</f>
        <v>6.3261858370920325E-5</v>
      </c>
      <c r="R44" s="1916"/>
      <c r="S44" s="1916"/>
    </row>
    <row r="45" spans="1:24">
      <c r="G45" s="1520">
        <v>3</v>
      </c>
      <c r="H45" s="1918">
        <f>'WS-PFH'!I37</f>
        <v>165.1</v>
      </c>
      <c r="I45" s="1918"/>
      <c r="J45" s="1918">
        <f>'WS-PFH'!J37</f>
        <v>163</v>
      </c>
      <c r="K45" s="1918"/>
      <c r="L45" s="786">
        <v>60</v>
      </c>
      <c r="M45" s="1915">
        <f>'WS-PFH'!O37</f>
        <v>7.364562509865016E-5</v>
      </c>
      <c r="N45" s="1916"/>
      <c r="O45" s="1916"/>
      <c r="P45" s="1916"/>
      <c r="Q45" s="1916">
        <f>'WS-PFH'!Q37</f>
        <v>6.4071693835825644E-5</v>
      </c>
      <c r="R45" s="1916"/>
      <c r="S45" s="1916"/>
    </row>
    <row r="46" spans="1:24">
      <c r="G46" s="1520">
        <v>4</v>
      </c>
      <c r="H46" s="1918">
        <f>'WS-PFH'!I38</f>
        <v>163</v>
      </c>
      <c r="I46" s="1918"/>
      <c r="J46" s="1918">
        <f>'WS-PFH'!J38</f>
        <v>158.80000000000001</v>
      </c>
      <c r="K46" s="1918"/>
      <c r="L46" s="1361">
        <v>60</v>
      </c>
      <c r="M46" s="1915">
        <f>'WS-PFH'!O38</f>
        <v>1.5018130372201834E-4</v>
      </c>
      <c r="N46" s="1916"/>
      <c r="O46" s="1916"/>
      <c r="P46" s="1916"/>
      <c r="Q46" s="1916">
        <f>'WS-PFH'!Q38</f>
        <v>1.3065773423815596E-4</v>
      </c>
      <c r="R46" s="1916"/>
      <c r="S46" s="1916"/>
    </row>
    <row r="47" spans="1:24">
      <c r="G47" s="1520">
        <v>5</v>
      </c>
      <c r="H47" s="1918">
        <f>'WS-PFH'!I39</f>
        <v>158.80000000000001</v>
      </c>
      <c r="I47" s="1918"/>
      <c r="J47" s="1918">
        <f>'WS-PFH'!J39</f>
        <v>156.80000000000001</v>
      </c>
      <c r="K47" s="1918"/>
      <c r="L47" s="1361">
        <v>60</v>
      </c>
      <c r="M47" s="1915">
        <f>'WS-PFH'!O39</f>
        <v>7.2916660918355734E-5</v>
      </c>
      <c r="N47" s="1916"/>
      <c r="O47" s="1916"/>
      <c r="P47" s="1916"/>
      <c r="Q47" s="1916">
        <f>'WS-PFH'!Q39</f>
        <v>6.343749499896949E-5</v>
      </c>
      <c r="R47" s="1916"/>
      <c r="S47" s="1916"/>
    </row>
    <row r="48" spans="1:24">
      <c r="H48" s="1176" t="s">
        <v>1549</v>
      </c>
      <c r="I48" s="1176"/>
      <c r="J48" s="1176"/>
      <c r="K48" s="1176"/>
    </row>
    <row r="50" spans="3:23">
      <c r="G50" s="1117" t="s">
        <v>1403</v>
      </c>
      <c r="H50" s="1117"/>
      <c r="I50" s="1117"/>
      <c r="J50" s="1117"/>
      <c r="K50" s="1117"/>
      <c r="L50" s="1117"/>
      <c r="M50" s="1117"/>
      <c r="N50" s="1117"/>
      <c r="O50" s="1117"/>
      <c r="P50" s="1117"/>
      <c r="Q50" s="1117"/>
      <c r="R50" s="1117"/>
      <c r="S50" s="1174"/>
      <c r="T50" s="1174"/>
      <c r="U50" s="1174"/>
      <c r="V50" s="1174"/>
    </row>
    <row r="51" spans="3:23">
      <c r="G51" s="1176" t="s">
        <v>575</v>
      </c>
      <c r="H51" s="1176"/>
      <c r="I51" s="1176"/>
      <c r="J51" s="1176"/>
      <c r="K51" s="1176"/>
      <c r="L51" s="1176"/>
      <c r="M51" s="1176"/>
      <c r="N51" s="1176"/>
      <c r="O51" s="1176"/>
      <c r="P51" s="1176"/>
      <c r="Q51" s="1176"/>
      <c r="S51" s="1176"/>
      <c r="T51" s="1176" t="s">
        <v>1570</v>
      </c>
    </row>
    <row r="52" spans="3:23">
      <c r="G52" s="1176" t="s">
        <v>1568</v>
      </c>
      <c r="H52" s="1176"/>
      <c r="I52" s="1176"/>
      <c r="J52" s="1176"/>
      <c r="K52" s="1176"/>
      <c r="L52" s="1176"/>
      <c r="M52" s="1176"/>
      <c r="N52" s="1176"/>
      <c r="O52" s="1176"/>
      <c r="P52" s="1176"/>
      <c r="Q52" s="1176"/>
      <c r="R52" s="1176"/>
      <c r="S52" s="1176"/>
      <c r="T52" s="1917">
        <f>AVERAGE(M43:M47)</f>
        <v>8.8253108264567894E-5</v>
      </c>
      <c r="U52" s="1917"/>
      <c r="V52" s="1917"/>
    </row>
    <row r="53" spans="3:23">
      <c r="G53" s="1176" t="s">
        <v>1569</v>
      </c>
      <c r="H53" s="1176"/>
      <c r="I53" s="1176"/>
      <c r="J53" s="1176"/>
      <c r="K53" s="1176"/>
      <c r="L53" s="1176"/>
      <c r="M53" s="1176"/>
      <c r="N53" s="1176"/>
      <c r="O53" s="1176"/>
      <c r="P53" s="1176"/>
      <c r="Q53" s="1176"/>
      <c r="R53" s="1176"/>
      <c r="S53" s="1176"/>
      <c r="T53" s="1917">
        <f>AVERAGE(Q43:Q47)</f>
        <v>7.6780204190174067E-5</v>
      </c>
      <c r="U53" s="1917"/>
      <c r="V53" s="1917"/>
    </row>
    <row r="55" spans="3:23">
      <c r="C55" s="1525"/>
      <c r="D55" s="1526"/>
      <c r="E55" s="1526"/>
      <c r="F55" s="1526"/>
      <c r="G55" s="1526"/>
      <c r="H55" s="1526"/>
      <c r="I55" s="1527"/>
      <c r="J55" s="19"/>
      <c r="K55" s="19"/>
      <c r="L55" s="19"/>
      <c r="M55" s="19"/>
      <c r="N55" s="19"/>
      <c r="O55" s="19"/>
      <c r="P55" s="19"/>
      <c r="Q55" s="19"/>
      <c r="R55" s="19"/>
      <c r="S55" s="19"/>
      <c r="T55" s="19"/>
    </row>
    <row r="56" spans="3:23">
      <c r="C56" s="1524"/>
      <c r="D56" s="19"/>
      <c r="E56" s="19"/>
      <c r="F56" s="19"/>
      <c r="G56" s="19"/>
      <c r="H56" s="19"/>
      <c r="I56" s="1092"/>
      <c r="J56" s="19"/>
      <c r="K56" s="19"/>
      <c r="L56" s="19"/>
      <c r="M56" s="19"/>
      <c r="N56" s="19"/>
      <c r="O56" s="19"/>
      <c r="P56" s="19"/>
      <c r="Q56" s="19"/>
      <c r="R56" s="19"/>
      <c r="S56" s="19"/>
      <c r="T56" s="19"/>
    </row>
    <row r="57" spans="3:23">
      <c r="C57" s="1524"/>
      <c r="D57" s="19"/>
      <c r="E57" s="19"/>
      <c r="F57" s="19"/>
      <c r="G57" s="19"/>
      <c r="H57" s="19"/>
      <c r="I57" s="1092"/>
      <c r="J57" s="19"/>
      <c r="K57" s="19"/>
      <c r="L57" s="19"/>
      <c r="M57" s="19"/>
      <c r="N57" s="19"/>
      <c r="O57" s="19"/>
      <c r="P57" s="19"/>
      <c r="Q57" s="19"/>
      <c r="R57" s="19"/>
      <c r="S57" s="19"/>
      <c r="T57" s="19"/>
    </row>
    <row r="59" spans="3:23">
      <c r="T59" s="1183" t="s">
        <v>1537</v>
      </c>
    </row>
    <row r="60" spans="3:23">
      <c r="C60" s="1661" t="s">
        <v>623</v>
      </c>
      <c r="D60" s="1662"/>
      <c r="E60" s="1662"/>
      <c r="F60" s="1662"/>
      <c r="G60" s="1663"/>
      <c r="H60" s="1661" t="s">
        <v>292</v>
      </c>
      <c r="I60" s="1662"/>
      <c r="J60" s="1662"/>
      <c r="K60" s="1662"/>
      <c r="L60" s="1663"/>
      <c r="M60" s="1661" t="s">
        <v>294</v>
      </c>
      <c r="N60" s="1662"/>
      <c r="O60" s="1662"/>
      <c r="P60" s="1662"/>
      <c r="Q60" s="1662"/>
      <c r="R60" s="1663"/>
      <c r="T60" s="1285"/>
      <c r="U60" s="1286"/>
      <c r="V60" s="1286"/>
      <c r="W60" s="1287"/>
    </row>
    <row r="61" spans="3:23" ht="15.95" customHeight="1">
      <c r="C61" s="1645" t="s">
        <v>624</v>
      </c>
      <c r="D61" s="1646"/>
      <c r="E61" s="1646"/>
      <c r="F61" s="1646"/>
      <c r="G61" s="1647"/>
      <c r="H61" s="1651" t="s">
        <v>293</v>
      </c>
      <c r="I61" s="1652"/>
      <c r="J61" s="1652"/>
      <c r="K61" s="1652"/>
      <c r="L61" s="1653"/>
      <c r="M61" s="1651" t="s">
        <v>295</v>
      </c>
      <c r="N61" s="1652"/>
      <c r="O61" s="1652"/>
      <c r="P61" s="1652"/>
      <c r="Q61" s="1652"/>
      <c r="R61" s="1653"/>
      <c r="T61" s="1284"/>
      <c r="W61" s="1283"/>
    </row>
    <row r="62" spans="3:23" ht="15.95" customHeight="1">
      <c r="C62" s="1284"/>
      <c r="D62" s="359"/>
      <c r="E62" s="359"/>
      <c r="F62" s="359"/>
      <c r="G62" s="1299"/>
      <c r="H62" s="1284"/>
      <c r="I62"/>
      <c r="K62" s="4"/>
      <c r="L62" s="1283"/>
      <c r="M62" s="1284"/>
      <c r="R62" s="1283"/>
      <c r="T62" s="1284"/>
      <c r="W62" s="1283"/>
    </row>
    <row r="63" spans="3:23">
      <c r="C63" s="1284"/>
      <c r="G63" s="1283"/>
      <c r="H63" s="1284"/>
      <c r="I63"/>
      <c r="K63" s="4"/>
      <c r="L63" s="1283"/>
      <c r="M63" s="1284"/>
      <c r="R63" s="1283"/>
      <c r="T63" s="1284"/>
      <c r="W63" s="1283"/>
    </row>
    <row r="64" spans="3:23">
      <c r="C64" s="1284"/>
      <c r="G64" s="1283"/>
      <c r="H64" s="1284"/>
      <c r="I64"/>
      <c r="K64" s="4"/>
      <c r="L64" s="1283"/>
      <c r="M64" s="1284"/>
      <c r="R64" s="1283"/>
      <c r="T64" s="1284"/>
      <c r="W64" s="1283"/>
    </row>
    <row r="65" spans="1:24">
      <c r="C65" s="1631" t="str">
        <f>'WS-PFH'!O9</f>
        <v>NOUFAL</v>
      </c>
      <c r="D65" s="1632"/>
      <c r="E65" s="1632"/>
      <c r="F65" s="1632"/>
      <c r="G65" s="1633"/>
      <c r="H65" s="1631" t="str">
        <f>IF(C65='WS-PFH'!O10,"-",'WS-PFH'!O10)</f>
        <v>-</v>
      </c>
      <c r="I65" s="1632"/>
      <c r="J65" s="1632"/>
      <c r="K65" s="1632"/>
      <c r="L65" s="1633"/>
      <c r="M65" s="1631" t="str">
        <f>'WS-PFH'!O11</f>
        <v>A.SUMARTADJI</v>
      </c>
      <c r="N65" s="1632"/>
      <c r="O65" s="1632"/>
      <c r="P65" s="1632"/>
      <c r="Q65" s="1632"/>
      <c r="R65" s="1633"/>
      <c r="T65" s="1284"/>
      <c r="W65" s="1283"/>
    </row>
    <row r="66" spans="1:24" s="15" customFormat="1" ht="12">
      <c r="C66" s="1684" t="s">
        <v>299</v>
      </c>
      <c r="D66" s="1685"/>
      <c r="E66" s="1685"/>
      <c r="F66" s="1685"/>
      <c r="G66" s="1686"/>
      <c r="H66" s="1684" t="s">
        <v>305</v>
      </c>
      <c r="I66" s="1685"/>
      <c r="J66" s="1685"/>
      <c r="K66" s="1685"/>
      <c r="L66" s="1686"/>
      <c r="M66" s="1684" t="s">
        <v>298</v>
      </c>
      <c r="N66" s="1685"/>
      <c r="O66" s="1685"/>
      <c r="P66" s="1685"/>
      <c r="Q66" s="1685"/>
      <c r="R66" s="1686"/>
      <c r="S66" s="364"/>
      <c r="T66" s="1288"/>
      <c r="U66" s="364"/>
      <c r="V66" s="364"/>
      <c r="W66" s="1289"/>
      <c r="X66" s="364"/>
    </row>
    <row r="67" spans="1:24" ht="15.95" customHeight="1">
      <c r="C67" s="1689" t="s">
        <v>291</v>
      </c>
      <c r="D67" s="1690"/>
      <c r="E67" s="1677" t="str">
        <f>IF('DATA INDUK'!$H$19,"",'DATA INDUK'!$H$19-1)</f>
        <v/>
      </c>
      <c r="F67" s="1677"/>
      <c r="G67" s="1678"/>
      <c r="H67" s="1689" t="s">
        <v>291</v>
      </c>
      <c r="I67" s="1690"/>
      <c r="J67" s="1677" t="str">
        <f>IF('DATA INDUK'!$H$19,"",'DATA INDUK'!$H$19-1)</f>
        <v/>
      </c>
      <c r="K67" s="1677"/>
      <c r="L67" s="1678"/>
      <c r="M67" s="1689" t="s">
        <v>291</v>
      </c>
      <c r="N67" s="1690"/>
      <c r="O67" s="1690"/>
      <c r="P67" s="1677" t="str">
        <f>IF('DATA INDUK'!$H$19,"",'DATA INDUK'!$H$19-1)</f>
        <v/>
      </c>
      <c r="Q67" s="1677"/>
      <c r="R67" s="1678"/>
      <c r="T67" s="1290"/>
      <c r="U67" s="1282"/>
      <c r="V67" s="1282"/>
      <c r="W67" s="1291"/>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943" t="str">
        <f>'DATA INDUK'!$BT$54</f>
        <v>23-MINEARTH-RM-LHU-PFH-R0</v>
      </c>
    </row>
    <row r="75" spans="1:24" s="326" customFormat="1" ht="15" customHeight="1">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c r="A83" s="329"/>
      <c r="B83" s="329"/>
      <c r="C83" s="329"/>
      <c r="D83" s="329"/>
      <c r="E83" s="329"/>
      <c r="F83" s="329"/>
      <c r="G83" s="329"/>
      <c r="H83" s="329"/>
      <c r="I83" s="654"/>
      <c r="J83" s="329"/>
      <c r="K83" s="329"/>
      <c r="L83" s="329"/>
      <c r="M83" s="329"/>
      <c r="N83" s="329"/>
      <c r="O83" s="329"/>
      <c r="P83" s="329"/>
      <c r="Q83" s="329"/>
      <c r="R83" s="329"/>
      <c r="S83" s="329"/>
      <c r="T83" s="329"/>
      <c r="U83" s="329"/>
      <c r="V83" s="329"/>
      <c r="W83" s="329"/>
      <c r="X83" s="329"/>
    </row>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1 dari 2"</f>
        <v>:  1 dari 2</v>
      </c>
      <c r="X85" s="1635"/>
    </row>
    <row r="86" spans="1:24" ht="8.1" customHeight="1"/>
    <row r="87" spans="1:24">
      <c r="A87" s="1679" t="s">
        <v>288</v>
      </c>
      <c r="B87" s="1679"/>
      <c r="C87" s="1679"/>
      <c r="D87" s="1679"/>
      <c r="E87" s="1679"/>
      <c r="F87" s="1679"/>
      <c r="G87" s="1679"/>
      <c r="H87" s="1679"/>
      <c r="I87" s="1679"/>
      <c r="J87" s="1679"/>
      <c r="K87" s="1679"/>
      <c r="L87" s="1679"/>
      <c r="M87" s="1679"/>
      <c r="N87" s="1679"/>
      <c r="O87" s="1679"/>
      <c r="P87" s="1679"/>
      <c r="Q87" s="1679"/>
      <c r="R87" s="1679"/>
      <c r="S87" s="1679"/>
      <c r="T87" s="1679"/>
      <c r="U87" s="1679"/>
      <c r="V87" s="1679"/>
      <c r="W87" s="1679"/>
      <c r="X87" s="1679"/>
    </row>
    <row r="140" spans="1:24">
      <c r="A140" s="700" t="s">
        <v>297</v>
      </c>
      <c r="B140" s="338"/>
      <c r="C140" s="338"/>
      <c r="D140" s="4"/>
      <c r="E140" s="4"/>
      <c r="F140" s="4"/>
      <c r="G140" s="4"/>
      <c r="H140" s="1661" t="s">
        <v>623</v>
      </c>
      <c r="I140" s="1662"/>
      <c r="J140" s="1662"/>
      <c r="K140" s="1663"/>
      <c r="L140" s="1661" t="s">
        <v>292</v>
      </c>
      <c r="M140" s="1662"/>
      <c r="N140" s="1662"/>
      <c r="O140" s="1663"/>
      <c r="P140" s="1661" t="s">
        <v>294</v>
      </c>
      <c r="Q140" s="1662"/>
      <c r="R140" s="1662"/>
      <c r="S140" s="1663"/>
      <c r="U140" s="1285"/>
      <c r="V140" s="1286"/>
      <c r="W140" s="1286"/>
      <c r="X140" s="1287"/>
    </row>
    <row r="141" spans="1:24" ht="15.95" customHeight="1">
      <c r="H141" s="1674" t="s">
        <v>624</v>
      </c>
      <c r="I141" s="1675"/>
      <c r="J141" s="1675"/>
      <c r="K141" s="1676"/>
      <c r="L141" s="1674" t="s">
        <v>293</v>
      </c>
      <c r="M141" s="1675"/>
      <c r="N141" s="1675"/>
      <c r="O141" s="1676"/>
      <c r="P141" s="1674" t="s">
        <v>295</v>
      </c>
      <c r="Q141" s="1675"/>
      <c r="R141" s="1675"/>
      <c r="S141" s="1676"/>
      <c r="U141" s="1284"/>
      <c r="X141" s="1283"/>
    </row>
    <row r="142" spans="1:24">
      <c r="H142" s="1664" t="str">
        <f>C65</f>
        <v>NOUFAL</v>
      </c>
      <c r="I142" s="1665"/>
      <c r="J142" s="1665"/>
      <c r="K142" s="1666"/>
      <c r="L142" s="1284"/>
      <c r="O142" s="1294"/>
      <c r="P142" s="1284"/>
      <c r="S142" s="1283"/>
      <c r="U142" s="1284"/>
      <c r="X142" s="1283"/>
    </row>
    <row r="143" spans="1:24">
      <c r="H143" s="1664"/>
      <c r="I143" s="1665"/>
      <c r="J143" s="1665"/>
      <c r="K143" s="1666"/>
      <c r="L143" s="1284"/>
      <c r="O143" s="1294"/>
      <c r="P143" s="1284"/>
      <c r="S143" s="1283"/>
      <c r="U143" s="1284"/>
      <c r="X143" s="1283"/>
    </row>
    <row r="144" spans="1:24">
      <c r="H144" s="1664"/>
      <c r="I144" s="1665"/>
      <c r="J144" s="1665"/>
      <c r="K144" s="1666"/>
      <c r="L144" s="1284"/>
      <c r="O144" s="1294"/>
      <c r="P144" s="1284"/>
      <c r="S144" s="1283"/>
      <c r="U144" s="1284"/>
      <c r="X144" s="1283"/>
    </row>
    <row r="145" spans="1:27">
      <c r="H145" s="1664"/>
      <c r="I145" s="1665"/>
      <c r="J145" s="1665"/>
      <c r="K145" s="1666"/>
      <c r="L145" s="1664" t="str">
        <f>H65</f>
        <v>-</v>
      </c>
      <c r="M145" s="1665"/>
      <c r="N145" s="1665"/>
      <c r="O145" s="1666"/>
      <c r="P145" s="1664" t="str">
        <f>M65</f>
        <v>A.SUMARTADJI</v>
      </c>
      <c r="Q145" s="1665"/>
      <c r="R145" s="1665"/>
      <c r="S145" s="1666"/>
      <c r="U145" s="1284"/>
      <c r="X145" s="1283"/>
    </row>
    <row r="146" spans="1:27">
      <c r="H146" s="1667" t="str">
        <f>C66</f>
        <v>Teknisi/Analis</v>
      </c>
      <c r="I146" s="1668"/>
      <c r="J146" s="1668"/>
      <c r="K146" s="1669"/>
      <c r="L146" s="1667" t="str">
        <f>H66</f>
        <v>Koordinator Teknis</v>
      </c>
      <c r="M146" s="1668"/>
      <c r="N146" s="1668"/>
      <c r="O146" s="1669"/>
      <c r="P146" s="1667" t="str">
        <f>M66</f>
        <v>Kepala Laboratorium</v>
      </c>
      <c r="Q146" s="1668"/>
      <c r="R146" s="1668"/>
      <c r="S146" s="1669"/>
      <c r="U146" s="1295"/>
      <c r="V146" s="358"/>
      <c r="W146" s="358"/>
      <c r="X146" s="1296"/>
      <c r="Y146" s="358"/>
      <c r="Z146" s="358"/>
      <c r="AA146" s="358"/>
    </row>
    <row r="147" spans="1:27" ht="15.95" customHeight="1">
      <c r="H147" s="1672" t="s">
        <v>291</v>
      </c>
      <c r="I147" s="1673"/>
      <c r="J147" s="1670" t="str">
        <f>E67</f>
        <v/>
      </c>
      <c r="K147" s="1671"/>
      <c r="L147" s="1659" t="s">
        <v>300</v>
      </c>
      <c r="M147" s="1660"/>
      <c r="N147" s="1657" t="str">
        <f>J67</f>
        <v/>
      </c>
      <c r="O147" s="1658"/>
      <c r="P147" s="1672" t="s">
        <v>301</v>
      </c>
      <c r="Q147" s="1673"/>
      <c r="R147" s="1677" t="str">
        <f>P67</f>
        <v/>
      </c>
      <c r="S147" s="1678"/>
      <c r="U147" s="1297"/>
      <c r="V147" s="1293"/>
      <c r="W147" s="1293"/>
      <c r="X147" s="1298"/>
    </row>
    <row r="148" spans="1:27" ht="8.1" customHeight="1"/>
    <row r="149" spans="1:27" ht="18" customHeight="1">
      <c r="B149" s="356"/>
      <c r="C149" s="356"/>
      <c r="D149" s="356"/>
      <c r="E149" s="356"/>
      <c r="T149" s="684" t="e">
        <f>#REF!</f>
        <v>#REF!</v>
      </c>
      <c r="U149" s="367"/>
      <c r="V149" s="367"/>
      <c r="W149" s="367"/>
      <c r="X149" s="367"/>
    </row>
    <row r="150" spans="1:27" ht="18" customHeight="1">
      <c r="A150" s="362"/>
      <c r="B150" s="362"/>
      <c r="C150" s="362"/>
      <c r="D150" s="362"/>
      <c r="E150" s="362"/>
    </row>
    <row r="151" spans="1:27" ht="8.1" customHeight="1"/>
  </sheetData>
  <mergeCells count="119">
    <mergeCell ref="U31:V31"/>
    <mergeCell ref="U32:V32"/>
    <mergeCell ref="U33:V33"/>
    <mergeCell ref="U34:V34"/>
    <mergeCell ref="U35:V35"/>
    <mergeCell ref="U36:V36"/>
    <mergeCell ref="U37:V37"/>
    <mergeCell ref="H43:I43"/>
    <mergeCell ref="H44:I44"/>
    <mergeCell ref="H45:I45"/>
    <mergeCell ref="H46:I46"/>
    <mergeCell ref="H47:I47"/>
    <mergeCell ref="J43:K43"/>
    <mergeCell ref="J44:K44"/>
    <mergeCell ref="J45:K45"/>
    <mergeCell ref="J46:K46"/>
    <mergeCell ref="J47:K47"/>
    <mergeCell ref="T53:V53"/>
    <mergeCell ref="W85:X85"/>
    <mergeCell ref="A87:X87"/>
    <mergeCell ref="H140:K140"/>
    <mergeCell ref="L140:O140"/>
    <mergeCell ref="P140:S140"/>
    <mergeCell ref="C61:G61"/>
    <mergeCell ref="H61:L61"/>
    <mergeCell ref="M61:R61"/>
    <mergeCell ref="P67:R67"/>
    <mergeCell ref="C65:G65"/>
    <mergeCell ref="H65:L65"/>
    <mergeCell ref="M65:R65"/>
    <mergeCell ref="C66:G66"/>
    <mergeCell ref="H66:L66"/>
    <mergeCell ref="M66:R66"/>
    <mergeCell ref="C67:D67"/>
    <mergeCell ref="E67:G67"/>
    <mergeCell ref="H67:I67"/>
    <mergeCell ref="J67:L67"/>
    <mergeCell ref="M67:O67"/>
    <mergeCell ref="R147:S147"/>
    <mergeCell ref="H142:K145"/>
    <mergeCell ref="L145:O145"/>
    <mergeCell ref="P145:S145"/>
    <mergeCell ref="H146:K146"/>
    <mergeCell ref="L146:O146"/>
    <mergeCell ref="P146:S146"/>
    <mergeCell ref="H147:I147"/>
    <mergeCell ref="J147:K147"/>
    <mergeCell ref="L147:M147"/>
    <mergeCell ref="N147:O147"/>
    <mergeCell ref="P147:Q147"/>
    <mergeCell ref="H141:K141"/>
    <mergeCell ref="L141:O141"/>
    <mergeCell ref="P141:S141"/>
    <mergeCell ref="A69:C73"/>
    <mergeCell ref="F79:T79"/>
    <mergeCell ref="F80:T80"/>
    <mergeCell ref="F81:T81"/>
    <mergeCell ref="A84:D84"/>
    <mergeCell ref="A85:D85"/>
    <mergeCell ref="M85:Q85"/>
    <mergeCell ref="T85:V85"/>
    <mergeCell ref="A26:T26"/>
    <mergeCell ref="U26:U27"/>
    <mergeCell ref="V26:X27"/>
    <mergeCell ref="A27:T27"/>
    <mergeCell ref="C60:G60"/>
    <mergeCell ref="H60:L60"/>
    <mergeCell ref="M60:R60"/>
    <mergeCell ref="L30:T30"/>
    <mergeCell ref="Q42:S42"/>
    <mergeCell ref="M43:P43"/>
    <mergeCell ref="M44:P44"/>
    <mergeCell ref="M45:P45"/>
    <mergeCell ref="M46:P46"/>
    <mergeCell ref="M47:P47"/>
    <mergeCell ref="Q43:S43"/>
    <mergeCell ref="Q44:S44"/>
    <mergeCell ref="A30:H30"/>
    <mergeCell ref="H42:I42"/>
    <mergeCell ref="J42:K42"/>
    <mergeCell ref="M42:P42"/>
    <mergeCell ref="Q45:S45"/>
    <mergeCell ref="Q46:S46"/>
    <mergeCell ref="Q47:S47"/>
    <mergeCell ref="T52:V52"/>
    <mergeCell ref="N15:R16"/>
    <mergeCell ref="S15:X16"/>
    <mergeCell ref="A17:L17"/>
    <mergeCell ref="N17:R17"/>
    <mergeCell ref="S17:X17"/>
    <mergeCell ref="N18:R19"/>
    <mergeCell ref="S18:X19"/>
    <mergeCell ref="A19:D20"/>
    <mergeCell ref="E19:L20"/>
    <mergeCell ref="N20:R21"/>
    <mergeCell ref="S20:X21"/>
    <mergeCell ref="A21:D22"/>
    <mergeCell ref="E21:L22"/>
    <mergeCell ref="N22:R23"/>
    <mergeCell ref="S22:X23"/>
    <mergeCell ref="A12:L12"/>
    <mergeCell ref="N12:X12"/>
    <mergeCell ref="A13:D13"/>
    <mergeCell ref="E13:L13"/>
    <mergeCell ref="N13:R13"/>
    <mergeCell ref="S13:X13"/>
    <mergeCell ref="A14:D14"/>
    <mergeCell ref="E14:L14"/>
    <mergeCell ref="N14:R14"/>
    <mergeCell ref="S14:X14"/>
    <mergeCell ref="F1:T1"/>
    <mergeCell ref="F2:T2"/>
    <mergeCell ref="F3:T3"/>
    <mergeCell ref="A6:D6"/>
    <mergeCell ref="A7:D7"/>
    <mergeCell ref="M7:Q7"/>
    <mergeCell ref="T7:V7"/>
    <mergeCell ref="W7:X7"/>
    <mergeCell ref="A9:L9"/>
  </mergeCells>
  <pageMargins left="0.72" right="0.47" top="0.59" bottom="0.51" header="0.28000000000000003" footer="0.28000000000000003"/>
  <pageSetup paperSize="9" scale="69" orientation="portrait" r:id="rId1"/>
  <rowBreaks count="1" manualBreakCount="1">
    <brk id="78" max="2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255A-8740-3341-B5F0-3191FCDE9608}">
  <sheetPr>
    <pageSetUpPr fitToPage="1"/>
  </sheetPr>
  <dimension ref="A1:AK504"/>
  <sheetViews>
    <sheetView topLeftCell="E44" zoomScale="71" zoomScaleNormal="71" zoomScaleSheetLayoutView="130" workbookViewId="0">
      <selection activeCell="D12" sqref="D12"/>
    </sheetView>
  </sheetViews>
  <sheetFormatPr defaultColWidth="11" defaultRowHeight="18.75"/>
  <cols>
    <col min="1" max="1" width="16" style="370" customWidth="1"/>
    <col min="2" max="2" width="25.5" style="7" customWidth="1"/>
    <col min="3" max="3" width="15.125" style="14" customWidth="1"/>
    <col min="4" max="4" width="14.625" style="370" customWidth="1"/>
    <col min="5" max="5" width="12.125" style="370" bestFit="1" customWidth="1"/>
    <col min="6" max="7" width="9.125" style="370" bestFit="1" customWidth="1"/>
    <col min="8" max="8" width="10.125" style="370" customWidth="1"/>
    <col min="9" max="9" width="9.5" style="370" bestFit="1" customWidth="1"/>
    <col min="10" max="10" width="11.625" style="370" bestFit="1" customWidth="1"/>
    <col min="11" max="11" width="10.5" style="370" bestFit="1" customWidth="1"/>
    <col min="12" max="12" width="8.375" style="370" customWidth="1"/>
    <col min="13" max="13" width="9.125" style="370" bestFit="1" customWidth="1"/>
    <col min="14" max="14" width="12.375" style="370" bestFit="1" customWidth="1"/>
    <col min="15" max="15" width="11.5" style="370" bestFit="1" customWidth="1"/>
    <col min="16" max="16" width="11" style="370"/>
    <col min="17" max="17" width="11" style="371"/>
    <col min="18" max="20" width="11" style="372"/>
    <col min="21" max="21" width="5.125" style="372" bestFit="1" customWidth="1"/>
    <col min="22" max="22" width="9.125" style="370" bestFit="1" customWidth="1"/>
    <col min="23" max="23" width="6.125" style="370" bestFit="1" customWidth="1"/>
    <col min="24" max="24" width="7.875" style="370" bestFit="1" customWidth="1"/>
    <col min="25" max="30" width="11" style="370"/>
    <col min="31" max="31" width="13.625" style="370" customWidth="1"/>
    <col min="32" max="16384" width="11" style="370"/>
  </cols>
  <sheetData>
    <row r="1" spans="1:20">
      <c r="A1" s="708" t="s">
        <v>701</v>
      </c>
      <c r="B1" s="708"/>
      <c r="C1" s="708"/>
      <c r="D1" s="708"/>
      <c r="E1" s="708"/>
      <c r="F1" s="708"/>
      <c r="G1" s="708"/>
      <c r="H1" s="708"/>
      <c r="I1" s="708"/>
      <c r="J1" s="708"/>
      <c r="K1" s="708"/>
      <c r="L1" s="708"/>
      <c r="M1" s="708"/>
      <c r="N1" s="708"/>
      <c r="O1" s="708"/>
      <c r="P1" s="708"/>
      <c r="Q1" s="708"/>
      <c r="R1" s="708"/>
      <c r="S1" s="708"/>
      <c r="T1" s="708"/>
    </row>
    <row r="2" spans="1:20" ht="23.25">
      <c r="A2" s="663" t="s">
        <v>855</v>
      </c>
      <c r="B2" s="663"/>
      <c r="C2" s="663"/>
      <c r="D2" s="663"/>
      <c r="E2" s="663"/>
      <c r="F2" s="663"/>
      <c r="G2" s="663"/>
      <c r="H2" s="663"/>
      <c r="I2" s="663"/>
      <c r="J2" s="663"/>
      <c r="K2" s="663"/>
      <c r="L2" s="663"/>
      <c r="M2" s="663"/>
      <c r="N2" s="663"/>
      <c r="O2" s="663"/>
      <c r="P2" s="663"/>
      <c r="Q2" s="663"/>
      <c r="R2" s="663"/>
      <c r="S2" s="663"/>
      <c r="T2" s="663"/>
    </row>
    <row r="3" spans="1:20" ht="23.25">
      <c r="A3" s="664" t="s">
        <v>856</v>
      </c>
      <c r="B3" s="662"/>
      <c r="C3" s="662"/>
      <c r="D3" s="662"/>
      <c r="E3" s="662"/>
      <c r="F3" s="662"/>
      <c r="G3" s="662"/>
      <c r="H3" s="662"/>
      <c r="I3" s="662"/>
      <c r="J3" s="662"/>
      <c r="K3" s="662"/>
      <c r="L3" s="662"/>
      <c r="M3" s="662"/>
      <c r="N3" s="662"/>
      <c r="O3" s="662"/>
      <c r="P3" s="662"/>
      <c r="Q3" s="662"/>
      <c r="R3" s="662"/>
      <c r="S3" s="662"/>
      <c r="T3" s="662"/>
    </row>
    <row r="4" spans="1:20">
      <c r="A4" s="709"/>
      <c r="B4" s="709"/>
      <c r="C4" s="709"/>
      <c r="D4" s="709"/>
      <c r="E4" s="709"/>
      <c r="F4" s="709"/>
      <c r="G4" s="709"/>
      <c r="H4" s="709"/>
      <c r="I4" s="709"/>
      <c r="J4" s="709"/>
      <c r="K4" s="709"/>
      <c r="L4" s="709"/>
      <c r="M4" s="709"/>
      <c r="N4" s="709"/>
      <c r="O4" s="709"/>
      <c r="P4" s="709"/>
      <c r="Q4" s="709"/>
      <c r="R4" s="709"/>
      <c r="S4" s="709"/>
      <c r="T4" s="709"/>
    </row>
    <row r="5" spans="1:20">
      <c r="A5" s="335" t="s">
        <v>718</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 t="s">
        <v>775</v>
      </c>
      <c r="B7" s="1"/>
      <c r="C7" s="1"/>
      <c r="D7" s="539" t="str">
        <f>IFERROR(INDEX('DATA INDUK'!$H$27:$H$152,MATCH(ROW(D1),'DATA INDUK'!$AW$27:$AW$152,0)),"")</f>
        <v>26-001-DS-001</v>
      </c>
      <c r="E7" s="13"/>
      <c r="F7" s="13"/>
      <c r="G7" s="13"/>
      <c r="H7" s="15"/>
      <c r="I7" s="15"/>
      <c r="J7" s="15"/>
      <c r="K7" s="15"/>
      <c r="L7" s="15"/>
      <c r="M7" s="15"/>
      <c r="N7" s="15"/>
      <c r="O7" s="15"/>
      <c r="P7" s="15"/>
      <c r="Q7" s="15"/>
      <c r="R7" s="15"/>
      <c r="S7" s="15"/>
      <c r="T7" s="335"/>
    </row>
    <row r="8" spans="1:20">
      <c r="A8" s="13"/>
      <c r="B8" s="13"/>
      <c r="C8" s="13"/>
      <c r="D8" s="540"/>
      <c r="E8" s="15"/>
      <c r="F8" s="15"/>
      <c r="G8" s="15"/>
      <c r="H8" s="15"/>
      <c r="I8" s="15"/>
      <c r="J8" s="15"/>
      <c r="K8" s="15"/>
      <c r="L8" s="15"/>
      <c r="M8" s="15"/>
      <c r="N8" s="15"/>
      <c r="O8" s="15"/>
      <c r="P8" s="15"/>
      <c r="Q8" s="15"/>
      <c r="R8" s="15"/>
      <c r="S8" s="15"/>
      <c r="T8" s="15"/>
    </row>
    <row r="9" spans="1:20">
      <c r="A9" s="1"/>
      <c r="B9" s="1"/>
      <c r="C9" s="1"/>
      <c r="D9" s="13"/>
      <c r="E9" s="15"/>
      <c r="F9" s="15"/>
      <c r="G9" s="15"/>
      <c r="H9" s="15"/>
      <c r="I9" s="15"/>
      <c r="J9" s="15"/>
      <c r="K9" s="15"/>
      <c r="L9" s="1" t="s">
        <v>703</v>
      </c>
      <c r="M9" s="1"/>
      <c r="N9" s="1"/>
      <c r="O9" s="15" t="str">
        <f>IF($D$7="","",P9)</f>
        <v>RIZKI</v>
      </c>
      <c r="P9" s="588" t="s">
        <v>1055</v>
      </c>
      <c r="Q9" s="15"/>
      <c r="R9" s="15"/>
      <c r="S9" s="15"/>
      <c r="T9" s="15" t="str">
        <f>"TTD_"&amp;O9&amp;""</f>
        <v>TTD_RIZKI</v>
      </c>
    </row>
    <row r="10" spans="1:20">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row>
    <row r="11" spans="1:20">
      <c r="A11" s="1" t="s">
        <v>778</v>
      </c>
      <c r="B11" s="1"/>
      <c r="C11" s="1"/>
      <c r="D11" s="13" t="str">
        <f>IFERROR(INDEX('DATA INDUK'!$D$27:$D$152,MATCH(ROW(D1),'DATA INDUK'!$AW$27:$AW$152,0)),"")</f>
        <v>Disturbed Sample</v>
      </c>
      <c r="E11" s="15"/>
      <c r="F11" s="15" t="s">
        <v>1659</v>
      </c>
      <c r="G11" s="15"/>
      <c r="H11" s="15"/>
      <c r="I11" s="15"/>
      <c r="J11" s="15"/>
      <c r="K11" s="15"/>
      <c r="L11" s="13" t="s">
        <v>716</v>
      </c>
      <c r="M11" s="15"/>
      <c r="N11" s="15"/>
      <c r="O11" s="15" t="str">
        <f t="shared" si="0"/>
        <v>A.SUMARTADJI</v>
      </c>
      <c r="P11" s="588" t="s">
        <v>766</v>
      </c>
      <c r="Q11" s="15"/>
      <c r="R11" s="15"/>
      <c r="S11" s="15"/>
      <c r="T11" s="15" t="str">
        <f>"TTD_"&amp;O11&amp;""</f>
        <v>TTD_A.SUMARTADJI</v>
      </c>
    </row>
    <row r="12" spans="1:20">
      <c r="A12" s="1" t="s">
        <v>779</v>
      </c>
      <c r="B12" s="1"/>
      <c r="C12" s="1"/>
      <c r="D12" s="1573" t="s">
        <v>1654</v>
      </c>
      <c r="E12" s="15"/>
      <c r="F12" s="15" t="str">
        <f>IFERROR(INDEX($Y$362:$Y$373,
MATCH(D12,$AB$362:$AB$373,0)),
"CHECK DESKRIPSI")</f>
        <v>SLC</v>
      </c>
      <c r="G12" s="15"/>
      <c r="H12" s="15"/>
      <c r="I12" s="15"/>
      <c r="J12" s="15"/>
      <c r="K12" s="15"/>
      <c r="L12" s="1" t="s">
        <v>705</v>
      </c>
      <c r="M12" s="1"/>
      <c r="N12" s="1"/>
      <c r="O12" s="715">
        <v>46028</v>
      </c>
      <c r="P12" s="335"/>
      <c r="Q12" s="335"/>
      <c r="R12" s="335"/>
      <c r="S12" s="335"/>
      <c r="T12" s="335"/>
    </row>
    <row r="13" spans="1:20">
      <c r="A13" s="1" t="s">
        <v>780</v>
      </c>
      <c r="B13" s="1"/>
      <c r="C13" s="1"/>
      <c r="D13" s="714" t="s">
        <v>1194</v>
      </c>
      <c r="E13" s="15"/>
      <c r="F13" s="15"/>
      <c r="G13" s="15"/>
      <c r="H13" s="15"/>
      <c r="I13" s="15"/>
      <c r="J13" s="15"/>
      <c r="K13" s="15"/>
      <c r="L13" s="15"/>
      <c r="M13" s="15"/>
      <c r="N13" s="15"/>
      <c r="O13" s="15"/>
      <c r="P13" s="15"/>
      <c r="Q13" s="15"/>
      <c r="R13" s="15"/>
      <c r="S13" s="15"/>
      <c r="T13" s="335"/>
    </row>
    <row r="14" spans="1:20" ht="19.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26" spans="1:27">
      <c r="B26" s="7" t="s">
        <v>333</v>
      </c>
      <c r="C26" s="373">
        <v>5</v>
      </c>
    </row>
    <row r="27" spans="1:27">
      <c r="X27" s="1930" t="s">
        <v>334</v>
      </c>
      <c r="Y27" s="1930"/>
    </row>
    <row r="28" spans="1:27">
      <c r="A28" s="370" t="s">
        <v>335</v>
      </c>
      <c r="C28" s="14">
        <f>VLOOKUP($C$26,X29:AA35,3,TRUE)</f>
        <v>2.02</v>
      </c>
      <c r="D28" s="370" t="s">
        <v>45</v>
      </c>
      <c r="F28" s="370" t="s">
        <v>336</v>
      </c>
      <c r="M28" s="372"/>
      <c r="N28" s="372"/>
      <c r="O28" s="372"/>
      <c r="P28" s="372"/>
      <c r="Q28" s="370"/>
      <c r="R28" s="370"/>
      <c r="Y28" s="370" t="s">
        <v>45</v>
      </c>
      <c r="Z28" s="370" t="s">
        <v>45</v>
      </c>
      <c r="AA28" s="370" t="s">
        <v>22</v>
      </c>
    </row>
    <row r="29" spans="1:27">
      <c r="A29" s="370" t="s">
        <v>340</v>
      </c>
      <c r="C29" s="14">
        <f>VLOOKUP($C$26,X30:AA36,2,TRUE)</f>
        <v>5.05</v>
      </c>
      <c r="D29" s="370" t="s">
        <v>45</v>
      </c>
      <c r="F29" s="370" t="s">
        <v>306</v>
      </c>
      <c r="I29" s="370" t="s">
        <v>185</v>
      </c>
      <c r="J29" s="593">
        <f>PI()*(C29/2)^2</f>
        <v>20.029616662043424</v>
      </c>
      <c r="K29" s="370" t="s">
        <v>307</v>
      </c>
      <c r="M29" s="372"/>
      <c r="N29" s="372"/>
      <c r="O29" s="372"/>
      <c r="P29" s="372"/>
      <c r="Q29" s="370"/>
      <c r="R29" s="370"/>
      <c r="X29" s="370" t="s">
        <v>337</v>
      </c>
      <c r="Y29" s="370" t="s">
        <v>125</v>
      </c>
      <c r="Z29" s="370" t="s">
        <v>338</v>
      </c>
      <c r="AA29" s="370" t="s">
        <v>339</v>
      </c>
    </row>
    <row r="30" spans="1:27">
      <c r="A30" s="370" t="s">
        <v>341</v>
      </c>
      <c r="C30" s="14">
        <f>VLOOKUP($C$26,X29:AA36,4,TRUE)</f>
        <v>45.231000000000002</v>
      </c>
      <c r="D30" s="370" t="s">
        <v>112</v>
      </c>
      <c r="F30" s="370" t="s">
        <v>308</v>
      </c>
      <c r="I30" s="370" t="s">
        <v>309</v>
      </c>
      <c r="J30" s="593">
        <f>PI()*(C29/2)^2*C28</f>
        <v>40.459825657327713</v>
      </c>
      <c r="K30" s="370" t="s">
        <v>310</v>
      </c>
      <c r="M30" s="372"/>
      <c r="N30" s="372"/>
      <c r="O30" s="372"/>
      <c r="P30" s="372"/>
      <c r="Q30" s="370"/>
      <c r="R30" s="370"/>
      <c r="X30" s="370">
        <v>1</v>
      </c>
      <c r="Y30" s="370">
        <v>5.07</v>
      </c>
      <c r="Z30" s="370">
        <v>2.0099999999999998</v>
      </c>
      <c r="AA30" s="370">
        <v>41.466999999999999</v>
      </c>
    </row>
    <row r="31" spans="1:27">
      <c r="A31" s="370" t="s">
        <v>342</v>
      </c>
      <c r="C31" s="376">
        <v>119.949</v>
      </c>
      <c r="D31" s="370" t="s">
        <v>112</v>
      </c>
      <c r="M31" s="372"/>
      <c r="N31" s="372"/>
      <c r="O31" s="372"/>
      <c r="P31" s="372"/>
      <c r="Q31" s="370"/>
      <c r="R31" s="370"/>
      <c r="X31" s="370">
        <v>2</v>
      </c>
      <c r="Y31" s="370">
        <v>5.0199999999999996</v>
      </c>
      <c r="Z31" s="370">
        <v>2.0099999999999998</v>
      </c>
      <c r="AA31" s="370">
        <v>44.957999999999998</v>
      </c>
    </row>
    <row r="32" spans="1:27">
      <c r="F32" s="370" t="s">
        <v>311</v>
      </c>
      <c r="I32" s="370" t="s">
        <v>312</v>
      </c>
      <c r="J32" s="370">
        <f>C31-C30</f>
        <v>74.717999999999989</v>
      </c>
      <c r="K32" s="370" t="s">
        <v>112</v>
      </c>
      <c r="M32" s="372"/>
      <c r="N32" s="372"/>
      <c r="O32" s="372"/>
      <c r="P32" s="372"/>
      <c r="Q32" s="370"/>
      <c r="R32" s="370"/>
      <c r="X32" s="370">
        <v>3</v>
      </c>
      <c r="Y32" s="370">
        <v>5.0599999999999996</v>
      </c>
      <c r="Z32" s="370">
        <v>1.97</v>
      </c>
      <c r="AA32" s="370">
        <v>42.502000000000002</v>
      </c>
    </row>
    <row r="33" spans="1:27">
      <c r="F33" s="370" t="s">
        <v>313</v>
      </c>
      <c r="I33" s="370" t="s">
        <v>314</v>
      </c>
      <c r="J33" s="374">
        <f>C40</f>
        <v>55.098999999999997</v>
      </c>
      <c r="K33" s="370" t="s">
        <v>112</v>
      </c>
      <c r="M33" s="372"/>
      <c r="N33" s="372"/>
      <c r="O33" s="372"/>
      <c r="P33" s="372"/>
      <c r="Q33" s="370"/>
      <c r="R33" s="370"/>
      <c r="X33" s="370">
        <v>4</v>
      </c>
      <c r="Y33" s="370">
        <v>5.05</v>
      </c>
      <c r="Z33" s="370">
        <v>2.04</v>
      </c>
      <c r="AA33" s="370">
        <v>48.853000000000002</v>
      </c>
    </row>
    <row r="34" spans="1:27">
      <c r="F34" s="370" t="s">
        <v>117</v>
      </c>
      <c r="J34" s="370">
        <f>J32-J33</f>
        <v>19.618999999999993</v>
      </c>
      <c r="K34" s="370" t="s">
        <v>112</v>
      </c>
      <c r="M34" s="372"/>
      <c r="N34" s="372"/>
      <c r="O34" s="372"/>
      <c r="P34" s="372"/>
      <c r="Q34" s="370"/>
      <c r="R34" s="370"/>
      <c r="X34" s="370">
        <v>5</v>
      </c>
      <c r="Y34" s="370">
        <v>5.05</v>
      </c>
      <c r="Z34" s="370">
        <v>2.02</v>
      </c>
      <c r="AA34" s="370">
        <v>45.231000000000002</v>
      </c>
    </row>
    <row r="35" spans="1:27">
      <c r="A35" s="370" t="s">
        <v>1191</v>
      </c>
      <c r="C35" s="376"/>
      <c r="M35" s="372"/>
      <c r="N35" s="372"/>
      <c r="O35" s="372"/>
      <c r="P35" s="372"/>
      <c r="Q35" s="370"/>
      <c r="R35" s="370"/>
      <c r="X35" s="370">
        <v>6</v>
      </c>
      <c r="Y35" s="370">
        <v>5.05</v>
      </c>
      <c r="Z35" s="370">
        <v>2</v>
      </c>
      <c r="AA35" s="370">
        <v>47.069000000000003</v>
      </c>
    </row>
    <row r="36" spans="1:27">
      <c r="A36" s="370" t="s">
        <v>1070</v>
      </c>
      <c r="C36" s="14">
        <v>8.8260000000000005</v>
      </c>
      <c r="F36" s="370" t="s">
        <v>315</v>
      </c>
      <c r="I36" s="370" t="s">
        <v>316</v>
      </c>
      <c r="J36" s="370">
        <f>(J34/J33)*100</f>
        <v>35.606816820631941</v>
      </c>
      <c r="K36" s="370" t="s">
        <v>34</v>
      </c>
      <c r="M36" s="372"/>
      <c r="N36" s="372"/>
      <c r="O36" s="372"/>
      <c r="P36" s="372"/>
      <c r="Q36" s="370"/>
      <c r="R36" s="370"/>
    </row>
    <row r="37" spans="1:27">
      <c r="A37" s="370" t="s">
        <v>1192</v>
      </c>
      <c r="C37" s="376">
        <v>79.183000000000007</v>
      </c>
      <c r="F37" s="370" t="s">
        <v>317</v>
      </c>
      <c r="I37" s="370" t="s">
        <v>318</v>
      </c>
      <c r="J37" s="370">
        <f>J32/J30</f>
        <v>1.8467207603122173</v>
      </c>
      <c r="K37" s="370" t="s">
        <v>319</v>
      </c>
      <c r="M37" s="372"/>
      <c r="N37" s="372"/>
      <c r="O37" s="372"/>
      <c r="P37" s="372"/>
      <c r="Q37" s="370"/>
      <c r="R37" s="370"/>
    </row>
    <row r="38" spans="1:27">
      <c r="A38" s="370" t="s">
        <v>1192</v>
      </c>
      <c r="C38" s="376">
        <v>63.924999999999997</v>
      </c>
      <c r="F38" s="370" t="s">
        <v>320</v>
      </c>
      <c r="I38" s="370" t="s">
        <v>321</v>
      </c>
      <c r="J38" s="370">
        <f>J33/J30</f>
        <v>1.3618200055199934</v>
      </c>
      <c r="M38" s="372"/>
      <c r="N38" s="372"/>
      <c r="O38" s="372"/>
      <c r="P38" s="372"/>
      <c r="Q38" s="370"/>
      <c r="R38" s="370"/>
    </row>
    <row r="39" spans="1:27">
      <c r="A39" s="370" t="s">
        <v>1193</v>
      </c>
      <c r="C39" s="14">
        <f>C37-C36</f>
        <v>70.356999999999999</v>
      </c>
      <c r="F39" s="370" t="s">
        <v>322</v>
      </c>
      <c r="J39" s="370">
        <f>J32</f>
        <v>74.717999999999989</v>
      </c>
      <c r="K39" s="370" t="s">
        <v>112</v>
      </c>
    </row>
    <row r="40" spans="1:27">
      <c r="A40" s="370" t="s">
        <v>1072</v>
      </c>
      <c r="C40" s="14">
        <f>C38-C36</f>
        <v>55.098999999999997</v>
      </c>
      <c r="F40" s="370" t="s">
        <v>323</v>
      </c>
      <c r="I40" s="370" t="s">
        <v>324</v>
      </c>
      <c r="J40" s="370">
        <f>J34/J30</f>
        <v>0.48490075479222383</v>
      </c>
      <c r="K40" s="370" t="s">
        <v>319</v>
      </c>
    </row>
    <row r="41" spans="1:27">
      <c r="A41" s="370" t="s">
        <v>1071</v>
      </c>
      <c r="C41" s="14">
        <f>C37-C38</f>
        <v>15.25800000000001</v>
      </c>
      <c r="F41" s="370" t="s">
        <v>325</v>
      </c>
      <c r="J41" s="375">
        <v>2.6779999999999999</v>
      </c>
    </row>
    <row r="42" spans="1:27">
      <c r="F42" s="370" t="s">
        <v>326</v>
      </c>
      <c r="I42" s="615" t="s">
        <v>327</v>
      </c>
      <c r="J42" s="370">
        <f>(C28-J45)/J45</f>
        <v>0.96648601808242662</v>
      </c>
      <c r="K42" s="370" t="s">
        <v>643</v>
      </c>
    </row>
    <row r="43" spans="1:27">
      <c r="F43" s="1934" t="s">
        <v>328</v>
      </c>
      <c r="G43" s="1934"/>
      <c r="H43" s="1934"/>
      <c r="I43" s="1934" t="s">
        <v>329</v>
      </c>
      <c r="J43" s="370">
        <f>(((J36/100)*J41)/J42)*100</f>
        <v>98.661598472829638</v>
      </c>
      <c r="K43" s="370" t="s">
        <v>34</v>
      </c>
    </row>
    <row r="44" spans="1:27">
      <c r="F44" s="1934"/>
      <c r="G44" s="1934"/>
      <c r="H44" s="1934"/>
      <c r="I44" s="1934"/>
      <c r="J44" s="601">
        <f>IF(J43&lt;100,J43,"100%")</f>
        <v>98.661598472829638</v>
      </c>
      <c r="K44" s="370" t="str">
        <f>IF(J43&gt;100,"Practically  Saturated","")</f>
        <v/>
      </c>
    </row>
    <row r="45" spans="1:27">
      <c r="F45" s="370" t="s">
        <v>330</v>
      </c>
      <c r="I45" s="370" t="s">
        <v>331</v>
      </c>
      <c r="J45" s="370">
        <f>J33/(J41*J29)</f>
        <v>1.0272129989359173</v>
      </c>
      <c r="K45" s="370" t="s">
        <v>332</v>
      </c>
      <c r="P45" s="1933"/>
      <c r="Q45" s="614"/>
      <c r="R45" s="869"/>
    </row>
    <row r="46" spans="1:27">
      <c r="P46" s="1933"/>
      <c r="Q46" s="613"/>
      <c r="R46" s="869"/>
    </row>
    <row r="50" spans="5:16">
      <c r="E50" s="370" t="s">
        <v>344</v>
      </c>
      <c r="F50" s="370" t="s">
        <v>345</v>
      </c>
    </row>
    <row r="51" spans="5:16">
      <c r="E51" s="368" t="s">
        <v>55</v>
      </c>
      <c r="F51" s="1935" t="s">
        <v>98</v>
      </c>
      <c r="G51" s="1931" t="s">
        <v>346</v>
      </c>
      <c r="H51" s="1931" t="s">
        <v>347</v>
      </c>
      <c r="I51" s="1931" t="s">
        <v>348</v>
      </c>
      <c r="J51" s="1931" t="s">
        <v>349</v>
      </c>
      <c r="K51" s="1931" t="s">
        <v>350</v>
      </c>
      <c r="L51" s="1931" t="s">
        <v>351</v>
      </c>
      <c r="M51" s="1931" t="s">
        <v>349</v>
      </c>
      <c r="N51" s="1931" t="s">
        <v>346</v>
      </c>
    </row>
    <row r="52" spans="5:16">
      <c r="E52" s="368" t="s">
        <v>352</v>
      </c>
      <c r="F52" s="1936"/>
      <c r="G52" s="1932"/>
      <c r="H52" s="1932"/>
      <c r="I52" s="1932"/>
      <c r="J52" s="1932"/>
      <c r="K52" s="1932"/>
      <c r="L52" s="1932"/>
      <c r="M52" s="1932"/>
      <c r="N52" s="1932"/>
    </row>
    <row r="53" spans="5:16">
      <c r="E53" s="368">
        <v>0</v>
      </c>
      <c r="F53" s="379">
        <f t="shared" ref="F53:F66" si="1">E53^0.5</f>
        <v>0</v>
      </c>
      <c r="G53" s="378">
        <v>0.99490000000000001</v>
      </c>
      <c r="H53" s="368">
        <v>0.97199999999999998</v>
      </c>
      <c r="I53" s="368">
        <v>0.93989999999999996</v>
      </c>
      <c r="J53" s="368">
        <v>0.88849999999999996</v>
      </c>
      <c r="K53" s="368">
        <v>0.82210000000000005</v>
      </c>
      <c r="L53" s="368">
        <v>0.7429</v>
      </c>
      <c r="M53" s="368">
        <v>0.64610000000000001</v>
      </c>
      <c r="N53" s="368">
        <v>0.65059999999999996</v>
      </c>
    </row>
    <row r="54" spans="5:16">
      <c r="E54" s="368">
        <v>0.25</v>
      </c>
      <c r="F54" s="379">
        <f t="shared" si="1"/>
        <v>0.5</v>
      </c>
      <c r="G54" s="377">
        <v>0.98119999999999996</v>
      </c>
      <c r="H54" s="377">
        <v>0.94850000000000001</v>
      </c>
      <c r="I54" s="377">
        <v>0.8992</v>
      </c>
      <c r="J54" s="377">
        <v>0.84160000000000001</v>
      </c>
      <c r="K54" s="377">
        <v>0.7702</v>
      </c>
      <c r="L54" s="377">
        <v>0.71160000000000001</v>
      </c>
      <c r="M54" s="368"/>
      <c r="N54" s="368"/>
    </row>
    <row r="55" spans="5:16">
      <c r="E55" s="368">
        <v>0.5</v>
      </c>
      <c r="F55" s="379">
        <f t="shared" si="1"/>
        <v>0.70710678118654757</v>
      </c>
      <c r="G55" s="377">
        <v>0.9798</v>
      </c>
      <c r="H55" s="377">
        <v>0.94730000000000003</v>
      </c>
      <c r="I55" s="377">
        <v>0.89749999999999996</v>
      </c>
      <c r="J55" s="377">
        <v>0.83520000000000005</v>
      </c>
      <c r="K55" s="377">
        <v>0.76629999999999998</v>
      </c>
      <c r="L55" s="377">
        <v>0.70220000000000005</v>
      </c>
      <c r="M55" s="368"/>
      <c r="N55" s="368"/>
    </row>
    <row r="56" spans="5:16">
      <c r="E56" s="368">
        <v>1</v>
      </c>
      <c r="F56" s="379">
        <f t="shared" si="1"/>
        <v>1</v>
      </c>
      <c r="G56" s="377">
        <v>0.97819999999999996</v>
      </c>
      <c r="H56" s="377">
        <v>0.94620000000000004</v>
      </c>
      <c r="I56" s="377">
        <v>0.89659999999999995</v>
      </c>
      <c r="J56" s="377">
        <v>0.83169999999999999</v>
      </c>
      <c r="K56" s="377">
        <v>0.76149999999999995</v>
      </c>
      <c r="L56" s="377">
        <v>0.69125000000000003</v>
      </c>
      <c r="M56" s="368"/>
      <c r="N56" s="368"/>
    </row>
    <row r="57" spans="5:16">
      <c r="E57" s="368">
        <v>2</v>
      </c>
      <c r="F57" s="379">
        <f t="shared" si="1"/>
        <v>1.4142135623730951</v>
      </c>
      <c r="G57" s="377">
        <v>0.97689999999999999</v>
      </c>
      <c r="H57" s="377">
        <v>0.94479999999999997</v>
      </c>
      <c r="I57" s="377">
        <v>0.89449999999999996</v>
      </c>
      <c r="J57" s="377">
        <v>0.8286</v>
      </c>
      <c r="K57" s="377">
        <v>0.75680000000000003</v>
      </c>
      <c r="L57" s="377">
        <v>0.68120000000000003</v>
      </c>
      <c r="M57" s="368"/>
      <c r="N57" s="368"/>
    </row>
    <row r="58" spans="5:16">
      <c r="E58" s="368">
        <v>4</v>
      </c>
      <c r="F58" s="379">
        <f t="shared" si="1"/>
        <v>2</v>
      </c>
      <c r="G58" s="377">
        <v>0.97550000000000003</v>
      </c>
      <c r="H58" s="377">
        <v>0.94330000000000003</v>
      </c>
      <c r="I58" s="377">
        <v>0.89359999999999995</v>
      </c>
      <c r="J58" s="377">
        <v>0.82740000000000002</v>
      </c>
      <c r="K58" s="377">
        <v>0.75119999999999998</v>
      </c>
      <c r="L58" s="377">
        <v>0.67049999999999998</v>
      </c>
      <c r="M58" s="368"/>
      <c r="N58" s="368"/>
    </row>
    <row r="59" spans="5:16">
      <c r="E59" s="368">
        <v>8</v>
      </c>
      <c r="F59" s="379">
        <f t="shared" si="1"/>
        <v>2.8284271247461903</v>
      </c>
      <c r="G59" s="377">
        <v>0.97460000000000002</v>
      </c>
      <c r="H59" s="377">
        <v>0.9425</v>
      </c>
      <c r="I59" s="377">
        <v>0.89200000000000002</v>
      </c>
      <c r="J59" s="377">
        <v>0.82620000000000005</v>
      </c>
      <c r="K59" s="377">
        <v>0.74819999999999998</v>
      </c>
      <c r="L59" s="377">
        <v>0.6623</v>
      </c>
      <c r="M59" s="368"/>
      <c r="N59" s="368"/>
    </row>
    <row r="60" spans="5:16">
      <c r="E60" s="368">
        <v>15</v>
      </c>
      <c r="F60" s="379">
        <f t="shared" si="1"/>
        <v>3.872983346207417</v>
      </c>
      <c r="G60" s="377">
        <v>0.9738</v>
      </c>
      <c r="H60" s="377">
        <v>0.94199999999999995</v>
      </c>
      <c r="I60" s="377">
        <v>0.89119999999999999</v>
      </c>
      <c r="J60" s="377">
        <v>0.82489999999999997</v>
      </c>
      <c r="K60" s="377">
        <v>0.74660000000000004</v>
      </c>
      <c r="L60" s="377">
        <v>0.6552</v>
      </c>
      <c r="M60" s="368"/>
      <c r="N60" s="368"/>
    </row>
    <row r="61" spans="5:16">
      <c r="E61" s="368">
        <v>30</v>
      </c>
      <c r="F61" s="379">
        <f t="shared" si="1"/>
        <v>5.4772255750516612</v>
      </c>
      <c r="G61" s="377">
        <v>0.97350000000000003</v>
      </c>
      <c r="H61" s="377">
        <v>0.94159999999999999</v>
      </c>
      <c r="I61" s="377">
        <v>0.89059999999999995</v>
      </c>
      <c r="J61" s="377">
        <v>0.82440000000000002</v>
      </c>
      <c r="K61" s="377">
        <v>0.74539999999999995</v>
      </c>
      <c r="L61" s="377">
        <v>0.6492</v>
      </c>
      <c r="M61" s="368"/>
      <c r="N61" s="368"/>
    </row>
    <row r="62" spans="5:16">
      <c r="E62" s="368">
        <v>60</v>
      </c>
      <c r="F62" s="379">
        <f t="shared" si="1"/>
        <v>7.745966692414834</v>
      </c>
      <c r="G62" s="377">
        <v>0.97319999999999995</v>
      </c>
      <c r="H62" s="377">
        <v>0.94120000000000004</v>
      </c>
      <c r="I62" s="377">
        <v>0.89019999999999999</v>
      </c>
      <c r="J62" s="377">
        <v>0.82389999999999997</v>
      </c>
      <c r="K62" s="377">
        <v>0.74490000000000001</v>
      </c>
      <c r="L62" s="377">
        <v>0.64849999999999997</v>
      </c>
      <c r="M62" s="368"/>
      <c r="N62" s="368"/>
    </row>
    <row r="63" spans="5:16">
      <c r="E63" s="368">
        <v>120</v>
      </c>
      <c r="F63" s="379">
        <f t="shared" si="1"/>
        <v>10.954451150103322</v>
      </c>
      <c r="G63" s="377">
        <v>0.97289999999999999</v>
      </c>
      <c r="H63" s="377">
        <v>0.94079999999999997</v>
      </c>
      <c r="I63" s="377">
        <v>0.88970000000000005</v>
      </c>
      <c r="J63" s="377">
        <v>0.82340000000000002</v>
      </c>
      <c r="K63" s="377">
        <v>0.74439999999999995</v>
      </c>
      <c r="L63" s="377">
        <v>0.64780000000000004</v>
      </c>
      <c r="M63" s="368"/>
      <c r="N63" s="368"/>
    </row>
    <row r="64" spans="5:16">
      <c r="E64" s="368">
        <v>256</v>
      </c>
      <c r="F64" s="379">
        <f t="shared" si="1"/>
        <v>16</v>
      </c>
      <c r="G64" s="377">
        <v>0.97260000000000002</v>
      </c>
      <c r="H64" s="377">
        <v>0.9405</v>
      </c>
      <c r="I64" s="377">
        <v>0.88929999999999998</v>
      </c>
      <c r="J64" s="377">
        <v>0.82289999999999996</v>
      </c>
      <c r="K64" s="377">
        <v>0.74390000000000001</v>
      </c>
      <c r="L64" s="377">
        <v>0.6472</v>
      </c>
      <c r="M64" s="368"/>
      <c r="N64" s="368"/>
      <c r="P64" s="370" t="s">
        <v>647</v>
      </c>
    </row>
    <row r="65" spans="2:21">
      <c r="E65" s="368">
        <v>484</v>
      </c>
      <c r="F65" s="379">
        <f t="shared" si="1"/>
        <v>22</v>
      </c>
      <c r="G65" s="377">
        <v>0.97230000000000005</v>
      </c>
      <c r="H65" s="377">
        <v>0.94020000000000004</v>
      </c>
      <c r="I65" s="377">
        <v>0.88890000000000002</v>
      </c>
      <c r="J65" s="377">
        <v>0.82250000000000001</v>
      </c>
      <c r="K65" s="377">
        <v>0.74339999999999995</v>
      </c>
      <c r="L65" s="377">
        <v>0.64659999999999995</v>
      </c>
      <c r="M65" s="368"/>
      <c r="N65" s="368"/>
      <c r="P65" s="370" t="s">
        <v>601</v>
      </c>
      <c r="Q65" s="371" t="s">
        <v>602</v>
      </c>
    </row>
    <row r="66" spans="2:21">
      <c r="E66" s="368">
        <v>1440</v>
      </c>
      <c r="F66" s="379">
        <f t="shared" si="1"/>
        <v>37.947331922020552</v>
      </c>
      <c r="G66" s="377">
        <v>0.97199999999999998</v>
      </c>
      <c r="H66" s="377">
        <v>0.93989999999999996</v>
      </c>
      <c r="I66" s="377">
        <v>0.88849999999999996</v>
      </c>
      <c r="J66" s="377">
        <v>0.82210000000000005</v>
      </c>
      <c r="K66" s="377">
        <v>0.7429</v>
      </c>
      <c r="L66" s="377">
        <v>0.64610000000000001</v>
      </c>
      <c r="M66" s="368">
        <v>0.65059999999999996</v>
      </c>
      <c r="N66" s="368">
        <v>0.66410000000000002</v>
      </c>
      <c r="P66" s="370">
        <v>0.1</v>
      </c>
      <c r="Q66" s="610">
        <f>J42</f>
        <v>0.96648601808242662</v>
      </c>
    </row>
    <row r="67" spans="2:21">
      <c r="P67" s="551">
        <v>10</v>
      </c>
      <c r="Q67" s="611">
        <f>Q66</f>
        <v>0.96648601808242662</v>
      </c>
    </row>
    <row r="69" spans="2:21">
      <c r="Q69" s="370"/>
      <c r="R69" s="370"/>
      <c r="S69" s="370"/>
      <c r="T69" s="371"/>
    </row>
    <row r="70" spans="2:21" ht="32.1" customHeight="1">
      <c r="B70" s="1923" t="s">
        <v>353</v>
      </c>
      <c r="C70" s="381" t="s">
        <v>244</v>
      </c>
      <c r="D70" s="1921" t="s">
        <v>354</v>
      </c>
      <c r="E70" s="1921" t="s">
        <v>579</v>
      </c>
      <c r="F70" s="1923" t="s">
        <v>355</v>
      </c>
      <c r="G70" s="1923" t="s">
        <v>146</v>
      </c>
      <c r="H70" s="1927" t="s">
        <v>571</v>
      </c>
      <c r="I70" s="1929" t="s">
        <v>646</v>
      </c>
      <c r="J70" s="1929"/>
      <c r="K70" s="1929"/>
      <c r="L70" s="1929"/>
      <c r="M70" s="1929"/>
      <c r="N70" s="1929" t="s">
        <v>577</v>
      </c>
      <c r="Q70" s="1926"/>
      <c r="R70" s="370"/>
      <c r="S70" s="370"/>
      <c r="T70" s="370"/>
      <c r="U70" s="371"/>
    </row>
    <row r="71" spans="2:21" ht="29.1" customHeight="1">
      <c r="B71" s="1924"/>
      <c r="C71" s="11" t="s">
        <v>45</v>
      </c>
      <c r="D71" s="1922"/>
      <c r="E71" s="1922"/>
      <c r="F71" s="1924"/>
      <c r="G71" s="1924"/>
      <c r="H71" s="1928"/>
      <c r="I71" s="562" t="s">
        <v>644</v>
      </c>
      <c r="J71" s="563" t="s">
        <v>356</v>
      </c>
      <c r="K71" s="562" t="s">
        <v>572</v>
      </c>
      <c r="L71" s="562" t="s">
        <v>573</v>
      </c>
      <c r="M71" s="562" t="s">
        <v>574</v>
      </c>
      <c r="N71" s="1923"/>
      <c r="Q71" s="1926"/>
      <c r="R71" s="370"/>
      <c r="S71" s="370"/>
      <c r="T71" s="370"/>
      <c r="U71" s="371"/>
    </row>
    <row r="72" spans="2:21">
      <c r="B72" s="369">
        <v>0</v>
      </c>
      <c r="C72" s="605">
        <f>G53/10</f>
        <v>9.9489999999999995E-2</v>
      </c>
      <c r="D72" s="368"/>
      <c r="E72" s="368"/>
      <c r="F72" s="368"/>
      <c r="G72" s="564">
        <f>J42</f>
        <v>0.96648601808242662</v>
      </c>
      <c r="H72" s="368"/>
      <c r="I72" s="368"/>
      <c r="J72" s="368"/>
      <c r="K72" s="368"/>
      <c r="L72" s="368"/>
      <c r="M72" s="368"/>
      <c r="N72" s="368"/>
      <c r="Q72" s="370"/>
      <c r="R72" s="370"/>
      <c r="S72" s="370"/>
      <c r="T72" s="370"/>
      <c r="U72" s="371"/>
    </row>
    <row r="73" spans="2:21">
      <c r="B73" s="369">
        <v>0.25</v>
      </c>
      <c r="C73" s="605">
        <f>G66/10</f>
        <v>9.7199999999999995E-2</v>
      </c>
      <c r="D73" s="606">
        <f>C72-C73</f>
        <v>2.2900000000000004E-3</v>
      </c>
      <c r="E73" s="606">
        <f>$C$28-D73</f>
        <v>2.0177100000000001</v>
      </c>
      <c r="F73" s="606">
        <f t="shared" ref="F73:F80" si="2">D73/$J$45</f>
        <v>2.2293331591132465E-3</v>
      </c>
      <c r="G73" s="564">
        <f>$G$72-F73</f>
        <v>0.9642566849233134</v>
      </c>
      <c r="H73" s="368">
        <f>F73/((1+G73)*B73)</f>
        <v>4.5398000703768138E-3</v>
      </c>
      <c r="I73" s="564">
        <f>$C$28-(E73/2)</f>
        <v>1.011145</v>
      </c>
      <c r="J73" s="368">
        <f>I102</f>
        <v>1.8</v>
      </c>
      <c r="K73" s="368">
        <f>J73^2</f>
        <v>3.24</v>
      </c>
      <c r="L73" s="368">
        <f>K73*60</f>
        <v>194.4</v>
      </c>
      <c r="M73" s="368">
        <f>(0.848*I73^2)/L73</f>
        <v>4.4599138423312744E-3</v>
      </c>
      <c r="N73" s="368">
        <f>H73*M73*0.001</f>
        <v>2.0247117175290044E-8</v>
      </c>
      <c r="Q73" s="370"/>
      <c r="R73" s="370"/>
      <c r="S73" s="370"/>
      <c r="T73" s="370"/>
      <c r="U73" s="371"/>
    </row>
    <row r="74" spans="2:21">
      <c r="B74" s="369">
        <v>0.5</v>
      </c>
      <c r="C74" s="605">
        <f>H66/10</f>
        <v>9.398999999999999E-2</v>
      </c>
      <c r="D74" s="606">
        <f>C73-C74</f>
        <v>3.2100000000000045E-3</v>
      </c>
      <c r="E74" s="606">
        <f>E73-D74</f>
        <v>2.0145</v>
      </c>
      <c r="F74" s="606">
        <f t="shared" si="2"/>
        <v>3.1249604544775237E-3</v>
      </c>
      <c r="G74" s="564">
        <f>$G$72-F73-F74</f>
        <v>0.96113172446883588</v>
      </c>
      <c r="H74" s="368">
        <f>F74/((1+G74)*(B74-B73))</f>
        <v>6.3737900223380575E-3</v>
      </c>
      <c r="I74" s="564">
        <f>$C$28-(E74/2)</f>
        <v>1.01275</v>
      </c>
      <c r="J74" s="368">
        <f>I123</f>
        <v>2.2999999999999998</v>
      </c>
      <c r="K74" s="368">
        <f t="shared" ref="K74:K78" si="3">J74^2</f>
        <v>5.2899999999999991</v>
      </c>
      <c r="L74" s="368">
        <f t="shared" ref="L74:L78" si="4">K74*60</f>
        <v>317.39999999999998</v>
      </c>
      <c r="M74" s="368">
        <f t="shared" ref="M74:M78" si="5">(0.848*I74^2)/L74</f>
        <v>2.7402704883427854E-3</v>
      </c>
      <c r="N74" s="368">
        <f t="shared" ref="N74:N78" si="6">H74*M74*0.001</f>
        <v>1.7465908697106682E-8</v>
      </c>
      <c r="Q74" s="370"/>
      <c r="R74" s="370"/>
      <c r="S74" s="370"/>
      <c r="T74" s="370"/>
      <c r="U74" s="371"/>
    </row>
    <row r="75" spans="2:21">
      <c r="B75" s="369">
        <v>1</v>
      </c>
      <c r="C75" s="605">
        <f>I66/10</f>
        <v>8.8849999999999998E-2</v>
      </c>
      <c r="D75" s="606">
        <f t="shared" ref="D75" si="7">C74-C75</f>
        <v>5.1399999999999918E-3</v>
      </c>
      <c r="E75" s="606">
        <f>E74-D75</f>
        <v>2.00936</v>
      </c>
      <c r="F75" s="606">
        <f t="shared" si="2"/>
        <v>5.003830758882998E-3</v>
      </c>
      <c r="G75" s="564">
        <f>$G$72-F73-F74-F75</f>
        <v>0.95612789370995288</v>
      </c>
      <c r="H75" s="368">
        <f t="shared" ref="H75:H76" si="8">F75/((1+G75)*(B75-B74))</f>
        <v>5.1160568539236288E-3</v>
      </c>
      <c r="I75" s="564">
        <f t="shared" ref="I75:I78" si="9">$C$28-(E75/2)</f>
        <v>1.01532</v>
      </c>
      <c r="J75" s="368">
        <f>I144</f>
        <v>2.2000000000000002</v>
      </c>
      <c r="K75" s="368">
        <f t="shared" si="3"/>
        <v>4.8400000000000007</v>
      </c>
      <c r="L75" s="368">
        <f>K75*60</f>
        <v>290.40000000000003</v>
      </c>
      <c r="M75" s="368">
        <f t="shared" si="5"/>
        <v>3.0102677260165282E-3</v>
      </c>
      <c r="N75" s="368">
        <f t="shared" si="6"/>
        <v>1.5400700831831955E-8</v>
      </c>
      <c r="Q75" s="370"/>
      <c r="R75" s="370"/>
      <c r="S75" s="370"/>
      <c r="T75" s="370"/>
      <c r="U75" s="371"/>
    </row>
    <row r="76" spans="2:21">
      <c r="B76" s="369">
        <v>2</v>
      </c>
      <c r="C76" s="605">
        <f>J66/10</f>
        <v>8.2210000000000005E-2</v>
      </c>
      <c r="D76" s="606">
        <f>C75-C76</f>
        <v>6.6399999999999931E-3</v>
      </c>
      <c r="E76" s="606">
        <f>E75-D76</f>
        <v>2.0027200000000001</v>
      </c>
      <c r="F76" s="606">
        <f t="shared" si="2"/>
        <v>6.4640926534986626E-3</v>
      </c>
      <c r="G76" s="564">
        <f>$G$72-F73-F74-F75-F76</f>
        <v>0.9496638010564542</v>
      </c>
      <c r="H76" s="368">
        <f t="shared" si="8"/>
        <v>3.3154909323320249E-3</v>
      </c>
      <c r="I76" s="564">
        <f t="shared" si="9"/>
        <v>1.01864</v>
      </c>
      <c r="J76" s="368">
        <f>I165</f>
        <v>2.2999999999999998</v>
      </c>
      <c r="K76" s="368">
        <f t="shared" si="3"/>
        <v>5.2899999999999991</v>
      </c>
      <c r="L76" s="368">
        <f t="shared" si="4"/>
        <v>317.39999999999998</v>
      </c>
      <c r="M76" s="368">
        <f t="shared" si="5"/>
        <v>2.7722371684335226E-3</v>
      </c>
      <c r="N76" s="368">
        <f t="shared" si="6"/>
        <v>9.1913271942151532E-9</v>
      </c>
      <c r="Q76" s="370"/>
      <c r="R76" s="370"/>
      <c r="S76" s="370"/>
      <c r="T76" s="370"/>
      <c r="U76" s="371"/>
    </row>
    <row r="77" spans="2:21">
      <c r="B77" s="369">
        <v>4</v>
      </c>
      <c r="C77" s="605">
        <f>K66/10</f>
        <v>7.4289999999999995E-2</v>
      </c>
      <c r="D77" s="606">
        <f>C76-C77</f>
        <v>7.9200000000000104E-3</v>
      </c>
      <c r="E77" s="606">
        <f>E76-D77</f>
        <v>1.9948000000000001</v>
      </c>
      <c r="F77" s="606">
        <f t="shared" si="2"/>
        <v>7.710182803570712E-3</v>
      </c>
      <c r="G77" s="564">
        <f>$G$72-F73-F74-F75-F76-F77</f>
        <v>0.94195361825288348</v>
      </c>
      <c r="H77" s="368">
        <f>F77/((1+G77)*(B77-B76))</f>
        <v>1.9851614196911998E-3</v>
      </c>
      <c r="I77" s="564">
        <f t="shared" si="9"/>
        <v>1.0226</v>
      </c>
      <c r="J77" s="368">
        <f>I187</f>
        <v>2.2000000000000002</v>
      </c>
      <c r="K77" s="368">
        <f t="shared" si="3"/>
        <v>4.8400000000000007</v>
      </c>
      <c r="L77" s="368">
        <f t="shared" si="4"/>
        <v>290.40000000000003</v>
      </c>
      <c r="M77" s="368">
        <f t="shared" si="5"/>
        <v>3.0535906490358122E-3</v>
      </c>
      <c r="N77" s="368">
        <f t="shared" si="6"/>
        <v>6.0618703479957058E-9</v>
      </c>
      <c r="Q77" s="370"/>
      <c r="R77" s="370"/>
      <c r="S77" s="370"/>
      <c r="T77" s="370"/>
      <c r="U77" s="371"/>
    </row>
    <row r="78" spans="2:21">
      <c r="B78" s="369">
        <v>8</v>
      </c>
      <c r="C78" s="605">
        <f>L66/10</f>
        <v>6.4610000000000001E-2</v>
      </c>
      <c r="D78" s="606">
        <f>C77-C78</f>
        <v>9.6799999999999942E-3</v>
      </c>
      <c r="E78" s="606">
        <f>E77-D78</f>
        <v>1.9851200000000002</v>
      </c>
      <c r="F78" s="606">
        <f t="shared" si="2"/>
        <v>9.4235567599197413E-3</v>
      </c>
      <c r="G78" s="564">
        <f>$G$72-F73-F74-F75-F76-F77-F78</f>
        <v>0.93253006149296369</v>
      </c>
      <c r="H78" s="368">
        <f>F78/((1+G78)*(B78-B77))</f>
        <v>1.2190698799065037E-3</v>
      </c>
      <c r="I78" s="564">
        <f t="shared" si="9"/>
        <v>1.0274399999999999</v>
      </c>
      <c r="J78" s="368">
        <f>I209</f>
        <v>2</v>
      </c>
      <c r="K78" s="368">
        <f t="shared" si="3"/>
        <v>4</v>
      </c>
      <c r="L78" s="368">
        <f t="shared" si="4"/>
        <v>240</v>
      </c>
      <c r="M78" s="368">
        <f t="shared" si="5"/>
        <v>3.7299031027199989E-3</v>
      </c>
      <c r="N78" s="368">
        <f t="shared" si="6"/>
        <v>4.5470125274957639E-9</v>
      </c>
      <c r="Q78" s="370"/>
      <c r="R78" s="370"/>
      <c r="S78" s="370"/>
      <c r="T78" s="370"/>
      <c r="U78" s="371"/>
    </row>
    <row r="79" spans="2:21">
      <c r="B79" s="369">
        <v>2</v>
      </c>
      <c r="C79" s="605">
        <f>M66/10</f>
        <v>6.5059999999999993E-2</v>
      </c>
      <c r="D79" s="606">
        <f>C79-C78</f>
        <v>4.4999999999999207E-4</v>
      </c>
      <c r="E79" s="606">
        <f>E78+D79</f>
        <v>1.9855700000000003</v>
      </c>
      <c r="F79" s="606">
        <f t="shared" si="2"/>
        <v>4.3807856838469126E-4</v>
      </c>
      <c r="G79" s="564">
        <f>$G$72+F79-F78-F77-F76-F75-F74-F73</f>
        <v>0.93296814006134843</v>
      </c>
      <c r="H79" s="368"/>
      <c r="I79" s="368"/>
      <c r="J79" s="368"/>
      <c r="K79" s="368"/>
      <c r="L79" s="368"/>
      <c r="M79" s="368"/>
      <c r="N79" s="368"/>
      <c r="Q79" s="370"/>
      <c r="R79" s="370"/>
      <c r="S79" s="370"/>
      <c r="T79" s="371"/>
    </row>
    <row r="80" spans="2:21">
      <c r="B80" s="369">
        <v>0.25</v>
      </c>
      <c r="C80" s="605">
        <f>N66/10</f>
        <v>6.6409999999999997E-2</v>
      </c>
      <c r="D80" s="606">
        <f>C80-C79</f>
        <v>1.350000000000004E-3</v>
      </c>
      <c r="E80" s="606">
        <f>E79+D80</f>
        <v>1.9869200000000002</v>
      </c>
      <c r="F80" s="606">
        <f t="shared" si="2"/>
        <v>1.3142357051541009E-3</v>
      </c>
      <c r="G80" s="564">
        <f>$G$72+F80+F79-F78-F77-F76-F75-F74-F73</f>
        <v>0.93428237576650253</v>
      </c>
      <c r="H80" s="368"/>
      <c r="I80" s="368"/>
      <c r="J80" s="368"/>
      <c r="K80" s="368"/>
      <c r="L80" s="368"/>
      <c r="M80" s="368"/>
      <c r="N80" s="368"/>
      <c r="Q80" s="370"/>
      <c r="R80" s="370"/>
      <c r="S80" s="370"/>
      <c r="T80" s="371"/>
    </row>
    <row r="83" spans="2:21">
      <c r="B83" s="7" t="s">
        <v>578</v>
      </c>
    </row>
    <row r="84" spans="2:21">
      <c r="B84" s="408"/>
      <c r="C84" s="409"/>
      <c r="D84" s="409"/>
      <c r="E84" s="409"/>
      <c r="F84" s="409"/>
      <c r="G84" s="409"/>
      <c r="H84" s="409"/>
      <c r="I84" s="409"/>
      <c r="J84" s="409"/>
      <c r="K84" s="409"/>
      <c r="L84" s="409"/>
      <c r="M84" s="409"/>
      <c r="N84" s="409"/>
      <c r="O84" s="409"/>
      <c r="P84" s="409"/>
      <c r="Q84" s="409"/>
      <c r="R84" s="409"/>
    </row>
    <row r="85" spans="2:21" ht="15.75">
      <c r="B85" s="408"/>
      <c r="C85" s="552">
        <v>0.25</v>
      </c>
      <c r="D85" s="400"/>
      <c r="E85" s="400"/>
      <c r="F85" s="400"/>
      <c r="G85" s="400"/>
      <c r="H85" s="409"/>
      <c r="I85" s="566"/>
      <c r="J85" s="566"/>
      <c r="K85" s="409"/>
      <c r="L85" s="409"/>
      <c r="M85" s="409"/>
      <c r="N85" s="409"/>
      <c r="O85" s="409"/>
      <c r="P85" s="409"/>
      <c r="Q85" s="409"/>
      <c r="R85" s="409"/>
      <c r="S85" s="370"/>
      <c r="T85" s="370"/>
      <c r="U85" s="370"/>
    </row>
    <row r="86" spans="2:21" ht="15.75">
      <c r="C86" s="553" t="s">
        <v>132</v>
      </c>
      <c r="D86" s="122" t="s">
        <v>357</v>
      </c>
      <c r="E86" s="122" t="s">
        <v>75</v>
      </c>
      <c r="F86" s="122" t="s">
        <v>358</v>
      </c>
      <c r="G86" s="553" t="s">
        <v>133</v>
      </c>
      <c r="I86" s="370" t="s">
        <v>645</v>
      </c>
      <c r="J86" s="573">
        <f>SLOPE(G88:G91,C88:C91)</f>
        <v>3148.750661380323</v>
      </c>
      <c r="Q86" s="370"/>
      <c r="R86" s="370"/>
      <c r="S86" s="370"/>
      <c r="T86" s="370"/>
      <c r="U86" s="370"/>
    </row>
    <row r="87" spans="2:21" ht="15.75">
      <c r="C87" s="125">
        <f t="shared" ref="C87:C100" si="10">F53</f>
        <v>0</v>
      </c>
      <c r="D87" s="554">
        <f t="shared" ref="D87:D100" si="11">G53</f>
        <v>0.99490000000000001</v>
      </c>
      <c r="E87" s="122">
        <f>D87*0.1</f>
        <v>9.9490000000000009E-2</v>
      </c>
      <c r="F87" s="122">
        <f>D87*1000</f>
        <v>994.9</v>
      </c>
      <c r="G87" s="122">
        <f>F87</f>
        <v>994.9</v>
      </c>
      <c r="H87" s="874">
        <f t="shared" ref="H87:H100" si="12">IF($D$7="",NA(),G87)</f>
        <v>994.9</v>
      </c>
      <c r="I87" s="370" t="s">
        <v>260</v>
      </c>
      <c r="J87" s="573">
        <f>INTERCEPT(G88:G91,C88:C91)</f>
        <v>593.61629328663867</v>
      </c>
      <c r="P87" s="566"/>
      <c r="Q87" s="566"/>
      <c r="R87" s="370"/>
      <c r="S87" s="370"/>
      <c r="T87" s="370"/>
      <c r="U87" s="370"/>
    </row>
    <row r="88" spans="2:21" ht="15.75">
      <c r="C88" s="125">
        <f t="shared" si="10"/>
        <v>0.5</v>
      </c>
      <c r="D88" s="554">
        <f t="shared" si="11"/>
        <v>0.98119999999999996</v>
      </c>
      <c r="E88" s="122">
        <f t="shared" ref="E88:E100" si="13">D88*0.1</f>
        <v>9.8119999999999999E-2</v>
      </c>
      <c r="F88" s="122">
        <f t="shared" ref="F88:F100" si="14">D88*1000</f>
        <v>981.19999999999993</v>
      </c>
      <c r="G88" s="122">
        <f>G87+F88</f>
        <v>1976.1</v>
      </c>
      <c r="H88" s="874">
        <f t="shared" si="12"/>
        <v>1976.1</v>
      </c>
      <c r="Q88" s="370"/>
      <c r="R88" s="370"/>
      <c r="S88" s="370"/>
      <c r="T88" s="370"/>
      <c r="U88" s="370"/>
    </row>
    <row r="89" spans="2:21">
      <c r="C89" s="125">
        <f t="shared" si="10"/>
        <v>0.70710678118654757</v>
      </c>
      <c r="D89" s="554">
        <f t="shared" si="11"/>
        <v>0.9798</v>
      </c>
      <c r="E89" s="122">
        <f t="shared" si="13"/>
        <v>9.7980000000000012E-2</v>
      </c>
      <c r="F89" s="122">
        <f t="shared" si="14"/>
        <v>979.8</v>
      </c>
      <c r="G89" s="122">
        <f t="shared" ref="G89:G99" si="15">G88+F89</f>
        <v>2955.8999999999996</v>
      </c>
      <c r="H89" s="874">
        <f t="shared" si="12"/>
        <v>2955.8999999999996</v>
      </c>
      <c r="I89" s="555" t="s">
        <v>131</v>
      </c>
      <c r="J89" s="556"/>
      <c r="P89" s="567"/>
      <c r="Q89" s="400"/>
      <c r="R89" s="370"/>
    </row>
    <row r="90" spans="2:21">
      <c r="C90" s="125">
        <f t="shared" si="10"/>
        <v>1</v>
      </c>
      <c r="D90" s="554">
        <f t="shared" si="11"/>
        <v>0.97819999999999996</v>
      </c>
      <c r="E90" s="122">
        <f t="shared" si="13"/>
        <v>9.7820000000000004E-2</v>
      </c>
      <c r="F90" s="122">
        <f t="shared" si="14"/>
        <v>978.19999999999993</v>
      </c>
      <c r="G90" s="122">
        <f t="shared" si="15"/>
        <v>3934.0999999999995</v>
      </c>
      <c r="H90" s="874">
        <f t="shared" si="12"/>
        <v>3934.0999999999995</v>
      </c>
      <c r="I90" s="122" t="s">
        <v>132</v>
      </c>
      <c r="J90" s="123" t="s">
        <v>133</v>
      </c>
      <c r="K90" s="370" t="s">
        <v>846</v>
      </c>
      <c r="P90" s="400"/>
      <c r="Q90" s="400"/>
      <c r="R90" s="370"/>
    </row>
    <row r="91" spans="2:21">
      <c r="C91" s="125">
        <f t="shared" si="10"/>
        <v>1.4142135623730951</v>
      </c>
      <c r="D91" s="554">
        <f t="shared" si="11"/>
        <v>0.97689999999999999</v>
      </c>
      <c r="E91" s="122">
        <f t="shared" si="13"/>
        <v>9.7689999999999999E-2</v>
      </c>
      <c r="F91" s="122">
        <f t="shared" si="14"/>
        <v>976.9</v>
      </c>
      <c r="G91" s="122">
        <f t="shared" si="15"/>
        <v>4910.9999999999991</v>
      </c>
      <c r="H91" s="874">
        <f t="shared" si="12"/>
        <v>4910.9999999999991</v>
      </c>
      <c r="I91" s="125">
        <f>MIN(C87:C100)</f>
        <v>0</v>
      </c>
      <c r="J91" s="607">
        <f>($J$86*I91)+$J$87</f>
        <v>593.61629328663867</v>
      </c>
      <c r="K91" s="370">
        <f>IF($D$7="",NA(),J91)</f>
        <v>593.61629328663867</v>
      </c>
      <c r="P91" s="400"/>
      <c r="Q91" s="568"/>
      <c r="R91" s="370"/>
    </row>
    <row r="92" spans="2:21">
      <c r="C92" s="125">
        <f t="shared" si="10"/>
        <v>2</v>
      </c>
      <c r="D92" s="554">
        <f t="shared" si="11"/>
        <v>0.97550000000000003</v>
      </c>
      <c r="E92" s="122">
        <f t="shared" si="13"/>
        <v>9.7550000000000012E-2</v>
      </c>
      <c r="F92" s="122">
        <f t="shared" si="14"/>
        <v>975.5</v>
      </c>
      <c r="G92" s="122">
        <f t="shared" si="15"/>
        <v>5886.4999999999991</v>
      </c>
      <c r="H92" s="874">
        <f t="shared" si="12"/>
        <v>5886.4999999999991</v>
      </c>
      <c r="I92" s="125">
        <f>MAX(C87:C100)</f>
        <v>37.947331922020552</v>
      </c>
      <c r="J92" s="607">
        <f>($J$86*I92)+$J$87</f>
        <v>120080.30278036751</v>
      </c>
      <c r="K92" s="370">
        <f>IF($D$7="",NA(),J92)</f>
        <v>120080.30278036751</v>
      </c>
      <c r="P92" s="561"/>
      <c r="Q92" s="568"/>
      <c r="R92" s="370"/>
    </row>
    <row r="93" spans="2:21">
      <c r="C93" s="125">
        <f t="shared" si="10"/>
        <v>2.8284271247461903</v>
      </c>
      <c r="D93" s="554">
        <f t="shared" si="11"/>
        <v>0.97460000000000002</v>
      </c>
      <c r="E93" s="122">
        <f t="shared" si="13"/>
        <v>9.7460000000000005E-2</v>
      </c>
      <c r="F93" s="122">
        <f t="shared" si="14"/>
        <v>974.6</v>
      </c>
      <c r="G93" s="122">
        <f t="shared" si="15"/>
        <v>6861.0999999999995</v>
      </c>
      <c r="H93" s="874">
        <f t="shared" si="12"/>
        <v>6861.0999999999995</v>
      </c>
      <c r="P93" s="400"/>
      <c r="Q93" s="400"/>
      <c r="R93" s="370"/>
    </row>
    <row r="94" spans="2:21">
      <c r="C94" s="125">
        <f t="shared" si="10"/>
        <v>3.872983346207417</v>
      </c>
      <c r="D94" s="554">
        <f t="shared" si="11"/>
        <v>0.9738</v>
      </c>
      <c r="E94" s="122">
        <f t="shared" si="13"/>
        <v>9.7380000000000008E-2</v>
      </c>
      <c r="F94" s="122">
        <f t="shared" si="14"/>
        <v>973.8</v>
      </c>
      <c r="G94" s="122">
        <f t="shared" si="15"/>
        <v>7834.9</v>
      </c>
      <c r="H94" s="874">
        <f t="shared" si="12"/>
        <v>7834.9</v>
      </c>
      <c r="I94" s="557" t="s">
        <v>359</v>
      </c>
      <c r="J94" s="558"/>
      <c r="P94" s="400"/>
      <c r="Q94" s="400"/>
      <c r="R94" s="370"/>
    </row>
    <row r="95" spans="2:21">
      <c r="C95" s="125">
        <f t="shared" si="10"/>
        <v>5.4772255750516612</v>
      </c>
      <c r="D95" s="554">
        <f t="shared" si="11"/>
        <v>0.97350000000000003</v>
      </c>
      <c r="E95" s="122">
        <f t="shared" si="13"/>
        <v>9.7350000000000006E-2</v>
      </c>
      <c r="F95" s="122">
        <f t="shared" si="14"/>
        <v>973.5</v>
      </c>
      <c r="G95" s="122">
        <f t="shared" si="15"/>
        <v>8808.4</v>
      </c>
      <c r="H95" s="874">
        <f t="shared" si="12"/>
        <v>8808.4</v>
      </c>
      <c r="I95" s="122" t="s">
        <v>132</v>
      </c>
      <c r="J95" s="123" t="s">
        <v>133</v>
      </c>
      <c r="K95" s="370" t="s">
        <v>846</v>
      </c>
      <c r="P95" s="569"/>
      <c r="Q95" s="400"/>
      <c r="R95" s="370"/>
    </row>
    <row r="96" spans="2:21">
      <c r="C96" s="125">
        <f t="shared" si="10"/>
        <v>7.745966692414834</v>
      </c>
      <c r="D96" s="554">
        <f t="shared" si="11"/>
        <v>0.97319999999999995</v>
      </c>
      <c r="E96" s="122">
        <f t="shared" si="13"/>
        <v>9.7320000000000004E-2</v>
      </c>
      <c r="F96" s="122">
        <f t="shared" si="14"/>
        <v>973.19999999999993</v>
      </c>
      <c r="G96" s="122">
        <f>G95+F96</f>
        <v>9781.6</v>
      </c>
      <c r="H96" s="874">
        <f t="shared" si="12"/>
        <v>9781.6</v>
      </c>
      <c r="I96" s="122">
        <f>I91</f>
        <v>0</v>
      </c>
      <c r="J96" s="123">
        <f>J91</f>
        <v>593.61629328663867</v>
      </c>
      <c r="K96" s="370">
        <f>IF($D$7="",NA(),J96)</f>
        <v>593.61629328663867</v>
      </c>
      <c r="P96" s="400"/>
      <c r="Q96" s="400"/>
      <c r="R96" s="370"/>
    </row>
    <row r="97" spans="3:18">
      <c r="C97" s="125">
        <f t="shared" si="10"/>
        <v>10.954451150103322</v>
      </c>
      <c r="D97" s="554">
        <f t="shared" si="11"/>
        <v>0.97289999999999999</v>
      </c>
      <c r="E97" s="122">
        <f t="shared" si="13"/>
        <v>9.7290000000000001E-2</v>
      </c>
      <c r="F97" s="122">
        <f t="shared" si="14"/>
        <v>972.9</v>
      </c>
      <c r="G97" s="122">
        <f t="shared" si="15"/>
        <v>10754.5</v>
      </c>
      <c r="H97" s="874">
        <f t="shared" si="12"/>
        <v>10754.5</v>
      </c>
      <c r="I97" s="125">
        <f>I92*1.15</f>
        <v>43.639431710323635</v>
      </c>
      <c r="J97" s="123">
        <f>J92</f>
        <v>120080.30278036751</v>
      </c>
      <c r="K97" s="370">
        <f>IF($D$7="",NA(),J97)</f>
        <v>120080.30278036751</v>
      </c>
      <c r="P97" s="400"/>
      <c r="Q97" s="400"/>
      <c r="R97" s="370"/>
    </row>
    <row r="98" spans="3:18">
      <c r="C98" s="125">
        <f t="shared" si="10"/>
        <v>16</v>
      </c>
      <c r="D98" s="554">
        <f t="shared" si="11"/>
        <v>0.97260000000000002</v>
      </c>
      <c r="E98" s="122">
        <f t="shared" si="13"/>
        <v>9.7260000000000013E-2</v>
      </c>
      <c r="F98" s="122">
        <f t="shared" si="14"/>
        <v>972.6</v>
      </c>
      <c r="G98" s="122">
        <f t="shared" si="15"/>
        <v>11727.1</v>
      </c>
      <c r="H98" s="874">
        <f t="shared" si="12"/>
        <v>11727.1</v>
      </c>
      <c r="P98" s="400"/>
      <c r="Q98" s="568"/>
      <c r="R98" s="370"/>
    </row>
    <row r="99" spans="3:18">
      <c r="C99" s="125">
        <f t="shared" si="10"/>
        <v>22</v>
      </c>
      <c r="D99" s="554">
        <f t="shared" si="11"/>
        <v>0.97230000000000005</v>
      </c>
      <c r="E99" s="122">
        <f t="shared" si="13"/>
        <v>9.7230000000000011E-2</v>
      </c>
      <c r="F99" s="122">
        <f t="shared" si="14"/>
        <v>972.30000000000007</v>
      </c>
      <c r="G99" s="122">
        <f t="shared" si="15"/>
        <v>12699.4</v>
      </c>
      <c r="H99" s="874">
        <f t="shared" si="12"/>
        <v>12699.4</v>
      </c>
      <c r="I99" s="559" t="s">
        <v>134</v>
      </c>
      <c r="J99" s="560"/>
      <c r="P99" s="400"/>
      <c r="Q99" s="400"/>
      <c r="R99" s="370"/>
    </row>
    <row r="100" spans="3:18">
      <c r="C100" s="125">
        <f t="shared" si="10"/>
        <v>37.947331922020552</v>
      </c>
      <c r="D100" s="554">
        <f t="shared" si="11"/>
        <v>0.97199999999999998</v>
      </c>
      <c r="E100" s="122">
        <f t="shared" si="13"/>
        <v>9.7200000000000009E-2</v>
      </c>
      <c r="F100" s="122">
        <f t="shared" si="14"/>
        <v>972</v>
      </c>
      <c r="G100" s="122">
        <f>G99+F100</f>
        <v>13671.4</v>
      </c>
      <c r="H100" s="874">
        <f t="shared" si="12"/>
        <v>13671.4</v>
      </c>
      <c r="I100" s="122" t="s">
        <v>132</v>
      </c>
      <c r="J100" s="123" t="s">
        <v>133</v>
      </c>
      <c r="K100" s="370" t="s">
        <v>846</v>
      </c>
      <c r="P100" s="570"/>
      <c r="Q100" s="400"/>
      <c r="R100" s="370"/>
    </row>
    <row r="101" spans="3:18">
      <c r="C101" s="561"/>
      <c r="D101" s="400"/>
      <c r="E101" s="400"/>
      <c r="F101" s="400"/>
      <c r="G101" s="400"/>
      <c r="I101" s="122">
        <v>0</v>
      </c>
      <c r="J101" s="123">
        <f>J102</f>
        <v>5600</v>
      </c>
      <c r="K101" s="370">
        <f t="shared" ref="K101:K103" si="16">IF($D$7="",NA(),J101)</f>
        <v>5600</v>
      </c>
      <c r="P101" s="400"/>
      <c r="Q101" s="400"/>
      <c r="R101" s="370"/>
    </row>
    <row r="102" spans="3:18">
      <c r="C102" s="561"/>
      <c r="D102" s="400"/>
      <c r="E102" s="400"/>
      <c r="F102" s="400"/>
      <c r="G102" s="400"/>
      <c r="I102" s="127">
        <v>1.8</v>
      </c>
      <c r="J102" s="124">
        <v>5600</v>
      </c>
      <c r="K102" s="370">
        <f t="shared" si="16"/>
        <v>5600</v>
      </c>
      <c r="P102" s="400"/>
      <c r="Q102" s="400"/>
      <c r="R102" s="370"/>
    </row>
    <row r="103" spans="3:18">
      <c r="C103" s="561"/>
      <c r="D103" s="400"/>
      <c r="E103" s="400"/>
      <c r="F103" s="400"/>
      <c r="G103" s="400"/>
      <c r="I103" s="122">
        <f>I102</f>
        <v>1.8</v>
      </c>
      <c r="J103" s="123">
        <f>J97</f>
        <v>120080.30278036751</v>
      </c>
      <c r="K103" s="370">
        <f t="shared" si="16"/>
        <v>120080.30278036751</v>
      </c>
      <c r="P103" s="400"/>
      <c r="Q103" s="400"/>
      <c r="R103" s="370"/>
    </row>
    <row r="105" spans="3:18">
      <c r="C105" s="370">
        <v>0.5</v>
      </c>
      <c r="I105" s="370">
        <f>C105</f>
        <v>0.5</v>
      </c>
    </row>
    <row r="106" spans="3:18">
      <c r="C106" s="370" t="s">
        <v>132</v>
      </c>
      <c r="D106" s="370" t="s">
        <v>357</v>
      </c>
      <c r="E106" s="370" t="s">
        <v>75</v>
      </c>
      <c r="F106" s="370" t="s">
        <v>358</v>
      </c>
      <c r="G106" s="370" t="s">
        <v>133</v>
      </c>
    </row>
    <row r="107" spans="3:18">
      <c r="C107" s="565">
        <v>0</v>
      </c>
      <c r="D107" s="370">
        <f t="shared" ref="D107:D120" si="17">H53</f>
        <v>0.97199999999999998</v>
      </c>
      <c r="E107" s="370">
        <f>D107*0.1</f>
        <v>9.7200000000000009E-2</v>
      </c>
      <c r="F107" s="370">
        <f>D107*1000</f>
        <v>972</v>
      </c>
      <c r="G107" s="370">
        <f>F107</f>
        <v>972</v>
      </c>
      <c r="H107" s="874">
        <f t="shared" ref="H107:H120" si="18">IF($D$7="",NA(),G107)</f>
        <v>972</v>
      </c>
      <c r="I107" s="370" t="s">
        <v>645</v>
      </c>
      <c r="J107" s="573">
        <f>SLOPE(G108:G112,C108:C112)</f>
        <v>2450.215579569091</v>
      </c>
    </row>
    <row r="108" spans="3:18">
      <c r="C108" s="565">
        <v>0.5</v>
      </c>
      <c r="D108" s="370">
        <f t="shared" si="17"/>
        <v>0.94850000000000001</v>
      </c>
      <c r="E108" s="370">
        <f t="shared" ref="E108:E120" si="19">D108*0.1</f>
        <v>9.4850000000000004E-2</v>
      </c>
      <c r="F108" s="370">
        <f t="shared" ref="F108:F120" si="20">D108*1000</f>
        <v>948.5</v>
      </c>
      <c r="G108" s="370">
        <f t="shared" ref="G108:G120" si="21">G107+F108</f>
        <v>1920.5</v>
      </c>
      <c r="H108" s="874">
        <f t="shared" si="18"/>
        <v>1920.5</v>
      </c>
      <c r="I108" s="370" t="s">
        <v>260</v>
      </c>
      <c r="J108" s="573">
        <f>INTERCEPT(G108:G112,C108:C112)</f>
        <v>1057.9506632922971</v>
      </c>
    </row>
    <row r="109" spans="3:18">
      <c r="C109" s="565">
        <v>0.70710678118654757</v>
      </c>
      <c r="D109" s="370">
        <f t="shared" si="17"/>
        <v>0.94730000000000003</v>
      </c>
      <c r="E109" s="370">
        <f t="shared" si="19"/>
        <v>9.4730000000000009E-2</v>
      </c>
      <c r="F109" s="370">
        <f t="shared" si="20"/>
        <v>947.30000000000007</v>
      </c>
      <c r="G109" s="370">
        <f t="shared" si="21"/>
        <v>2867.8</v>
      </c>
      <c r="H109" s="874">
        <f t="shared" si="18"/>
        <v>2867.8</v>
      </c>
    </row>
    <row r="110" spans="3:18">
      <c r="C110" s="565">
        <v>1</v>
      </c>
      <c r="D110" s="370">
        <f t="shared" si="17"/>
        <v>0.94620000000000004</v>
      </c>
      <c r="E110" s="370">
        <f t="shared" si="19"/>
        <v>9.462000000000001E-2</v>
      </c>
      <c r="F110" s="370">
        <f t="shared" si="20"/>
        <v>946.2</v>
      </c>
      <c r="G110" s="370">
        <f t="shared" si="21"/>
        <v>3814</v>
      </c>
      <c r="H110" s="874">
        <f t="shared" si="18"/>
        <v>3814</v>
      </c>
      <c r="I110" s="555" t="s">
        <v>131</v>
      </c>
      <c r="J110" s="556"/>
    </row>
    <row r="111" spans="3:18">
      <c r="C111" s="565">
        <v>1.4142135623730951</v>
      </c>
      <c r="D111" s="370">
        <f t="shared" si="17"/>
        <v>0.94479999999999997</v>
      </c>
      <c r="E111" s="370">
        <f t="shared" si="19"/>
        <v>9.4480000000000008E-2</v>
      </c>
      <c r="F111" s="370">
        <f t="shared" si="20"/>
        <v>944.8</v>
      </c>
      <c r="G111" s="370">
        <f t="shared" si="21"/>
        <v>4758.8</v>
      </c>
      <c r="H111" s="874">
        <f t="shared" si="18"/>
        <v>4758.8</v>
      </c>
      <c r="I111" s="122" t="s">
        <v>132</v>
      </c>
      <c r="J111" s="123" t="s">
        <v>133</v>
      </c>
    </row>
    <row r="112" spans="3:18">
      <c r="C112" s="565">
        <v>2</v>
      </c>
      <c r="D112" s="370">
        <f t="shared" si="17"/>
        <v>0.94330000000000003</v>
      </c>
      <c r="E112" s="370">
        <f t="shared" si="19"/>
        <v>9.4330000000000011E-2</v>
      </c>
      <c r="F112" s="370">
        <f t="shared" si="20"/>
        <v>943.30000000000007</v>
      </c>
      <c r="G112" s="370">
        <f t="shared" si="21"/>
        <v>5702.1</v>
      </c>
      <c r="H112" s="874">
        <f t="shared" si="18"/>
        <v>5702.1</v>
      </c>
      <c r="I112" s="125">
        <f>MIN(C107:C120)</f>
        <v>0</v>
      </c>
      <c r="J112" s="607">
        <f>($J$107*I112)+$J$108</f>
        <v>1057.9506632922971</v>
      </c>
      <c r="K112" s="370">
        <f t="shared" ref="K112:K113" si="22">IF($D$7="",NA(),J112)</f>
        <v>1057.9506632922971</v>
      </c>
    </row>
    <row r="113" spans="3:11">
      <c r="C113" s="565">
        <v>2.8284271247461903</v>
      </c>
      <c r="D113" s="370">
        <f t="shared" si="17"/>
        <v>0.9425</v>
      </c>
      <c r="E113" s="370">
        <f t="shared" si="19"/>
        <v>9.425E-2</v>
      </c>
      <c r="F113" s="370">
        <f t="shared" si="20"/>
        <v>942.5</v>
      </c>
      <c r="G113" s="370">
        <f t="shared" si="21"/>
        <v>6644.6</v>
      </c>
      <c r="H113" s="874">
        <f t="shared" si="18"/>
        <v>6644.6</v>
      </c>
      <c r="I113" s="125">
        <f>MAX(C107:C120)</f>
        <v>37.947331922020552</v>
      </c>
      <c r="J113" s="607">
        <f>($J$107*I113)+$J$108</f>
        <v>94037.094541706552</v>
      </c>
      <c r="K113" s="370">
        <f t="shared" si="22"/>
        <v>94037.094541706552</v>
      </c>
    </row>
    <row r="114" spans="3:11">
      <c r="C114" s="565">
        <v>3.872983346207417</v>
      </c>
      <c r="D114" s="370">
        <f t="shared" si="17"/>
        <v>0.94199999999999995</v>
      </c>
      <c r="E114" s="370">
        <f t="shared" si="19"/>
        <v>9.4200000000000006E-2</v>
      </c>
      <c r="F114" s="370">
        <f t="shared" si="20"/>
        <v>942</v>
      </c>
      <c r="G114" s="370">
        <f t="shared" si="21"/>
        <v>7586.6</v>
      </c>
      <c r="H114" s="874">
        <f t="shared" si="18"/>
        <v>7586.6</v>
      </c>
      <c r="J114" s="608"/>
    </row>
    <row r="115" spans="3:11">
      <c r="C115" s="565">
        <v>5.4772255750516612</v>
      </c>
      <c r="D115" s="370">
        <f t="shared" si="17"/>
        <v>0.94159999999999999</v>
      </c>
      <c r="E115" s="370">
        <f t="shared" si="19"/>
        <v>9.4160000000000008E-2</v>
      </c>
      <c r="F115" s="370">
        <f t="shared" si="20"/>
        <v>941.6</v>
      </c>
      <c r="G115" s="370">
        <f t="shared" si="21"/>
        <v>8528.2000000000007</v>
      </c>
      <c r="H115" s="874">
        <f t="shared" si="18"/>
        <v>8528.2000000000007</v>
      </c>
      <c r="I115" s="370" t="s">
        <v>359</v>
      </c>
      <c r="J115" s="608"/>
    </row>
    <row r="116" spans="3:11">
      <c r="C116" s="565">
        <v>7.745966692414834</v>
      </c>
      <c r="D116" s="370">
        <f t="shared" si="17"/>
        <v>0.94120000000000004</v>
      </c>
      <c r="E116" s="370">
        <f t="shared" si="19"/>
        <v>9.4120000000000009E-2</v>
      </c>
      <c r="F116" s="370">
        <f t="shared" si="20"/>
        <v>941.2</v>
      </c>
      <c r="G116" s="370">
        <f t="shared" si="21"/>
        <v>9469.4000000000015</v>
      </c>
      <c r="H116" s="874">
        <f t="shared" si="18"/>
        <v>9469.4000000000015</v>
      </c>
      <c r="I116" s="370" t="s">
        <v>132</v>
      </c>
      <c r="J116" s="608" t="s">
        <v>133</v>
      </c>
    </row>
    <row r="117" spans="3:11">
      <c r="C117" s="565">
        <v>10.954451150103322</v>
      </c>
      <c r="D117" s="370">
        <f t="shared" si="17"/>
        <v>0.94079999999999997</v>
      </c>
      <c r="E117" s="370">
        <f t="shared" si="19"/>
        <v>9.4079999999999997E-2</v>
      </c>
      <c r="F117" s="370">
        <f t="shared" si="20"/>
        <v>940.8</v>
      </c>
      <c r="G117" s="370">
        <f t="shared" si="21"/>
        <v>10410.200000000001</v>
      </c>
      <c r="H117" s="874">
        <f t="shared" si="18"/>
        <v>10410.200000000001</v>
      </c>
      <c r="I117" s="593">
        <f>I112</f>
        <v>0</v>
      </c>
      <c r="J117" s="607">
        <f>J112</f>
        <v>1057.9506632922971</v>
      </c>
      <c r="K117" s="370">
        <f t="shared" ref="K117:K118" si="23">IF($D$7="",NA(),J117)</f>
        <v>1057.9506632922971</v>
      </c>
    </row>
    <row r="118" spans="3:11">
      <c r="C118" s="565">
        <v>16</v>
      </c>
      <c r="D118" s="370">
        <f t="shared" si="17"/>
        <v>0.9405</v>
      </c>
      <c r="E118" s="370">
        <f t="shared" si="19"/>
        <v>9.4050000000000009E-2</v>
      </c>
      <c r="F118" s="370">
        <f t="shared" si="20"/>
        <v>940.5</v>
      </c>
      <c r="G118" s="370">
        <f t="shared" si="21"/>
        <v>11350.7</v>
      </c>
      <c r="H118" s="874">
        <f t="shared" si="18"/>
        <v>11350.7</v>
      </c>
      <c r="I118" s="593">
        <f>I113*1.15</f>
        <v>43.639431710323635</v>
      </c>
      <c r="J118" s="607">
        <f>J113</f>
        <v>94037.094541706552</v>
      </c>
      <c r="K118" s="370">
        <f t="shared" si="23"/>
        <v>94037.094541706552</v>
      </c>
    </row>
    <row r="119" spans="3:11">
      <c r="C119" s="565">
        <v>22</v>
      </c>
      <c r="D119" s="370">
        <f t="shared" si="17"/>
        <v>0.94020000000000004</v>
      </c>
      <c r="E119" s="370">
        <f t="shared" si="19"/>
        <v>9.4020000000000006E-2</v>
      </c>
      <c r="F119" s="370">
        <f t="shared" si="20"/>
        <v>940.2</v>
      </c>
      <c r="G119" s="370">
        <f t="shared" si="21"/>
        <v>12290.900000000001</v>
      </c>
      <c r="H119" s="874">
        <f t="shared" si="18"/>
        <v>12290.900000000001</v>
      </c>
    </row>
    <row r="120" spans="3:11">
      <c r="C120" s="565">
        <v>37.947331922020552</v>
      </c>
      <c r="D120" s="370">
        <f t="shared" si="17"/>
        <v>0.93989999999999996</v>
      </c>
      <c r="E120" s="370">
        <f t="shared" si="19"/>
        <v>9.3990000000000004E-2</v>
      </c>
      <c r="F120" s="370">
        <f t="shared" si="20"/>
        <v>939.9</v>
      </c>
      <c r="G120" s="370">
        <f t="shared" si="21"/>
        <v>13230.800000000001</v>
      </c>
      <c r="H120" s="874">
        <f t="shared" si="18"/>
        <v>13230.800000000001</v>
      </c>
      <c r="I120" s="559" t="s">
        <v>134</v>
      </c>
      <c r="J120" s="560"/>
    </row>
    <row r="121" spans="3:11">
      <c r="I121" s="122" t="s">
        <v>132</v>
      </c>
      <c r="J121" s="123" t="s">
        <v>133</v>
      </c>
    </row>
    <row r="122" spans="3:11">
      <c r="I122" s="122">
        <v>0</v>
      </c>
      <c r="J122" s="123">
        <f>J123</f>
        <v>6000</v>
      </c>
      <c r="K122" s="370">
        <f t="shared" ref="K122:K124" si="24">IF($D$7="",NA(),J122)</f>
        <v>6000</v>
      </c>
    </row>
    <row r="123" spans="3:11">
      <c r="I123" s="127">
        <v>2.2999999999999998</v>
      </c>
      <c r="J123" s="124">
        <v>6000</v>
      </c>
      <c r="K123" s="370">
        <f t="shared" si="24"/>
        <v>6000</v>
      </c>
    </row>
    <row r="124" spans="3:11">
      <c r="I124" s="122">
        <f>I123</f>
        <v>2.2999999999999998</v>
      </c>
      <c r="J124" s="123">
        <f>J118</f>
        <v>94037.094541706552</v>
      </c>
      <c r="K124" s="370">
        <f t="shared" si="24"/>
        <v>94037.094541706552</v>
      </c>
    </row>
    <row r="126" spans="3:11">
      <c r="C126" s="370">
        <v>1</v>
      </c>
    </row>
    <row r="127" spans="3:11">
      <c r="C127" s="370" t="s">
        <v>132</v>
      </c>
      <c r="D127" s="370" t="s">
        <v>357</v>
      </c>
      <c r="E127" s="370" t="s">
        <v>75</v>
      </c>
      <c r="F127" s="370" t="s">
        <v>358</v>
      </c>
      <c r="G127" s="370" t="s">
        <v>133</v>
      </c>
    </row>
    <row r="128" spans="3:11">
      <c r="C128" s="565">
        <v>0</v>
      </c>
      <c r="D128" s="370">
        <f t="shared" ref="D128:D141" si="25">I53</f>
        <v>0.93989999999999996</v>
      </c>
      <c r="E128" s="370">
        <f>D128*0.1</f>
        <v>9.3990000000000004E-2</v>
      </c>
      <c r="F128" s="370">
        <f>D128*1000</f>
        <v>939.9</v>
      </c>
      <c r="G128" s="370">
        <f>F128</f>
        <v>939.9</v>
      </c>
      <c r="H128" s="874">
        <f t="shared" ref="H128:H141" si="26">IF($D$7="",NA(),G128)</f>
        <v>939.9</v>
      </c>
      <c r="I128" s="370" t="s">
        <v>645</v>
      </c>
      <c r="J128" s="573">
        <f>SLOPE(G129:G133,C129:C133)</f>
        <v>2320.9279480890755</v>
      </c>
    </row>
    <row r="129" spans="3:11">
      <c r="C129" s="565">
        <v>0.5</v>
      </c>
      <c r="D129" s="370">
        <f t="shared" si="25"/>
        <v>0.8992</v>
      </c>
      <c r="E129" s="370">
        <f t="shared" ref="E129:E141" si="27">D129*0.1</f>
        <v>8.992E-2</v>
      </c>
      <c r="F129" s="370">
        <f t="shared" ref="F129:F141" si="28">D129*1000</f>
        <v>899.2</v>
      </c>
      <c r="G129" s="370">
        <f t="shared" ref="G129:G141" si="29">G128+F129</f>
        <v>1839.1</v>
      </c>
      <c r="H129" s="874">
        <f t="shared" si="26"/>
        <v>1839.1</v>
      </c>
      <c r="I129" s="370" t="s">
        <v>260</v>
      </c>
      <c r="J129" s="573">
        <f>INTERCEPT(G129:G133,C129:C133)</f>
        <v>1022.2441018941477</v>
      </c>
    </row>
    <row r="130" spans="3:11">
      <c r="C130" s="565">
        <v>0.70710678118654757</v>
      </c>
      <c r="D130" s="370">
        <f t="shared" si="25"/>
        <v>0.89749999999999996</v>
      </c>
      <c r="E130" s="370">
        <f t="shared" si="27"/>
        <v>8.9749999999999996E-2</v>
      </c>
      <c r="F130" s="370">
        <f t="shared" si="28"/>
        <v>897.5</v>
      </c>
      <c r="G130" s="370">
        <f t="shared" si="29"/>
        <v>2736.6</v>
      </c>
      <c r="H130" s="874">
        <f t="shared" si="26"/>
        <v>2736.6</v>
      </c>
    </row>
    <row r="131" spans="3:11">
      <c r="C131" s="565">
        <v>1</v>
      </c>
      <c r="D131" s="370">
        <f t="shared" si="25"/>
        <v>0.89659999999999995</v>
      </c>
      <c r="E131" s="370">
        <f t="shared" si="27"/>
        <v>8.9660000000000004E-2</v>
      </c>
      <c r="F131" s="370">
        <f t="shared" si="28"/>
        <v>896.59999999999991</v>
      </c>
      <c r="G131" s="370">
        <f t="shared" si="29"/>
        <v>3633.2</v>
      </c>
      <c r="H131" s="874">
        <f t="shared" si="26"/>
        <v>3633.2</v>
      </c>
      <c r="I131" s="555" t="s">
        <v>131</v>
      </c>
      <c r="J131" s="556"/>
    </row>
    <row r="132" spans="3:11">
      <c r="C132" s="565">
        <v>1.4142135623730951</v>
      </c>
      <c r="D132" s="370">
        <f t="shared" si="25"/>
        <v>0.89449999999999996</v>
      </c>
      <c r="E132" s="370">
        <f t="shared" si="27"/>
        <v>8.9450000000000002E-2</v>
      </c>
      <c r="F132" s="370">
        <f t="shared" si="28"/>
        <v>894.5</v>
      </c>
      <c r="G132" s="370">
        <f t="shared" si="29"/>
        <v>4527.7</v>
      </c>
      <c r="H132" s="874">
        <f t="shared" si="26"/>
        <v>4527.7</v>
      </c>
      <c r="I132" s="122" t="s">
        <v>132</v>
      </c>
      <c r="J132" s="123" t="s">
        <v>133</v>
      </c>
    </row>
    <row r="133" spans="3:11">
      <c r="C133" s="565">
        <v>2</v>
      </c>
      <c r="D133" s="370">
        <f t="shared" si="25"/>
        <v>0.89359999999999995</v>
      </c>
      <c r="E133" s="370">
        <f t="shared" si="27"/>
        <v>8.9359999999999995E-2</v>
      </c>
      <c r="F133" s="370">
        <f t="shared" si="28"/>
        <v>893.59999999999991</v>
      </c>
      <c r="G133" s="370">
        <f t="shared" si="29"/>
        <v>5421.2999999999993</v>
      </c>
      <c r="H133" s="874">
        <f t="shared" si="26"/>
        <v>5421.2999999999993</v>
      </c>
      <c r="I133" s="125">
        <f>MIN(C128:C141)</f>
        <v>0</v>
      </c>
      <c r="J133" s="607">
        <f>($J$128*I133)+$J$129</f>
        <v>1022.2441018941477</v>
      </c>
      <c r="K133" s="370">
        <f t="shared" ref="K133:K134" si="30">IF($D$7="",NA(),J133)</f>
        <v>1022.2441018941477</v>
      </c>
    </row>
    <row r="134" spans="3:11">
      <c r="C134" s="565">
        <v>2.8284271247461903</v>
      </c>
      <c r="D134" s="370">
        <f t="shared" si="25"/>
        <v>0.89200000000000002</v>
      </c>
      <c r="E134" s="370">
        <f t="shared" si="27"/>
        <v>8.9200000000000002E-2</v>
      </c>
      <c r="F134" s="370">
        <f t="shared" si="28"/>
        <v>892</v>
      </c>
      <c r="G134" s="370">
        <f t="shared" si="29"/>
        <v>6313.2999999999993</v>
      </c>
      <c r="H134" s="874">
        <f t="shared" si="26"/>
        <v>6313.2999999999993</v>
      </c>
      <c r="I134" s="125">
        <f>MAX(C128:C141)</f>
        <v>37.947331922020552</v>
      </c>
      <c r="J134" s="607">
        <f>($J$128*I134)+$J$129</f>
        <v>89095.26731512438</v>
      </c>
      <c r="K134" s="370">
        <f t="shared" si="30"/>
        <v>89095.26731512438</v>
      </c>
    </row>
    <row r="135" spans="3:11">
      <c r="C135" s="565">
        <v>3.872983346207417</v>
      </c>
      <c r="D135" s="370">
        <f t="shared" si="25"/>
        <v>0.89119999999999999</v>
      </c>
      <c r="E135" s="370">
        <f t="shared" si="27"/>
        <v>8.9120000000000005E-2</v>
      </c>
      <c r="F135" s="370">
        <f t="shared" si="28"/>
        <v>891.2</v>
      </c>
      <c r="G135" s="370">
        <f t="shared" si="29"/>
        <v>7204.4999999999991</v>
      </c>
      <c r="H135" s="874">
        <f t="shared" si="26"/>
        <v>7204.4999999999991</v>
      </c>
    </row>
    <row r="136" spans="3:11">
      <c r="C136" s="565">
        <v>5.4772255750516612</v>
      </c>
      <c r="D136" s="370">
        <f t="shared" si="25"/>
        <v>0.89059999999999995</v>
      </c>
      <c r="E136" s="370">
        <f t="shared" si="27"/>
        <v>8.906E-2</v>
      </c>
      <c r="F136" s="370">
        <f t="shared" si="28"/>
        <v>890.59999999999991</v>
      </c>
      <c r="G136" s="370">
        <f t="shared" si="29"/>
        <v>8095.0999999999985</v>
      </c>
      <c r="H136" s="874">
        <f t="shared" si="26"/>
        <v>8095.0999999999985</v>
      </c>
      <c r="I136" s="370" t="s">
        <v>359</v>
      </c>
    </row>
    <row r="137" spans="3:11">
      <c r="C137" s="565">
        <v>7.745966692414834</v>
      </c>
      <c r="D137" s="370">
        <f t="shared" si="25"/>
        <v>0.89019999999999999</v>
      </c>
      <c r="E137" s="370">
        <f t="shared" si="27"/>
        <v>8.9020000000000002E-2</v>
      </c>
      <c r="F137" s="370">
        <f t="shared" si="28"/>
        <v>890.2</v>
      </c>
      <c r="G137" s="370">
        <f t="shared" si="29"/>
        <v>8985.2999999999993</v>
      </c>
      <c r="H137" s="874">
        <f t="shared" si="26"/>
        <v>8985.2999999999993</v>
      </c>
      <c r="I137" s="370" t="s">
        <v>132</v>
      </c>
      <c r="J137" s="370" t="s">
        <v>133</v>
      </c>
    </row>
    <row r="138" spans="3:11">
      <c r="C138" s="565">
        <v>10.954451150103322</v>
      </c>
      <c r="D138" s="370">
        <f t="shared" si="25"/>
        <v>0.88970000000000005</v>
      </c>
      <c r="E138" s="370">
        <f t="shared" si="27"/>
        <v>8.8970000000000007E-2</v>
      </c>
      <c r="F138" s="370">
        <f t="shared" si="28"/>
        <v>889.7</v>
      </c>
      <c r="G138" s="370">
        <f t="shared" si="29"/>
        <v>9875</v>
      </c>
      <c r="H138" s="874">
        <f t="shared" si="26"/>
        <v>9875</v>
      </c>
      <c r="I138" s="370">
        <f>I133</f>
        <v>0</v>
      </c>
      <c r="J138" s="370">
        <f>J133</f>
        <v>1022.2441018941477</v>
      </c>
      <c r="K138" s="370">
        <f t="shared" ref="K138:K139" si="31">IF($D$7="",NA(),J138)</f>
        <v>1022.2441018941477</v>
      </c>
    </row>
    <row r="139" spans="3:11">
      <c r="C139" s="565">
        <v>16</v>
      </c>
      <c r="D139" s="370">
        <f t="shared" si="25"/>
        <v>0.88929999999999998</v>
      </c>
      <c r="E139" s="370">
        <f t="shared" si="27"/>
        <v>8.8930000000000009E-2</v>
      </c>
      <c r="F139" s="370">
        <f t="shared" si="28"/>
        <v>889.3</v>
      </c>
      <c r="G139" s="370">
        <f t="shared" si="29"/>
        <v>10764.3</v>
      </c>
      <c r="H139" s="874">
        <f t="shared" si="26"/>
        <v>10764.3</v>
      </c>
      <c r="I139" s="370">
        <f>I134*1.15</f>
        <v>43.639431710323635</v>
      </c>
      <c r="J139" s="370">
        <f>J134</f>
        <v>89095.26731512438</v>
      </c>
      <c r="K139" s="370">
        <f t="shared" si="31"/>
        <v>89095.26731512438</v>
      </c>
    </row>
    <row r="140" spans="3:11">
      <c r="C140" s="565">
        <v>22</v>
      </c>
      <c r="D140" s="370">
        <f t="shared" si="25"/>
        <v>0.88890000000000002</v>
      </c>
      <c r="E140" s="370">
        <f t="shared" si="27"/>
        <v>8.8890000000000011E-2</v>
      </c>
      <c r="F140" s="370">
        <f t="shared" si="28"/>
        <v>888.9</v>
      </c>
      <c r="G140" s="370">
        <f t="shared" si="29"/>
        <v>11653.199999999999</v>
      </c>
      <c r="H140" s="874">
        <f t="shared" si="26"/>
        <v>11653.199999999999</v>
      </c>
    </row>
    <row r="141" spans="3:11">
      <c r="C141" s="565">
        <v>37.947331922020552</v>
      </c>
      <c r="D141" s="370">
        <f t="shared" si="25"/>
        <v>0.88849999999999996</v>
      </c>
      <c r="E141" s="370">
        <f t="shared" si="27"/>
        <v>8.8849999999999998E-2</v>
      </c>
      <c r="F141" s="370">
        <f t="shared" si="28"/>
        <v>888.5</v>
      </c>
      <c r="G141" s="370">
        <f t="shared" si="29"/>
        <v>12541.699999999999</v>
      </c>
      <c r="H141" s="874">
        <f t="shared" si="26"/>
        <v>12541.699999999999</v>
      </c>
      <c r="I141" s="559" t="s">
        <v>134</v>
      </c>
      <c r="J141" s="560"/>
    </row>
    <row r="142" spans="3:11">
      <c r="I142" s="122" t="s">
        <v>132</v>
      </c>
      <c r="J142" s="123" t="s">
        <v>133</v>
      </c>
    </row>
    <row r="143" spans="3:11">
      <c r="I143" s="122">
        <v>0</v>
      </c>
      <c r="J143" s="609">
        <f>J144</f>
        <v>5600</v>
      </c>
      <c r="K143" s="875">
        <f t="shared" ref="K143:K145" si="32">IF($D$7="",NA(),J143)</f>
        <v>5600</v>
      </c>
    </row>
    <row r="144" spans="3:11">
      <c r="I144" s="127">
        <v>2.2000000000000002</v>
      </c>
      <c r="J144" s="612">
        <v>5600</v>
      </c>
      <c r="K144" s="875">
        <f t="shared" si="32"/>
        <v>5600</v>
      </c>
    </row>
    <row r="145" spans="3:11">
      <c r="I145" s="122">
        <f>I144</f>
        <v>2.2000000000000002</v>
      </c>
      <c r="J145" s="607">
        <f>J139</f>
        <v>89095.26731512438</v>
      </c>
      <c r="K145" s="875">
        <f t="shared" si="32"/>
        <v>89095.26731512438</v>
      </c>
    </row>
    <row r="147" spans="3:11">
      <c r="C147" s="370">
        <v>2</v>
      </c>
      <c r="I147" s="370">
        <f>C147</f>
        <v>2</v>
      </c>
    </row>
    <row r="148" spans="3:11">
      <c r="C148" s="370" t="s">
        <v>132</v>
      </c>
      <c r="D148" s="370" t="s">
        <v>357</v>
      </c>
      <c r="E148" s="370" t="s">
        <v>75</v>
      </c>
      <c r="F148" s="370" t="s">
        <v>358</v>
      </c>
      <c r="G148" s="370" t="s">
        <v>133</v>
      </c>
    </row>
    <row r="149" spans="3:11">
      <c r="C149" s="565">
        <v>0</v>
      </c>
      <c r="D149" s="370">
        <f t="shared" ref="D149:D162" si="33">J53</f>
        <v>0.88849999999999996</v>
      </c>
      <c r="E149" s="370">
        <f>D149*0.1</f>
        <v>8.8849999999999998E-2</v>
      </c>
      <c r="F149" s="370">
        <f>D149*1000</f>
        <v>888.5</v>
      </c>
      <c r="G149" s="370">
        <f>F149</f>
        <v>888.5</v>
      </c>
      <c r="H149" s="874">
        <f t="shared" ref="H149:H162" si="34">IF($D$7="",NA(),G149)</f>
        <v>888.5</v>
      </c>
      <c r="I149" s="370" t="s">
        <v>645</v>
      </c>
      <c r="J149" s="573">
        <f>SLOPE(G150:G154,C150:C154)</f>
        <v>2152.223945437735</v>
      </c>
    </row>
    <row r="150" spans="3:11">
      <c r="C150" s="565">
        <v>0.5</v>
      </c>
      <c r="D150" s="370">
        <f t="shared" si="33"/>
        <v>0.84160000000000001</v>
      </c>
      <c r="E150" s="370">
        <f t="shared" ref="E150:E162" si="35">D150*0.1</f>
        <v>8.4160000000000013E-2</v>
      </c>
      <c r="F150" s="370">
        <f t="shared" ref="F150:F162" si="36">D150*1000</f>
        <v>841.6</v>
      </c>
      <c r="G150" s="370">
        <f t="shared" ref="G150:G162" si="37">G149+F150</f>
        <v>1730.1</v>
      </c>
      <c r="H150" s="874">
        <f t="shared" si="34"/>
        <v>1730.1</v>
      </c>
      <c r="I150" s="370" t="s">
        <v>260</v>
      </c>
      <c r="J150" s="573">
        <f>INTERCEPT(G150:G154,C150:C154)</f>
        <v>974.53195032293206</v>
      </c>
    </row>
    <row r="151" spans="3:11">
      <c r="C151" s="565">
        <v>0.70710678118654757</v>
      </c>
      <c r="D151" s="370">
        <f t="shared" si="33"/>
        <v>0.83520000000000005</v>
      </c>
      <c r="E151" s="370">
        <f t="shared" si="35"/>
        <v>8.3520000000000011E-2</v>
      </c>
      <c r="F151" s="370">
        <f t="shared" si="36"/>
        <v>835.2</v>
      </c>
      <c r="G151" s="370">
        <f t="shared" si="37"/>
        <v>2565.3000000000002</v>
      </c>
      <c r="H151" s="874">
        <f t="shared" si="34"/>
        <v>2565.3000000000002</v>
      </c>
    </row>
    <row r="152" spans="3:11">
      <c r="C152" s="565">
        <v>1</v>
      </c>
      <c r="D152" s="370">
        <f t="shared" si="33"/>
        <v>0.83169999999999999</v>
      </c>
      <c r="E152" s="370">
        <f t="shared" si="35"/>
        <v>8.3170000000000008E-2</v>
      </c>
      <c r="F152" s="370">
        <f t="shared" si="36"/>
        <v>831.7</v>
      </c>
      <c r="G152" s="370">
        <f t="shared" si="37"/>
        <v>3397</v>
      </c>
      <c r="H152" s="874">
        <f t="shared" si="34"/>
        <v>3397</v>
      </c>
      <c r="I152" s="555" t="s">
        <v>131</v>
      </c>
      <c r="J152" s="556"/>
    </row>
    <row r="153" spans="3:11">
      <c r="C153" s="565">
        <v>1.4142135623730951</v>
      </c>
      <c r="D153" s="370">
        <f t="shared" si="33"/>
        <v>0.8286</v>
      </c>
      <c r="E153" s="370">
        <f t="shared" si="35"/>
        <v>8.2860000000000003E-2</v>
      </c>
      <c r="F153" s="370">
        <f t="shared" si="36"/>
        <v>828.6</v>
      </c>
      <c r="G153" s="370">
        <f t="shared" si="37"/>
        <v>4225.6000000000004</v>
      </c>
      <c r="H153" s="874">
        <f t="shared" si="34"/>
        <v>4225.6000000000004</v>
      </c>
      <c r="I153" s="122" t="s">
        <v>132</v>
      </c>
      <c r="J153" s="123" t="s">
        <v>133</v>
      </c>
    </row>
    <row r="154" spans="3:11">
      <c r="C154" s="565">
        <v>2</v>
      </c>
      <c r="D154" s="370">
        <f t="shared" si="33"/>
        <v>0.82740000000000002</v>
      </c>
      <c r="E154" s="370">
        <f t="shared" si="35"/>
        <v>8.2740000000000008E-2</v>
      </c>
      <c r="F154" s="370">
        <f t="shared" si="36"/>
        <v>827.4</v>
      </c>
      <c r="G154" s="370">
        <f t="shared" si="37"/>
        <v>5053</v>
      </c>
      <c r="H154" s="874">
        <f t="shared" si="34"/>
        <v>5053</v>
      </c>
      <c r="I154" s="125">
        <f>MIN(C149:C162)</f>
        <v>0</v>
      </c>
      <c r="J154" s="607">
        <f>($J$149*I154)+$J$150</f>
        <v>974.53195032293206</v>
      </c>
      <c r="K154" s="875">
        <f t="shared" ref="K154:K155" si="38">IF($D$7="",NA(),J154)</f>
        <v>974.53195032293206</v>
      </c>
    </row>
    <row r="155" spans="3:11">
      <c r="C155" s="565">
        <v>2.8284271247461903</v>
      </c>
      <c r="D155" s="370">
        <f t="shared" si="33"/>
        <v>0.82620000000000005</v>
      </c>
      <c r="E155" s="370">
        <f t="shared" si="35"/>
        <v>8.2620000000000013E-2</v>
      </c>
      <c r="F155" s="370">
        <f t="shared" si="36"/>
        <v>826.2</v>
      </c>
      <c r="G155" s="370">
        <f t="shared" si="37"/>
        <v>5879.2</v>
      </c>
      <c r="H155" s="874">
        <f t="shared" si="34"/>
        <v>5879.2</v>
      </c>
      <c r="I155" s="125">
        <f>MAX(C149:C162)</f>
        <v>37.947331922020552</v>
      </c>
      <c r="J155" s="607">
        <f>($J$149*I155)+$J$150</f>
        <v>82645.688378369305</v>
      </c>
      <c r="K155" s="875">
        <f t="shared" si="38"/>
        <v>82645.688378369305</v>
      </c>
    </row>
    <row r="156" spans="3:11">
      <c r="C156" s="565">
        <v>3.872983346207417</v>
      </c>
      <c r="D156" s="370">
        <f t="shared" si="33"/>
        <v>0.82489999999999997</v>
      </c>
      <c r="E156" s="370">
        <f t="shared" si="35"/>
        <v>8.2490000000000008E-2</v>
      </c>
      <c r="F156" s="370">
        <f t="shared" si="36"/>
        <v>824.9</v>
      </c>
      <c r="G156" s="370">
        <f t="shared" si="37"/>
        <v>6704.0999999999995</v>
      </c>
      <c r="H156" s="874">
        <f t="shared" si="34"/>
        <v>6704.0999999999995</v>
      </c>
    </row>
    <row r="157" spans="3:11">
      <c r="C157" s="565">
        <v>5.4772255750516612</v>
      </c>
      <c r="D157" s="370">
        <f t="shared" si="33"/>
        <v>0.82440000000000002</v>
      </c>
      <c r="E157" s="370">
        <f t="shared" si="35"/>
        <v>8.2440000000000013E-2</v>
      </c>
      <c r="F157" s="370">
        <f t="shared" si="36"/>
        <v>824.4</v>
      </c>
      <c r="G157" s="370">
        <f t="shared" si="37"/>
        <v>7528.4999999999991</v>
      </c>
      <c r="H157" s="874">
        <f t="shared" si="34"/>
        <v>7528.4999999999991</v>
      </c>
      <c r="I157" s="370" t="s">
        <v>359</v>
      </c>
    </row>
    <row r="158" spans="3:11">
      <c r="C158" s="565">
        <v>7.745966692414834</v>
      </c>
      <c r="D158" s="370">
        <f t="shared" si="33"/>
        <v>0.82389999999999997</v>
      </c>
      <c r="E158" s="370">
        <f t="shared" si="35"/>
        <v>8.2390000000000005E-2</v>
      </c>
      <c r="F158" s="370">
        <f t="shared" si="36"/>
        <v>823.9</v>
      </c>
      <c r="G158" s="370">
        <f t="shared" si="37"/>
        <v>8352.4</v>
      </c>
      <c r="H158" s="874">
        <f t="shared" si="34"/>
        <v>8352.4</v>
      </c>
      <c r="I158" s="370" t="s">
        <v>132</v>
      </c>
      <c r="J158" s="370" t="s">
        <v>133</v>
      </c>
    </row>
    <row r="159" spans="3:11">
      <c r="C159" s="565">
        <v>10.954451150103322</v>
      </c>
      <c r="D159" s="370">
        <f t="shared" si="33"/>
        <v>0.82340000000000002</v>
      </c>
      <c r="E159" s="370">
        <f t="shared" si="35"/>
        <v>8.234000000000001E-2</v>
      </c>
      <c r="F159" s="370">
        <f t="shared" si="36"/>
        <v>823.4</v>
      </c>
      <c r="G159" s="370">
        <f t="shared" si="37"/>
        <v>9175.7999999999993</v>
      </c>
      <c r="H159" s="874">
        <f t="shared" si="34"/>
        <v>9175.7999999999993</v>
      </c>
      <c r="I159" s="370">
        <f>I154</f>
        <v>0</v>
      </c>
      <c r="J159" s="370">
        <f>J154</f>
        <v>974.53195032293206</v>
      </c>
      <c r="K159" s="875">
        <f t="shared" ref="K159:K160" si="39">IF($D$7="",NA(),J159)</f>
        <v>974.53195032293206</v>
      </c>
    </row>
    <row r="160" spans="3:11">
      <c r="C160" s="565">
        <v>16</v>
      </c>
      <c r="D160" s="370">
        <f t="shared" si="33"/>
        <v>0.82289999999999996</v>
      </c>
      <c r="E160" s="370">
        <f t="shared" si="35"/>
        <v>8.2290000000000002E-2</v>
      </c>
      <c r="F160" s="370">
        <f t="shared" si="36"/>
        <v>822.9</v>
      </c>
      <c r="G160" s="370">
        <f t="shared" si="37"/>
        <v>9998.6999999999989</v>
      </c>
      <c r="H160" s="874">
        <f t="shared" si="34"/>
        <v>9998.6999999999989</v>
      </c>
      <c r="I160" s="370">
        <f>I155*1.15</f>
        <v>43.639431710323635</v>
      </c>
      <c r="J160" s="370">
        <f>J155</f>
        <v>82645.688378369305</v>
      </c>
      <c r="K160" s="875">
        <f t="shared" si="39"/>
        <v>82645.688378369305</v>
      </c>
    </row>
    <row r="161" spans="3:11">
      <c r="C161" s="565">
        <v>22</v>
      </c>
      <c r="D161" s="370">
        <f t="shared" si="33"/>
        <v>0.82250000000000001</v>
      </c>
      <c r="E161" s="370">
        <f t="shared" si="35"/>
        <v>8.2250000000000004E-2</v>
      </c>
      <c r="F161" s="370">
        <f t="shared" si="36"/>
        <v>822.5</v>
      </c>
      <c r="G161" s="370">
        <f t="shared" si="37"/>
        <v>10821.199999999999</v>
      </c>
      <c r="H161" s="874">
        <f t="shared" si="34"/>
        <v>10821.199999999999</v>
      </c>
    </row>
    <row r="162" spans="3:11">
      <c r="C162" s="565">
        <v>37.947331922020552</v>
      </c>
      <c r="D162" s="370">
        <f t="shared" si="33"/>
        <v>0.82210000000000005</v>
      </c>
      <c r="E162" s="370">
        <f t="shared" si="35"/>
        <v>8.2210000000000005E-2</v>
      </c>
      <c r="F162" s="370">
        <f t="shared" si="36"/>
        <v>822.1</v>
      </c>
      <c r="G162" s="370">
        <f t="shared" si="37"/>
        <v>11643.3</v>
      </c>
      <c r="H162" s="874">
        <f t="shared" si="34"/>
        <v>11643.3</v>
      </c>
      <c r="I162" s="559" t="s">
        <v>134</v>
      </c>
      <c r="J162" s="560"/>
    </row>
    <row r="163" spans="3:11">
      <c r="I163" s="122" t="s">
        <v>132</v>
      </c>
      <c r="J163" s="123" t="s">
        <v>133</v>
      </c>
    </row>
    <row r="164" spans="3:11">
      <c r="I164" s="122">
        <v>0</v>
      </c>
      <c r="J164" s="123">
        <f>J165</f>
        <v>5300</v>
      </c>
      <c r="K164" s="875">
        <f t="shared" ref="K164:K166" si="40">IF($D$7="",NA(),J164)</f>
        <v>5300</v>
      </c>
    </row>
    <row r="165" spans="3:11">
      <c r="I165" s="127">
        <v>2.2999999999999998</v>
      </c>
      <c r="J165" s="124">
        <v>5300</v>
      </c>
      <c r="K165" s="875">
        <f t="shared" si="40"/>
        <v>5300</v>
      </c>
    </row>
    <row r="166" spans="3:11">
      <c r="I166" s="122">
        <f>I165</f>
        <v>2.2999999999999998</v>
      </c>
      <c r="J166" s="123">
        <f>J160</f>
        <v>82645.688378369305</v>
      </c>
      <c r="K166" s="875">
        <f t="shared" si="40"/>
        <v>82645.688378369305</v>
      </c>
    </row>
    <row r="169" spans="3:11">
      <c r="C169" s="370">
        <v>4</v>
      </c>
    </row>
    <row r="170" spans="3:11">
      <c r="C170" s="370" t="s">
        <v>132</v>
      </c>
      <c r="D170" s="370" t="s">
        <v>357</v>
      </c>
      <c r="E170" s="370" t="s">
        <v>75</v>
      </c>
      <c r="F170" s="370" t="s">
        <v>358</v>
      </c>
      <c r="G170" s="370" t="s">
        <v>133</v>
      </c>
    </row>
    <row r="171" spans="3:11">
      <c r="C171" s="565">
        <v>0</v>
      </c>
      <c r="D171" s="370">
        <f t="shared" ref="D171:D184" si="41">K53</f>
        <v>0.82210000000000005</v>
      </c>
      <c r="E171" s="370">
        <f>D171*0.1</f>
        <v>8.2210000000000005E-2</v>
      </c>
      <c r="F171" s="370">
        <f>D171*1000</f>
        <v>822.1</v>
      </c>
      <c r="G171" s="370">
        <f>F171</f>
        <v>822.1</v>
      </c>
      <c r="H171" s="874">
        <f t="shared" ref="H171:H184" si="42">IF($D$7="",NA(),G171)</f>
        <v>822.1</v>
      </c>
      <c r="I171" s="370" t="s">
        <v>645</v>
      </c>
      <c r="J171" s="573">
        <f>SLOPE(G172:G176,C172:C176)</f>
        <v>1965.847284312403</v>
      </c>
    </row>
    <row r="172" spans="3:11">
      <c r="C172" s="565">
        <v>0.5</v>
      </c>
      <c r="D172" s="370">
        <f t="shared" si="41"/>
        <v>0.7702</v>
      </c>
      <c r="E172" s="370">
        <f t="shared" ref="E172:E184" si="43">D172*0.1</f>
        <v>7.7020000000000005E-2</v>
      </c>
      <c r="F172" s="370">
        <f t="shared" ref="F172:F184" si="44">D172*1000</f>
        <v>770.2</v>
      </c>
      <c r="G172" s="370">
        <f t="shared" ref="G172:G184" si="45">G171+F172</f>
        <v>1592.3000000000002</v>
      </c>
      <c r="H172" s="874">
        <f t="shared" si="42"/>
        <v>1592.3000000000002</v>
      </c>
      <c r="I172" s="370" t="s">
        <v>260</v>
      </c>
      <c r="J172" s="573">
        <f>INTERCEPT(G172:G176,C172:C176)</f>
        <v>905.06853367264284</v>
      </c>
    </row>
    <row r="173" spans="3:11">
      <c r="C173" s="565">
        <v>0.70710678118654757</v>
      </c>
      <c r="D173" s="370">
        <f t="shared" si="41"/>
        <v>0.76629999999999998</v>
      </c>
      <c r="E173" s="370">
        <f t="shared" si="43"/>
        <v>7.6630000000000004E-2</v>
      </c>
      <c r="F173" s="370">
        <f t="shared" si="44"/>
        <v>766.3</v>
      </c>
      <c r="G173" s="370">
        <f t="shared" si="45"/>
        <v>2358.6000000000004</v>
      </c>
      <c r="H173" s="874">
        <f t="shared" si="42"/>
        <v>2358.6000000000004</v>
      </c>
    </row>
    <row r="174" spans="3:11">
      <c r="C174" s="565">
        <v>1</v>
      </c>
      <c r="D174" s="370">
        <f t="shared" si="41"/>
        <v>0.76149999999999995</v>
      </c>
      <c r="E174" s="370">
        <f t="shared" si="43"/>
        <v>7.6149999999999995E-2</v>
      </c>
      <c r="F174" s="370">
        <f t="shared" si="44"/>
        <v>761.5</v>
      </c>
      <c r="G174" s="370">
        <f t="shared" si="45"/>
        <v>3120.1000000000004</v>
      </c>
      <c r="H174" s="874">
        <f t="shared" si="42"/>
        <v>3120.1000000000004</v>
      </c>
      <c r="I174" s="555" t="s">
        <v>131</v>
      </c>
      <c r="J174" s="556"/>
    </row>
    <row r="175" spans="3:11">
      <c r="C175" s="565">
        <v>1.4142135623730951</v>
      </c>
      <c r="D175" s="370">
        <f t="shared" si="41"/>
        <v>0.75680000000000003</v>
      </c>
      <c r="E175" s="370">
        <f t="shared" si="43"/>
        <v>7.5680000000000011E-2</v>
      </c>
      <c r="F175" s="370">
        <f t="shared" si="44"/>
        <v>756.80000000000007</v>
      </c>
      <c r="G175" s="370">
        <f t="shared" si="45"/>
        <v>3876.9000000000005</v>
      </c>
      <c r="H175" s="874">
        <f t="shared" si="42"/>
        <v>3876.9000000000005</v>
      </c>
      <c r="I175" s="122" t="s">
        <v>132</v>
      </c>
      <c r="J175" s="123" t="s">
        <v>133</v>
      </c>
    </row>
    <row r="176" spans="3:11">
      <c r="C176" s="565">
        <v>2</v>
      </c>
      <c r="D176" s="370">
        <f t="shared" si="41"/>
        <v>0.75119999999999998</v>
      </c>
      <c r="E176" s="370">
        <f t="shared" si="43"/>
        <v>7.5120000000000006E-2</v>
      </c>
      <c r="F176" s="370">
        <f t="shared" si="44"/>
        <v>751.19999999999993</v>
      </c>
      <c r="G176" s="370">
        <f t="shared" si="45"/>
        <v>4628.1000000000004</v>
      </c>
      <c r="H176" s="874">
        <f t="shared" si="42"/>
        <v>4628.1000000000004</v>
      </c>
      <c r="I176" s="125">
        <f>MIN(C171:C184)</f>
        <v>0</v>
      </c>
      <c r="J176" s="607">
        <f>($J$171*I176)+$J$172</f>
        <v>905.06853367264284</v>
      </c>
      <c r="K176" s="875">
        <f t="shared" ref="K176:K177" si="46">IF($D$7="",NA(),J176)</f>
        <v>905.06853367264284</v>
      </c>
    </row>
    <row r="177" spans="3:11">
      <c r="C177" s="565">
        <v>2.8284271247461903</v>
      </c>
      <c r="D177" s="370">
        <f t="shared" si="41"/>
        <v>0.74819999999999998</v>
      </c>
      <c r="E177" s="370">
        <f t="shared" si="43"/>
        <v>7.4819999999999998E-2</v>
      </c>
      <c r="F177" s="370">
        <f t="shared" si="44"/>
        <v>748.19999999999993</v>
      </c>
      <c r="G177" s="370">
        <f t="shared" si="45"/>
        <v>5376.3</v>
      </c>
      <c r="H177" s="874">
        <f t="shared" si="42"/>
        <v>5376.3</v>
      </c>
      <c r="I177" s="125">
        <f>MAX(C171:C184)</f>
        <v>37.947331922020552</v>
      </c>
      <c r="J177" s="607">
        <f>($J$171*I177)+$J$172</f>
        <v>75503.727939478107</v>
      </c>
      <c r="K177" s="875">
        <f t="shared" si="46"/>
        <v>75503.727939478107</v>
      </c>
    </row>
    <row r="178" spans="3:11">
      <c r="C178" s="565">
        <v>3.872983346207417</v>
      </c>
      <c r="D178" s="370">
        <f t="shared" si="41"/>
        <v>0.74660000000000004</v>
      </c>
      <c r="E178" s="370">
        <f t="shared" si="43"/>
        <v>7.4660000000000004E-2</v>
      </c>
      <c r="F178" s="370">
        <f t="shared" si="44"/>
        <v>746.6</v>
      </c>
      <c r="G178" s="370">
        <f t="shared" si="45"/>
        <v>6122.9000000000005</v>
      </c>
      <c r="H178" s="874">
        <f t="shared" si="42"/>
        <v>6122.9000000000005</v>
      </c>
    </row>
    <row r="179" spans="3:11">
      <c r="C179" s="565">
        <v>5.4772255750516612</v>
      </c>
      <c r="D179" s="370">
        <f t="shared" si="41"/>
        <v>0.74539999999999995</v>
      </c>
      <c r="E179" s="370">
        <f t="shared" si="43"/>
        <v>7.4539999999999995E-2</v>
      </c>
      <c r="F179" s="370">
        <f t="shared" si="44"/>
        <v>745.4</v>
      </c>
      <c r="G179" s="370">
        <f t="shared" si="45"/>
        <v>6868.3</v>
      </c>
      <c r="H179" s="874">
        <f t="shared" si="42"/>
        <v>6868.3</v>
      </c>
      <c r="I179" s="370" t="s">
        <v>359</v>
      </c>
    </row>
    <row r="180" spans="3:11">
      <c r="C180" s="565">
        <v>7.745966692414834</v>
      </c>
      <c r="D180" s="370">
        <f t="shared" si="41"/>
        <v>0.74490000000000001</v>
      </c>
      <c r="E180" s="370">
        <f t="shared" si="43"/>
        <v>7.4490000000000001E-2</v>
      </c>
      <c r="F180" s="370">
        <f t="shared" si="44"/>
        <v>744.9</v>
      </c>
      <c r="G180" s="370">
        <f t="shared" si="45"/>
        <v>7613.2</v>
      </c>
      <c r="H180" s="874">
        <f t="shared" si="42"/>
        <v>7613.2</v>
      </c>
      <c r="I180" s="370" t="s">
        <v>132</v>
      </c>
      <c r="J180" s="370" t="s">
        <v>133</v>
      </c>
    </row>
    <row r="181" spans="3:11">
      <c r="C181" s="565">
        <v>10.954451150103322</v>
      </c>
      <c r="D181" s="370">
        <f t="shared" si="41"/>
        <v>0.74439999999999995</v>
      </c>
      <c r="E181" s="370">
        <f t="shared" si="43"/>
        <v>7.4439999999999992E-2</v>
      </c>
      <c r="F181" s="370">
        <f t="shared" si="44"/>
        <v>744.4</v>
      </c>
      <c r="G181" s="370">
        <f t="shared" si="45"/>
        <v>8357.6</v>
      </c>
      <c r="H181" s="874">
        <f t="shared" si="42"/>
        <v>8357.6</v>
      </c>
      <c r="I181" s="370">
        <f>I176</f>
        <v>0</v>
      </c>
      <c r="J181" s="370">
        <f>J176</f>
        <v>905.06853367264284</v>
      </c>
      <c r="K181" s="875">
        <f t="shared" ref="K181:K182" si="47">IF($D$7="",NA(),J181)</f>
        <v>905.06853367264284</v>
      </c>
    </row>
    <row r="182" spans="3:11">
      <c r="C182" s="565">
        <v>16</v>
      </c>
      <c r="D182" s="370">
        <f t="shared" si="41"/>
        <v>0.74390000000000001</v>
      </c>
      <c r="E182" s="370">
        <f t="shared" si="43"/>
        <v>7.4389999999999998E-2</v>
      </c>
      <c r="F182" s="370">
        <f t="shared" si="44"/>
        <v>743.9</v>
      </c>
      <c r="G182" s="370">
        <f t="shared" si="45"/>
        <v>9101.5</v>
      </c>
      <c r="H182" s="874">
        <f t="shared" si="42"/>
        <v>9101.5</v>
      </c>
      <c r="I182" s="593">
        <f>I177*1.15</f>
        <v>43.639431710323635</v>
      </c>
      <c r="J182" s="593">
        <f>J177</f>
        <v>75503.727939478107</v>
      </c>
      <c r="K182" s="875">
        <f t="shared" si="47"/>
        <v>75503.727939478107</v>
      </c>
    </row>
    <row r="183" spans="3:11">
      <c r="C183" s="565">
        <v>22</v>
      </c>
      <c r="D183" s="370">
        <f t="shared" si="41"/>
        <v>0.74339999999999995</v>
      </c>
      <c r="E183" s="370">
        <f t="shared" si="43"/>
        <v>7.4340000000000003E-2</v>
      </c>
      <c r="F183" s="370">
        <f t="shared" si="44"/>
        <v>743.4</v>
      </c>
      <c r="G183" s="370">
        <f t="shared" si="45"/>
        <v>9844.9</v>
      </c>
      <c r="H183" s="874">
        <f t="shared" si="42"/>
        <v>9844.9</v>
      </c>
    </row>
    <row r="184" spans="3:11">
      <c r="C184" s="565">
        <v>37.947331922020552</v>
      </c>
      <c r="D184" s="370">
        <f t="shared" si="41"/>
        <v>0.7429</v>
      </c>
      <c r="E184" s="370">
        <f t="shared" si="43"/>
        <v>7.4290000000000009E-2</v>
      </c>
      <c r="F184" s="370">
        <f t="shared" si="44"/>
        <v>742.9</v>
      </c>
      <c r="G184" s="370">
        <f t="shared" si="45"/>
        <v>10587.8</v>
      </c>
      <c r="H184" s="874">
        <f t="shared" si="42"/>
        <v>10587.8</v>
      </c>
      <c r="I184" s="559" t="s">
        <v>134</v>
      </c>
      <c r="J184" s="560"/>
    </row>
    <row r="185" spans="3:11">
      <c r="I185" s="122" t="s">
        <v>132</v>
      </c>
      <c r="J185" s="123" t="s">
        <v>133</v>
      </c>
    </row>
    <row r="186" spans="3:11">
      <c r="I186" s="122">
        <v>0</v>
      </c>
      <c r="J186" s="123">
        <f>J187</f>
        <v>4800</v>
      </c>
      <c r="K186" s="875">
        <f t="shared" ref="K186:K188" si="48">IF($D$7="",NA(),J186)</f>
        <v>4800</v>
      </c>
    </row>
    <row r="187" spans="3:11">
      <c r="I187" s="127">
        <v>2.2000000000000002</v>
      </c>
      <c r="J187" s="124">
        <v>4800</v>
      </c>
      <c r="K187" s="875">
        <f t="shared" si="48"/>
        <v>4800</v>
      </c>
    </row>
    <row r="188" spans="3:11">
      <c r="I188" s="122">
        <f>I187</f>
        <v>2.2000000000000002</v>
      </c>
      <c r="J188" s="123">
        <f>J182</f>
        <v>75503.727939478107</v>
      </c>
      <c r="K188" s="875">
        <f t="shared" si="48"/>
        <v>75503.727939478107</v>
      </c>
    </row>
    <row r="191" spans="3:11">
      <c r="C191" s="370">
        <v>8</v>
      </c>
    </row>
    <row r="192" spans="3:11">
      <c r="C192" s="370" t="s">
        <v>132</v>
      </c>
      <c r="D192" s="370" t="s">
        <v>357</v>
      </c>
      <c r="E192" s="370" t="s">
        <v>75</v>
      </c>
      <c r="F192" s="370" t="s">
        <v>358</v>
      </c>
      <c r="G192" s="370" t="s">
        <v>133</v>
      </c>
    </row>
    <row r="193" spans="3:11">
      <c r="C193" s="565">
        <v>0</v>
      </c>
      <c r="D193" s="370">
        <f t="shared" ref="D193:D206" si="49">L53</f>
        <v>0.7429</v>
      </c>
      <c r="E193" s="370">
        <f>D193*0.1</f>
        <v>7.4290000000000009E-2</v>
      </c>
      <c r="F193" s="370">
        <f>D193*1000</f>
        <v>742.9</v>
      </c>
      <c r="G193" s="370">
        <f>F193</f>
        <v>742.9</v>
      </c>
      <c r="H193" s="874">
        <f t="shared" ref="H193:H206" si="50">IF($D$7="",NA(),G193)</f>
        <v>742.9</v>
      </c>
      <c r="I193" s="370" t="s">
        <v>645</v>
      </c>
      <c r="J193" s="573">
        <f>SLOPE(G194:G198,C194:C198)</f>
        <v>1775.6766057200755</v>
      </c>
    </row>
    <row r="194" spans="3:11">
      <c r="C194" s="565">
        <v>0.5</v>
      </c>
      <c r="D194" s="370">
        <f t="shared" si="49"/>
        <v>0.71160000000000001</v>
      </c>
      <c r="E194" s="370">
        <f t="shared" ref="E194:E206" si="51">D194*0.1</f>
        <v>7.1160000000000001E-2</v>
      </c>
      <c r="F194" s="370">
        <f t="shared" ref="F194:F206" si="52">D194*1000</f>
        <v>711.6</v>
      </c>
      <c r="G194" s="370">
        <f t="shared" ref="G194:G206" si="53">G193+F194</f>
        <v>1454.5</v>
      </c>
      <c r="H194" s="874">
        <f t="shared" si="50"/>
        <v>1454.5</v>
      </c>
      <c r="I194" s="370" t="s">
        <v>260</v>
      </c>
      <c r="J194" s="573">
        <f>INTERCEPT(G194:G198,C194:C198)</f>
        <v>841.2605945365608</v>
      </c>
    </row>
    <row r="195" spans="3:11">
      <c r="C195" s="565">
        <v>0.70710678118654757</v>
      </c>
      <c r="D195" s="370">
        <f t="shared" si="49"/>
        <v>0.70220000000000005</v>
      </c>
      <c r="E195" s="370">
        <f t="shared" si="51"/>
        <v>7.0220000000000005E-2</v>
      </c>
      <c r="F195" s="370">
        <f t="shared" si="52"/>
        <v>702.2</v>
      </c>
      <c r="G195" s="370">
        <f t="shared" si="53"/>
        <v>2156.6999999999998</v>
      </c>
      <c r="H195" s="874">
        <f t="shared" si="50"/>
        <v>2156.6999999999998</v>
      </c>
    </row>
    <row r="196" spans="3:11">
      <c r="C196" s="565">
        <v>1</v>
      </c>
      <c r="D196" s="370">
        <f t="shared" si="49"/>
        <v>0.69125000000000003</v>
      </c>
      <c r="E196" s="370">
        <f t="shared" si="51"/>
        <v>6.9125000000000006E-2</v>
      </c>
      <c r="F196" s="370">
        <f t="shared" si="52"/>
        <v>691.25</v>
      </c>
      <c r="G196" s="370">
        <f t="shared" si="53"/>
        <v>2847.95</v>
      </c>
      <c r="H196" s="874">
        <f t="shared" si="50"/>
        <v>2847.95</v>
      </c>
      <c r="I196" s="555" t="s">
        <v>131</v>
      </c>
      <c r="J196" s="556"/>
    </row>
    <row r="197" spans="3:11">
      <c r="C197" s="565">
        <v>1.4142135623730951</v>
      </c>
      <c r="D197" s="370">
        <f t="shared" si="49"/>
        <v>0.68120000000000003</v>
      </c>
      <c r="E197" s="370">
        <f t="shared" si="51"/>
        <v>6.812E-2</v>
      </c>
      <c r="F197" s="370">
        <f t="shared" si="52"/>
        <v>681.2</v>
      </c>
      <c r="G197" s="370">
        <f t="shared" si="53"/>
        <v>3529.1499999999996</v>
      </c>
      <c r="H197" s="874">
        <f t="shared" si="50"/>
        <v>3529.1499999999996</v>
      </c>
      <c r="I197" s="122" t="s">
        <v>132</v>
      </c>
      <c r="J197" s="123" t="s">
        <v>133</v>
      </c>
    </row>
    <row r="198" spans="3:11">
      <c r="C198" s="565">
        <v>2</v>
      </c>
      <c r="D198" s="370">
        <f t="shared" si="49"/>
        <v>0.67049999999999998</v>
      </c>
      <c r="E198" s="370">
        <f t="shared" si="51"/>
        <v>6.7049999999999998E-2</v>
      </c>
      <c r="F198" s="370">
        <f t="shared" si="52"/>
        <v>670.5</v>
      </c>
      <c r="G198" s="370">
        <f t="shared" si="53"/>
        <v>4199.6499999999996</v>
      </c>
      <c r="H198" s="874">
        <f t="shared" si="50"/>
        <v>4199.6499999999996</v>
      </c>
      <c r="I198" s="125">
        <f>MIN(C194:C207)</f>
        <v>0.5</v>
      </c>
      <c r="J198" s="607">
        <f>($J$193*I198)+$J$194</f>
        <v>1729.0988973965987</v>
      </c>
      <c r="K198" s="875">
        <f t="shared" ref="K198:K199" si="54">IF($D$7="",NA(),J198)</f>
        <v>1729.0988973965987</v>
      </c>
    </row>
    <row r="199" spans="3:11">
      <c r="C199" s="565">
        <v>2.8284271247461903</v>
      </c>
      <c r="D199" s="370">
        <f t="shared" si="49"/>
        <v>0.6623</v>
      </c>
      <c r="E199" s="370">
        <f t="shared" si="51"/>
        <v>6.6229999999999997E-2</v>
      </c>
      <c r="F199" s="370">
        <f t="shared" si="52"/>
        <v>662.3</v>
      </c>
      <c r="G199" s="370">
        <f t="shared" si="53"/>
        <v>4861.95</v>
      </c>
      <c r="H199" s="874">
        <f t="shared" si="50"/>
        <v>4861.95</v>
      </c>
      <c r="I199" s="125">
        <f>MAX(C194:C207)</f>
        <v>37.947331922020552</v>
      </c>
      <c r="J199" s="607">
        <f>($J$193*I199)+$J$194</f>
        <v>68223.450137963082</v>
      </c>
      <c r="K199" s="875">
        <f t="shared" si="54"/>
        <v>68223.450137963082</v>
      </c>
    </row>
    <row r="200" spans="3:11">
      <c r="C200" s="565">
        <v>3.872983346207417</v>
      </c>
      <c r="D200" s="370">
        <f t="shared" si="49"/>
        <v>0.6552</v>
      </c>
      <c r="E200" s="370">
        <f t="shared" si="51"/>
        <v>6.5520000000000009E-2</v>
      </c>
      <c r="F200" s="370">
        <f t="shared" si="52"/>
        <v>655.20000000000005</v>
      </c>
      <c r="G200" s="370">
        <f t="shared" si="53"/>
        <v>5517.15</v>
      </c>
      <c r="H200" s="874">
        <f t="shared" si="50"/>
        <v>5517.15</v>
      </c>
    </row>
    <row r="201" spans="3:11">
      <c r="C201" s="565">
        <v>5.4772255750516612</v>
      </c>
      <c r="D201" s="370">
        <f t="shared" si="49"/>
        <v>0.6492</v>
      </c>
      <c r="E201" s="370">
        <f t="shared" si="51"/>
        <v>6.4920000000000005E-2</v>
      </c>
      <c r="F201" s="370">
        <f t="shared" si="52"/>
        <v>649.20000000000005</v>
      </c>
      <c r="G201" s="370">
        <f t="shared" si="53"/>
        <v>6166.3499999999995</v>
      </c>
      <c r="H201" s="874">
        <f t="shared" si="50"/>
        <v>6166.3499999999995</v>
      </c>
      <c r="I201" s="370" t="s">
        <v>359</v>
      </c>
    </row>
    <row r="202" spans="3:11">
      <c r="C202" s="565">
        <v>7.745966692414834</v>
      </c>
      <c r="D202" s="370">
        <f t="shared" si="49"/>
        <v>0.64849999999999997</v>
      </c>
      <c r="E202" s="370">
        <f t="shared" si="51"/>
        <v>6.4850000000000005E-2</v>
      </c>
      <c r="F202" s="370">
        <f t="shared" si="52"/>
        <v>648.5</v>
      </c>
      <c r="G202" s="370">
        <f t="shared" si="53"/>
        <v>6814.8499999999995</v>
      </c>
      <c r="H202" s="874">
        <f t="shared" si="50"/>
        <v>6814.8499999999995</v>
      </c>
      <c r="I202" s="370" t="s">
        <v>132</v>
      </c>
      <c r="J202" s="370" t="s">
        <v>133</v>
      </c>
    </row>
    <row r="203" spans="3:11">
      <c r="C203" s="565">
        <v>10.954451150103322</v>
      </c>
      <c r="D203" s="370">
        <f t="shared" si="49"/>
        <v>0.64780000000000004</v>
      </c>
      <c r="E203" s="370">
        <f t="shared" si="51"/>
        <v>6.4780000000000004E-2</v>
      </c>
      <c r="F203" s="370">
        <f t="shared" si="52"/>
        <v>647.80000000000007</v>
      </c>
      <c r="G203" s="370">
        <f t="shared" si="53"/>
        <v>7462.65</v>
      </c>
      <c r="H203" s="874">
        <f t="shared" si="50"/>
        <v>7462.65</v>
      </c>
      <c r="I203" s="370">
        <f>I198</f>
        <v>0.5</v>
      </c>
      <c r="J203" s="370">
        <f>J198</f>
        <v>1729.0988973965987</v>
      </c>
      <c r="K203" s="875">
        <f t="shared" ref="K203:K204" si="55">IF($D$7="",NA(),J203)</f>
        <v>1729.0988973965987</v>
      </c>
    </row>
    <row r="204" spans="3:11">
      <c r="C204" s="565">
        <v>16</v>
      </c>
      <c r="D204" s="370">
        <f t="shared" si="49"/>
        <v>0.6472</v>
      </c>
      <c r="E204" s="370">
        <f t="shared" si="51"/>
        <v>6.472E-2</v>
      </c>
      <c r="F204" s="370">
        <f t="shared" si="52"/>
        <v>647.20000000000005</v>
      </c>
      <c r="G204" s="370">
        <f t="shared" si="53"/>
        <v>8109.8499999999995</v>
      </c>
      <c r="H204" s="874">
        <f t="shared" si="50"/>
        <v>8109.8499999999995</v>
      </c>
      <c r="I204" s="370">
        <f>I199*1.15</f>
        <v>43.639431710323635</v>
      </c>
      <c r="J204" s="370">
        <f>J199</f>
        <v>68223.450137963082</v>
      </c>
      <c r="K204" s="875">
        <f t="shared" si="55"/>
        <v>68223.450137963082</v>
      </c>
    </row>
    <row r="205" spans="3:11">
      <c r="C205" s="565">
        <v>22</v>
      </c>
      <c r="D205" s="370">
        <f t="shared" si="49"/>
        <v>0.64659999999999995</v>
      </c>
      <c r="E205" s="370">
        <f t="shared" si="51"/>
        <v>6.4659999999999995E-2</v>
      </c>
      <c r="F205" s="370">
        <f t="shared" si="52"/>
        <v>646.59999999999991</v>
      </c>
      <c r="G205" s="370">
        <f t="shared" si="53"/>
        <v>8756.4499999999989</v>
      </c>
      <c r="H205" s="874">
        <f t="shared" si="50"/>
        <v>8756.4499999999989</v>
      </c>
    </row>
    <row r="206" spans="3:11">
      <c r="C206" s="565">
        <v>37.947331922020552</v>
      </c>
      <c r="D206" s="370">
        <f t="shared" si="49"/>
        <v>0.64610000000000001</v>
      </c>
      <c r="E206" s="370">
        <f t="shared" si="51"/>
        <v>6.4610000000000001E-2</v>
      </c>
      <c r="F206" s="370">
        <f t="shared" si="52"/>
        <v>646.1</v>
      </c>
      <c r="G206" s="370">
        <f t="shared" si="53"/>
        <v>9402.5499999999993</v>
      </c>
      <c r="H206" s="874">
        <f t="shared" si="50"/>
        <v>9402.5499999999993</v>
      </c>
      <c r="I206" s="559" t="s">
        <v>134</v>
      </c>
      <c r="J206" s="560"/>
    </row>
    <row r="207" spans="3:11">
      <c r="I207" s="122" t="s">
        <v>132</v>
      </c>
      <c r="J207" s="123" t="s">
        <v>133</v>
      </c>
    </row>
    <row r="208" spans="3:11">
      <c r="I208" s="122">
        <v>0</v>
      </c>
      <c r="J208" s="123">
        <f>J209</f>
        <v>4200</v>
      </c>
      <c r="K208" s="875">
        <f t="shared" ref="K208:K210" si="56">IF($D$7="",NA(),J208)</f>
        <v>4200</v>
      </c>
    </row>
    <row r="209" spans="2:11">
      <c r="I209" s="127">
        <v>2</v>
      </c>
      <c r="J209" s="124">
        <v>4200</v>
      </c>
      <c r="K209" s="875">
        <f t="shared" si="56"/>
        <v>4200</v>
      </c>
    </row>
    <row r="210" spans="2:11">
      <c r="I210" s="122">
        <f>I209</f>
        <v>2</v>
      </c>
      <c r="J210" s="1259">
        <f>J199</f>
        <v>68223.450137963082</v>
      </c>
      <c r="K210" s="875">
        <f t="shared" si="56"/>
        <v>68223.450137963082</v>
      </c>
    </row>
    <row r="212" spans="2:11">
      <c r="I212" s="400"/>
      <c r="J212" s="408"/>
    </row>
    <row r="213" spans="2:11">
      <c r="I213" s="400"/>
      <c r="J213" s="408"/>
    </row>
    <row r="215" spans="2:11">
      <c r="B215" s="595" t="s">
        <v>642</v>
      </c>
      <c r="C215" s="596"/>
      <c r="D215" s="597"/>
      <c r="E215" s="597"/>
      <c r="F215" s="597"/>
    </row>
    <row r="216" spans="2:11">
      <c r="B216" s="598">
        <v>1</v>
      </c>
      <c r="C216" s="604" t="s">
        <v>641</v>
      </c>
    </row>
    <row r="217" spans="2:11">
      <c r="B217" s="598"/>
    </row>
    <row r="218" spans="2:11">
      <c r="B218" s="598"/>
      <c r="C218" s="299" t="s">
        <v>580</v>
      </c>
      <c r="D218" s="299" t="s">
        <v>581</v>
      </c>
      <c r="E218" s="299" t="s">
        <v>186</v>
      </c>
      <c r="F218" s="299" t="s">
        <v>146</v>
      </c>
    </row>
    <row r="219" spans="2:11">
      <c r="B219" s="598"/>
      <c r="C219">
        <v>0.25</v>
      </c>
      <c r="D219" s="43">
        <f>LOG10(C219)</f>
        <v>-0.6020599913279624</v>
      </c>
      <c r="E219" s="519">
        <f t="shared" ref="E219:E224" si="57">E73</f>
        <v>2.0177100000000001</v>
      </c>
      <c r="F219" s="519">
        <f t="shared" ref="F219:F224" si="58">G73</f>
        <v>0.9642566849233134</v>
      </c>
    </row>
    <row r="220" spans="2:11">
      <c r="B220" s="598"/>
      <c r="C220">
        <v>0.5</v>
      </c>
      <c r="D220" s="43">
        <f t="shared" ref="D220:D224" si="59">LOG10(C220)</f>
        <v>-0.3010299956639812</v>
      </c>
      <c r="E220" s="519">
        <f t="shared" si="57"/>
        <v>2.0145</v>
      </c>
      <c r="F220" s="519">
        <f t="shared" si="58"/>
        <v>0.96113172446883588</v>
      </c>
    </row>
    <row r="221" spans="2:11">
      <c r="B221" s="598"/>
      <c r="C221">
        <v>1</v>
      </c>
      <c r="D221" s="43">
        <f t="shared" si="59"/>
        <v>0</v>
      </c>
      <c r="E221" s="519">
        <f t="shared" si="57"/>
        <v>2.00936</v>
      </c>
      <c r="F221" s="519">
        <f t="shared" si="58"/>
        <v>0.95612789370995288</v>
      </c>
    </row>
    <row r="222" spans="2:11">
      <c r="B222" s="598"/>
      <c r="C222">
        <v>2</v>
      </c>
      <c r="D222" s="43">
        <f t="shared" si="59"/>
        <v>0.3010299956639812</v>
      </c>
      <c r="E222" s="519">
        <f t="shared" si="57"/>
        <v>2.0027200000000001</v>
      </c>
      <c r="F222" s="519">
        <f t="shared" si="58"/>
        <v>0.9496638010564542</v>
      </c>
    </row>
    <row r="223" spans="2:11">
      <c r="B223" s="598"/>
      <c r="C223">
        <v>4</v>
      </c>
      <c r="D223" s="43">
        <f t="shared" si="59"/>
        <v>0.6020599913279624</v>
      </c>
      <c r="E223" s="519">
        <f t="shared" si="57"/>
        <v>1.9948000000000001</v>
      </c>
      <c r="F223" s="519">
        <f t="shared" si="58"/>
        <v>0.94195361825288348</v>
      </c>
    </row>
    <row r="224" spans="2:11">
      <c r="B224" s="598"/>
      <c r="C224">
        <v>8</v>
      </c>
      <c r="D224" s="43">
        <f t="shared" si="59"/>
        <v>0.90308998699194354</v>
      </c>
      <c r="E224" s="519">
        <f t="shared" si="57"/>
        <v>1.9851200000000002</v>
      </c>
      <c r="F224" s="519">
        <f t="shared" si="58"/>
        <v>0.93253006149296369</v>
      </c>
    </row>
    <row r="225" spans="2:9">
      <c r="B225" s="598"/>
    </row>
    <row r="226" spans="2:9">
      <c r="B226" s="598">
        <v>2</v>
      </c>
      <c r="C226" s="604" t="s">
        <v>582</v>
      </c>
    </row>
    <row r="227" spans="2:9">
      <c r="B227" s="598"/>
    </row>
    <row r="228" spans="2:9">
      <c r="B228" s="598"/>
      <c r="C228" s="116" t="s">
        <v>583</v>
      </c>
      <c r="D228" s="116" t="s">
        <v>581</v>
      </c>
      <c r="E228" s="116" t="s">
        <v>146</v>
      </c>
      <c r="F228" s="116" t="s">
        <v>343</v>
      </c>
    </row>
    <row r="229" spans="2:9">
      <c r="B229" s="598"/>
      <c r="C229">
        <v>2</v>
      </c>
      <c r="D229" s="43">
        <f t="shared" ref="D229:D231" si="60">D222</f>
        <v>0.3010299956639812</v>
      </c>
      <c r="E229" s="519">
        <f t="shared" ref="E229:E231" si="61">F222</f>
        <v>0.9496638010564542</v>
      </c>
      <c r="F229" s="370">
        <f>(E229-E230)/LOG10(C230/C229)</f>
        <v>2.5612672871898983E-2</v>
      </c>
    </row>
    <row r="230" spans="2:9">
      <c r="B230" s="598"/>
      <c r="C230">
        <v>4</v>
      </c>
      <c r="D230" s="43">
        <f t="shared" si="60"/>
        <v>0.6020599913279624</v>
      </c>
      <c r="E230" s="519">
        <f t="shared" si="61"/>
        <v>0.94195361825288348</v>
      </c>
      <c r="F230" s="370">
        <f>(E230-E231)/LOG10(C231/C230)</f>
        <v>3.1304377954543286E-2</v>
      </c>
    </row>
    <row r="231" spans="2:9">
      <c r="B231" s="598"/>
      <c r="C231">
        <v>8</v>
      </c>
      <c r="D231" s="43">
        <f t="shared" si="60"/>
        <v>0.90308998699194354</v>
      </c>
      <c r="E231" s="519">
        <f t="shared" si="61"/>
        <v>0.93253006149296369</v>
      </c>
    </row>
    <row r="232" spans="2:9">
      <c r="B232" s="598"/>
    </row>
    <row r="233" spans="2:9">
      <c r="B233" s="598">
        <v>3</v>
      </c>
      <c r="C233" s="604" t="s">
        <v>584</v>
      </c>
    </row>
    <row r="235" spans="2:9">
      <c r="C235" s="116" t="s">
        <v>583</v>
      </c>
      <c r="D235" s="116" t="s">
        <v>581</v>
      </c>
      <c r="E235" s="116" t="s">
        <v>146</v>
      </c>
    </row>
    <row r="236" spans="2:9">
      <c r="C236">
        <v>8</v>
      </c>
      <c r="D236" s="43">
        <f t="shared" ref="D236:D238" si="62">LOG10(C236)</f>
        <v>0.90308998699194354</v>
      </c>
      <c r="E236" s="519">
        <f>G78</f>
        <v>0.93253006149296369</v>
      </c>
    </row>
    <row r="237" spans="2:9">
      <c r="C237">
        <v>2</v>
      </c>
      <c r="D237" s="43">
        <f t="shared" si="62"/>
        <v>0.3010299956639812</v>
      </c>
      <c r="E237" s="519">
        <f>G79</f>
        <v>0.93296814006134843</v>
      </c>
      <c r="I237" s="573" t="s">
        <v>1597</v>
      </c>
    </row>
    <row r="238" spans="2:9">
      <c r="C238">
        <v>0.25</v>
      </c>
      <c r="D238" s="43">
        <f t="shared" si="62"/>
        <v>-0.6020599913279624</v>
      </c>
      <c r="E238" s="519">
        <f>G80</f>
        <v>0.93428237576650253</v>
      </c>
    </row>
    <row r="239" spans="2:9">
      <c r="C239"/>
      <c r="D239" s="43"/>
      <c r="E239" s="519"/>
    </row>
    <row r="240" spans="2:9">
      <c r="C240"/>
      <c r="D240" s="43"/>
      <c r="E240" s="519"/>
    </row>
    <row r="241" spans="2:20">
      <c r="C241"/>
      <c r="D241" s="43"/>
      <c r="E241" s="519"/>
    </row>
    <row r="242" spans="2:20">
      <c r="C242"/>
      <c r="D242" s="43"/>
      <c r="E242" s="519"/>
    </row>
    <row r="243" spans="2:20">
      <c r="H243" s="370" t="s">
        <v>586</v>
      </c>
      <c r="I243" s="603"/>
      <c r="J243" s="370" t="s">
        <v>591</v>
      </c>
      <c r="M243" s="370" t="s">
        <v>603</v>
      </c>
      <c r="S243" s="372" t="s">
        <v>1596</v>
      </c>
      <c r="T243" s="372">
        <f>IF(COUNT(D236:D241)&lt;2,"",ABS(SLOPE(E236:E241,D236:D241)))</f>
        <v>1.1871902796484492E-3</v>
      </c>
    </row>
    <row r="244" spans="2:20">
      <c r="G244" s="573"/>
      <c r="H244" s="370" t="s">
        <v>361</v>
      </c>
      <c r="I244" s="603"/>
      <c r="J244" s="370">
        <f>MIN(J257:J262)</f>
        <v>0.94218618718759084</v>
      </c>
      <c r="M244" s="370">
        <f>E260-(H247*D260)</f>
        <v>0.95320736992072153</v>
      </c>
      <c r="S244" s="372" t="s">
        <v>476</v>
      </c>
      <c r="T244" s="372">
        <f>IF(COUNT(D236:D241)&lt;2,"",RSQ(E236:E241,D236:D241))</f>
        <v>0.97267206477733315</v>
      </c>
    </row>
    <row r="245" spans="2:20">
      <c r="D245" s="370" t="s">
        <v>255</v>
      </c>
      <c r="E245" s="370" t="s">
        <v>146</v>
      </c>
      <c r="H245" s="573">
        <f>(E261-E259)/(D261-D259)</f>
        <v>-2.3542961932755617E-2</v>
      </c>
      <c r="I245" s="603"/>
      <c r="J245" s="370" t="s">
        <v>592</v>
      </c>
      <c r="M245" s="370" t="s">
        <v>604</v>
      </c>
      <c r="N245" s="370" t="s">
        <v>576</v>
      </c>
    </row>
    <row r="246" spans="2:20">
      <c r="B246" s="599" t="s">
        <v>585</v>
      </c>
      <c r="C246" s="572"/>
      <c r="D246" s="594">
        <v>2</v>
      </c>
      <c r="E246" s="600">
        <f>F222</f>
        <v>0.9496638010564542</v>
      </c>
      <c r="G246" s="573"/>
      <c r="H246" s="370" t="s">
        <v>362</v>
      </c>
      <c r="I246" s="601"/>
      <c r="J246" s="370">
        <f>INDEX(C257:C262,MATCH(J244,J257:J262,0))</f>
        <v>0.25</v>
      </c>
      <c r="M246" s="370">
        <f>(M244-H251)/(H247-H249)</f>
        <v>-0.38874734539389078</v>
      </c>
      <c r="N246" s="370">
        <f>10^M246</f>
        <v>0.40855699881006324</v>
      </c>
    </row>
    <row r="247" spans="2:20">
      <c r="D247" s="571" t="s">
        <v>593</v>
      </c>
      <c r="G247" s="573"/>
      <c r="H247" s="370">
        <f>TAN((ATAN(H245/2)))</f>
        <v>-1.1771480966377808E-2</v>
      </c>
      <c r="I247" s="603"/>
      <c r="J247" s="370" t="s">
        <v>581</v>
      </c>
    </row>
    <row r="248" spans="2:20">
      <c r="G248" s="573"/>
      <c r="H248" s="370" t="s">
        <v>588</v>
      </c>
      <c r="I248" s="603"/>
      <c r="J248" s="370">
        <f>INDEX(D257:D262,MATCH(J244,J257:J262,0))</f>
        <v>-0.6020599913279624</v>
      </c>
      <c r="M248" s="370" t="s">
        <v>605</v>
      </c>
    </row>
    <row r="249" spans="2:20">
      <c r="B249" s="116" t="s">
        <v>237</v>
      </c>
      <c r="C249" s="116" t="s">
        <v>250</v>
      </c>
      <c r="G249" s="573"/>
      <c r="H249" s="573">
        <f>SLOPE(E261:E262,D261:D262)</f>
        <v>-3.1304377954543293E-2</v>
      </c>
      <c r="I249" s="603"/>
      <c r="J249" s="370" t="s">
        <v>598</v>
      </c>
      <c r="M249" s="370">
        <f>(H247*M246)+M244</f>
        <v>0.95778350189775563</v>
      </c>
      <c r="O249" s="370" t="s">
        <v>597</v>
      </c>
      <c r="Q249" s="371" t="s">
        <v>599</v>
      </c>
    </row>
    <row r="250" spans="2:20">
      <c r="B250" s="370"/>
      <c r="C250" s="370"/>
      <c r="G250" s="573"/>
      <c r="H250" s="370" t="s">
        <v>260</v>
      </c>
      <c r="I250" s="601"/>
      <c r="J250" s="370">
        <f>MIN(Q255:Q263)</f>
        <v>1.7133739563491845E-3</v>
      </c>
    </row>
    <row r="251" spans="2:20">
      <c r="B251" s="370"/>
      <c r="C251" s="370"/>
      <c r="H251" s="573">
        <f>INTERCEPT(E261:E262,D261:D262)</f>
        <v>0.96080073177272318</v>
      </c>
      <c r="I251" s="601"/>
      <c r="J251" s="370" t="s">
        <v>600</v>
      </c>
    </row>
    <row r="252" spans="2:20">
      <c r="B252" s="370"/>
      <c r="C252" s="370"/>
      <c r="J252" s="575">
        <f>INDEX(L255:L263,MATCH(J250,Q255:Q263,0))</f>
        <v>2</v>
      </c>
    </row>
    <row r="253" spans="2:20">
      <c r="B253" s="370"/>
      <c r="C253" s="370"/>
    </row>
    <row r="254" spans="2:20">
      <c r="B254" t="s">
        <v>581</v>
      </c>
      <c r="C254" t="s">
        <v>587</v>
      </c>
      <c r="F254" s="571"/>
      <c r="G254" s="573"/>
      <c r="L254" s="299" t="s">
        <v>253</v>
      </c>
      <c r="M254" s="601" t="s">
        <v>187</v>
      </c>
      <c r="N254" s="601" t="s">
        <v>365</v>
      </c>
      <c r="O254" s="601" t="s">
        <v>239</v>
      </c>
      <c r="P254" s="601" t="s">
        <v>159</v>
      </c>
      <c r="Q254" s="602" t="s">
        <v>254</v>
      </c>
    </row>
    <row r="255" spans="2:20">
      <c r="F255" s="370" t="s">
        <v>587</v>
      </c>
      <c r="L255">
        <v>0.25</v>
      </c>
      <c r="M255" s="370">
        <f t="shared" ref="M255:M263" si="63">$E$260+$H$245*(LOG10(L255)-$D$260)</f>
        <v>0.97092521424205824</v>
      </c>
      <c r="N255" s="551">
        <f t="shared" ref="N255:N263" si="64">$E$260</f>
        <v>0.9496638010564542</v>
      </c>
      <c r="O255" s="370">
        <f t="shared" ref="O255:O263" si="65">$E$260+$H$247*(LOG10(L255)-$D$260)</f>
        <v>0.96029450764925628</v>
      </c>
      <c r="P255" s="370">
        <f t="shared" ref="P255:P263" si="66">$H$249*LOG10(L255)+$H$251</f>
        <v>0.97964784529256277</v>
      </c>
      <c r="Q255" s="371">
        <f>ABS(O255-P255)</f>
        <v>1.935333764330649E-2</v>
      </c>
    </row>
    <row r="256" spans="2:20">
      <c r="C256" s="14" t="str">
        <f t="shared" ref="C256:D262" si="67">C218</f>
        <v>Load p</v>
      </c>
      <c r="D256" s="370" t="str">
        <f t="shared" si="67"/>
        <v>log p</v>
      </c>
      <c r="E256" s="116" t="s">
        <v>146</v>
      </c>
      <c r="F256" s="573" t="s">
        <v>361</v>
      </c>
      <c r="G256" s="573" t="s">
        <v>360</v>
      </c>
      <c r="H256" s="573" t="s">
        <v>362</v>
      </c>
      <c r="I256" s="370" t="s">
        <v>589</v>
      </c>
      <c r="J256" s="370" t="s">
        <v>590</v>
      </c>
      <c r="L256">
        <v>0.3</v>
      </c>
      <c r="M256" s="370">
        <f t="shared" si="63"/>
        <v>0.9690610531805709</v>
      </c>
      <c r="N256" s="551">
        <f t="shared" si="64"/>
        <v>0.9496638010564542</v>
      </c>
      <c r="O256" s="370">
        <f t="shared" si="65"/>
        <v>0.95936242711851261</v>
      </c>
      <c r="P256" s="370">
        <f t="shared" si="66"/>
        <v>0.97716912563937619</v>
      </c>
      <c r="Q256" s="371">
        <f t="shared" ref="Q256:Q263" si="68">ABS(O256-P256)</f>
        <v>1.7806698520863584E-2</v>
      </c>
    </row>
    <row r="257" spans="3:17">
      <c r="C257" s="14">
        <f t="shared" si="67"/>
        <v>0.25</v>
      </c>
      <c r="D257" s="370">
        <f t="shared" si="67"/>
        <v>-0.6020599913279624</v>
      </c>
      <c r="E257" s="519">
        <f t="shared" ref="E257:E262" si="69">F219</f>
        <v>0.9642566849233134</v>
      </c>
      <c r="F257" s="370">
        <f>($E$260+$H$245*(D257-$D$260))</f>
        <v>0.97092521424205824</v>
      </c>
      <c r="G257" s="551">
        <f>$E$260</f>
        <v>0.9496638010564542</v>
      </c>
      <c r="H257" s="370">
        <f>$E$260+$H$247*(D257-$D$260)</f>
        <v>0.96029450764925628</v>
      </c>
      <c r="I257" s="370">
        <f>$H$249*D257*$H$251</f>
        <v>1.8108320461665467E-2</v>
      </c>
      <c r="J257" s="370">
        <f>ABS(H257-I257)</f>
        <v>0.94218618718759084</v>
      </c>
      <c r="L257">
        <v>0.4</v>
      </c>
      <c r="M257" s="370">
        <f t="shared" si="63"/>
        <v>0.96611962526067507</v>
      </c>
      <c r="N257" s="551">
        <f t="shared" si="64"/>
        <v>0.9496638010564542</v>
      </c>
      <c r="O257" s="370">
        <f t="shared" si="65"/>
        <v>0.95789171315856469</v>
      </c>
      <c r="P257" s="370">
        <f t="shared" si="66"/>
        <v>0.97325799620742692</v>
      </c>
      <c r="Q257" s="371">
        <f t="shared" si="68"/>
        <v>1.5366283048862228E-2</v>
      </c>
    </row>
    <row r="258" spans="3:17">
      <c r="C258" s="14">
        <f t="shared" si="67"/>
        <v>0.5</v>
      </c>
      <c r="D258" s="370">
        <f t="shared" si="67"/>
        <v>-0.3010299956639812</v>
      </c>
      <c r="E258" s="519">
        <f t="shared" si="69"/>
        <v>0.96113172446883588</v>
      </c>
      <c r="F258" s="370">
        <f t="shared" ref="F258:F262" si="70">($E$260+$H$245*(D258-$D$260))</f>
        <v>0.9638380765135236</v>
      </c>
      <c r="G258" s="551">
        <f t="shared" ref="G258:G262" si="71">$E$260</f>
        <v>0.9496638010564542</v>
      </c>
      <c r="H258" s="370">
        <f t="shared" ref="H258:H262" si="72">$E$260+$H$247*(D258-$D$260)</f>
        <v>0.95675093878498885</v>
      </c>
      <c r="I258" s="370">
        <f t="shared" ref="I258:I262" si="73">$H$249*D258*$H$251</f>
        <v>9.0541602308327335E-3</v>
      </c>
      <c r="J258" s="370">
        <f t="shared" ref="J258:J262" si="74">ABS(H258-I258)</f>
        <v>0.94769677855415613</v>
      </c>
      <c r="L258">
        <v>0.5</v>
      </c>
      <c r="M258" s="370">
        <f t="shared" si="63"/>
        <v>0.9638380765135236</v>
      </c>
      <c r="N258" s="551">
        <f t="shared" si="64"/>
        <v>0.9496638010564542</v>
      </c>
      <c r="O258" s="370">
        <f t="shared" si="65"/>
        <v>0.95675093878498885</v>
      </c>
      <c r="P258" s="370">
        <f t="shared" si="66"/>
        <v>0.97022428853264298</v>
      </c>
      <c r="Q258" s="371">
        <f t="shared" si="68"/>
        <v>1.3473349747654129E-2</v>
      </c>
    </row>
    <row r="259" spans="3:17">
      <c r="C259" s="14">
        <f t="shared" si="67"/>
        <v>1</v>
      </c>
      <c r="D259" s="370">
        <f t="shared" si="67"/>
        <v>0</v>
      </c>
      <c r="E259" s="519">
        <f t="shared" si="69"/>
        <v>0.95612789370995288</v>
      </c>
      <c r="F259" s="370">
        <f t="shared" si="70"/>
        <v>0.95675093878498885</v>
      </c>
      <c r="G259" s="551">
        <f t="shared" si="71"/>
        <v>0.9496638010564542</v>
      </c>
      <c r="H259" s="370">
        <f t="shared" si="72"/>
        <v>0.95320736992072153</v>
      </c>
      <c r="I259" s="370">
        <f t="shared" si="73"/>
        <v>0</v>
      </c>
      <c r="J259" s="370">
        <f t="shared" si="74"/>
        <v>0.95320736992072153</v>
      </c>
      <c r="L259">
        <v>0.7</v>
      </c>
      <c r="M259" s="370">
        <f t="shared" si="63"/>
        <v>0.96039778973224244</v>
      </c>
      <c r="N259" s="551">
        <f t="shared" si="64"/>
        <v>0.9496638010564542</v>
      </c>
      <c r="O259" s="370">
        <f t="shared" si="65"/>
        <v>0.95503079539434832</v>
      </c>
      <c r="P259" s="370">
        <f t="shared" si="66"/>
        <v>0.96564984127401643</v>
      </c>
      <c r="Q259" s="371">
        <f t="shared" si="68"/>
        <v>1.061904587966811E-2</v>
      </c>
    </row>
    <row r="260" spans="3:17">
      <c r="C260" s="14">
        <f t="shared" si="67"/>
        <v>2</v>
      </c>
      <c r="D260" s="573">
        <f t="shared" si="67"/>
        <v>0.3010299956639812</v>
      </c>
      <c r="E260" s="574">
        <f t="shared" si="69"/>
        <v>0.9496638010564542</v>
      </c>
      <c r="F260" s="370">
        <f t="shared" si="70"/>
        <v>0.9496638010564542</v>
      </c>
      <c r="G260" s="551">
        <f t="shared" si="71"/>
        <v>0.9496638010564542</v>
      </c>
      <c r="H260" s="370">
        <f t="shared" si="72"/>
        <v>0.9496638010564542</v>
      </c>
      <c r="I260" s="370">
        <f t="shared" si="73"/>
        <v>-9.0541602308327335E-3</v>
      </c>
      <c r="J260" s="370">
        <f t="shared" si="74"/>
        <v>0.95871796128728692</v>
      </c>
      <c r="L260">
        <v>1</v>
      </c>
      <c r="M260" s="370">
        <f t="shared" si="63"/>
        <v>0.95675093878498885</v>
      </c>
      <c r="N260" s="551">
        <f t="shared" si="64"/>
        <v>0.9496638010564542</v>
      </c>
      <c r="O260" s="370">
        <f t="shared" si="65"/>
        <v>0.95320736992072153</v>
      </c>
      <c r="P260" s="370">
        <f t="shared" si="66"/>
        <v>0.96080073177272318</v>
      </c>
      <c r="Q260" s="371">
        <f t="shared" si="68"/>
        <v>7.5933618520016566E-3</v>
      </c>
    </row>
    <row r="261" spans="3:17">
      <c r="C261" s="14">
        <f t="shared" si="67"/>
        <v>4</v>
      </c>
      <c r="D261" s="370">
        <f t="shared" si="67"/>
        <v>0.6020599913279624</v>
      </c>
      <c r="E261" s="519">
        <f t="shared" si="69"/>
        <v>0.94195361825288348</v>
      </c>
      <c r="F261" s="370">
        <f t="shared" si="70"/>
        <v>0.94257666332791956</v>
      </c>
      <c r="G261" s="551">
        <f t="shared" si="71"/>
        <v>0.9496638010564542</v>
      </c>
      <c r="H261" s="370">
        <f t="shared" si="72"/>
        <v>0.94612023219218688</v>
      </c>
      <c r="I261" s="370">
        <f t="shared" si="73"/>
        <v>-1.8108320461665467E-2</v>
      </c>
      <c r="J261" s="370">
        <f t="shared" si="74"/>
        <v>0.96422855265385232</v>
      </c>
      <c r="L261">
        <v>2</v>
      </c>
      <c r="M261" s="370">
        <f t="shared" si="63"/>
        <v>0.9496638010564542</v>
      </c>
      <c r="N261" s="551">
        <f t="shared" si="64"/>
        <v>0.9496638010564542</v>
      </c>
      <c r="O261" s="370">
        <f t="shared" si="65"/>
        <v>0.9496638010564542</v>
      </c>
      <c r="P261" s="370">
        <f t="shared" si="66"/>
        <v>0.95137717501280339</v>
      </c>
      <c r="Q261" s="371">
        <f t="shared" si="68"/>
        <v>1.7133739563491845E-3</v>
      </c>
    </row>
    <row r="262" spans="3:17">
      <c r="C262" s="14">
        <f t="shared" si="67"/>
        <v>8</v>
      </c>
      <c r="D262" s="370">
        <f t="shared" si="67"/>
        <v>0.90308998699194354</v>
      </c>
      <c r="E262" s="519">
        <f t="shared" si="69"/>
        <v>0.93253006149296369</v>
      </c>
      <c r="F262" s="370">
        <f t="shared" si="70"/>
        <v>0.93548952559938481</v>
      </c>
      <c r="G262" s="551">
        <f t="shared" si="71"/>
        <v>0.9496638010564542</v>
      </c>
      <c r="H262" s="370">
        <f t="shared" si="72"/>
        <v>0.94257666332791956</v>
      </c>
      <c r="I262" s="370">
        <f t="shared" si="73"/>
        <v>-2.7162480692498197E-2</v>
      </c>
      <c r="J262" s="370">
        <f t="shared" si="74"/>
        <v>0.96973914402041772</v>
      </c>
      <c r="L262">
        <v>4</v>
      </c>
      <c r="M262" s="370">
        <f t="shared" si="63"/>
        <v>0.94257666332791956</v>
      </c>
      <c r="N262" s="551">
        <f t="shared" si="64"/>
        <v>0.9496638010564542</v>
      </c>
      <c r="O262" s="370">
        <f t="shared" si="65"/>
        <v>0.94612023219218688</v>
      </c>
      <c r="P262" s="370">
        <f t="shared" si="66"/>
        <v>0.9419536182528836</v>
      </c>
      <c r="Q262" s="371">
        <f t="shared" si="68"/>
        <v>4.1666139393032875E-3</v>
      </c>
    </row>
    <row r="263" spans="3:17">
      <c r="C263" s="572" t="s">
        <v>594</v>
      </c>
      <c r="D263" s="573" t="s">
        <v>595</v>
      </c>
      <c r="E263" s="573" t="s">
        <v>596</v>
      </c>
      <c r="L263">
        <v>8</v>
      </c>
      <c r="M263" s="370">
        <f t="shared" si="63"/>
        <v>0.93548952559938481</v>
      </c>
      <c r="N263" s="551">
        <f t="shared" si="64"/>
        <v>0.9496638010564542</v>
      </c>
      <c r="O263" s="370">
        <f t="shared" si="65"/>
        <v>0.94257666332791956</v>
      </c>
      <c r="P263" s="370">
        <f t="shared" si="66"/>
        <v>0.9325300614929638</v>
      </c>
      <c r="Q263" s="371">
        <f t="shared" si="68"/>
        <v>1.004660183495576E-2</v>
      </c>
    </row>
    <row r="264" spans="3:17">
      <c r="L264"/>
    </row>
    <row r="265" spans="3:17">
      <c r="L265"/>
    </row>
    <row r="266" spans="3:17">
      <c r="L266"/>
    </row>
    <row r="267" spans="3:17">
      <c r="L267"/>
    </row>
    <row r="268" spans="3:17">
      <c r="L268"/>
    </row>
    <row r="269" spans="3:17">
      <c r="L269"/>
    </row>
    <row r="270" spans="3:17">
      <c r="L270"/>
    </row>
    <row r="271" spans="3:17">
      <c r="L271"/>
    </row>
    <row r="272" spans="3:17">
      <c r="L272"/>
    </row>
    <row r="273" spans="12:14">
      <c r="L273"/>
    </row>
    <row r="274" spans="12:14">
      <c r="L274"/>
      <c r="M274" s="380"/>
      <c r="N274" s="380"/>
    </row>
    <row r="297" spans="2:23">
      <c r="W297" s="370" t="s">
        <v>1606</v>
      </c>
    </row>
    <row r="298" spans="2:23">
      <c r="Q298" s="370" t="s">
        <v>575</v>
      </c>
      <c r="R298" s="370" t="s">
        <v>1598</v>
      </c>
      <c r="S298" s="370"/>
      <c r="T298" s="370"/>
    </row>
    <row r="299" spans="2:23">
      <c r="Q299" s="370" t="s">
        <v>1599</v>
      </c>
      <c r="R299" s="370"/>
      <c r="S299" s="370"/>
      <c r="T299" s="370" t="str">
        <f>IF(AND(C220&gt;C219,C221&gt;C220,C222&gt;C221,C223&gt;C222,C224&gt;C223),"PASS","CHECK")</f>
        <v>PASS</v>
      </c>
    </row>
    <row r="300" spans="2:23">
      <c r="Q300" s="370" t="s">
        <v>1600</v>
      </c>
      <c r="R300" s="370"/>
      <c r="S300" s="370"/>
      <c r="T300" s="370" t="str">
        <f>IF(AND(C237&lt;C236,C239&lt;C238),"PASS","CHECK")</f>
        <v>PASS</v>
      </c>
    </row>
    <row r="301" spans="2:23">
      <c r="Q301" s="370" t="s">
        <v>459</v>
      </c>
      <c r="R301" s="370"/>
      <c r="S301" s="370"/>
      <c r="T301" s="370" t="str">
        <f>IF(F220&lt;F219,"PASS","CHECK")</f>
        <v>PASS</v>
      </c>
    </row>
    <row r="302" spans="2:23">
      <c r="B302" s="7" t="s">
        <v>857</v>
      </c>
      <c r="Q302" s="370" t="s">
        <v>343</v>
      </c>
      <c r="R302" s="370"/>
      <c r="S302" s="370"/>
      <c r="T302" s="370" t="str">
        <f>IF(F230&gt;0,"PASS","CHECK")</f>
        <v>PASS</v>
      </c>
    </row>
    <row r="303" spans="2:23">
      <c r="B303" s="7" t="s">
        <v>858</v>
      </c>
      <c r="C303" s="14">
        <f>IF($D$7="","",C28)</f>
        <v>2.02</v>
      </c>
      <c r="Q303" s="370" t="s">
        <v>1596</v>
      </c>
      <c r="R303" s="370"/>
      <c r="S303" s="370"/>
      <c r="T303" s="370" t="str">
        <f>IF($T$243&gt;0,"PASS","CHECK")</f>
        <v>PASS</v>
      </c>
    </row>
    <row r="304" spans="2:23">
      <c r="B304" s="7" t="s">
        <v>859</v>
      </c>
      <c r="C304" s="14">
        <f>IF($D$7="","",C29)</f>
        <v>5.05</v>
      </c>
      <c r="Q304" s="370" t="s">
        <v>1601</v>
      </c>
      <c r="R304" s="370"/>
      <c r="S304" s="370"/>
      <c r="T304" s="370" t="str">
        <f>IF($T$244&gt;=0.95,"PASS","CHECK")</f>
        <v>PASS</v>
      </c>
    </row>
    <row r="305" spans="2:20">
      <c r="B305" s="7" t="s">
        <v>860</v>
      </c>
      <c r="C305" s="14">
        <f>IF($D$7="","",J29)</f>
        <v>20.029616662043424</v>
      </c>
      <c r="Q305" s="370" t="s">
        <v>576</v>
      </c>
      <c r="R305" s="370"/>
      <c r="S305" s="370"/>
      <c r="T305" s="370" t="str">
        <f>IF(AND(P335&gt;=MIN(P318:P326),H15&lt;=MAX(P318:P326)),"PASS","CHECK")</f>
        <v>PASS</v>
      </c>
    </row>
    <row r="306" spans="2:20">
      <c r="B306" s="7" t="s">
        <v>861</v>
      </c>
      <c r="C306" s="14">
        <f>IF($D$7="","",J30)</f>
        <v>40.459825657327713</v>
      </c>
      <c r="Q306" s="370" t="s">
        <v>1602</v>
      </c>
      <c r="R306" s="370"/>
      <c r="S306" s="370"/>
      <c r="T306" s="370" t="str">
        <f>IF(COUNT(D329:D334)=COUNT(B329:B334),"PASS","CHECK")</f>
        <v>PASS</v>
      </c>
    </row>
    <row r="307" spans="2:20">
      <c r="Q307" s="370" t="s">
        <v>1603</v>
      </c>
      <c r="R307" s="370"/>
      <c r="S307" s="370"/>
      <c r="T307" s="370" t="str">
        <f>IF(COUNT(C329:C334)=COUNT(B329:B334),"PASS","CHECK")</f>
        <v>PASS</v>
      </c>
    </row>
    <row r="308" spans="2:20">
      <c r="B308" s="7" t="s">
        <v>458</v>
      </c>
      <c r="C308" s="14">
        <f>IF($D$7="","",J41)</f>
        <v>2.6779999999999999</v>
      </c>
      <c r="Q308" s="370" t="s">
        <v>1604</v>
      </c>
      <c r="T308" s="370" t="str">
        <f>IF(COUNT(E329:E334)=COUNT(B329:B334),"PASS","CHECK")</f>
        <v>PASS</v>
      </c>
    </row>
    <row r="309" spans="2:20">
      <c r="B309" s="7" t="s">
        <v>862</v>
      </c>
      <c r="C309" s="14">
        <f>IF($D$7="","",J36)</f>
        <v>35.606816820631941</v>
      </c>
    </row>
    <row r="310" spans="2:20">
      <c r="B310" s="7" t="s">
        <v>863</v>
      </c>
      <c r="C310" s="14">
        <f>IF($D$7="","",J42)</f>
        <v>0.96648601808242662</v>
      </c>
      <c r="Q310" s="1925" t="s">
        <v>1605</v>
      </c>
      <c r="R310" s="1925"/>
      <c r="S310" s="1925"/>
      <c r="T310" s="371" t="str">
        <f>IF(COUNTIF(T299:T308,"CHECK")&gt;0,"REVIEW DATA","PASS")</f>
        <v>PASS</v>
      </c>
    </row>
    <row r="311" spans="2:20">
      <c r="B311" s="7" t="s">
        <v>864</v>
      </c>
      <c r="C311" s="14">
        <f>IF($D$7="","",J45)</f>
        <v>1.0272129989359173</v>
      </c>
    </row>
    <row r="313" spans="2:20">
      <c r="B313" s="7" t="s">
        <v>865</v>
      </c>
      <c r="C313" s="862" t="str">
        <f>IF($D$7="","","25 - 50 - 100 -200 - 400 -800")</f>
        <v>25 - 50 - 100 -200 - 400 -800</v>
      </c>
      <c r="D313" s="862"/>
      <c r="E313" s="862"/>
    </row>
    <row r="314" spans="2:20">
      <c r="B314" s="7" t="s">
        <v>866</v>
      </c>
      <c r="C314" s="14" t="str">
        <f>IF($D$7="","","1440 menit")</f>
        <v>1440 menit</v>
      </c>
    </row>
    <row r="316" spans="2:20">
      <c r="B316" s="7" t="s">
        <v>867</v>
      </c>
    </row>
    <row r="317" spans="2:20" ht="53.1" customHeight="1">
      <c r="B317" s="369" t="s">
        <v>868</v>
      </c>
      <c r="C317" s="865" t="s">
        <v>354</v>
      </c>
      <c r="D317" s="865" t="s">
        <v>579</v>
      </c>
      <c r="E317" s="866" t="s">
        <v>355</v>
      </c>
      <c r="F317" s="866" t="s">
        <v>146</v>
      </c>
      <c r="G317" s="870" t="s">
        <v>875</v>
      </c>
      <c r="H317" s="22" t="s">
        <v>874</v>
      </c>
      <c r="J317" s="861"/>
      <c r="K317" s="861"/>
      <c r="L317" s="862" t="s">
        <v>868</v>
      </c>
      <c r="M317" s="14" t="s">
        <v>876</v>
      </c>
    </row>
    <row r="318" spans="2:20">
      <c r="B318" s="381">
        <f t="shared" ref="B318:B323" si="75">IF($D$7="","",B73*100)</f>
        <v>25</v>
      </c>
      <c r="C318" s="867">
        <f t="shared" ref="C318:F323" si="76">IF($D$7="","",D73)</f>
        <v>2.2900000000000004E-3</v>
      </c>
      <c r="D318" s="605">
        <f t="shared" si="76"/>
        <v>2.0177100000000001</v>
      </c>
      <c r="E318" s="867">
        <f t="shared" si="76"/>
        <v>2.2293331591132465E-3</v>
      </c>
      <c r="F318" s="867">
        <f t="shared" si="76"/>
        <v>0.9642566849233134</v>
      </c>
      <c r="G318" s="867">
        <f t="shared" ref="G318:G323" si="77">IF($D$7="","",I73)</f>
        <v>1.011145</v>
      </c>
      <c r="H318" s="868">
        <f t="shared" ref="H318:H323" si="78">IF($D$7="","",K73)</f>
        <v>3.24</v>
      </c>
      <c r="L318" s="381">
        <f t="shared" ref="L318:L325" si="79">IF($D$7="","",B73*100)</f>
        <v>25</v>
      </c>
      <c r="M318" s="370">
        <f t="shared" ref="M318:M325" si="80">IF($D$7="",NA(),G73)</f>
        <v>0.9642566849233134</v>
      </c>
      <c r="P318">
        <v>25</v>
      </c>
      <c r="Q318" s="371">
        <f t="shared" ref="Q318:Q326" si="81">O255</f>
        <v>0.96029450764925628</v>
      </c>
      <c r="R318" s="873">
        <f>IF($D$7="",NA(),Q318)</f>
        <v>0.96029450764925628</v>
      </c>
      <c r="S318" s="372">
        <f t="shared" ref="S318:S326" si="82">P255</f>
        <v>0.97964784529256277</v>
      </c>
      <c r="T318" s="873">
        <f t="shared" ref="T318:T326" si="83">IF($D$7="",NA(),S318)</f>
        <v>0.97964784529256277</v>
      </c>
    </row>
    <row r="319" spans="2:20">
      <c r="B319" s="381">
        <f t="shared" si="75"/>
        <v>50</v>
      </c>
      <c r="C319" s="867">
        <f t="shared" si="76"/>
        <v>3.2100000000000045E-3</v>
      </c>
      <c r="D319" s="605">
        <f t="shared" si="76"/>
        <v>2.0145</v>
      </c>
      <c r="E319" s="867">
        <f t="shared" si="76"/>
        <v>3.1249604544775237E-3</v>
      </c>
      <c r="F319" s="867">
        <f t="shared" si="76"/>
        <v>0.96113172446883588</v>
      </c>
      <c r="G319" s="867">
        <f t="shared" si="77"/>
        <v>1.01275</v>
      </c>
      <c r="H319" s="868">
        <f t="shared" si="78"/>
        <v>5.2899999999999991</v>
      </c>
      <c r="L319" s="381">
        <f t="shared" si="79"/>
        <v>50</v>
      </c>
      <c r="M319" s="370">
        <f t="shared" si="80"/>
        <v>0.96113172446883588</v>
      </c>
      <c r="P319">
        <v>30</v>
      </c>
      <c r="Q319" s="371">
        <f t="shared" si="81"/>
        <v>0.95936242711851261</v>
      </c>
      <c r="R319" s="873">
        <f t="shared" ref="R319:R326" si="84">IF($D$7="",NA(),Q319)</f>
        <v>0.95936242711851261</v>
      </c>
      <c r="S319" s="372">
        <f t="shared" si="82"/>
        <v>0.97716912563937619</v>
      </c>
      <c r="T319" s="873">
        <f t="shared" si="83"/>
        <v>0.97716912563937619</v>
      </c>
    </row>
    <row r="320" spans="2:20">
      <c r="B320" s="381">
        <f t="shared" si="75"/>
        <v>100</v>
      </c>
      <c r="C320" s="867">
        <f t="shared" si="76"/>
        <v>5.1399999999999918E-3</v>
      </c>
      <c r="D320" s="605">
        <f t="shared" si="76"/>
        <v>2.00936</v>
      </c>
      <c r="E320" s="867">
        <f t="shared" si="76"/>
        <v>5.003830758882998E-3</v>
      </c>
      <c r="F320" s="867">
        <f t="shared" si="76"/>
        <v>0.95612789370995288</v>
      </c>
      <c r="G320" s="867">
        <f t="shared" si="77"/>
        <v>1.01532</v>
      </c>
      <c r="H320" s="868">
        <f t="shared" si="78"/>
        <v>4.8400000000000007</v>
      </c>
      <c r="L320" s="381">
        <f t="shared" si="79"/>
        <v>100</v>
      </c>
      <c r="M320" s="370">
        <f t="shared" si="80"/>
        <v>0.95612789370995288</v>
      </c>
      <c r="P320">
        <v>40</v>
      </c>
      <c r="Q320" s="371">
        <f t="shared" si="81"/>
        <v>0.95789171315856469</v>
      </c>
      <c r="R320" s="873">
        <f t="shared" si="84"/>
        <v>0.95789171315856469</v>
      </c>
      <c r="S320" s="372">
        <f t="shared" si="82"/>
        <v>0.97325799620742692</v>
      </c>
      <c r="T320" s="873">
        <f t="shared" si="83"/>
        <v>0.97325799620742692</v>
      </c>
    </row>
    <row r="321" spans="2:20">
      <c r="B321" s="381">
        <f t="shared" si="75"/>
        <v>200</v>
      </c>
      <c r="C321" s="867">
        <f t="shared" si="76"/>
        <v>6.6399999999999931E-3</v>
      </c>
      <c r="D321" s="605">
        <f t="shared" si="76"/>
        <v>2.0027200000000001</v>
      </c>
      <c r="E321" s="867">
        <f t="shared" si="76"/>
        <v>6.4640926534986626E-3</v>
      </c>
      <c r="F321" s="867">
        <f t="shared" si="76"/>
        <v>0.9496638010564542</v>
      </c>
      <c r="G321" s="867">
        <f t="shared" si="77"/>
        <v>1.01864</v>
      </c>
      <c r="H321" s="868">
        <f t="shared" si="78"/>
        <v>5.2899999999999991</v>
      </c>
      <c r="L321" s="381">
        <f t="shared" si="79"/>
        <v>200</v>
      </c>
      <c r="M321" s="370">
        <f t="shared" si="80"/>
        <v>0.9496638010564542</v>
      </c>
      <c r="P321">
        <v>50</v>
      </c>
      <c r="Q321" s="371">
        <f t="shared" si="81"/>
        <v>0.95675093878498885</v>
      </c>
      <c r="R321" s="873">
        <f t="shared" si="84"/>
        <v>0.95675093878498885</v>
      </c>
      <c r="S321" s="372">
        <f t="shared" si="82"/>
        <v>0.97022428853264298</v>
      </c>
      <c r="T321" s="873">
        <f t="shared" si="83"/>
        <v>0.97022428853264298</v>
      </c>
    </row>
    <row r="322" spans="2:20">
      <c r="B322" s="381">
        <f t="shared" si="75"/>
        <v>400</v>
      </c>
      <c r="C322" s="867">
        <f t="shared" si="76"/>
        <v>7.9200000000000104E-3</v>
      </c>
      <c r="D322" s="605">
        <f t="shared" si="76"/>
        <v>1.9948000000000001</v>
      </c>
      <c r="E322" s="867">
        <f t="shared" si="76"/>
        <v>7.710182803570712E-3</v>
      </c>
      <c r="F322" s="867">
        <f t="shared" si="76"/>
        <v>0.94195361825288348</v>
      </c>
      <c r="G322" s="867">
        <f t="shared" si="77"/>
        <v>1.0226</v>
      </c>
      <c r="H322" s="868">
        <f t="shared" si="78"/>
        <v>4.8400000000000007</v>
      </c>
      <c r="L322" s="381">
        <f t="shared" si="79"/>
        <v>400</v>
      </c>
      <c r="M322" s="370">
        <f t="shared" si="80"/>
        <v>0.94195361825288348</v>
      </c>
      <c r="P322">
        <v>70</v>
      </c>
      <c r="Q322" s="371">
        <f t="shared" si="81"/>
        <v>0.95503079539434832</v>
      </c>
      <c r="R322" s="873">
        <f t="shared" si="84"/>
        <v>0.95503079539434832</v>
      </c>
      <c r="S322" s="372">
        <f t="shared" si="82"/>
        <v>0.96564984127401643</v>
      </c>
      <c r="T322" s="873">
        <f t="shared" si="83"/>
        <v>0.96564984127401643</v>
      </c>
    </row>
    <row r="323" spans="2:20">
      <c r="B323" s="381">
        <f t="shared" si="75"/>
        <v>800</v>
      </c>
      <c r="C323" s="867">
        <f t="shared" si="76"/>
        <v>9.6799999999999942E-3</v>
      </c>
      <c r="D323" s="605">
        <f t="shared" si="76"/>
        <v>1.9851200000000002</v>
      </c>
      <c r="E323" s="867">
        <f t="shared" si="76"/>
        <v>9.4235567599197413E-3</v>
      </c>
      <c r="F323" s="867">
        <f t="shared" si="76"/>
        <v>0.93253006149296369</v>
      </c>
      <c r="G323" s="867">
        <f t="shared" si="77"/>
        <v>1.0274399999999999</v>
      </c>
      <c r="H323" s="868">
        <f t="shared" si="78"/>
        <v>4</v>
      </c>
      <c r="L323" s="381">
        <f t="shared" si="79"/>
        <v>800</v>
      </c>
      <c r="M323" s="370">
        <f t="shared" si="80"/>
        <v>0.93253006149296369</v>
      </c>
      <c r="P323">
        <v>100</v>
      </c>
      <c r="Q323" s="371">
        <f t="shared" si="81"/>
        <v>0.95320736992072153</v>
      </c>
      <c r="R323" s="873">
        <f t="shared" si="84"/>
        <v>0.95320736992072153</v>
      </c>
      <c r="S323" s="372">
        <f t="shared" si="82"/>
        <v>0.96080073177272318</v>
      </c>
      <c r="T323" s="873">
        <f t="shared" si="83"/>
        <v>0.96080073177272318</v>
      </c>
    </row>
    <row r="324" spans="2:20">
      <c r="B324" s="14"/>
      <c r="C324" s="863"/>
      <c r="D324" s="864"/>
      <c r="E324" s="863"/>
      <c r="F324" s="863"/>
      <c r="G324" s="863"/>
      <c r="L324" s="381">
        <f t="shared" si="79"/>
        <v>200</v>
      </c>
      <c r="M324" s="370">
        <f t="shared" si="80"/>
        <v>0.93296814006134843</v>
      </c>
      <c r="P324">
        <v>200</v>
      </c>
      <c r="Q324" s="371">
        <f t="shared" si="81"/>
        <v>0.9496638010564542</v>
      </c>
      <c r="R324" s="873">
        <f t="shared" si="84"/>
        <v>0.9496638010564542</v>
      </c>
      <c r="S324" s="372">
        <f t="shared" si="82"/>
        <v>0.95137717501280339</v>
      </c>
      <c r="T324" s="873">
        <f t="shared" si="83"/>
        <v>0.95137717501280339</v>
      </c>
    </row>
    <row r="325" spans="2:20">
      <c r="B325" s="14"/>
      <c r="C325" s="863"/>
      <c r="D325" s="864"/>
      <c r="E325" s="863"/>
      <c r="F325" s="863"/>
      <c r="G325" s="863"/>
      <c r="L325" s="381">
        <f t="shared" si="79"/>
        <v>25</v>
      </c>
      <c r="M325" s="370">
        <f t="shared" si="80"/>
        <v>0.93428237576650253</v>
      </c>
      <c r="P325">
        <v>400</v>
      </c>
      <c r="Q325" s="371">
        <f t="shared" si="81"/>
        <v>0.94612023219218688</v>
      </c>
      <c r="R325" s="873">
        <f t="shared" si="84"/>
        <v>0.94612023219218688</v>
      </c>
      <c r="S325" s="372">
        <f t="shared" si="82"/>
        <v>0.9419536182528836</v>
      </c>
      <c r="T325" s="873">
        <f t="shared" si="83"/>
        <v>0.9419536182528836</v>
      </c>
    </row>
    <row r="326" spans="2:20">
      <c r="B326" s="14"/>
      <c r="D326" s="14"/>
      <c r="E326" s="14"/>
      <c r="F326" s="14"/>
      <c r="P326">
        <v>800</v>
      </c>
      <c r="Q326" s="371">
        <f t="shared" si="81"/>
        <v>0.94257666332791956</v>
      </c>
      <c r="R326" s="873">
        <f t="shared" si="84"/>
        <v>0.94257666332791956</v>
      </c>
      <c r="S326" s="372">
        <f t="shared" si="82"/>
        <v>0.9325300614929638</v>
      </c>
      <c r="T326" s="873">
        <f t="shared" si="83"/>
        <v>0.9325300614929638</v>
      </c>
    </row>
    <row r="327" spans="2:20">
      <c r="B327" s="7" t="s">
        <v>869</v>
      </c>
    </row>
    <row r="328" spans="2:20">
      <c r="B328" s="369" t="s">
        <v>868</v>
      </c>
      <c r="C328" s="381" t="s">
        <v>888</v>
      </c>
      <c r="D328" s="368" t="s">
        <v>871</v>
      </c>
      <c r="E328" s="368" t="s">
        <v>872</v>
      </c>
      <c r="F328" s="368" t="s">
        <v>870</v>
      </c>
      <c r="G328" s="368" t="s">
        <v>873</v>
      </c>
    </row>
    <row r="329" spans="2:20">
      <c r="B329" s="381">
        <f>IF($D$7="","",B73*100)</f>
        <v>25</v>
      </c>
      <c r="C329" s="884">
        <f>IF($D$7="","",H73*0.010197)</f>
        <v>4.6292341317632371E-5</v>
      </c>
      <c r="D329" s="871">
        <f>IF($D$7="","",M73)</f>
        <v>4.4599138423312744E-3</v>
      </c>
      <c r="E329" s="381">
        <f>IF($D$7="","",N73)</f>
        <v>2.0247117175290044E-8</v>
      </c>
      <c r="F329" s="368"/>
      <c r="G329" s="368"/>
      <c r="M329" s="872" t="s">
        <v>877</v>
      </c>
      <c r="P329" s="370" t="s">
        <v>601</v>
      </c>
      <c r="Q329" s="370" t="s">
        <v>602</v>
      </c>
      <c r="R329" s="372" t="s">
        <v>846</v>
      </c>
    </row>
    <row r="330" spans="2:20">
      <c r="B330" s="381">
        <f t="shared" ref="B330:B334" si="85">IF($D$7="","",B74*100)</f>
        <v>50</v>
      </c>
      <c r="C330" s="884">
        <f t="shared" ref="C330:C334" si="86">IF($D$7="","",H74*0.010197)</f>
        <v>6.4993536857781164E-5</v>
      </c>
      <c r="D330" s="871">
        <f t="shared" ref="D330:D334" si="87">IF($D$7="","",M74)</f>
        <v>2.7402704883427854E-3</v>
      </c>
      <c r="E330" s="381">
        <f t="shared" ref="E330:E334" si="88">IF($D$7="","",N74)</f>
        <v>1.7465908697106682E-8</v>
      </c>
      <c r="F330" s="368"/>
      <c r="G330" s="368"/>
      <c r="M330" s="872" t="s">
        <v>878</v>
      </c>
    </row>
    <row r="331" spans="2:20">
      <c r="B331" s="381">
        <f t="shared" si="85"/>
        <v>100</v>
      </c>
      <c r="C331" s="884">
        <f t="shared" si="86"/>
        <v>5.2168431739459239E-5</v>
      </c>
      <c r="D331" s="871">
        <f t="shared" si="87"/>
        <v>3.0102677260165282E-3</v>
      </c>
      <c r="E331" s="381">
        <f t="shared" si="88"/>
        <v>1.5400700831831955E-8</v>
      </c>
      <c r="F331" s="368"/>
      <c r="G331" s="368"/>
      <c r="P331" s="380">
        <v>230</v>
      </c>
      <c r="Q331" s="380">
        <v>0.94899999999999995</v>
      </c>
      <c r="R331" s="873">
        <f>IF($D$7="",NA(),Q331)</f>
        <v>0.94899999999999995</v>
      </c>
    </row>
    <row r="332" spans="2:20">
      <c r="B332" s="381">
        <f t="shared" si="85"/>
        <v>200</v>
      </c>
      <c r="C332" s="884">
        <f t="shared" si="86"/>
        <v>3.3808061036989657E-5</v>
      </c>
      <c r="D332" s="871">
        <f t="shared" si="87"/>
        <v>2.7722371684335226E-3</v>
      </c>
      <c r="E332" s="381">
        <f t="shared" si="88"/>
        <v>9.1913271942151532E-9</v>
      </c>
      <c r="F332" s="381">
        <f>IF($D$7="","",F229)</f>
        <v>2.5612672871898983E-2</v>
      </c>
      <c r="G332" s="381">
        <f>IF($D$7="","",P331)</f>
        <v>230</v>
      </c>
      <c r="P332" s="370">
        <f>P331</f>
        <v>230</v>
      </c>
      <c r="Q332" s="978">
        <v>0.92</v>
      </c>
      <c r="R332" s="873">
        <f>IF($D$7="",NA(),Q332)</f>
        <v>0.92</v>
      </c>
    </row>
    <row r="333" spans="2:20">
      <c r="B333" s="381">
        <f t="shared" si="85"/>
        <v>400</v>
      </c>
      <c r="C333" s="884">
        <f t="shared" si="86"/>
        <v>2.0242690996591164E-5</v>
      </c>
      <c r="D333" s="871">
        <f t="shared" si="87"/>
        <v>3.0535906490358122E-3</v>
      </c>
      <c r="E333" s="381">
        <f t="shared" si="88"/>
        <v>6.0618703479957058E-9</v>
      </c>
      <c r="F333" s="381">
        <f>IF($D$7="","",F230)</f>
        <v>3.1304377954543286E-2</v>
      </c>
      <c r="G333" s="368"/>
    </row>
    <row r="334" spans="2:20">
      <c r="B334" s="381">
        <f t="shared" si="85"/>
        <v>800</v>
      </c>
      <c r="C334" s="884">
        <f t="shared" si="86"/>
        <v>1.2430855565406617E-5</v>
      </c>
      <c r="D334" s="871">
        <f t="shared" si="87"/>
        <v>3.7299031027199989E-3</v>
      </c>
      <c r="E334" s="381">
        <f t="shared" si="88"/>
        <v>4.5470125274957639E-9</v>
      </c>
      <c r="F334" s="368"/>
      <c r="G334" s="368"/>
      <c r="P334" s="370" t="s">
        <v>601</v>
      </c>
      <c r="Q334" s="371" t="s">
        <v>602</v>
      </c>
    </row>
    <row r="335" spans="2:20">
      <c r="B335" s="14"/>
      <c r="O335" s="370" t="s">
        <v>576</v>
      </c>
      <c r="P335" s="370">
        <f>P331</f>
        <v>230</v>
      </c>
      <c r="Q335" s="371">
        <f>Q331</f>
        <v>0.94899999999999995</v>
      </c>
    </row>
    <row r="336" spans="2:20">
      <c r="B336" s="14"/>
    </row>
    <row r="337" spans="16:16">
      <c r="P337" s="370" t="str">
        <f>"Pc = "&amp;ROUND(P331,0)&amp;" kPa"</f>
        <v>Pc = 230 kPa</v>
      </c>
    </row>
    <row r="355" spans="1:28">
      <c r="B355" s="862"/>
    </row>
    <row r="356" spans="1:28">
      <c r="B356" s="862"/>
    </row>
    <row r="357" spans="1:28">
      <c r="B357" s="862"/>
    </row>
    <row r="358" spans="1:28">
      <c r="B358" s="862"/>
    </row>
    <row r="359" spans="1:28">
      <c r="B359" s="862"/>
    </row>
    <row r="360" spans="1:28">
      <c r="A360" s="14"/>
      <c r="B360" s="370"/>
      <c r="C360" s="370"/>
      <c r="Y360" s="370" t="s">
        <v>1641</v>
      </c>
    </row>
    <row r="361" spans="1:28">
      <c r="A361" s="14"/>
      <c r="B361" s="370"/>
      <c r="C361" s="370"/>
      <c r="Y361" s="370" t="s">
        <v>1611</v>
      </c>
      <c r="Z361" s="370" t="s">
        <v>1642</v>
      </c>
      <c r="AA361" s="370" t="s">
        <v>1632</v>
      </c>
      <c r="AB361" s="370" t="s">
        <v>1633</v>
      </c>
    </row>
    <row r="362" spans="1:28">
      <c r="B362" s="862"/>
      <c r="Y362" s="370" t="s">
        <v>1612</v>
      </c>
      <c r="Z362" s="370" t="s">
        <v>1613</v>
      </c>
      <c r="AA362" s="370" t="s">
        <v>1610</v>
      </c>
      <c r="AB362" s="370" t="s">
        <v>1510</v>
      </c>
    </row>
    <row r="363" spans="1:28">
      <c r="Y363" s="370" t="s">
        <v>1614</v>
      </c>
      <c r="Z363" s="370" t="s">
        <v>1615</v>
      </c>
      <c r="AA363" s="370" t="s">
        <v>1634</v>
      </c>
      <c r="AB363" s="370" t="s">
        <v>1635</v>
      </c>
    </row>
    <row r="364" spans="1:28">
      <c r="B364" s="862"/>
      <c r="Y364" s="370" t="s">
        <v>1617</v>
      </c>
      <c r="Z364" s="370" t="s">
        <v>1618</v>
      </c>
      <c r="AA364" s="370" t="s">
        <v>1636</v>
      </c>
      <c r="AB364" s="370" t="s">
        <v>1637</v>
      </c>
    </row>
    <row r="365" spans="1:28">
      <c r="B365" s="862"/>
      <c r="C365" s="1559"/>
      <c r="D365" s="1560"/>
      <c r="E365" s="1560"/>
      <c r="Y365" s="370" t="s">
        <v>1643</v>
      </c>
      <c r="Z365" s="370" t="s">
        <v>1644</v>
      </c>
      <c r="AA365" s="370" t="s">
        <v>1645</v>
      </c>
      <c r="AB365" s="370" t="s">
        <v>1646</v>
      </c>
    </row>
    <row r="366" spans="1:28">
      <c r="B366" s="862"/>
      <c r="Y366" s="370" t="s">
        <v>1620</v>
      </c>
      <c r="Z366" s="370" t="s">
        <v>1616</v>
      </c>
      <c r="AA366" s="370" t="s">
        <v>509</v>
      </c>
      <c r="AB366" s="370" t="s">
        <v>1638</v>
      </c>
    </row>
    <row r="367" spans="1:28">
      <c r="B367" s="862"/>
      <c r="Y367" s="370" t="s">
        <v>1621</v>
      </c>
      <c r="Z367" s="370" t="s">
        <v>1622</v>
      </c>
      <c r="AA367" s="370" t="s">
        <v>1639</v>
      </c>
      <c r="AB367" s="370" t="s">
        <v>1640</v>
      </c>
    </row>
    <row r="368" spans="1:28">
      <c r="B368" s="862"/>
      <c r="Y368" s="370" t="s">
        <v>1623</v>
      </c>
      <c r="Z368" s="370" t="s">
        <v>1624</v>
      </c>
      <c r="AA368" s="370" t="s">
        <v>1647</v>
      </c>
      <c r="AB368" s="370" t="s">
        <v>1648</v>
      </c>
    </row>
    <row r="369" spans="1:37">
      <c r="B369" s="862"/>
      <c r="Y369" s="370" t="s">
        <v>1649</v>
      </c>
      <c r="Z369" s="370" t="s">
        <v>1650</v>
      </c>
      <c r="AA369" s="370" t="s">
        <v>1651</v>
      </c>
      <c r="AB369" s="370" t="s">
        <v>1652</v>
      </c>
    </row>
    <row r="370" spans="1:37">
      <c r="B370" s="862"/>
      <c r="Y370" s="370" t="s">
        <v>1690</v>
      </c>
      <c r="Z370" s="370" t="s">
        <v>1619</v>
      </c>
      <c r="AA370" s="370" t="s">
        <v>510</v>
      </c>
      <c r="AB370" s="370" t="s">
        <v>1197</v>
      </c>
    </row>
    <row r="371" spans="1:37">
      <c r="B371" s="862"/>
      <c r="Y371" s="370" t="s">
        <v>1626</v>
      </c>
      <c r="Z371" s="370" t="s">
        <v>1627</v>
      </c>
      <c r="AA371" s="370" t="s">
        <v>1653</v>
      </c>
      <c r="AB371" s="370" t="s">
        <v>1654</v>
      </c>
    </row>
    <row r="372" spans="1:37">
      <c r="Y372" s="370" t="s">
        <v>1628</v>
      </c>
      <c r="Z372" s="370" t="s">
        <v>1629</v>
      </c>
      <c r="AA372" s="370" t="s">
        <v>1655</v>
      </c>
      <c r="AB372" s="370" t="s">
        <v>1656</v>
      </c>
    </row>
    <row r="373" spans="1:37">
      <c r="B373" s="862"/>
      <c r="Y373" s="370" t="s">
        <v>1630</v>
      </c>
      <c r="Z373" s="370" t="s">
        <v>1631</v>
      </c>
      <c r="AA373" s="370" t="s">
        <v>1657</v>
      </c>
      <c r="AB373" s="370" t="s">
        <v>1658</v>
      </c>
    </row>
    <row r="374" spans="1:37">
      <c r="B374" s="862"/>
    </row>
    <row r="375" spans="1:37">
      <c r="B375" s="862"/>
      <c r="AF375" s="370" t="s">
        <v>1678</v>
      </c>
    </row>
    <row r="376" spans="1:37">
      <c r="A376" s="1566" t="s">
        <v>1719</v>
      </c>
      <c r="B376" s="862"/>
    </row>
    <row r="377" spans="1:37">
      <c r="A377" s="370" t="s">
        <v>1661</v>
      </c>
      <c r="B377" s="862"/>
      <c r="Y377" s="370" t="s">
        <v>1611</v>
      </c>
      <c r="Z377" s="370" t="s">
        <v>575</v>
      </c>
      <c r="AA377" s="370" t="s">
        <v>1667</v>
      </c>
      <c r="AB377" s="370" t="s">
        <v>1609</v>
      </c>
      <c r="AF377" s="370" t="s">
        <v>1611</v>
      </c>
      <c r="AG377" s="370" t="s">
        <v>575</v>
      </c>
      <c r="AH377" s="370" t="s">
        <v>1683</v>
      </c>
      <c r="AI377" s="370" t="s">
        <v>1607</v>
      </c>
      <c r="AJ377" s="370" t="s">
        <v>1608</v>
      </c>
      <c r="AK377" s="370" t="s">
        <v>1685</v>
      </c>
    </row>
    <row r="378" spans="1:37">
      <c r="A378" s="370" t="s">
        <v>1660</v>
      </c>
      <c r="B378" s="862"/>
      <c r="Y378" s="370" t="s">
        <v>1612</v>
      </c>
      <c r="Z378" s="370" t="s">
        <v>343</v>
      </c>
      <c r="AA378" s="370" t="s">
        <v>1668</v>
      </c>
      <c r="AB378" s="370" t="s">
        <v>1669</v>
      </c>
      <c r="AF378" s="370" t="s">
        <v>1612</v>
      </c>
      <c r="AG378" s="370" t="s">
        <v>343</v>
      </c>
      <c r="AH378" s="370" t="s">
        <v>1668</v>
      </c>
      <c r="AI378" s="370">
        <v>3</v>
      </c>
      <c r="AJ378" s="370">
        <v>4</v>
      </c>
      <c r="AK378" s="370" t="s">
        <v>1686</v>
      </c>
    </row>
    <row r="379" spans="1:37">
      <c r="B379" s="862"/>
      <c r="Y379" s="370" t="s">
        <v>1612</v>
      </c>
      <c r="Z379" s="370" t="s">
        <v>1596</v>
      </c>
      <c r="AA379" s="370" t="s">
        <v>1670</v>
      </c>
      <c r="AB379" s="370" t="s">
        <v>1671</v>
      </c>
      <c r="AF379" s="370" t="s">
        <v>1612</v>
      </c>
      <c r="AG379" s="370" t="s">
        <v>1596</v>
      </c>
      <c r="AH379" s="370" t="s">
        <v>1670</v>
      </c>
      <c r="AI379" s="370">
        <v>1</v>
      </c>
      <c r="AJ379" s="370">
        <v>3</v>
      </c>
      <c r="AK379" s="370" t="s">
        <v>1687</v>
      </c>
    </row>
    <row r="380" spans="1:37">
      <c r="A380" s="370" t="s">
        <v>1662</v>
      </c>
      <c r="Y380" s="370" t="s">
        <v>1614</v>
      </c>
      <c r="Z380" s="370" t="s">
        <v>343</v>
      </c>
      <c r="AA380" s="370" t="s">
        <v>1672</v>
      </c>
      <c r="AB380" s="370" t="s">
        <v>1673</v>
      </c>
      <c r="AF380" s="370" t="s">
        <v>1614</v>
      </c>
      <c r="AG380" s="370" t="s">
        <v>343</v>
      </c>
      <c r="AH380" s="370" t="s">
        <v>1672</v>
      </c>
      <c r="AI380" s="370">
        <v>3</v>
      </c>
      <c r="AJ380" s="370">
        <v>3</v>
      </c>
      <c r="AK380" s="370" t="s">
        <v>1688</v>
      </c>
    </row>
    <row r="381" spans="1:37">
      <c r="Y381" s="370" t="s">
        <v>1614</v>
      </c>
      <c r="Z381" s="370" t="s">
        <v>1596</v>
      </c>
      <c r="AA381" s="370" t="s">
        <v>1670</v>
      </c>
      <c r="AB381" s="370" t="s">
        <v>1674</v>
      </c>
      <c r="AF381" s="370" t="s">
        <v>1614</v>
      </c>
      <c r="AG381" s="370" t="s">
        <v>1596</v>
      </c>
      <c r="AH381" s="370" t="s">
        <v>1670</v>
      </c>
      <c r="AI381" s="370">
        <v>1</v>
      </c>
      <c r="AJ381" s="370">
        <v>3</v>
      </c>
      <c r="AK381" s="370" t="s">
        <v>1687</v>
      </c>
    </row>
    <row r="382" spans="1:37">
      <c r="A382" s="370" t="s">
        <v>1611</v>
      </c>
      <c r="B382" s="604" t="str">
        <f>F12</f>
        <v>SLC</v>
      </c>
      <c r="Y382" s="370" t="s">
        <v>1625</v>
      </c>
      <c r="Z382" s="370" t="s">
        <v>343</v>
      </c>
      <c r="AA382" s="370" t="s">
        <v>1675</v>
      </c>
      <c r="AB382" s="370" t="s">
        <v>1676</v>
      </c>
      <c r="AF382" s="370" t="s">
        <v>1643</v>
      </c>
      <c r="AG382" s="370" t="s">
        <v>343</v>
      </c>
      <c r="AH382" s="370" t="s">
        <v>1675</v>
      </c>
      <c r="AI382" s="370">
        <v>2</v>
      </c>
      <c r="AJ382" s="370">
        <v>3</v>
      </c>
      <c r="AK382" s="370" t="s">
        <v>1689</v>
      </c>
    </row>
    <row r="383" spans="1:37">
      <c r="Y383" s="370" t="s">
        <v>1625</v>
      </c>
      <c r="Z383" s="370" t="s">
        <v>1596</v>
      </c>
      <c r="AA383" s="370" t="s">
        <v>1670</v>
      </c>
      <c r="AB383" s="370" t="s">
        <v>1677</v>
      </c>
      <c r="AF383" s="370" t="s">
        <v>1643</v>
      </c>
      <c r="AG383" s="370" t="s">
        <v>1596</v>
      </c>
      <c r="AH383" s="370" t="s">
        <v>1670</v>
      </c>
      <c r="AI383" s="370">
        <v>1</v>
      </c>
      <c r="AJ383" s="370">
        <v>3</v>
      </c>
      <c r="AK383" s="370" t="s">
        <v>1687</v>
      </c>
    </row>
    <row r="384" spans="1:37">
      <c r="A384" s="370" t="s">
        <v>1663</v>
      </c>
      <c r="AF384" s="370" t="s">
        <v>1690</v>
      </c>
      <c r="AG384" s="370" t="s">
        <v>343</v>
      </c>
      <c r="AH384" s="370" t="s">
        <v>1675</v>
      </c>
      <c r="AI384" s="370">
        <v>2</v>
      </c>
      <c r="AJ384" s="370">
        <v>3</v>
      </c>
      <c r="AK384" s="370" t="s">
        <v>1691</v>
      </c>
    </row>
    <row r="385" spans="1:37">
      <c r="AF385" s="370" t="s">
        <v>1690</v>
      </c>
      <c r="AG385" s="370" t="s">
        <v>1596</v>
      </c>
      <c r="AH385" s="370" t="s">
        <v>1670</v>
      </c>
      <c r="AI385" s="370">
        <v>1</v>
      </c>
      <c r="AJ385" s="370">
        <v>3</v>
      </c>
      <c r="AK385" s="370" t="s">
        <v>1687</v>
      </c>
    </row>
    <row r="386" spans="1:37">
      <c r="A386" s="1570" t="s">
        <v>1664</v>
      </c>
      <c r="AF386" s="370" t="s">
        <v>1628</v>
      </c>
      <c r="AG386" s="370" t="s">
        <v>343</v>
      </c>
      <c r="AH386" s="370" t="s">
        <v>1670</v>
      </c>
      <c r="AI386" s="370">
        <v>2</v>
      </c>
      <c r="AJ386" s="370">
        <v>2</v>
      </c>
      <c r="AK386" s="370" t="s">
        <v>1692</v>
      </c>
    </row>
    <row r="387" spans="1:37">
      <c r="C387" s="14" t="s">
        <v>1682</v>
      </c>
      <c r="D387" s="370" t="s">
        <v>1683</v>
      </c>
      <c r="E387" s="370" t="s">
        <v>1684</v>
      </c>
      <c r="F387" s="370" t="s">
        <v>1607</v>
      </c>
      <c r="G387" s="370" t="s">
        <v>1608</v>
      </c>
      <c r="H387" s="370" t="s">
        <v>1598</v>
      </c>
      <c r="I387" s="14" t="s">
        <v>1679</v>
      </c>
      <c r="J387" s="370" t="s">
        <v>1718</v>
      </c>
      <c r="K387" s="14"/>
      <c r="AF387" s="370" t="s">
        <v>1628</v>
      </c>
      <c r="AG387" s="370" t="s">
        <v>1596</v>
      </c>
      <c r="AH387" s="370" t="s">
        <v>1670</v>
      </c>
      <c r="AI387" s="370">
        <v>1</v>
      </c>
      <c r="AJ387" s="370">
        <v>3</v>
      </c>
      <c r="AK387" s="370" t="s">
        <v>1687</v>
      </c>
    </row>
    <row r="388" spans="1:37">
      <c r="A388" s="370" t="s">
        <v>343</v>
      </c>
      <c r="B388" s="7">
        <f>F230</f>
        <v>3.1304377954543286E-2</v>
      </c>
      <c r="C388" s="14" t="str" cm="1">
        <f t="array" ref="C388">IFERROR(
INDEX($Z$399:$Z$408,
MATCH(1,
($Y$399:$Y$408=$A388)*
($AA$399:$AA$408&lt;=$B388)*
($AB$399:$AB$408&gt;$B388),
0)),
"")</f>
        <v>Sangat Rendah</v>
      </c>
      <c r="D388" s="370" t="str" cm="1">
        <f t="array" ref="D388">IFERROR(INDEX($AA$433:$AA$504,MATCH(1,($Y$433:$Y$504=$B$382)*($Z$433:$Z$504=$A388),0)),"")</f>
        <v>Sedang</v>
      </c>
      <c r="E388" s="370">
        <f>IFERROR(INDEX($AI$378:$AI$397,MATCH(C388,$AH$378:$AH$397,0)),"")</f>
        <v>1</v>
      </c>
      <c r="F388" s="370" cm="1">
        <f t="array" ref="F388">IFERROR(INDEX($AB$433:$AB$504,MATCH(1,($Y$433:$Y$504=$B$382)*($Z$433:$Z$504=$A388),0)),"")</f>
        <v>0.15</v>
      </c>
      <c r="G388" s="370" cm="1">
        <f t="array" ref="G388">IFERROR(INDEX($AC$433:$AC$504,MATCH(1,($Y$433:$Y$504=$B$382)*($Z$433:$Z$504=$A388),0)),"")</f>
        <v>0.4</v>
      </c>
      <c r="H388" s="1564" t="str">
        <f>IF(B388="","CHECK",
IF(AND(B388&gt;=F388,B388&lt;G388),"PASS","REVIEW"))</f>
        <v>REVIEW</v>
      </c>
      <c r="I388" s="370" t="str" cm="1">
        <f t="array" ref="I388">IFERROR(INDEX($AD$433:$AD$504,MATCH(1,($Y$433:$Y$504=$B$382)*($Z$433:$Z$504=$A388),0)),"")</f>
        <v>Bandingkan dengan Clay Content.</v>
      </c>
      <c r="J388" s="370" t="str" cm="1">
        <f t="array" ref="J388">IFERROR(INDEX($AE$433:$AE$504,MATCH(1,($Y$433:$Y$504=$B$382)*($Z$433:$Z$504=$A388),0)),"")</f>
        <v>Das (2017)</v>
      </c>
      <c r="AF388" s="370" t="s">
        <v>1620</v>
      </c>
      <c r="AG388" s="370" t="s">
        <v>343</v>
      </c>
      <c r="AH388" s="370" t="s">
        <v>1680</v>
      </c>
      <c r="AI388" s="370">
        <v>1</v>
      </c>
      <c r="AJ388" s="370">
        <v>1</v>
      </c>
      <c r="AK388" s="370" t="s">
        <v>1693</v>
      </c>
    </row>
    <row r="389" spans="1:37">
      <c r="H389" s="1564"/>
      <c r="AF389" s="370" t="s">
        <v>1620</v>
      </c>
      <c r="AG389" s="370" t="s">
        <v>1596</v>
      </c>
      <c r="AH389" s="370" t="s">
        <v>1680</v>
      </c>
      <c r="AI389" s="370">
        <v>1</v>
      </c>
      <c r="AJ389" s="370">
        <v>2</v>
      </c>
      <c r="AK389" s="370" t="s">
        <v>1694</v>
      </c>
    </row>
    <row r="390" spans="1:37">
      <c r="A390" s="370" t="s">
        <v>1596</v>
      </c>
      <c r="B390" s="7">
        <f>T243</f>
        <v>1.1871902796484492E-3</v>
      </c>
      <c r="C390" s="14" t="str" cm="1">
        <f t="array" ref="C390">IFERROR(
INDEX($Z$399:$Z$408,
MATCH(1,
($Y$399:$Y$408=$A390)*
($AA$399:$AA$408&lt;=$B390)*
($AB$399:$AB$408&gt;$B390),
0)),
"")</f>
        <v>Sangat Rendah</v>
      </c>
      <c r="D390" s="370" t="str" cm="1">
        <f t="array" ref="D390">IFERROR(INDEX($AA$433:$AA$504,MATCH(1,($Y$433:$Y$504=$B$382)*($Z$433:$Z$504=$A390),0)),"")</f>
        <v>Rendah</v>
      </c>
      <c r="E390" s="370">
        <f>IFERROR(INDEX($AI$378:$AI$397,MATCH(C390,$AH$378:$AH$397,0)),"")</f>
        <v>1</v>
      </c>
      <c r="F390" s="370" cm="1">
        <f t="array" ref="F390">IFERROR(INDEX($AB$433:$AB$504,MATCH(1,($Y$433:$Y$504=$B$382)*($Z$433:$Z$504=$A390),0)),"")</f>
        <v>0.02</v>
      </c>
      <c r="G390" s="370" cm="1">
        <f t="array" ref="G390">IFERROR(INDEX($AC$433:$AC$504,MATCH(1,($Y$433:$Y$504=$B$382)*($Z$433:$Z$504=$A390),0)),"")</f>
        <v>0.08</v>
      </c>
      <c r="H390" s="1564" t="str">
        <f>IF(B390="","CHECK",
IF(AND(B390&gt;=F390,B390&lt;G390),"PASS","REVIEW"))</f>
        <v>REVIEW</v>
      </c>
      <c r="I390" s="370" t="str" cm="1">
        <f t="array" ref="I390">IFERROR(INDEX($AD$433:$AD$504,MATCH(1,($Y$433:$Y$504=$B$382)*($Z$433:$Z$504=$A390),0)),"")</f>
        <v>Nilai Cr harus lebih kecil dari Cc.</v>
      </c>
      <c r="AF390" s="370" t="s">
        <v>1621</v>
      </c>
      <c r="AG390" s="370" t="s">
        <v>343</v>
      </c>
      <c r="AH390" s="370" t="s">
        <v>1670</v>
      </c>
      <c r="AI390" s="370">
        <v>2</v>
      </c>
      <c r="AJ390" s="370">
        <v>2</v>
      </c>
      <c r="AK390" s="370" t="s">
        <v>1695</v>
      </c>
    </row>
    <row r="391" spans="1:37">
      <c r="H391" s="1564"/>
      <c r="AF391" s="370" t="s">
        <v>1621</v>
      </c>
      <c r="AG391" s="370" t="s">
        <v>1596</v>
      </c>
      <c r="AH391" s="370" t="s">
        <v>1670</v>
      </c>
      <c r="AI391" s="370">
        <v>1</v>
      </c>
      <c r="AJ391" s="370">
        <v>3</v>
      </c>
      <c r="AK391" s="370" t="s">
        <v>1687</v>
      </c>
    </row>
    <row r="392" spans="1:37">
      <c r="A392" s="370" t="s">
        <v>1699</v>
      </c>
      <c r="B392" s="7">
        <f>C310</f>
        <v>0.96648601808242662</v>
      </c>
      <c r="C392" s="14" t="str" cm="1">
        <f t="array" ref="C392">IFERROR(
INDEX($Z$411:$Z$415,
MATCH(1,
($Y$411:$Y$415=$A392)*
($AB$411:$AB$415&lt;=$B392)*
($AC$411:$AC$415&gt;$B392),
0)),
"")</f>
        <v>Sedang</v>
      </c>
      <c r="D392" s="370" t="str" cm="1">
        <f t="array" ref="D392">IFERROR(INDEX($AA$433:$AA$504,MATCH(1,($Y$433:$Y$504=$B$382)*($Z$433:$Z$504=$A392),0)),"")</f>
        <v>Sedang</v>
      </c>
      <c r="E392" s="370">
        <f>IFERROR(INDEX($AA$411:$AA$415,MATCH(C392,$Z$411:$Z$415,0)),"")</f>
        <v>3</v>
      </c>
      <c r="F392" s="370" cm="1">
        <f t="array" ref="F392">IFERROR(INDEX($AB$433:$AB$504,MATCH(1,($Y$433:$Y$504=$B$382)*($Z$433:$Z$504=$A392),0)),"")</f>
        <v>0.6</v>
      </c>
      <c r="G392" s="370" cm="1">
        <f t="array" ref="G392">IFERROR(INDEX($AC$433:$AC$504,MATCH(1,($Y$433:$Y$504=$B$382)*($Z$433:$Z$504=$A392),0)),"")</f>
        <v>1.1000000000000001</v>
      </c>
      <c r="H392" s="1564" t="str">
        <f>IF(B392="","CHECK",
IF(AND(B392&gt;=F392,B392&lt;G392),"PASS","REVIEW"))</f>
        <v>PASS</v>
      </c>
      <c r="I392" s="370" t="str" cm="1">
        <f t="array" ref="I392">IFERROR(INDEX($AD$433:$AD$504,MATCH(1,($Y$433:$Y$504=$B$382)*($Z$433:$Z$504=$A392),0)),"")</f>
        <v>Bandingkan dengan γd.</v>
      </c>
      <c r="AF392" s="370" t="s">
        <v>1623</v>
      </c>
      <c r="AG392" s="370" t="s">
        <v>343</v>
      </c>
      <c r="AH392" s="370" t="s">
        <v>1670</v>
      </c>
      <c r="AI392" s="370">
        <v>2</v>
      </c>
      <c r="AJ392" s="370">
        <v>2</v>
      </c>
      <c r="AK392" s="370" t="s">
        <v>1696</v>
      </c>
    </row>
    <row r="393" spans="1:37">
      <c r="AF393" s="370" t="s">
        <v>1623</v>
      </c>
      <c r="AG393" s="370" t="s">
        <v>1596</v>
      </c>
      <c r="AH393" s="370" t="s">
        <v>1670</v>
      </c>
      <c r="AI393" s="370">
        <v>1</v>
      </c>
      <c r="AJ393" s="370">
        <v>3</v>
      </c>
      <c r="AK393" s="370" t="s">
        <v>1687</v>
      </c>
    </row>
    <row r="394" spans="1:37">
      <c r="A394" s="370" t="s">
        <v>576</v>
      </c>
      <c r="B394" s="7">
        <f>P335</f>
        <v>230</v>
      </c>
      <c r="C394" s="14" t="str" cm="1">
        <f t="array" ref="C394">IFERROR(
INDEX($Z$424:$Z$428,
MATCH(1,
($Y$424:$Y$428=$A394)*
($AB$424:$AB$428&lt;=$B394)*
($AC$424:$AC$428&gt;$B394),
0)),
"")</f>
        <v>Tinggi</v>
      </c>
      <c r="E394" s="370">
        <f>IFERROR(INDEX($AA$424:$AA$428,MATCH(C394,$Z$424:$Z$428,0)),"")</f>
        <v>4</v>
      </c>
      <c r="I394" s="7" t="str" cm="1">
        <f t="array" ref="I394">IFERROR(
INDEX($AJ$424,
MATCH(1,
($AE$411:$AE$420=$B$382)*
($AF$424=$A394),
0)),
"")</f>
        <v/>
      </c>
      <c r="AF394" s="370" t="s">
        <v>1649</v>
      </c>
      <c r="AG394" s="370" t="s">
        <v>343</v>
      </c>
      <c r="AH394" s="370" t="s">
        <v>1680</v>
      </c>
      <c r="AI394" s="370">
        <v>1</v>
      </c>
      <c r="AJ394" s="370">
        <v>1</v>
      </c>
      <c r="AK394" s="370" t="s">
        <v>1697</v>
      </c>
    </row>
    <row r="395" spans="1:37">
      <c r="AF395" s="370" t="s">
        <v>1649</v>
      </c>
      <c r="AG395" s="370" t="s">
        <v>1596</v>
      </c>
      <c r="AH395" s="370" t="s">
        <v>1680</v>
      </c>
      <c r="AI395" s="370">
        <v>1</v>
      </c>
      <c r="AJ395" s="370">
        <v>2</v>
      </c>
      <c r="AK395" s="370" t="s">
        <v>1694</v>
      </c>
    </row>
    <row r="396" spans="1:37">
      <c r="A396" s="1570" t="s">
        <v>1712</v>
      </c>
      <c r="AF396" s="370" t="s">
        <v>1630</v>
      </c>
      <c r="AG396" s="370" t="s">
        <v>343</v>
      </c>
      <c r="AH396" s="370" t="s">
        <v>1680</v>
      </c>
      <c r="AI396" s="370">
        <v>1</v>
      </c>
      <c r="AJ396" s="370">
        <v>1</v>
      </c>
      <c r="AK396" s="370" t="s">
        <v>1698</v>
      </c>
    </row>
    <row r="397" spans="1:37">
      <c r="B397" s="370" t="s">
        <v>1607</v>
      </c>
      <c r="C397" s="370" t="s">
        <v>1608</v>
      </c>
      <c r="D397" s="370" t="s">
        <v>1665</v>
      </c>
      <c r="E397" s="370" t="s">
        <v>1713</v>
      </c>
      <c r="F397" s="370" t="s">
        <v>1714</v>
      </c>
      <c r="G397" s="370" t="s">
        <v>1685</v>
      </c>
      <c r="M397" s="370" t="s">
        <v>1718</v>
      </c>
      <c r="AF397" s="370" t="s">
        <v>1630</v>
      </c>
      <c r="AG397" s="370" t="s">
        <v>1596</v>
      </c>
      <c r="AH397" s="370" t="s">
        <v>1680</v>
      </c>
      <c r="AI397" s="370">
        <v>1</v>
      </c>
      <c r="AJ397" s="370">
        <v>2</v>
      </c>
      <c r="AK397" s="370" t="s">
        <v>1694</v>
      </c>
    </row>
    <row r="398" spans="1:37">
      <c r="A398" s="370" t="s">
        <v>885</v>
      </c>
      <c r="B398" s="1562">
        <f>MIN(D329:D334)</f>
        <v>2.7402704883427854E-3</v>
      </c>
      <c r="C398" s="1562">
        <f>MAX(D329:D334)</f>
        <v>4.4599138423312744E-3</v>
      </c>
      <c r="D398" s="1562">
        <f>AVERAGE(D329:D334)</f>
        <v>3.2943638294799867E-3</v>
      </c>
      <c r="E398" s="1564" t="str">
        <f>IF(COUNT(D329:D334)=COUNT(B329:B334),"PASS","CHECK")</f>
        <v>PASS</v>
      </c>
      <c r="F398" s="1564" t="str">
        <f>IF(COUNT(E329:E334)=COUNT(C329:C334),"PASS","CHECK")</f>
        <v>PASS</v>
      </c>
      <c r="G398" s="7" t="str" cm="1">
        <f t="array" ref="G398">IFERROR(
INDEX($AD$433:$AD$462,
MATCH(1,
($Y$433:$Y$462=$B$382)*
($Z$433:$Z$462=$A398),
0)),
"")</f>
        <v/>
      </c>
      <c r="M398" s="1934" t="str" cm="1">
        <f t="array" ref="M398">IFERROR(
INDEX($AE$433:$AE$462,
MATCH(1,
($Y$433:$Y$462=$B$382)*
($Z$433:$Z$462=$A398),
0)),
"")</f>
        <v/>
      </c>
      <c r="N398" s="1934"/>
      <c r="O398" s="1934"/>
      <c r="Y398" s="370" t="s">
        <v>575</v>
      </c>
      <c r="Z398" s="370" t="s">
        <v>1667</v>
      </c>
      <c r="AA398" s="370" t="s">
        <v>1607</v>
      </c>
      <c r="AB398" s="370" t="s">
        <v>1608</v>
      </c>
    </row>
    <row r="399" spans="1:37">
      <c r="B399" s="14"/>
      <c r="D399" s="601"/>
      <c r="E399" s="1565"/>
      <c r="F399" s="1565"/>
      <c r="Y399" s="370" t="s">
        <v>343</v>
      </c>
      <c r="Z399" s="370" t="s">
        <v>1680</v>
      </c>
      <c r="AA399" s="370">
        <v>0</v>
      </c>
      <c r="AB399" s="370">
        <v>0.1</v>
      </c>
    </row>
    <row r="400" spans="1:37">
      <c r="A400" s="370" t="s">
        <v>884</v>
      </c>
      <c r="B400" s="1561">
        <f>MIN(C329:C334)</f>
        <v>1.2430855565406617E-5</v>
      </c>
      <c r="C400" s="1561">
        <f>MAX(C329:C334)</f>
        <v>6.4993536857781164E-5</v>
      </c>
      <c r="D400" s="1563">
        <f>AVERAGE(C329:C334)</f>
        <v>3.8322652918976707E-5</v>
      </c>
      <c r="E400" s="1564" t="str">
        <f>IF(COUNT(D331:D336)=COUNT(B331:B336),"PASS","CHECK")</f>
        <v>PASS</v>
      </c>
      <c r="F400" s="1564" t="str">
        <f>IF(COUNT(E331:E336)=COUNT(C331:C336),"PASS","CHECK")</f>
        <v>PASS</v>
      </c>
      <c r="G400" s="7" t="str" cm="1">
        <f t="array" ref="G400">IFERROR(
INDEX($AD$433:$AD$462,
MATCH(1,
($Y$433:$Y$462=$B$382)*
($Z$433:$Z$462=$A400),
0)),
"")</f>
        <v/>
      </c>
      <c r="M400" s="1934" t="str" cm="1">
        <f t="array" ref="M400">IFERROR(
INDEX($AE$433:$AE$462,
MATCH(1,
($Y$433:$Y$462=$B$382)*
($Z$433:$Z$462=$A400),
0)),
"")</f>
        <v/>
      </c>
      <c r="N400" s="1934"/>
      <c r="O400" s="1934"/>
      <c r="Y400" s="370" t="s">
        <v>343</v>
      </c>
      <c r="Z400" s="370" t="s">
        <v>1670</v>
      </c>
      <c r="AA400" s="370">
        <v>0.1</v>
      </c>
      <c r="AB400" s="370">
        <v>0.25</v>
      </c>
    </row>
    <row r="401" spans="1:36">
      <c r="B401" s="14"/>
      <c r="D401" s="601"/>
      <c r="E401" s="1565"/>
      <c r="F401" s="1565"/>
      <c r="Y401" s="370" t="s">
        <v>343</v>
      </c>
      <c r="Z401" s="370" t="s">
        <v>1672</v>
      </c>
      <c r="AA401" s="370">
        <v>0.25</v>
      </c>
      <c r="AB401" s="370">
        <v>0.5</v>
      </c>
    </row>
    <row r="402" spans="1:36">
      <c r="A402" s="370" t="s">
        <v>886</v>
      </c>
      <c r="B402" s="14">
        <f>MIN(E329:E334)</f>
        <v>4.5470125274957639E-9</v>
      </c>
      <c r="C402" s="14">
        <f>MAX(E329:E334)</f>
        <v>2.0247117175290044E-8</v>
      </c>
      <c r="D402" s="601">
        <f>AVERAGE(E329:E334)</f>
        <v>1.2152322795655883E-8</v>
      </c>
      <c r="E402" s="1564" t="str">
        <f>IF(COUNT(D333:D338)=COUNT(B333:B338),"PASS","CHECK")</f>
        <v>PASS</v>
      </c>
      <c r="F402" s="1564" t="str">
        <f>IF(COUNT(E333:E338)=COUNT(C333:C338),"PASS","CHECK")</f>
        <v>PASS</v>
      </c>
      <c r="G402" s="7" t="str" cm="1">
        <f t="array" ref="G402">IFERROR(
INDEX($AD$433:$AD$462,
MATCH(1,
($Y$433:$Y$462=$B$382)*
($Z$433:$Z$462=$A402),
0)),
"")</f>
        <v/>
      </c>
      <c r="M402" s="1934" t="str" cm="1">
        <f t="array" ref="M402">IFERROR(
INDEX($AE$433:$AE$462,
MATCH(1,
($Y$433:$Y$462=$B$382)*
($Z$433:$Z$462=$A402),
0)),
"")</f>
        <v/>
      </c>
      <c r="N402" s="1934"/>
      <c r="O402" s="1934"/>
      <c r="Y402" s="370" t="s">
        <v>343</v>
      </c>
      <c r="Z402" s="370" t="s">
        <v>338</v>
      </c>
      <c r="AA402" s="370">
        <v>0.5</v>
      </c>
      <c r="AB402" s="370">
        <v>1</v>
      </c>
    </row>
    <row r="403" spans="1:36">
      <c r="Y403" s="370" t="s">
        <v>343</v>
      </c>
      <c r="Z403" s="370" t="s">
        <v>1681</v>
      </c>
      <c r="AA403" s="370">
        <v>1</v>
      </c>
      <c r="AB403" s="370">
        <v>999</v>
      </c>
    </row>
    <row r="404" spans="1:36">
      <c r="Y404" s="370" t="s">
        <v>1596</v>
      </c>
      <c r="Z404" s="370" t="s">
        <v>1680</v>
      </c>
      <c r="AA404" s="370">
        <v>0</v>
      </c>
      <c r="AB404" s="370">
        <v>0.02</v>
      </c>
    </row>
    <row r="405" spans="1:36">
      <c r="Y405" s="370" t="s">
        <v>1596</v>
      </c>
      <c r="Z405" s="370" t="s">
        <v>1670</v>
      </c>
      <c r="AA405" s="370">
        <v>0.02</v>
      </c>
      <c r="AB405" s="370">
        <v>0.05</v>
      </c>
    </row>
    <row r="406" spans="1:36">
      <c r="Y406" s="370" t="s">
        <v>1596</v>
      </c>
      <c r="Z406" s="370" t="s">
        <v>1672</v>
      </c>
      <c r="AA406" s="370">
        <v>0.05</v>
      </c>
      <c r="AB406" s="370">
        <v>0.1</v>
      </c>
    </row>
    <row r="407" spans="1:36">
      <c r="Y407" s="370" t="s">
        <v>1596</v>
      </c>
      <c r="Z407" s="370" t="s">
        <v>338</v>
      </c>
      <c r="AA407" s="370">
        <v>0.1</v>
      </c>
      <c r="AB407" s="370">
        <v>0.2</v>
      </c>
    </row>
    <row r="408" spans="1:36">
      <c r="Y408" s="370" t="s">
        <v>1596</v>
      </c>
      <c r="Z408" s="370" t="s">
        <v>1681</v>
      </c>
      <c r="AA408" s="370">
        <v>0.2</v>
      </c>
      <c r="AB408" s="370">
        <v>999</v>
      </c>
    </row>
    <row r="410" spans="1:36">
      <c r="A410" s="370" t="s">
        <v>1663</v>
      </c>
      <c r="Y410" s="370" t="s">
        <v>575</v>
      </c>
      <c r="Z410" s="370" t="s">
        <v>1667</v>
      </c>
      <c r="AA410" s="370" t="s">
        <v>1611</v>
      </c>
      <c r="AB410" s="370" t="s">
        <v>1607</v>
      </c>
      <c r="AC410" s="370" t="s">
        <v>1608</v>
      </c>
      <c r="AE410" s="370" t="s">
        <v>1611</v>
      </c>
      <c r="AF410" s="370" t="s">
        <v>575</v>
      </c>
      <c r="AG410" s="370" t="s">
        <v>1683</v>
      </c>
      <c r="AH410" s="370" t="s">
        <v>1607</v>
      </c>
      <c r="AI410" s="370" t="s">
        <v>1608</v>
      </c>
      <c r="AJ410" s="370" t="s">
        <v>1685</v>
      </c>
    </row>
    <row r="411" spans="1:36">
      <c r="Y411" s="370" t="s">
        <v>1699</v>
      </c>
      <c r="Z411" s="370" t="s">
        <v>1680</v>
      </c>
      <c r="AA411" s="370">
        <v>1</v>
      </c>
      <c r="AB411" s="370">
        <v>0</v>
      </c>
      <c r="AC411" s="370">
        <v>0.5</v>
      </c>
      <c r="AE411" s="370" t="s">
        <v>1612</v>
      </c>
      <c r="AF411" s="370" t="s">
        <v>1699</v>
      </c>
      <c r="AG411" s="370" t="s">
        <v>1668</v>
      </c>
      <c r="AH411" s="370">
        <v>3</v>
      </c>
      <c r="AI411" s="370">
        <v>4</v>
      </c>
      <c r="AJ411" s="370" t="s">
        <v>1700</v>
      </c>
    </row>
    <row r="412" spans="1:36">
      <c r="Y412" s="370" t="s">
        <v>1699</v>
      </c>
      <c r="Z412" s="370" t="s">
        <v>1670</v>
      </c>
      <c r="AA412" s="370">
        <v>2</v>
      </c>
      <c r="AB412" s="370">
        <v>0.5</v>
      </c>
      <c r="AC412" s="370">
        <v>0.8</v>
      </c>
      <c r="AE412" s="370" t="s">
        <v>1614</v>
      </c>
      <c r="AF412" s="370" t="s">
        <v>1699</v>
      </c>
      <c r="AG412" s="370" t="s">
        <v>1672</v>
      </c>
      <c r="AH412" s="370">
        <v>3</v>
      </c>
      <c r="AI412" s="370">
        <v>3</v>
      </c>
      <c r="AJ412" s="370" t="s">
        <v>1701</v>
      </c>
    </row>
    <row r="413" spans="1:36">
      <c r="Y413" s="370" t="s">
        <v>1699</v>
      </c>
      <c r="Z413" s="370" t="s">
        <v>1672</v>
      </c>
      <c r="AA413" s="370">
        <v>3</v>
      </c>
      <c r="AB413" s="370">
        <v>0.8</v>
      </c>
      <c r="AC413" s="370">
        <v>1.2</v>
      </c>
      <c r="AE413" s="370" t="s">
        <v>1643</v>
      </c>
      <c r="AF413" s="370" t="s">
        <v>1699</v>
      </c>
      <c r="AG413" s="370" t="s">
        <v>1675</v>
      </c>
      <c r="AH413" s="370">
        <v>2</v>
      </c>
      <c r="AI413" s="370">
        <v>3</v>
      </c>
      <c r="AJ413" s="370" t="s">
        <v>1702</v>
      </c>
    </row>
    <row r="414" spans="1:36">
      <c r="Y414" s="370" t="s">
        <v>1699</v>
      </c>
      <c r="Z414" s="370" t="s">
        <v>338</v>
      </c>
      <c r="AA414" s="370">
        <v>4</v>
      </c>
      <c r="AB414" s="370">
        <v>1.2</v>
      </c>
      <c r="AC414" s="370">
        <v>1.8</v>
      </c>
      <c r="AE414" s="370" t="s">
        <v>1690</v>
      </c>
      <c r="AF414" s="370" t="s">
        <v>1699</v>
      </c>
      <c r="AG414" s="370" t="s">
        <v>1672</v>
      </c>
      <c r="AH414" s="370">
        <v>3</v>
      </c>
      <c r="AI414" s="370">
        <v>3</v>
      </c>
      <c r="AJ414" s="370" t="s">
        <v>1703</v>
      </c>
    </row>
    <row r="415" spans="1:36">
      <c r="Y415" s="370" t="s">
        <v>1699</v>
      </c>
      <c r="Z415" s="370" t="s">
        <v>1681</v>
      </c>
      <c r="AA415" s="370">
        <v>5</v>
      </c>
      <c r="AB415" s="370">
        <v>1.8</v>
      </c>
      <c r="AC415" s="370">
        <v>3</v>
      </c>
      <c r="AE415" s="370" t="s">
        <v>1628</v>
      </c>
      <c r="AF415" s="370" t="s">
        <v>1699</v>
      </c>
      <c r="AG415" s="370" t="s">
        <v>1675</v>
      </c>
      <c r="AH415" s="370">
        <v>2</v>
      </c>
      <c r="AI415" s="370">
        <v>3</v>
      </c>
      <c r="AJ415" s="370" t="s">
        <v>1704</v>
      </c>
    </row>
    <row r="416" spans="1:36">
      <c r="AE416" s="370" t="s">
        <v>1620</v>
      </c>
      <c r="AF416" s="370" t="s">
        <v>1699</v>
      </c>
      <c r="AG416" s="370" t="s">
        <v>1670</v>
      </c>
      <c r="AH416" s="370">
        <v>2</v>
      </c>
      <c r="AI416" s="370">
        <v>2</v>
      </c>
      <c r="AJ416" s="370" t="s">
        <v>1705</v>
      </c>
    </row>
    <row r="417" spans="25:36">
      <c r="AE417" s="370" t="s">
        <v>1621</v>
      </c>
      <c r="AF417" s="370" t="s">
        <v>1699</v>
      </c>
      <c r="AG417" s="370" t="s">
        <v>1670</v>
      </c>
      <c r="AH417" s="370">
        <v>2</v>
      </c>
      <c r="AI417" s="370">
        <v>2</v>
      </c>
      <c r="AJ417" s="370" t="s">
        <v>1706</v>
      </c>
    </row>
    <row r="418" spans="25:36">
      <c r="AE418" s="370" t="s">
        <v>1623</v>
      </c>
      <c r="AF418" s="370" t="s">
        <v>1699</v>
      </c>
      <c r="AG418" s="370" t="s">
        <v>1670</v>
      </c>
      <c r="AH418" s="370">
        <v>2</v>
      </c>
      <c r="AI418" s="370">
        <v>2</v>
      </c>
      <c r="AJ418" s="370" t="s">
        <v>1707</v>
      </c>
    </row>
    <row r="419" spans="25:36">
      <c r="AE419" s="370" t="s">
        <v>1649</v>
      </c>
      <c r="AF419" s="370" t="s">
        <v>1699</v>
      </c>
      <c r="AG419" s="370" t="s">
        <v>1680</v>
      </c>
      <c r="AH419" s="370">
        <v>1</v>
      </c>
      <c r="AI419" s="370">
        <v>1</v>
      </c>
      <c r="AJ419" s="370" t="s">
        <v>1708</v>
      </c>
    </row>
    <row r="420" spans="25:36">
      <c r="AE420" s="370" t="s">
        <v>1630</v>
      </c>
      <c r="AF420" s="370" t="s">
        <v>1699</v>
      </c>
      <c r="AG420" s="370" t="s">
        <v>1680</v>
      </c>
      <c r="AH420" s="370">
        <v>1</v>
      </c>
      <c r="AI420" s="370">
        <v>1</v>
      </c>
      <c r="AJ420" s="370" t="s">
        <v>1709</v>
      </c>
    </row>
    <row r="423" spans="25:36">
      <c r="Y423" s="370" t="s">
        <v>575</v>
      </c>
      <c r="Z423" s="370" t="s">
        <v>1667</v>
      </c>
      <c r="AA423" s="370" t="s">
        <v>1611</v>
      </c>
      <c r="AB423" s="370" t="s">
        <v>1607</v>
      </c>
      <c r="AC423" s="370" t="s">
        <v>1608</v>
      </c>
      <c r="AE423" s="370" t="s">
        <v>1611</v>
      </c>
      <c r="AF423" s="370" t="s">
        <v>575</v>
      </c>
      <c r="AG423" s="370" t="s">
        <v>1683</v>
      </c>
      <c r="AH423" s="370" t="s">
        <v>1607</v>
      </c>
      <c r="AI423" s="370" t="s">
        <v>1608</v>
      </c>
      <c r="AJ423" s="370" t="s">
        <v>1685</v>
      </c>
    </row>
    <row r="424" spans="25:36">
      <c r="Y424" s="370" t="s">
        <v>576</v>
      </c>
      <c r="Z424" s="370" t="s">
        <v>1680</v>
      </c>
      <c r="AA424" s="370">
        <v>1</v>
      </c>
      <c r="AB424" s="370">
        <v>0</v>
      </c>
      <c r="AC424" s="370">
        <v>50</v>
      </c>
      <c r="AE424" s="370" t="s">
        <v>1710</v>
      </c>
      <c r="AF424" s="370" t="s">
        <v>576</v>
      </c>
      <c r="AG424" s="370" t="s">
        <v>90</v>
      </c>
      <c r="AH424" s="370">
        <v>1</v>
      </c>
      <c r="AI424" s="370">
        <v>5</v>
      </c>
      <c r="AJ424" s="370" t="s">
        <v>1711</v>
      </c>
    </row>
    <row r="425" spans="25:36">
      <c r="Y425" s="370" t="s">
        <v>576</v>
      </c>
      <c r="Z425" s="370" t="s">
        <v>1670</v>
      </c>
      <c r="AA425" s="370">
        <v>2</v>
      </c>
      <c r="AB425" s="370">
        <v>50</v>
      </c>
      <c r="AC425" s="370">
        <v>100</v>
      </c>
    </row>
    <row r="426" spans="25:36">
      <c r="Y426" s="370" t="s">
        <v>576</v>
      </c>
      <c r="Z426" s="370" t="s">
        <v>1672</v>
      </c>
      <c r="AA426" s="370">
        <v>3</v>
      </c>
      <c r="AB426" s="370">
        <v>100</v>
      </c>
      <c r="AC426" s="370">
        <v>200</v>
      </c>
    </row>
    <row r="427" spans="25:36">
      <c r="Y427" s="370" t="s">
        <v>576</v>
      </c>
      <c r="Z427" s="370" t="s">
        <v>338</v>
      </c>
      <c r="AA427" s="370">
        <v>4</v>
      </c>
      <c r="AB427" s="370">
        <v>200</v>
      </c>
      <c r="AC427" s="370">
        <v>400</v>
      </c>
    </row>
    <row r="428" spans="25:36">
      <c r="Y428" s="370" t="s">
        <v>576</v>
      </c>
      <c r="Z428" s="370" t="s">
        <v>1681</v>
      </c>
      <c r="AA428" s="370">
        <v>5</v>
      </c>
      <c r="AB428" s="370">
        <v>400</v>
      </c>
      <c r="AC428" s="370">
        <v>1000</v>
      </c>
    </row>
    <row r="432" spans="25:36">
      <c r="Y432" s="370" t="s">
        <v>2201</v>
      </c>
      <c r="Z432" s="370" t="s">
        <v>575</v>
      </c>
      <c r="AA432" s="370" t="s">
        <v>1683</v>
      </c>
      <c r="AB432" s="370" t="s">
        <v>1607</v>
      </c>
      <c r="AC432" s="370" t="s">
        <v>1608</v>
      </c>
      <c r="AD432" s="370" t="s">
        <v>1685</v>
      </c>
      <c r="AE432" s="370" t="s">
        <v>2033</v>
      </c>
      <c r="AF432" s="370" t="s">
        <v>1717</v>
      </c>
    </row>
    <row r="433" spans="1:31">
      <c r="Y433" s="370" t="s">
        <v>1612</v>
      </c>
      <c r="Z433" s="370" t="s">
        <v>343</v>
      </c>
      <c r="AA433" s="370" t="s">
        <v>1672</v>
      </c>
      <c r="AB433" s="370">
        <v>0.2</v>
      </c>
      <c r="AC433" s="370">
        <v>0.5</v>
      </c>
      <c r="AD433" s="370" t="s">
        <v>2380</v>
      </c>
      <c r="AE433" s="370" t="s">
        <v>2381</v>
      </c>
    </row>
    <row r="434" spans="1:31">
      <c r="Y434" s="370" t="s">
        <v>1612</v>
      </c>
      <c r="Z434" s="370" t="s">
        <v>1596</v>
      </c>
      <c r="AA434" s="370" t="s">
        <v>1670</v>
      </c>
      <c r="AB434" s="370">
        <v>0.03</v>
      </c>
      <c r="AC434" s="370">
        <v>0.1</v>
      </c>
      <c r="AD434" s="370" t="s">
        <v>2382</v>
      </c>
      <c r="AE434" s="370" t="s">
        <v>2229</v>
      </c>
    </row>
    <row r="435" spans="1:31">
      <c r="Y435" s="370" t="s">
        <v>1612</v>
      </c>
      <c r="Z435" s="370" t="s">
        <v>1699</v>
      </c>
      <c r="AA435" s="370" t="s">
        <v>1672</v>
      </c>
      <c r="AB435" s="370">
        <v>0.6</v>
      </c>
      <c r="AC435" s="370">
        <v>1.2</v>
      </c>
      <c r="AD435" s="370" t="s">
        <v>2383</v>
      </c>
      <c r="AE435" s="370" t="s">
        <v>2246</v>
      </c>
    </row>
    <row r="436" spans="1:31">
      <c r="A436" s="370" t="s">
        <v>1607</v>
      </c>
      <c r="Y436" s="370" t="s">
        <v>1612</v>
      </c>
      <c r="Z436" s="370" t="s">
        <v>885</v>
      </c>
      <c r="AA436" s="370" t="s">
        <v>1672</v>
      </c>
      <c r="AB436" s="1560">
        <v>1E-8</v>
      </c>
      <c r="AC436" s="1560">
        <v>9.9999999999999995E-8</v>
      </c>
      <c r="AD436" s="370" t="s">
        <v>2384</v>
      </c>
      <c r="AE436" s="370" t="s">
        <v>1729</v>
      </c>
    </row>
    <row r="437" spans="1:31">
      <c r="Y437" s="370" t="s">
        <v>1612</v>
      </c>
      <c r="Z437" s="370" t="s">
        <v>884</v>
      </c>
      <c r="AA437" s="370" t="s">
        <v>1672</v>
      </c>
      <c r="AB437" s="1560">
        <v>2.0000000000000001E-4</v>
      </c>
      <c r="AC437" s="1560">
        <v>8.0000000000000004E-4</v>
      </c>
      <c r="AD437" s="370" t="s">
        <v>2385</v>
      </c>
      <c r="AE437" s="370" t="s">
        <v>2229</v>
      </c>
    </row>
    <row r="438" spans="1:31">
      <c r="A438" s="370" t="s">
        <v>1608</v>
      </c>
      <c r="Y438" s="370" t="s">
        <v>1612</v>
      </c>
      <c r="Z438" s="370" t="s">
        <v>886</v>
      </c>
      <c r="AA438" s="370" t="s">
        <v>1680</v>
      </c>
      <c r="AB438" s="1560">
        <v>1E-10</v>
      </c>
      <c r="AC438" s="1560">
        <v>1E-8</v>
      </c>
      <c r="AD438" s="370" t="s">
        <v>2386</v>
      </c>
      <c r="AE438" s="370" t="s">
        <v>1729</v>
      </c>
    </row>
    <row r="439" spans="1:31">
      <c r="Y439" s="370" t="s">
        <v>1614</v>
      </c>
      <c r="Z439" s="370" t="s">
        <v>343</v>
      </c>
      <c r="AA439" s="370" t="s">
        <v>1742</v>
      </c>
      <c r="AB439" s="370">
        <v>0.15</v>
      </c>
      <c r="AC439" s="370">
        <v>0.4</v>
      </c>
      <c r="AD439" s="370" t="s">
        <v>2387</v>
      </c>
      <c r="AE439" s="370" t="s">
        <v>2229</v>
      </c>
    </row>
    <row r="440" spans="1:31">
      <c r="A440" s="370" t="s">
        <v>1665</v>
      </c>
      <c r="Y440" s="370" t="s">
        <v>1614</v>
      </c>
      <c r="Z440" s="370" t="s">
        <v>1596</v>
      </c>
      <c r="AA440" s="370" t="s">
        <v>1670</v>
      </c>
      <c r="AB440" s="370">
        <v>0.02</v>
      </c>
      <c r="AC440" s="370">
        <v>0.08</v>
      </c>
      <c r="AD440" s="370" t="s">
        <v>2388</v>
      </c>
      <c r="AE440" s="370" t="s">
        <v>2229</v>
      </c>
    </row>
    <row r="441" spans="1:31">
      <c r="Y441" s="370" t="s">
        <v>1614</v>
      </c>
      <c r="Z441" s="370" t="s">
        <v>1699</v>
      </c>
      <c r="AA441" s="370" t="s">
        <v>1672</v>
      </c>
      <c r="AB441" s="370">
        <v>0.5</v>
      </c>
      <c r="AC441" s="370">
        <v>1</v>
      </c>
      <c r="AD441" s="370" t="s">
        <v>2389</v>
      </c>
      <c r="AE441" s="370" t="s">
        <v>2246</v>
      </c>
    </row>
    <row r="442" spans="1:31">
      <c r="A442" s="370" t="s">
        <v>1666</v>
      </c>
      <c r="Y442" s="370" t="s">
        <v>1614</v>
      </c>
      <c r="Z442" s="370" t="s">
        <v>885</v>
      </c>
      <c r="AA442" s="370" t="s">
        <v>1672</v>
      </c>
      <c r="AB442" s="1560">
        <v>4.9999999999999998E-8</v>
      </c>
      <c r="AC442" s="1560">
        <v>4.9999999999999998E-7</v>
      </c>
      <c r="AD442" s="370" t="s">
        <v>2390</v>
      </c>
      <c r="AE442" s="370" t="s">
        <v>1729</v>
      </c>
    </row>
    <row r="443" spans="1:31">
      <c r="Y443" s="370" t="s">
        <v>1614</v>
      </c>
      <c r="Z443" s="370" t="s">
        <v>884</v>
      </c>
      <c r="AA443" s="370" t="s">
        <v>1672</v>
      </c>
      <c r="AB443" s="1560">
        <v>1E-4</v>
      </c>
      <c r="AC443" s="1560">
        <v>5.9999999999999995E-4</v>
      </c>
      <c r="AD443" s="370" t="s">
        <v>2391</v>
      </c>
      <c r="AE443" s="370" t="s">
        <v>2229</v>
      </c>
    </row>
    <row r="444" spans="1:31">
      <c r="Y444" s="370" t="s">
        <v>1614</v>
      </c>
      <c r="Z444" s="370" t="s">
        <v>886</v>
      </c>
      <c r="AA444" s="370" t="s">
        <v>1680</v>
      </c>
      <c r="AB444" s="1560">
        <v>1.0000000000000001E-9</v>
      </c>
      <c r="AC444" s="1560">
        <v>9.9999999999999995E-8</v>
      </c>
      <c r="AD444" s="370" t="s">
        <v>2392</v>
      </c>
      <c r="AE444" s="370" t="s">
        <v>2229</v>
      </c>
    </row>
    <row r="445" spans="1:31">
      <c r="Y445" s="370" t="s">
        <v>1617</v>
      </c>
      <c r="Z445" s="370" t="s">
        <v>343</v>
      </c>
      <c r="AA445" s="370" t="s">
        <v>1742</v>
      </c>
      <c r="AB445" s="370">
        <v>0.15</v>
      </c>
      <c r="AC445" s="370">
        <v>0.4</v>
      </c>
      <c r="AD445" s="370" t="s">
        <v>2307</v>
      </c>
      <c r="AE445" s="370" t="s">
        <v>2229</v>
      </c>
    </row>
    <row r="446" spans="1:31">
      <c r="Y446" s="370" t="s">
        <v>1617</v>
      </c>
      <c r="Z446" s="370" t="s">
        <v>1596</v>
      </c>
      <c r="AA446" s="370" t="s">
        <v>1670</v>
      </c>
      <c r="AB446" s="370">
        <v>0.02</v>
      </c>
      <c r="AC446" s="370">
        <v>0.08</v>
      </c>
      <c r="AD446" s="370" t="s">
        <v>2388</v>
      </c>
      <c r="AE446" s="370" t="s">
        <v>2229</v>
      </c>
    </row>
    <row r="447" spans="1:31">
      <c r="Y447" s="370" t="s">
        <v>1617</v>
      </c>
      <c r="Z447" s="370" t="s">
        <v>1699</v>
      </c>
      <c r="AA447" s="370" t="s">
        <v>1672</v>
      </c>
      <c r="AB447" s="370">
        <v>0.6</v>
      </c>
      <c r="AC447" s="370">
        <v>1.1000000000000001</v>
      </c>
      <c r="AD447" s="370" t="s">
        <v>2389</v>
      </c>
      <c r="AE447" s="370" t="s">
        <v>2246</v>
      </c>
    </row>
    <row r="448" spans="1:31">
      <c r="Y448" s="370" t="s">
        <v>1617</v>
      </c>
      <c r="Z448" s="370" t="s">
        <v>885</v>
      </c>
      <c r="AA448" s="370" t="s">
        <v>1672</v>
      </c>
      <c r="AB448" s="1560">
        <v>4.9999999999999998E-8</v>
      </c>
      <c r="AC448" s="1560">
        <v>4.9999999999999998E-7</v>
      </c>
      <c r="AD448" s="370" t="s">
        <v>2390</v>
      </c>
      <c r="AE448" s="370" t="s">
        <v>1729</v>
      </c>
    </row>
    <row r="449" spans="25:31">
      <c r="Y449" s="370" t="s">
        <v>1617</v>
      </c>
      <c r="Z449" s="370" t="s">
        <v>884</v>
      </c>
      <c r="AA449" s="370" t="s">
        <v>1672</v>
      </c>
      <c r="AB449" s="1560">
        <v>1E-4</v>
      </c>
      <c r="AC449" s="1560">
        <v>5.0000000000000001E-4</v>
      </c>
      <c r="AD449" s="370" t="s">
        <v>2391</v>
      </c>
      <c r="AE449" s="370" t="s">
        <v>2229</v>
      </c>
    </row>
    <row r="450" spans="25:31">
      <c r="Y450" s="370" t="s">
        <v>1617</v>
      </c>
      <c r="Z450" s="370" t="s">
        <v>886</v>
      </c>
      <c r="AA450" s="370" t="s">
        <v>1680</v>
      </c>
      <c r="AB450" s="1560">
        <v>1.0000000000000001E-9</v>
      </c>
      <c r="AC450" s="1560">
        <v>9.9999999999999995E-8</v>
      </c>
      <c r="AD450" s="370" t="s">
        <v>2304</v>
      </c>
      <c r="AE450" s="370" t="s">
        <v>2229</v>
      </c>
    </row>
    <row r="451" spans="25:31">
      <c r="Y451" s="370" t="s">
        <v>1643</v>
      </c>
      <c r="Z451" s="370" t="s">
        <v>343</v>
      </c>
      <c r="AA451" s="370" t="s">
        <v>1670</v>
      </c>
      <c r="AB451" s="370">
        <v>0.1</v>
      </c>
      <c r="AC451" s="370">
        <v>0.3</v>
      </c>
      <c r="AD451" s="370" t="s">
        <v>2393</v>
      </c>
      <c r="AE451" s="370" t="s">
        <v>2229</v>
      </c>
    </row>
    <row r="452" spans="25:31">
      <c r="Y452" s="370" t="s">
        <v>1643</v>
      </c>
      <c r="Z452" s="370" t="s">
        <v>1596</v>
      </c>
      <c r="AA452" s="370" t="s">
        <v>1670</v>
      </c>
      <c r="AB452" s="370">
        <v>0.02</v>
      </c>
      <c r="AC452" s="370">
        <v>0.06</v>
      </c>
      <c r="AD452" s="370" t="s">
        <v>2388</v>
      </c>
      <c r="AE452" s="370" t="s">
        <v>2229</v>
      </c>
    </row>
    <row r="453" spans="25:31">
      <c r="Y453" s="370" t="s">
        <v>1643</v>
      </c>
      <c r="Z453" s="370" t="s">
        <v>1699</v>
      </c>
      <c r="AA453" s="370" t="s">
        <v>1670</v>
      </c>
      <c r="AB453" s="370">
        <v>0.4</v>
      </c>
      <c r="AC453" s="370">
        <v>0.8</v>
      </c>
      <c r="AD453" s="370" t="s">
        <v>2389</v>
      </c>
      <c r="AE453" s="370" t="s">
        <v>2246</v>
      </c>
    </row>
    <row r="454" spans="25:31">
      <c r="Y454" s="370" t="s">
        <v>1643</v>
      </c>
      <c r="Z454" s="370" t="s">
        <v>885</v>
      </c>
      <c r="AA454" s="370" t="s">
        <v>338</v>
      </c>
      <c r="AB454" s="1560">
        <v>9.9999999999999995E-8</v>
      </c>
      <c r="AC454" s="1560">
        <v>9.9999999999999995E-7</v>
      </c>
      <c r="AD454" s="370" t="s">
        <v>2394</v>
      </c>
      <c r="AE454" s="370" t="s">
        <v>1729</v>
      </c>
    </row>
    <row r="455" spans="25:31">
      <c r="Y455" s="370" t="s">
        <v>1643</v>
      </c>
      <c r="Z455" s="370" t="s">
        <v>884</v>
      </c>
      <c r="AA455" s="370" t="s">
        <v>1670</v>
      </c>
      <c r="AB455" s="1560">
        <v>5.0000000000000002E-5</v>
      </c>
      <c r="AC455" s="1560">
        <v>2.9999999999999997E-4</v>
      </c>
      <c r="AD455" s="370" t="s">
        <v>2391</v>
      </c>
      <c r="AE455" s="370" t="s">
        <v>2229</v>
      </c>
    </row>
    <row r="456" spans="25:31">
      <c r="Y456" s="370" t="s">
        <v>1643</v>
      </c>
      <c r="Z456" s="370" t="s">
        <v>886</v>
      </c>
      <c r="AA456" s="370" t="s">
        <v>1670</v>
      </c>
      <c r="AB456" s="1560">
        <v>1E-8</v>
      </c>
      <c r="AC456" s="1560">
        <v>9.9999999999999995E-7</v>
      </c>
      <c r="AD456" s="370" t="s">
        <v>2395</v>
      </c>
      <c r="AE456" s="370" t="s">
        <v>2229</v>
      </c>
    </row>
    <row r="457" spans="25:31">
      <c r="Y457" s="370" t="s">
        <v>1620</v>
      </c>
      <c r="Z457" s="370" t="s">
        <v>343</v>
      </c>
      <c r="AA457" s="370" t="s">
        <v>2396</v>
      </c>
      <c r="AB457" s="370" t="s">
        <v>2295</v>
      </c>
      <c r="AC457" s="370" t="s">
        <v>2295</v>
      </c>
      <c r="AD457" s="370" t="s">
        <v>2397</v>
      </c>
      <c r="AE457" s="370" t="s">
        <v>2398</v>
      </c>
    </row>
    <row r="458" spans="25:31">
      <c r="Y458" s="370" t="s">
        <v>1620</v>
      </c>
      <c r="Z458" s="370" t="s">
        <v>1596</v>
      </c>
      <c r="AA458" s="370" t="s">
        <v>2396</v>
      </c>
      <c r="AB458" s="370" t="s">
        <v>2295</v>
      </c>
      <c r="AC458" s="370" t="s">
        <v>2295</v>
      </c>
      <c r="AD458" s="370" t="s">
        <v>2399</v>
      </c>
      <c r="AE458" s="370" t="s">
        <v>2398</v>
      </c>
    </row>
    <row r="459" spans="25:31">
      <c r="Y459" s="370" t="s">
        <v>1620</v>
      </c>
      <c r="Z459" s="370" t="s">
        <v>1699</v>
      </c>
      <c r="AA459" s="370" t="s">
        <v>1670</v>
      </c>
      <c r="AB459" s="370">
        <v>0.35</v>
      </c>
      <c r="AC459" s="370">
        <v>0.7</v>
      </c>
      <c r="AD459" s="370" t="s">
        <v>2389</v>
      </c>
      <c r="AE459" s="370" t="s">
        <v>2246</v>
      </c>
    </row>
    <row r="460" spans="25:31">
      <c r="Y460" s="370" t="s">
        <v>1620</v>
      </c>
      <c r="Z460" s="370" t="s">
        <v>885</v>
      </c>
      <c r="AA460" s="370" t="s">
        <v>338</v>
      </c>
      <c r="AB460" s="1560">
        <v>9.9999999999999995E-7</v>
      </c>
      <c r="AC460" s="1560">
        <v>1.0000000000000001E-5</v>
      </c>
      <c r="AD460" s="370" t="s">
        <v>2400</v>
      </c>
      <c r="AE460" s="370" t="s">
        <v>1729</v>
      </c>
    </row>
    <row r="461" spans="25:31">
      <c r="Y461" s="370" t="s">
        <v>1620</v>
      </c>
      <c r="Z461" s="370" t="s">
        <v>884</v>
      </c>
      <c r="AA461" s="370" t="s">
        <v>1680</v>
      </c>
      <c r="AB461" s="1560">
        <v>1.0000000000000001E-5</v>
      </c>
      <c r="AC461" s="1560">
        <v>5.0000000000000002E-5</v>
      </c>
      <c r="AD461" s="370" t="s">
        <v>2401</v>
      </c>
      <c r="AE461" s="370" t="s">
        <v>2229</v>
      </c>
    </row>
    <row r="462" spans="25:31">
      <c r="Y462" s="370" t="s">
        <v>1620</v>
      </c>
      <c r="Z462" s="370" t="s">
        <v>886</v>
      </c>
      <c r="AA462" s="370" t="s">
        <v>338</v>
      </c>
      <c r="AB462" s="1560">
        <v>1.0000000000000001E-5</v>
      </c>
      <c r="AC462" s="1560">
        <v>1E-3</v>
      </c>
      <c r="AD462" s="370" t="s">
        <v>2386</v>
      </c>
      <c r="AE462" s="370" t="s">
        <v>2229</v>
      </c>
    </row>
    <row r="463" spans="25:31">
      <c r="Y463" s="370" t="s">
        <v>1621</v>
      </c>
      <c r="Z463" s="370" t="s">
        <v>343</v>
      </c>
      <c r="AA463" s="370" t="s">
        <v>1670</v>
      </c>
      <c r="AB463" s="370">
        <v>0.08</v>
      </c>
      <c r="AC463" s="370">
        <v>0.25</v>
      </c>
      <c r="AD463" s="370" t="s">
        <v>2289</v>
      </c>
      <c r="AE463" s="370" t="s">
        <v>2229</v>
      </c>
    </row>
    <row r="464" spans="25:31">
      <c r="Y464" s="370" t="s">
        <v>1621</v>
      </c>
      <c r="Z464" s="370" t="s">
        <v>1596</v>
      </c>
      <c r="AA464" s="370" t="s">
        <v>1670</v>
      </c>
      <c r="AB464" s="370">
        <v>0.02</v>
      </c>
      <c r="AC464" s="370">
        <v>0.05</v>
      </c>
      <c r="AD464" s="370" t="s">
        <v>2388</v>
      </c>
      <c r="AE464" s="370" t="s">
        <v>2229</v>
      </c>
    </row>
    <row r="465" spans="25:31">
      <c r="Y465" s="370" t="s">
        <v>1621</v>
      </c>
      <c r="Z465" s="370" t="s">
        <v>1699</v>
      </c>
      <c r="AA465" s="370" t="s">
        <v>1670</v>
      </c>
      <c r="AB465" s="370">
        <v>0.45</v>
      </c>
      <c r="AC465" s="370">
        <v>0.8</v>
      </c>
      <c r="AD465" s="370" t="s">
        <v>2389</v>
      </c>
      <c r="AE465" s="370" t="s">
        <v>2246</v>
      </c>
    </row>
    <row r="466" spans="25:31">
      <c r="Y466" s="370" t="s">
        <v>1621</v>
      </c>
      <c r="Z466" s="370" t="s">
        <v>885</v>
      </c>
      <c r="AA466" s="370" t="s">
        <v>1672</v>
      </c>
      <c r="AB466" s="1560">
        <v>4.9999999999999998E-7</v>
      </c>
      <c r="AC466" s="1560">
        <v>5.0000000000000004E-6</v>
      </c>
      <c r="AD466" s="370" t="s">
        <v>2390</v>
      </c>
      <c r="AE466" s="370" t="s">
        <v>1729</v>
      </c>
    </row>
    <row r="467" spans="25:31">
      <c r="Y467" s="370" t="s">
        <v>1621</v>
      </c>
      <c r="Z467" s="370" t="s">
        <v>884</v>
      </c>
      <c r="AA467" s="370" t="s">
        <v>1670</v>
      </c>
      <c r="AB467" s="1560">
        <v>5.0000000000000002E-5</v>
      </c>
      <c r="AC467" s="1560">
        <v>2.9999999999999997E-4</v>
      </c>
      <c r="AD467" s="370" t="s">
        <v>2391</v>
      </c>
      <c r="AE467" s="370" t="s">
        <v>2229</v>
      </c>
    </row>
    <row r="468" spans="25:31">
      <c r="Y468" s="370" t="s">
        <v>1621</v>
      </c>
      <c r="Z468" s="370" t="s">
        <v>886</v>
      </c>
      <c r="AA468" s="370" t="s">
        <v>1670</v>
      </c>
      <c r="AB468" s="1560">
        <v>1E-8</v>
      </c>
      <c r="AC468" s="1560">
        <v>9.9999999999999995E-7</v>
      </c>
      <c r="AD468" s="370" t="s">
        <v>2395</v>
      </c>
      <c r="AE468" s="370" t="s">
        <v>2229</v>
      </c>
    </row>
    <row r="469" spans="25:31">
      <c r="Y469" s="370" t="s">
        <v>1623</v>
      </c>
      <c r="Z469" s="370" t="s">
        <v>343</v>
      </c>
      <c r="AA469" s="370" t="s">
        <v>1680</v>
      </c>
      <c r="AB469" s="370">
        <v>0.05</v>
      </c>
      <c r="AC469" s="370">
        <v>0.2</v>
      </c>
      <c r="AD469" s="370" t="s">
        <v>2312</v>
      </c>
      <c r="AE469" s="370" t="s">
        <v>2229</v>
      </c>
    </row>
    <row r="470" spans="25:31">
      <c r="Y470" s="370" t="s">
        <v>1623</v>
      </c>
      <c r="Z470" s="370" t="s">
        <v>1596</v>
      </c>
      <c r="AA470" s="370" t="s">
        <v>1680</v>
      </c>
      <c r="AB470" s="370">
        <v>0.01</v>
      </c>
      <c r="AC470" s="370">
        <v>0.05</v>
      </c>
      <c r="AD470" s="370" t="s">
        <v>2388</v>
      </c>
      <c r="AE470" s="370" t="s">
        <v>2229</v>
      </c>
    </row>
    <row r="471" spans="25:31">
      <c r="Y471" s="370" t="s">
        <v>1623</v>
      </c>
      <c r="Z471" s="370" t="s">
        <v>1699</v>
      </c>
      <c r="AA471" s="370" t="s">
        <v>1670</v>
      </c>
      <c r="AB471" s="370">
        <v>0.45</v>
      </c>
      <c r="AC471" s="370">
        <v>0.8</v>
      </c>
      <c r="AD471" s="370" t="s">
        <v>2389</v>
      </c>
      <c r="AE471" s="370" t="s">
        <v>2246</v>
      </c>
    </row>
    <row r="472" spans="25:31">
      <c r="Y472" s="370" t="s">
        <v>1623</v>
      </c>
      <c r="Z472" s="370" t="s">
        <v>885</v>
      </c>
      <c r="AA472" s="370" t="s">
        <v>338</v>
      </c>
      <c r="AB472" s="1560">
        <v>9.9999999999999995E-7</v>
      </c>
      <c r="AC472" s="1560">
        <v>1.0000000000000001E-5</v>
      </c>
      <c r="AD472" s="370" t="s">
        <v>2394</v>
      </c>
      <c r="AE472" s="370" t="s">
        <v>1729</v>
      </c>
    </row>
    <row r="473" spans="25:31">
      <c r="Y473" s="370" t="s">
        <v>1623</v>
      </c>
      <c r="Z473" s="370" t="s">
        <v>884</v>
      </c>
      <c r="AA473" s="370" t="s">
        <v>1670</v>
      </c>
      <c r="AB473" s="1560">
        <v>5.0000000000000002E-5</v>
      </c>
      <c r="AC473" s="1560">
        <v>2.0000000000000001E-4</v>
      </c>
      <c r="AD473" s="370" t="s">
        <v>2391</v>
      </c>
      <c r="AE473" s="370" t="s">
        <v>2229</v>
      </c>
    </row>
    <row r="474" spans="25:31">
      <c r="Y474" s="370" t="s">
        <v>1623</v>
      </c>
      <c r="Z474" s="370" t="s">
        <v>886</v>
      </c>
      <c r="AA474" s="370" t="s">
        <v>1670</v>
      </c>
      <c r="AB474" s="1560">
        <v>9.9999999999999995E-8</v>
      </c>
      <c r="AC474" s="1560">
        <v>1.0000000000000001E-5</v>
      </c>
      <c r="AD474" s="370" t="s">
        <v>2395</v>
      </c>
      <c r="AE474" s="370" t="s">
        <v>2229</v>
      </c>
    </row>
    <row r="475" spans="25:31">
      <c r="Y475" s="370" t="s">
        <v>1649</v>
      </c>
      <c r="Z475" s="370" t="s">
        <v>343</v>
      </c>
      <c r="AA475" s="370" t="s">
        <v>2396</v>
      </c>
      <c r="AB475" s="370" t="s">
        <v>2295</v>
      </c>
      <c r="AC475" s="370" t="s">
        <v>2295</v>
      </c>
      <c r="AD475" s="370" t="s">
        <v>2402</v>
      </c>
      <c r="AE475" s="370" t="s">
        <v>2398</v>
      </c>
    </row>
    <row r="476" spans="25:31">
      <c r="Y476" s="370" t="s">
        <v>1649</v>
      </c>
      <c r="Z476" s="370" t="s">
        <v>1596</v>
      </c>
      <c r="AA476" s="370" t="s">
        <v>2396</v>
      </c>
      <c r="AB476" s="370" t="s">
        <v>2295</v>
      </c>
      <c r="AC476" s="370" t="s">
        <v>2295</v>
      </c>
      <c r="AD476" s="370" t="s">
        <v>2399</v>
      </c>
      <c r="AE476" s="370" t="s">
        <v>2398</v>
      </c>
    </row>
    <row r="477" spans="25:31">
      <c r="Y477" s="370" t="s">
        <v>1649</v>
      </c>
      <c r="Z477" s="370" t="s">
        <v>1699</v>
      </c>
      <c r="AA477" s="370" t="s">
        <v>1670</v>
      </c>
      <c r="AB477" s="370">
        <v>0.3</v>
      </c>
      <c r="AC477" s="370">
        <v>0.6</v>
      </c>
      <c r="AD477" s="370" t="s">
        <v>2389</v>
      </c>
      <c r="AE477" s="370" t="s">
        <v>2246</v>
      </c>
    </row>
    <row r="478" spans="25:31">
      <c r="Y478" s="370" t="s">
        <v>1649</v>
      </c>
      <c r="Z478" s="370" t="s">
        <v>885</v>
      </c>
      <c r="AA478" s="370" t="s">
        <v>1681</v>
      </c>
      <c r="AB478" s="1560">
        <v>1.0000000000000001E-5</v>
      </c>
      <c r="AC478" s="1560">
        <v>1E-4</v>
      </c>
      <c r="AD478" s="370" t="s">
        <v>2403</v>
      </c>
      <c r="AE478" s="370" t="s">
        <v>1729</v>
      </c>
    </row>
    <row r="479" spans="25:31">
      <c r="Y479" s="370" t="s">
        <v>1649</v>
      </c>
      <c r="Z479" s="370" t="s">
        <v>884</v>
      </c>
      <c r="AA479" s="370" t="s">
        <v>1680</v>
      </c>
      <c r="AB479" s="1560">
        <v>1.0000000000000001E-5</v>
      </c>
      <c r="AC479" s="1560">
        <v>5.0000000000000002E-5</v>
      </c>
      <c r="AD479" s="370" t="s">
        <v>2404</v>
      </c>
      <c r="AE479" s="370" t="s">
        <v>2229</v>
      </c>
    </row>
    <row r="480" spans="25:31">
      <c r="Y480" s="370" t="s">
        <v>1649</v>
      </c>
      <c r="Z480" s="370" t="s">
        <v>886</v>
      </c>
      <c r="AA480" s="370" t="s">
        <v>1681</v>
      </c>
      <c r="AB480" s="1560">
        <v>1.0000000000000001E-5</v>
      </c>
      <c r="AC480" s="1560">
        <v>1E-3</v>
      </c>
      <c r="AD480" s="370" t="s">
        <v>2395</v>
      </c>
      <c r="AE480" s="370" t="s">
        <v>2229</v>
      </c>
    </row>
    <row r="481" spans="25:31">
      <c r="Y481" s="370" t="s">
        <v>1690</v>
      </c>
      <c r="Z481" s="370" t="s">
        <v>343</v>
      </c>
      <c r="AA481" s="370" t="s">
        <v>1742</v>
      </c>
      <c r="AB481" s="370">
        <v>0.1</v>
      </c>
      <c r="AC481" s="370">
        <v>0.35</v>
      </c>
      <c r="AD481" s="370" t="s">
        <v>2282</v>
      </c>
      <c r="AE481" s="370" t="s">
        <v>2229</v>
      </c>
    </row>
    <row r="482" spans="25:31">
      <c r="Y482" s="370" t="s">
        <v>1690</v>
      </c>
      <c r="Z482" s="370" t="s">
        <v>1596</v>
      </c>
      <c r="AA482" s="370" t="s">
        <v>1670</v>
      </c>
      <c r="AB482" s="370">
        <v>0.02</v>
      </c>
      <c r="AC482" s="370">
        <v>0.08</v>
      </c>
      <c r="AD482" s="370" t="s">
        <v>2388</v>
      </c>
      <c r="AE482" s="370" t="s">
        <v>2229</v>
      </c>
    </row>
    <row r="483" spans="25:31">
      <c r="Y483" s="370" t="s">
        <v>1690</v>
      </c>
      <c r="Z483" s="370" t="s">
        <v>1699</v>
      </c>
      <c r="AA483" s="370" t="s">
        <v>1672</v>
      </c>
      <c r="AB483" s="370">
        <v>0.6</v>
      </c>
      <c r="AC483" s="370">
        <v>1</v>
      </c>
      <c r="AD483" s="370" t="s">
        <v>2389</v>
      </c>
      <c r="AE483" s="370" t="s">
        <v>2246</v>
      </c>
    </row>
    <row r="484" spans="25:31">
      <c r="Y484" s="370" t="s">
        <v>1690</v>
      </c>
      <c r="Z484" s="370" t="s">
        <v>885</v>
      </c>
      <c r="AA484" s="370" t="s">
        <v>1672</v>
      </c>
      <c r="AB484" s="1560">
        <v>9.9999999999999995E-8</v>
      </c>
      <c r="AC484" s="1560">
        <v>9.9999999999999995E-7</v>
      </c>
      <c r="AD484" s="370" t="s">
        <v>2390</v>
      </c>
      <c r="AE484" s="370" t="s">
        <v>1729</v>
      </c>
    </row>
    <row r="485" spans="25:31">
      <c r="Y485" s="370" t="s">
        <v>1690</v>
      </c>
      <c r="Z485" s="370" t="s">
        <v>884</v>
      </c>
      <c r="AA485" s="370" t="s">
        <v>1672</v>
      </c>
      <c r="AB485" s="1560">
        <v>1E-4</v>
      </c>
      <c r="AC485" s="1560">
        <v>5.0000000000000001E-4</v>
      </c>
      <c r="AD485" s="370" t="s">
        <v>2391</v>
      </c>
      <c r="AE485" s="370" t="s">
        <v>2229</v>
      </c>
    </row>
    <row r="486" spans="25:31">
      <c r="Y486" s="370" t="s">
        <v>1690</v>
      </c>
      <c r="Z486" s="370" t="s">
        <v>886</v>
      </c>
      <c r="AA486" s="370" t="s">
        <v>1680</v>
      </c>
      <c r="AB486" s="1560">
        <v>1E-8</v>
      </c>
      <c r="AC486" s="1560">
        <v>9.9999999999999995E-7</v>
      </c>
      <c r="AD486" s="370" t="s">
        <v>2395</v>
      </c>
      <c r="AE486" s="370" t="s">
        <v>2229</v>
      </c>
    </row>
    <row r="487" spans="25:31">
      <c r="Y487" s="370" t="s">
        <v>1626</v>
      </c>
      <c r="Z487" s="370" t="s">
        <v>343</v>
      </c>
      <c r="AA487" s="370" t="s">
        <v>1672</v>
      </c>
      <c r="AB487" s="370">
        <v>0.15</v>
      </c>
      <c r="AC487" s="370">
        <v>0.4</v>
      </c>
      <c r="AD487" s="370" t="s">
        <v>2289</v>
      </c>
      <c r="AE487" s="370" t="s">
        <v>2229</v>
      </c>
    </row>
    <row r="488" spans="25:31">
      <c r="Y488" s="370" t="s">
        <v>1626</v>
      </c>
      <c r="Z488" s="370" t="s">
        <v>1596</v>
      </c>
      <c r="AA488" s="370" t="s">
        <v>1670</v>
      </c>
      <c r="AB488" s="370">
        <v>0.02</v>
      </c>
      <c r="AC488" s="370">
        <v>0.08</v>
      </c>
      <c r="AD488" s="370" t="s">
        <v>2388</v>
      </c>
      <c r="AE488" s="370" t="s">
        <v>2229</v>
      </c>
    </row>
    <row r="489" spans="25:31">
      <c r="Y489" s="370" t="s">
        <v>1626</v>
      </c>
      <c r="Z489" s="370" t="s">
        <v>1699</v>
      </c>
      <c r="AA489" s="370" t="s">
        <v>1672</v>
      </c>
      <c r="AB489" s="370">
        <v>0.6</v>
      </c>
      <c r="AC489" s="370">
        <v>1.1000000000000001</v>
      </c>
      <c r="AD489" s="370" t="s">
        <v>2389</v>
      </c>
      <c r="AE489" s="370" t="s">
        <v>2246</v>
      </c>
    </row>
    <row r="490" spans="25:31">
      <c r="Y490" s="370" t="s">
        <v>1626</v>
      </c>
      <c r="Z490" s="370" t="s">
        <v>885</v>
      </c>
      <c r="AA490" s="370" t="s">
        <v>1672</v>
      </c>
      <c r="AB490" s="1560">
        <v>4.9999999999999998E-8</v>
      </c>
      <c r="AC490" s="1560">
        <v>4.9999999999999998E-7</v>
      </c>
      <c r="AD490" s="370" t="s">
        <v>2390</v>
      </c>
      <c r="AE490" s="370" t="s">
        <v>1729</v>
      </c>
    </row>
    <row r="491" spans="25:31">
      <c r="Y491" s="370" t="s">
        <v>1626</v>
      </c>
      <c r="Z491" s="370" t="s">
        <v>884</v>
      </c>
      <c r="AA491" s="370" t="s">
        <v>1672</v>
      </c>
      <c r="AB491" s="1560">
        <v>1E-4</v>
      </c>
      <c r="AC491" s="1560">
        <v>5.9999999999999995E-4</v>
      </c>
      <c r="AD491" s="370" t="s">
        <v>2391</v>
      </c>
      <c r="AE491" s="370" t="s">
        <v>2229</v>
      </c>
    </row>
    <row r="492" spans="25:31">
      <c r="Y492" s="370" t="s">
        <v>1626</v>
      </c>
      <c r="Z492" s="370" t="s">
        <v>886</v>
      </c>
      <c r="AA492" s="370" t="s">
        <v>1680</v>
      </c>
      <c r="AB492" s="1560">
        <v>1.0000000000000001E-9</v>
      </c>
      <c r="AC492" s="1560">
        <v>9.9999999999999995E-8</v>
      </c>
      <c r="AD492" s="370" t="s">
        <v>2395</v>
      </c>
      <c r="AE492" s="370" t="s">
        <v>2229</v>
      </c>
    </row>
    <row r="493" spans="25:31">
      <c r="Y493" s="370" t="s">
        <v>1628</v>
      </c>
      <c r="Z493" s="370" t="s">
        <v>343</v>
      </c>
      <c r="AA493" s="370" t="s">
        <v>1670</v>
      </c>
      <c r="AB493" s="370">
        <v>0.08</v>
      </c>
      <c r="AC493" s="370">
        <v>0.3</v>
      </c>
      <c r="AD493" s="370" t="s">
        <v>2312</v>
      </c>
      <c r="AE493" s="370" t="s">
        <v>2229</v>
      </c>
    </row>
    <row r="494" spans="25:31">
      <c r="Y494" s="370" t="s">
        <v>1628</v>
      </c>
      <c r="Z494" s="370" t="s">
        <v>1596</v>
      </c>
      <c r="AA494" s="370" t="s">
        <v>1670</v>
      </c>
      <c r="AB494" s="370">
        <v>0.02</v>
      </c>
      <c r="AC494" s="370">
        <v>0.06</v>
      </c>
      <c r="AD494" s="370" t="s">
        <v>2388</v>
      </c>
      <c r="AE494" s="370" t="s">
        <v>2229</v>
      </c>
    </row>
    <row r="495" spans="25:31">
      <c r="Y495" s="370" t="s">
        <v>1628</v>
      </c>
      <c r="Z495" s="370" t="s">
        <v>1699</v>
      </c>
      <c r="AA495" s="370" t="s">
        <v>1672</v>
      </c>
      <c r="AB495" s="370">
        <v>0.5</v>
      </c>
      <c r="AC495" s="370">
        <v>0.9</v>
      </c>
      <c r="AD495" s="370" t="s">
        <v>2389</v>
      </c>
      <c r="AE495" s="370" t="s">
        <v>2246</v>
      </c>
    </row>
    <row r="496" spans="25:31">
      <c r="Y496" s="370" t="s">
        <v>1628</v>
      </c>
      <c r="Z496" s="370" t="s">
        <v>885</v>
      </c>
      <c r="AA496" s="370" t="s">
        <v>338</v>
      </c>
      <c r="AB496" s="1560">
        <v>4.9999999999999998E-7</v>
      </c>
      <c r="AC496" s="1560">
        <v>5.0000000000000004E-6</v>
      </c>
      <c r="AD496" s="370" t="s">
        <v>2394</v>
      </c>
      <c r="AE496" s="370" t="s">
        <v>1729</v>
      </c>
    </row>
    <row r="497" spans="25:31">
      <c r="Y497" s="370" t="s">
        <v>1628</v>
      </c>
      <c r="Z497" s="370" t="s">
        <v>884</v>
      </c>
      <c r="AA497" s="370" t="s">
        <v>1670</v>
      </c>
      <c r="AB497" s="1560">
        <v>5.0000000000000002E-5</v>
      </c>
      <c r="AC497" s="1560">
        <v>2.9999999999999997E-4</v>
      </c>
      <c r="AD497" s="370" t="s">
        <v>2391</v>
      </c>
      <c r="AE497" s="370" t="s">
        <v>2229</v>
      </c>
    </row>
    <row r="498" spans="25:31">
      <c r="Y498" s="370" t="s">
        <v>1628</v>
      </c>
      <c r="Z498" s="370" t="s">
        <v>886</v>
      </c>
      <c r="AA498" s="370" t="s">
        <v>1670</v>
      </c>
      <c r="AB498" s="1560">
        <v>1E-8</v>
      </c>
      <c r="AC498" s="1560">
        <v>9.9999999999999995E-7</v>
      </c>
      <c r="AD498" s="370" t="s">
        <v>2395</v>
      </c>
      <c r="AE498" s="370" t="s">
        <v>2229</v>
      </c>
    </row>
    <row r="499" spans="25:31">
      <c r="Y499" s="370" t="s">
        <v>1630</v>
      </c>
      <c r="Z499" s="370" t="s">
        <v>343</v>
      </c>
      <c r="AA499" s="370" t="s">
        <v>2396</v>
      </c>
      <c r="AB499" s="370" t="s">
        <v>2295</v>
      </c>
      <c r="AC499" s="370" t="s">
        <v>2295</v>
      </c>
      <c r="AD499" s="370" t="s">
        <v>2405</v>
      </c>
      <c r="AE499" s="370" t="s">
        <v>2398</v>
      </c>
    </row>
    <row r="500" spans="25:31">
      <c r="Y500" s="370" t="s">
        <v>1630</v>
      </c>
      <c r="Z500" s="370" t="s">
        <v>1596</v>
      </c>
      <c r="AA500" s="370" t="s">
        <v>2396</v>
      </c>
      <c r="AB500" s="370" t="s">
        <v>2295</v>
      </c>
      <c r="AC500" s="370" t="s">
        <v>2295</v>
      </c>
      <c r="AD500" s="370" t="s">
        <v>2399</v>
      </c>
      <c r="AE500" s="370" t="s">
        <v>2398</v>
      </c>
    </row>
    <row r="501" spans="25:31">
      <c r="Y501" s="370" t="s">
        <v>1630</v>
      </c>
      <c r="Z501" s="370" t="s">
        <v>1699</v>
      </c>
      <c r="AA501" s="370" t="s">
        <v>1670</v>
      </c>
      <c r="AB501" s="370">
        <v>0.25</v>
      </c>
      <c r="AC501" s="370">
        <v>0.5</v>
      </c>
      <c r="AD501" s="370" t="s">
        <v>2389</v>
      </c>
      <c r="AE501" s="370" t="s">
        <v>2246</v>
      </c>
    </row>
    <row r="502" spans="25:31">
      <c r="Y502" s="370" t="s">
        <v>1630</v>
      </c>
      <c r="Z502" s="370" t="s">
        <v>885</v>
      </c>
      <c r="AA502" s="370" t="s">
        <v>1681</v>
      </c>
      <c r="AB502" s="1560">
        <v>1.0000000000000001E-5</v>
      </c>
      <c r="AC502" s="1560">
        <v>1E-4</v>
      </c>
      <c r="AD502" s="370" t="s">
        <v>2403</v>
      </c>
      <c r="AE502" s="370" t="s">
        <v>1729</v>
      </c>
    </row>
    <row r="503" spans="25:31">
      <c r="Y503" s="370" t="s">
        <v>1630</v>
      </c>
      <c r="Z503" s="370" t="s">
        <v>884</v>
      </c>
      <c r="AA503" s="370" t="s">
        <v>1680</v>
      </c>
      <c r="AB503" s="1560">
        <v>1.0000000000000001E-5</v>
      </c>
      <c r="AC503" s="1560">
        <v>5.0000000000000002E-5</v>
      </c>
      <c r="AD503" s="370" t="s">
        <v>2401</v>
      </c>
      <c r="AE503" s="370" t="s">
        <v>2229</v>
      </c>
    </row>
    <row r="504" spans="25:31">
      <c r="Y504" s="370" t="s">
        <v>1630</v>
      </c>
      <c r="Z504" s="370" t="s">
        <v>886</v>
      </c>
      <c r="AA504" s="370" t="s">
        <v>1681</v>
      </c>
      <c r="AB504" s="1560">
        <v>1E-4</v>
      </c>
      <c r="AC504" s="1560">
        <v>0.01</v>
      </c>
      <c r="AD504" s="370" t="s">
        <v>2395</v>
      </c>
      <c r="AE504" s="370" t="s">
        <v>2229</v>
      </c>
    </row>
  </sheetData>
  <mergeCells count="35">
    <mergeCell ref="M398:O398"/>
    <mergeCell ref="M400:O400"/>
    <mergeCell ref="M402:O402"/>
    <mergeCell ref="A11:C11"/>
    <mergeCell ref="A12:C12"/>
    <mergeCell ref="L12:N12"/>
    <mergeCell ref="A13:C13"/>
    <mergeCell ref="I51:I52"/>
    <mergeCell ref="J51:J52"/>
    <mergeCell ref="F43:H44"/>
    <mergeCell ref="I43:I44"/>
    <mergeCell ref="F51:F52"/>
    <mergeCell ref="G51:G52"/>
    <mergeCell ref="H51:H52"/>
    <mergeCell ref="B70:B71"/>
    <mergeCell ref="D70:D71"/>
    <mergeCell ref="A7:C7"/>
    <mergeCell ref="A9:C9"/>
    <mergeCell ref="L9:N9"/>
    <mergeCell ref="A10:C10"/>
    <mergeCell ref="L10:N10"/>
    <mergeCell ref="X27:Y27"/>
    <mergeCell ref="K51:K52"/>
    <mergeCell ref="L51:L52"/>
    <mergeCell ref="M51:M52"/>
    <mergeCell ref="N51:N52"/>
    <mergeCell ref="P45:P46"/>
    <mergeCell ref="E70:E71"/>
    <mergeCell ref="F70:F71"/>
    <mergeCell ref="Q310:S310"/>
    <mergeCell ref="Q70:Q71"/>
    <mergeCell ref="G70:G71"/>
    <mergeCell ref="H70:H71"/>
    <mergeCell ref="N70:N71"/>
    <mergeCell ref="I70:M70"/>
  </mergeCells>
  <conditionalFormatting sqref="E398:F398">
    <cfRule type="expression" dxfId="257" priority="21">
      <formula>ISNUMBER(SEARCH("PASS",E398))</formula>
    </cfRule>
    <cfRule type="expression" dxfId="256" priority="22">
      <formula>ISNUMBER(SEARCH("CHECK",E398))</formula>
    </cfRule>
  </conditionalFormatting>
  <conditionalFormatting sqref="E400:F400">
    <cfRule type="expression" dxfId="255" priority="15">
      <formula>ISNUMBER(SEARCH("PASS",E400))</formula>
    </cfRule>
    <cfRule type="expression" dxfId="254" priority="16">
      <formula>ISNUMBER(SEARCH("CHECK",E400))</formula>
    </cfRule>
  </conditionalFormatting>
  <conditionalFormatting sqref="E402:F402">
    <cfRule type="expression" dxfId="253" priority="13">
      <formula>ISNUMBER(SEARCH("PASS",E402))</formula>
    </cfRule>
    <cfRule type="expression" dxfId="252" priority="14">
      <formula>ISNUMBER(SEARCH("CHECK",E402))</formula>
    </cfRule>
  </conditionalFormatting>
  <conditionalFormatting sqref="H388">
    <cfRule type="expression" dxfId="251" priority="7">
      <formula>ISNUMBER(SEARCH("REVIEW",H388))</formula>
    </cfRule>
    <cfRule type="expression" dxfId="250" priority="8">
      <formula>ISNUMBER(SEARCH("SESUAI",H388))</formula>
    </cfRule>
  </conditionalFormatting>
  <conditionalFormatting sqref="H390">
    <cfRule type="expression" dxfId="249" priority="5">
      <formula>ISNUMBER(SEARCH("REVIEW",H390))</formula>
    </cfRule>
    <cfRule type="expression" dxfId="248" priority="6">
      <formula>ISNUMBER(SEARCH("PASS",H390))</formula>
    </cfRule>
  </conditionalFormatting>
  <conditionalFormatting sqref="H392">
    <cfRule type="expression" dxfId="247" priority="1">
      <formula>ISNUMBER(SEARCH("REVIEW",H392))</formula>
    </cfRule>
    <cfRule type="expression" dxfId="246" priority="2">
      <formula>ISNUMBER(SEARCH("PASS",H392))</formula>
    </cfRule>
  </conditionalFormatting>
  <dataValidations count="2">
    <dataValidation type="list" allowBlank="1" showInputMessage="1" showErrorMessage="1" sqref="P9" xr:uid="{D31FC905-2DDC-45CB-94B2-787512193F96}">
      <formula1>"RAFLY,RIZKI,NOUFAL"</formula1>
    </dataValidation>
    <dataValidation type="list" allowBlank="1" showInputMessage="1" showErrorMessage="1" sqref="D12" xr:uid="{EC6E5485-3B80-4E61-8E3C-C0EA46E81044}">
      <formula1>$AB$362:$AB$373</formula1>
    </dataValidation>
  </dataValidations>
  <printOptions horizontalCentered="1"/>
  <pageMargins left="0.19685039370078741" right="0.19685039370078741" top="0.19685039370078741" bottom="0.19685039370078741" header="0.11811023622047245" footer="0.11811023622047245"/>
  <pageSetup paperSize="9" scale="73" orientation="portrait" r:id="rId1"/>
  <headerFooter>
    <oddFooter>&amp;R&amp;"Aptos,Regular"&amp;10Page &amp;P of &amp;N</oddFooter>
  </headerFooter>
  <ignoredErrors>
    <ignoredError sqref="J107:J108" formulaRange="1"/>
  </ignoredErrors>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0839-48D3-4FF2-853E-ECAB990C5FE5}">
  <sheetPr>
    <tabColor rgb="FFFFC000"/>
  </sheetPr>
  <dimension ref="A1:AC151"/>
  <sheetViews>
    <sheetView showGridLines="0" view="pageBreakPreview" topLeftCell="A46" zoomScale="98" zoomScaleNormal="100" zoomScaleSheetLayoutView="98" zoomScalePageLayoutView="90" workbookViewId="0">
      <selection activeCell="A29" sqref="A29"/>
    </sheetView>
  </sheetViews>
  <sheetFormatPr defaultColWidth="11" defaultRowHeight="15.75"/>
  <cols>
    <col min="1" max="2" width="4.875" customWidth="1"/>
    <col min="3" max="3" width="5.5" customWidth="1"/>
    <col min="4" max="8" width="4.875" customWidth="1"/>
    <col min="9" max="9" width="4.875" style="4" customWidth="1"/>
    <col min="10" max="11" width="4.875" customWidth="1"/>
    <col min="12" max="12" width="9.2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1335"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IF('WS-Konsolidasi'!D7="","",'WS-Konsolidasi'!D7)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"&amp;IF('WS-Konsolidasi'!D9="","",'WS-Konsolidasi'!D9)</f>
        <v xml:space="preserve">:  </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"&amp;IF('WS-Konsolidasi'!D10="","",'WS-Konsolidasi'!D10)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"&amp;IF('WS-Konsolidasi'!D11="","",'WS-Konsolidasi'!D11)</f>
        <v>:  Disturbed Sample</v>
      </c>
      <c r="T15" s="1637"/>
      <c r="U15" s="1637"/>
      <c r="V15" s="1637"/>
      <c r="W15" s="1637"/>
      <c r="X15" s="1638"/>
    </row>
    <row r="16" spans="1:25" ht="17.10000000000000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"&amp;IF('WS-Konsolidasi'!D12="","",'WS-Konsolidasi'!D12)</f>
        <v>:  Lanau Lempungan / Clayey Silt</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"&amp;IF('WS-Konsolidasi'!D13="","",'WS-Konsolidasi'!D13)</f>
        <v>:  Coklat / Brown</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"&amp;IF('WS-Konsolidasi'!O12="","",TEXT('WS-Konsolidasi'!O12,"dd mmmm yyyy"))</f>
        <v>:  06 January 2026</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'WS-Konsolidasi'!A2</f>
        <v>UJI KONSOLIDASI</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INDUK'!$BS$47</f>
        <v>2812:2011</v>
      </c>
      <c r="W26" s="1704"/>
      <c r="X26" s="1704"/>
    </row>
    <row r="27" spans="1:24">
      <c r="A27" s="1650" t="str">
        <f>'WS-Konsolidasi'!A3</f>
        <v>CONSOLIDATION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41" t="s">
        <v>1331</v>
      </c>
      <c r="B29" s="673"/>
      <c r="C29" s="673"/>
      <c r="D29" s="673"/>
      <c r="E29" s="673"/>
      <c r="F29" s="673"/>
      <c r="G29" s="673"/>
      <c r="H29" s="673"/>
      <c r="I29" s="674"/>
      <c r="J29" s="673"/>
      <c r="K29" s="673"/>
      <c r="L29" s="879"/>
      <c r="M29" s="335"/>
      <c r="N29" s="541" t="s">
        <v>184</v>
      </c>
      <c r="O29" s="673"/>
      <c r="P29" s="673"/>
      <c r="Q29" s="673"/>
      <c r="R29" s="673"/>
      <c r="S29" s="673"/>
      <c r="T29" s="673"/>
      <c r="U29" s="673"/>
      <c r="V29" s="674"/>
      <c r="W29" s="673"/>
      <c r="X29" s="673"/>
    </row>
    <row r="30" spans="1:24">
      <c r="A30" s="1886" t="s">
        <v>1198</v>
      </c>
      <c r="B30" s="1886"/>
      <c r="C30" s="1886"/>
      <c r="D30" s="1886"/>
      <c r="E30" s="1886"/>
      <c r="F30" s="1886"/>
      <c r="G30" s="1886"/>
      <c r="H30" s="1886"/>
      <c r="I30" s="1231">
        <f>'WS-Konsolidasi'!C303</f>
        <v>2.02</v>
      </c>
      <c r="K30" s="803"/>
      <c r="L30" s="803"/>
      <c r="M30" s="335"/>
      <c r="N30" s="540" t="s">
        <v>1204</v>
      </c>
      <c r="O30" s="540"/>
      <c r="P30" s="540"/>
      <c r="Q30" s="540"/>
      <c r="R30" s="540"/>
      <c r="S30" s="540"/>
      <c r="T30" s="540"/>
      <c r="U30" s="540"/>
      <c r="V30" s="335"/>
      <c r="W30" s="335"/>
      <c r="X30" s="335"/>
    </row>
    <row r="31" spans="1:24">
      <c r="A31" s="1886" t="s">
        <v>1201</v>
      </c>
      <c r="B31" s="1886"/>
      <c r="C31" s="1886"/>
      <c r="D31" s="1886"/>
      <c r="E31" s="1886"/>
      <c r="F31" s="1886"/>
      <c r="G31" s="1886"/>
      <c r="H31" s="1886"/>
      <c r="I31" s="1231">
        <f>'WS-Konsolidasi'!C304</f>
        <v>5.05</v>
      </c>
      <c r="K31" s="803"/>
      <c r="L31" s="803"/>
      <c r="M31" s="335"/>
      <c r="N31" s="335"/>
      <c r="O31" s="335"/>
      <c r="P31" s="335"/>
      <c r="Q31" s="335"/>
      <c r="R31" s="335"/>
      <c r="S31" s="335"/>
      <c r="T31" s="335"/>
      <c r="U31" s="335"/>
      <c r="V31" s="335"/>
      <c r="W31" s="335"/>
      <c r="X31" s="335"/>
    </row>
    <row r="32" spans="1:24">
      <c r="A32" s="1886" t="s">
        <v>1202</v>
      </c>
      <c r="B32" s="1886"/>
      <c r="C32" s="1886"/>
      <c r="D32" s="1886"/>
      <c r="E32" s="1886"/>
      <c r="F32" s="1886"/>
      <c r="G32" s="1886"/>
      <c r="H32" s="1886"/>
      <c r="I32" s="1231">
        <f>'WS-Konsolidasi'!C305</f>
        <v>20.029616662043424</v>
      </c>
      <c r="K32" s="803"/>
      <c r="L32" s="803"/>
      <c r="M32" s="335"/>
      <c r="N32" s="335"/>
      <c r="O32" s="335"/>
      <c r="P32" s="335"/>
      <c r="Q32" s="335"/>
      <c r="R32" s="335"/>
      <c r="S32" s="335"/>
      <c r="T32" s="335"/>
      <c r="U32" s="335"/>
      <c r="V32" s="335"/>
      <c r="W32" s="335"/>
      <c r="X32" s="335"/>
    </row>
    <row r="33" spans="1:29">
      <c r="A33" s="1886" t="s">
        <v>1203</v>
      </c>
      <c r="B33" s="1886"/>
      <c r="C33" s="1886"/>
      <c r="D33" s="1886"/>
      <c r="E33" s="1886"/>
      <c r="F33" s="1886"/>
      <c r="G33" s="1886"/>
      <c r="H33" s="1886"/>
      <c r="I33" s="1231">
        <f>'WS-Konsolidasi'!C306</f>
        <v>40.459825657327713</v>
      </c>
      <c r="K33" s="803"/>
      <c r="L33" s="803"/>
      <c r="M33" s="335"/>
      <c r="N33" s="335"/>
      <c r="O33" s="335"/>
      <c r="P33" s="335"/>
      <c r="Q33" s="335"/>
      <c r="R33" s="335"/>
      <c r="S33" s="335"/>
      <c r="T33" s="335"/>
      <c r="U33" s="335"/>
      <c r="V33" s="335"/>
      <c r="W33" s="335"/>
      <c r="X33" s="335"/>
    </row>
    <row r="34" spans="1:29">
      <c r="A34" s="1886" t="s">
        <v>1356</v>
      </c>
      <c r="B34" s="1886"/>
      <c r="C34" s="1886"/>
      <c r="D34" s="1886"/>
      <c r="E34" s="1886"/>
      <c r="F34" s="1886"/>
      <c r="G34" s="1886"/>
      <c r="H34" s="1886"/>
      <c r="I34" s="1231">
        <f>'WS-Konsolidasi'!C308</f>
        <v>2.6779999999999999</v>
      </c>
      <c r="K34" s="803"/>
      <c r="L34" s="803"/>
      <c r="M34" s="335"/>
      <c r="N34" s="335"/>
      <c r="O34" s="335"/>
      <c r="P34" s="335"/>
      <c r="Q34" s="335"/>
      <c r="R34" s="335"/>
      <c r="S34" s="335"/>
      <c r="T34" s="335"/>
      <c r="U34" s="335"/>
      <c r="V34" s="335"/>
      <c r="W34" s="335"/>
      <c r="X34" s="335"/>
    </row>
    <row r="35" spans="1:29">
      <c r="A35" s="1886" t="s">
        <v>1200</v>
      </c>
      <c r="B35" s="1886"/>
      <c r="C35" s="1886"/>
      <c r="D35" s="1886"/>
      <c r="E35" s="1886"/>
      <c r="F35" s="1886"/>
      <c r="G35" s="1886"/>
      <c r="H35" s="1886"/>
      <c r="I35" s="1231">
        <f>'WS-Konsolidasi'!C309</f>
        <v>35.606816820631941</v>
      </c>
      <c r="K35" s="803"/>
      <c r="L35" s="803"/>
      <c r="M35" s="335"/>
      <c r="N35" s="335"/>
      <c r="O35" s="335"/>
      <c r="P35" s="335"/>
      <c r="Q35" s="335"/>
      <c r="R35" s="335"/>
      <c r="S35" s="335"/>
      <c r="T35" s="335"/>
      <c r="U35" s="335"/>
      <c r="V35" s="335"/>
      <c r="W35" s="335"/>
      <c r="X35" s="335"/>
    </row>
    <row r="36" spans="1:29">
      <c r="A36" s="1886" t="s">
        <v>1199</v>
      </c>
      <c r="B36" s="1886"/>
      <c r="C36" s="1886"/>
      <c r="D36" s="1886"/>
      <c r="E36" s="1886"/>
      <c r="F36" s="1886"/>
      <c r="G36" s="1886"/>
      <c r="H36" s="1886"/>
      <c r="I36" s="1231">
        <f>'WS-Konsolidasi'!C310</f>
        <v>0.96648601808242662</v>
      </c>
      <c r="K36" s="803"/>
      <c r="L36" s="803"/>
      <c r="M36" s="335"/>
      <c r="N36" s="335"/>
      <c r="O36" s="335"/>
      <c r="P36" s="335"/>
      <c r="Q36" s="335"/>
      <c r="R36" s="335"/>
      <c r="S36" s="335"/>
      <c r="T36" s="335"/>
      <c r="U36" s="335"/>
      <c r="V36" s="335"/>
      <c r="W36" s="335"/>
      <c r="X36" s="335"/>
    </row>
    <row r="37" spans="1:29">
      <c r="A37" s="1886" t="s">
        <v>1357</v>
      </c>
      <c r="B37" s="1886"/>
      <c r="C37" s="1886"/>
      <c r="D37" s="1886"/>
      <c r="E37" s="1886"/>
      <c r="F37" s="1886"/>
      <c r="G37" s="1886"/>
      <c r="H37" s="1886"/>
      <c r="I37" s="1231">
        <f>'WS-Konsolidasi'!C311</f>
        <v>1.0272129989359173</v>
      </c>
      <c r="K37" s="803"/>
      <c r="L37" s="803"/>
      <c r="Z37" s="1012"/>
      <c r="AA37" s="1012"/>
      <c r="AB37" s="1012"/>
      <c r="AC37" s="1012"/>
    </row>
    <row r="38" spans="1:29">
      <c r="A38" s="1886" t="s">
        <v>1358</v>
      </c>
      <c r="B38" s="1886"/>
      <c r="C38" s="1886"/>
      <c r="D38" s="1886"/>
      <c r="E38" s="1886"/>
      <c r="F38" s="1886"/>
      <c r="G38" s="1886"/>
      <c r="H38" s="1886"/>
      <c r="I38" s="803" t="str">
        <f>'WS-Konsolidasi'!C313</f>
        <v>25 - 50 - 100 -200 - 400 -800</v>
      </c>
      <c r="K38" s="803"/>
      <c r="L38" s="803"/>
      <c r="Z38" s="335"/>
      <c r="AA38" s="1312" t="str">
        <f>"LHU No.            : "&amp; IF('DATA INDUK'!$H$17="","",'DATA INDUK'!$H$17)</f>
        <v>LHU No.            : 23/MGS/53/II/2026</v>
      </c>
      <c r="AB38" s="335"/>
      <c r="AC38" s="335"/>
    </row>
    <row r="39" spans="1:29">
      <c r="A39" s="1886" t="s">
        <v>1359</v>
      </c>
      <c r="B39" s="1886"/>
      <c r="C39" s="1886"/>
      <c r="D39" s="1886"/>
      <c r="E39" s="1886"/>
      <c r="F39" s="1886"/>
      <c r="G39" s="1886"/>
      <c r="H39" s="1886"/>
      <c r="I39" s="803" t="str">
        <f>'WS-Konsolidasi'!C314</f>
        <v>1440 menit</v>
      </c>
      <c r="K39" s="803"/>
      <c r="L39" s="803"/>
      <c r="Z39" s="335"/>
      <c r="AA39" s="338" t="str">
        <f>"LAB ID.         : "&amp;'Template LHU_CBRsoaked'!$N$13&amp;""</f>
        <v>LAB ID.         : 26-001-DS-001</v>
      </c>
      <c r="AB39" s="335" t="str">
        <f>$N$12</f>
        <v>26-001-DS-001</v>
      </c>
      <c r="AC39" s="335"/>
    </row>
    <row r="40" spans="1:29">
      <c r="Z40" s="335" t="s">
        <v>1196</v>
      </c>
      <c r="AA40" s="338" t="str">
        <f>"TEST TYPE   : "&amp;Z40&amp;""</f>
        <v>TEST TYPE   : Consolidation</v>
      </c>
      <c r="AB40" s="335"/>
      <c r="AC40" s="335"/>
    </row>
    <row r="41" spans="1:29">
      <c r="A41" s="541" t="s">
        <v>1120</v>
      </c>
      <c r="B41" s="877"/>
      <c r="C41" s="877"/>
      <c r="D41" s="877"/>
      <c r="E41" s="877"/>
      <c r="F41" s="877"/>
      <c r="G41" s="877"/>
      <c r="H41" s="877"/>
      <c r="I41" s="878"/>
      <c r="J41" s="877"/>
      <c r="K41" s="877"/>
      <c r="L41" s="877"/>
      <c r="Z41" s="1310"/>
      <c r="AA41" s="338" t="str">
        <f>"DATE            : "&amp;TEXT('DATA INDUK'!$H$19,"yyyy-mm-dd")</f>
        <v>DATE            : 2026-01-29</v>
      </c>
      <c r="AB41" s="335"/>
      <c r="AC41" s="335"/>
    </row>
    <row r="42" spans="1:29" ht="19.5">
      <c r="A42" s="1937" t="s">
        <v>879</v>
      </c>
      <c r="B42" s="1938"/>
      <c r="C42" s="1939" t="s">
        <v>882</v>
      </c>
      <c r="D42" s="1940"/>
      <c r="E42" s="1939" t="s">
        <v>881</v>
      </c>
      <c r="F42" s="1940"/>
      <c r="G42" s="1869" t="s">
        <v>355</v>
      </c>
      <c r="H42" s="1869"/>
      <c r="I42" s="1869" t="s">
        <v>146</v>
      </c>
      <c r="J42" s="1869"/>
      <c r="K42" s="881" t="s">
        <v>883</v>
      </c>
      <c r="L42" s="883" t="s">
        <v>880</v>
      </c>
      <c r="Z42" s="1012"/>
      <c r="AA42" s="1012"/>
      <c r="AB42" s="1012"/>
      <c r="AC42" s="1012"/>
    </row>
    <row r="43" spans="1:29">
      <c r="A43" s="1941" t="s">
        <v>465</v>
      </c>
      <c r="B43" s="1942"/>
      <c r="C43" s="1943" t="s">
        <v>45</v>
      </c>
      <c r="D43" s="1944"/>
      <c r="E43" s="1943" t="s">
        <v>45</v>
      </c>
      <c r="F43" s="1944"/>
      <c r="G43" s="1869"/>
      <c r="H43" s="1869"/>
      <c r="I43" s="1869"/>
      <c r="J43" s="1869"/>
      <c r="K43" s="882" t="s">
        <v>438</v>
      </c>
      <c r="L43" s="882" t="s">
        <v>45</v>
      </c>
    </row>
    <row r="44" spans="1:29">
      <c r="A44" s="1869">
        <f>'WS-Konsolidasi'!B318</f>
        <v>25</v>
      </c>
      <c r="B44" s="1869"/>
      <c r="C44" s="1869">
        <f>'WS-Konsolidasi'!C318</f>
        <v>2.2900000000000004E-3</v>
      </c>
      <c r="D44" s="1869"/>
      <c r="E44" s="1945">
        <f>'WS-Konsolidasi'!D318</f>
        <v>2.0177100000000001</v>
      </c>
      <c r="F44" s="1945"/>
      <c r="G44" s="1946">
        <f>'WS-Konsolidasi'!E318</f>
        <v>2.2293331591132465E-3</v>
      </c>
      <c r="H44" s="1946"/>
      <c r="I44" s="1945">
        <f>'WS-Konsolidasi'!F318</f>
        <v>0.9642566849233134</v>
      </c>
      <c r="J44" s="1945"/>
      <c r="K44" s="12">
        <f>'WS-Konsolidasi'!H318</f>
        <v>3.24</v>
      </c>
      <c r="L44" s="880">
        <f>'WS-Konsolidasi'!G318</f>
        <v>1.011145</v>
      </c>
      <c r="N44" s="540" t="s">
        <v>1205</v>
      </c>
    </row>
    <row r="45" spans="1:29">
      <c r="A45" s="1869">
        <f>'WS-Konsolidasi'!B319</f>
        <v>50</v>
      </c>
      <c r="B45" s="1869"/>
      <c r="C45" s="1869">
        <f>'WS-Konsolidasi'!C319</f>
        <v>3.2100000000000045E-3</v>
      </c>
      <c r="D45" s="1869"/>
      <c r="E45" s="1945">
        <f>'WS-Konsolidasi'!D319</f>
        <v>2.0145</v>
      </c>
      <c r="F45" s="1945"/>
      <c r="G45" s="1946">
        <f>'WS-Konsolidasi'!E319</f>
        <v>3.1249604544775237E-3</v>
      </c>
      <c r="H45" s="1946"/>
      <c r="I45" s="1945">
        <f>'WS-Konsolidasi'!F319</f>
        <v>0.96113172446883588</v>
      </c>
      <c r="J45" s="1945"/>
      <c r="K45" s="12">
        <f>'WS-Konsolidasi'!H319</f>
        <v>5.2899999999999991</v>
      </c>
      <c r="L45" s="880">
        <f>'WS-Konsolidasi'!G319</f>
        <v>1.01275</v>
      </c>
    </row>
    <row r="46" spans="1:29">
      <c r="A46" s="1869">
        <f>'WS-Konsolidasi'!B320</f>
        <v>100</v>
      </c>
      <c r="B46" s="1869"/>
      <c r="C46" s="1869">
        <f>'WS-Konsolidasi'!C320</f>
        <v>5.1399999999999918E-3</v>
      </c>
      <c r="D46" s="1869"/>
      <c r="E46" s="1945">
        <f>'WS-Konsolidasi'!D320</f>
        <v>2.00936</v>
      </c>
      <c r="F46" s="1945"/>
      <c r="G46" s="1946">
        <f>'WS-Konsolidasi'!E320</f>
        <v>5.003830758882998E-3</v>
      </c>
      <c r="H46" s="1946"/>
      <c r="I46" s="1945">
        <f>'WS-Konsolidasi'!F320</f>
        <v>0.95612789370995288</v>
      </c>
      <c r="J46" s="1945"/>
      <c r="K46" s="12">
        <f>'WS-Konsolidasi'!H320</f>
        <v>4.8400000000000007</v>
      </c>
      <c r="L46" s="880">
        <f>'WS-Konsolidasi'!G320</f>
        <v>1.01532</v>
      </c>
    </row>
    <row r="47" spans="1:29">
      <c r="A47" s="1869">
        <f>'WS-Konsolidasi'!B321</f>
        <v>200</v>
      </c>
      <c r="B47" s="1869"/>
      <c r="C47" s="1869">
        <f>'WS-Konsolidasi'!C321</f>
        <v>6.6399999999999931E-3</v>
      </c>
      <c r="D47" s="1869"/>
      <c r="E47" s="1945">
        <f>'WS-Konsolidasi'!D321</f>
        <v>2.0027200000000001</v>
      </c>
      <c r="F47" s="1945"/>
      <c r="G47" s="1946">
        <f>'WS-Konsolidasi'!E321</f>
        <v>6.4640926534986626E-3</v>
      </c>
      <c r="H47" s="1946"/>
      <c r="I47" s="1945">
        <f>'WS-Konsolidasi'!F321</f>
        <v>0.9496638010564542</v>
      </c>
      <c r="J47" s="1945"/>
      <c r="K47" s="12">
        <f>'WS-Konsolidasi'!H321</f>
        <v>5.2899999999999991</v>
      </c>
      <c r="L47" s="880">
        <f>'WS-Konsolidasi'!G321</f>
        <v>1.01864</v>
      </c>
    </row>
    <row r="48" spans="1:29">
      <c r="A48" s="1869">
        <f>'WS-Konsolidasi'!B322</f>
        <v>400</v>
      </c>
      <c r="B48" s="1869"/>
      <c r="C48" s="1869">
        <f>'WS-Konsolidasi'!C322</f>
        <v>7.9200000000000104E-3</v>
      </c>
      <c r="D48" s="1869"/>
      <c r="E48" s="1945">
        <f>'WS-Konsolidasi'!D322</f>
        <v>1.9948000000000001</v>
      </c>
      <c r="F48" s="1945"/>
      <c r="G48" s="1946">
        <f>'WS-Konsolidasi'!E322</f>
        <v>7.710182803570712E-3</v>
      </c>
      <c r="H48" s="1946"/>
      <c r="I48" s="1945">
        <f>'WS-Konsolidasi'!F322</f>
        <v>0.94195361825288348</v>
      </c>
      <c r="J48" s="1945"/>
      <c r="K48" s="12">
        <f>'WS-Konsolidasi'!H322</f>
        <v>4.8400000000000007</v>
      </c>
      <c r="L48" s="880">
        <f>'WS-Konsolidasi'!G322</f>
        <v>1.0226</v>
      </c>
    </row>
    <row r="49" spans="1:24">
      <c r="A49" s="1869">
        <f>'WS-Konsolidasi'!B323</f>
        <v>800</v>
      </c>
      <c r="B49" s="1869"/>
      <c r="C49" s="1869">
        <f>'WS-Konsolidasi'!C323</f>
        <v>9.6799999999999942E-3</v>
      </c>
      <c r="D49" s="1869"/>
      <c r="E49" s="1945">
        <f>'WS-Konsolidasi'!D323</f>
        <v>1.9851200000000002</v>
      </c>
      <c r="F49" s="1945"/>
      <c r="G49" s="1946">
        <f>'WS-Konsolidasi'!E323</f>
        <v>9.4235567599197413E-3</v>
      </c>
      <c r="H49" s="1946"/>
      <c r="I49" s="1945">
        <f>'WS-Konsolidasi'!F323</f>
        <v>0.93253006149296369</v>
      </c>
      <c r="J49" s="1945"/>
      <c r="K49" s="12">
        <f>'WS-Konsolidasi'!H323</f>
        <v>4</v>
      </c>
      <c r="L49" s="880">
        <f>'WS-Konsolidasi'!G323</f>
        <v>1.0274399999999999</v>
      </c>
    </row>
    <row r="50" spans="1:24" ht="6.95" customHeight="1"/>
    <row r="51" spans="1:24">
      <c r="A51" s="541" t="s">
        <v>1360</v>
      </c>
      <c r="B51" s="541"/>
      <c r="C51" s="541"/>
      <c r="D51" s="541"/>
      <c r="E51" s="541"/>
      <c r="F51" s="541"/>
      <c r="G51" s="541"/>
      <c r="H51" s="541"/>
      <c r="I51" s="859"/>
      <c r="J51" s="541"/>
      <c r="K51" s="541"/>
      <c r="L51" s="541"/>
    </row>
    <row r="52" spans="1:24" ht="15.95" customHeight="1">
      <c r="A52" s="1939" t="s">
        <v>889</v>
      </c>
      <c r="B52" s="1940"/>
      <c r="C52" s="1937" t="s">
        <v>884</v>
      </c>
      <c r="D52" s="1938"/>
      <c r="E52" s="1952" t="s">
        <v>885</v>
      </c>
      <c r="F52" s="1953"/>
      <c r="G52" s="1952" t="s">
        <v>886</v>
      </c>
      <c r="H52" s="1953"/>
      <c r="I52" s="15"/>
      <c r="K52" s="13"/>
    </row>
    <row r="53" spans="1:24">
      <c r="A53" s="1950"/>
      <c r="B53" s="1951"/>
      <c r="C53" s="1941" t="s">
        <v>1253</v>
      </c>
      <c r="D53" s="1942"/>
      <c r="E53" s="1941" t="s">
        <v>1254</v>
      </c>
      <c r="F53" s="1942"/>
      <c r="G53" s="1941" t="s">
        <v>887</v>
      </c>
      <c r="H53" s="1942"/>
      <c r="I53" s="13"/>
      <c r="J53" s="13"/>
      <c r="K53" s="13"/>
    </row>
    <row r="54" spans="1:24">
      <c r="A54" s="1948">
        <f>'WS-Konsolidasi'!B329</f>
        <v>25</v>
      </c>
      <c r="B54" s="1948"/>
      <c r="C54" s="1947">
        <f>'WS-Konsolidasi'!C329</f>
        <v>4.6292341317632371E-5</v>
      </c>
      <c r="D54" s="1947"/>
      <c r="E54" s="1948">
        <f>'WS-Konsolidasi'!D329</f>
        <v>4.4599138423312744E-3</v>
      </c>
      <c r="F54" s="1948"/>
      <c r="G54" s="1949">
        <f>'WS-Konsolidasi'!E329</f>
        <v>2.0247117175290044E-8</v>
      </c>
      <c r="H54" s="1949"/>
      <c r="I54" s="885"/>
      <c r="J54" s="888" t="s">
        <v>343</v>
      </c>
      <c r="K54" s="890">
        <f>'WS-Konsolidasi'!$F$333</f>
        <v>3.1304377954543286E-2</v>
      </c>
      <c r="L54" s="887"/>
    </row>
    <row r="55" spans="1:24">
      <c r="A55" s="1948">
        <f>'WS-Konsolidasi'!B330</f>
        <v>50</v>
      </c>
      <c r="B55" s="1948"/>
      <c r="C55" s="1947">
        <f>'WS-Konsolidasi'!C330</f>
        <v>6.4993536857781164E-5</v>
      </c>
      <c r="D55" s="1947"/>
      <c r="E55" s="1948">
        <f>'WS-Konsolidasi'!D330</f>
        <v>2.7402704883427854E-3</v>
      </c>
      <c r="F55" s="1948"/>
      <c r="G55" s="1949">
        <f>'WS-Konsolidasi'!E330</f>
        <v>1.7465908697106682E-8</v>
      </c>
      <c r="H55" s="1949"/>
      <c r="I55" s="885"/>
      <c r="J55" s="888" t="s">
        <v>1596</v>
      </c>
      <c r="K55" s="1955">
        <f>'WS-Konsolidasi'!T243</f>
        <v>1.1871902796484492E-3</v>
      </c>
      <c r="L55" s="1955"/>
    </row>
    <row r="56" spans="1:24">
      <c r="A56" s="1948">
        <f>'WS-Konsolidasi'!B331</f>
        <v>100</v>
      </c>
      <c r="B56" s="1948"/>
      <c r="C56" s="1947">
        <f>'WS-Konsolidasi'!C331</f>
        <v>5.2168431739459239E-5</v>
      </c>
      <c r="D56" s="1947"/>
      <c r="E56" s="1948">
        <f>'WS-Konsolidasi'!D331</f>
        <v>3.0102677260165282E-3</v>
      </c>
      <c r="F56" s="1948"/>
      <c r="G56" s="1949">
        <f>'WS-Konsolidasi'!E331</f>
        <v>1.5400700831831955E-8</v>
      </c>
      <c r="H56" s="1949"/>
      <c r="I56" s="885"/>
      <c r="J56" s="888" t="s">
        <v>576</v>
      </c>
      <c r="K56" s="889">
        <f>'WS-Konsolidasi'!$G$332</f>
        <v>230</v>
      </c>
      <c r="L56" s="794" t="s">
        <v>465</v>
      </c>
    </row>
    <row r="57" spans="1:24">
      <c r="A57" s="1948">
        <f>'WS-Konsolidasi'!B332</f>
        <v>200</v>
      </c>
      <c r="B57" s="1948"/>
      <c r="C57" s="1947">
        <f>'WS-Konsolidasi'!C332</f>
        <v>3.3808061036989657E-5</v>
      </c>
      <c r="D57" s="1947"/>
      <c r="E57" s="1948">
        <f>'WS-Konsolidasi'!D332</f>
        <v>2.7722371684335226E-3</v>
      </c>
      <c r="F57" s="1948"/>
      <c r="G57" s="1949">
        <f>'WS-Konsolidasi'!E332</f>
        <v>9.1913271942151532E-9</v>
      </c>
      <c r="H57" s="1949"/>
      <c r="I57" s="885"/>
      <c r="K57" s="886"/>
    </row>
    <row r="58" spans="1:24">
      <c r="A58" s="1948">
        <f>'WS-Konsolidasi'!B333</f>
        <v>400</v>
      </c>
      <c r="B58" s="1948"/>
      <c r="C58" s="1947">
        <f>'WS-Konsolidasi'!C333</f>
        <v>2.0242690996591164E-5</v>
      </c>
      <c r="D58" s="1947"/>
      <c r="E58" s="1948">
        <f>'WS-Konsolidasi'!D333</f>
        <v>3.0535906490358122E-3</v>
      </c>
      <c r="F58" s="1948"/>
      <c r="G58" s="1949">
        <f>'WS-Konsolidasi'!E333</f>
        <v>6.0618703479957058E-9</v>
      </c>
      <c r="H58" s="1949"/>
      <c r="I58" s="885"/>
      <c r="K58" s="886"/>
      <c r="L58" s="887"/>
      <c r="N58" s="1851" t="s">
        <v>1361</v>
      </c>
      <c r="O58" s="1851"/>
      <c r="P58" s="1851"/>
      <c r="Q58" s="1851"/>
      <c r="R58" s="1851"/>
      <c r="S58" s="1851"/>
      <c r="T58" s="1851"/>
      <c r="U58" s="1851"/>
      <c r="V58" s="1851"/>
      <c r="W58" s="1851"/>
      <c r="X58" s="1851"/>
    </row>
    <row r="59" spans="1:24">
      <c r="A59" s="1948">
        <f>'WS-Konsolidasi'!B334</f>
        <v>800</v>
      </c>
      <c r="B59" s="1948"/>
      <c r="C59" s="1947">
        <f>'WS-Konsolidasi'!C334</f>
        <v>1.2430855565406617E-5</v>
      </c>
      <c r="D59" s="1947"/>
      <c r="E59" s="1948">
        <f>'WS-Konsolidasi'!D334</f>
        <v>3.7299031027199989E-3</v>
      </c>
      <c r="F59" s="1948"/>
      <c r="G59" s="1949">
        <f>'WS-Konsolidasi'!E334</f>
        <v>4.5470125274957639E-9</v>
      </c>
      <c r="H59" s="1949"/>
      <c r="I59" s="885"/>
      <c r="J59" s="886"/>
      <c r="K59" s="886"/>
      <c r="L59" s="887"/>
      <c r="N59" s="1851"/>
      <c r="O59" s="1851"/>
      <c r="P59" s="1851"/>
      <c r="Q59" s="1851"/>
      <c r="R59" s="1851"/>
      <c r="S59" s="1851"/>
      <c r="T59" s="1851"/>
      <c r="U59" s="1851"/>
      <c r="V59" s="1851"/>
      <c r="W59" s="1851"/>
      <c r="X59" s="1851"/>
    </row>
    <row r="60" spans="1:24" ht="12" customHeight="1">
      <c r="N60" s="1311"/>
      <c r="O60" s="1311"/>
      <c r="P60" s="1311"/>
      <c r="Q60" s="1311"/>
      <c r="R60" s="1311"/>
      <c r="S60" s="1311"/>
      <c r="T60" s="20" t="s">
        <v>1537</v>
      </c>
      <c r="U60" s="1311"/>
      <c r="V60" s="1311"/>
      <c r="W60" s="1311"/>
      <c r="X60" s="1311"/>
    </row>
    <row r="61" spans="1:24">
      <c r="C61" s="1768" t="s">
        <v>623</v>
      </c>
      <c r="D61" s="1769"/>
      <c r="E61" s="1769"/>
      <c r="F61" s="1769"/>
      <c r="G61" s="1770"/>
      <c r="H61" s="1768" t="s">
        <v>292</v>
      </c>
      <c r="I61" s="1769"/>
      <c r="J61" s="1769"/>
      <c r="K61" s="1769"/>
      <c r="L61" s="1769"/>
      <c r="M61" s="1768" t="s">
        <v>294</v>
      </c>
      <c r="N61" s="1769"/>
      <c r="O61" s="1769"/>
      <c r="P61" s="1769"/>
      <c r="Q61" s="1769"/>
      <c r="R61" s="1770"/>
      <c r="T61" s="328"/>
      <c r="U61" s="329"/>
      <c r="V61" s="329"/>
      <c r="W61" s="330"/>
    </row>
    <row r="62" spans="1:24" ht="15.95" customHeight="1">
      <c r="C62" s="1771" t="s">
        <v>624</v>
      </c>
      <c r="D62" s="1646"/>
      <c r="E62" s="1646"/>
      <c r="F62" s="1646"/>
      <c r="G62" s="1772"/>
      <c r="H62" s="1773" t="s">
        <v>293</v>
      </c>
      <c r="I62" s="1652"/>
      <c r="J62" s="1652"/>
      <c r="K62" s="1652"/>
      <c r="L62" s="1652"/>
      <c r="M62" s="1773" t="s">
        <v>295</v>
      </c>
      <c r="N62" s="1652"/>
      <c r="O62" s="1652"/>
      <c r="P62" s="1652"/>
      <c r="Q62" s="1652"/>
      <c r="R62" s="1774"/>
      <c r="T62" s="357"/>
      <c r="W62" s="331"/>
    </row>
    <row r="63" spans="1:24" ht="15.95" customHeight="1">
      <c r="C63" s="357"/>
      <c r="D63" s="359"/>
      <c r="E63" s="359"/>
      <c r="F63" s="359"/>
      <c r="G63" s="360"/>
      <c r="H63" s="357"/>
      <c r="I63"/>
      <c r="K63" s="4"/>
      <c r="M63" s="357"/>
      <c r="R63" s="331"/>
      <c r="T63" s="357"/>
      <c r="W63" s="331"/>
    </row>
    <row r="64" spans="1:24">
      <c r="C64" s="357"/>
      <c r="G64" s="331"/>
      <c r="H64" s="357"/>
      <c r="I64"/>
      <c r="K64" s="4"/>
      <c r="M64" s="357"/>
      <c r="R64" s="331"/>
      <c r="T64" s="357"/>
      <c r="W64" s="331"/>
    </row>
    <row r="65" spans="1:24" ht="8.1" customHeight="1">
      <c r="C65" s="357"/>
      <c r="G65" s="331"/>
      <c r="H65" s="357"/>
      <c r="I65"/>
      <c r="K65" s="4"/>
      <c r="M65" s="357"/>
      <c r="R65" s="331"/>
      <c r="T65" s="357"/>
      <c r="W65" s="331"/>
    </row>
    <row r="66" spans="1:24">
      <c r="C66" s="1777" t="str">
        <f>'WS-Konsolidasi'!O9</f>
        <v>RIZKI</v>
      </c>
      <c r="D66" s="1632"/>
      <c r="E66" s="1632"/>
      <c r="F66" s="1632"/>
      <c r="G66" s="1778"/>
      <c r="H66" s="1777" t="str">
        <f>IF(C66='WS-Konsolidasi'!O10," - ",'WS-Konsolidasi'!O10)</f>
        <v>NOUFAL</v>
      </c>
      <c r="I66" s="1632"/>
      <c r="J66" s="1632"/>
      <c r="K66" s="1632"/>
      <c r="L66" s="1632"/>
      <c r="M66" s="1777" t="str">
        <f>'WS-Konsolidasi'!O11</f>
        <v>A.SUMARTADJI</v>
      </c>
      <c r="N66" s="1632"/>
      <c r="O66" s="1632"/>
      <c r="P66" s="1632"/>
      <c r="Q66" s="1632"/>
      <c r="R66" s="1778"/>
      <c r="T66" s="357"/>
      <c r="W66" s="331"/>
    </row>
    <row r="67" spans="1:24" s="15" customFormat="1" ht="12">
      <c r="C67" s="1779" t="s">
        <v>299</v>
      </c>
      <c r="D67" s="1685"/>
      <c r="E67" s="1685"/>
      <c r="F67" s="1685"/>
      <c r="G67" s="1780"/>
      <c r="H67" s="1779" t="s">
        <v>305</v>
      </c>
      <c r="I67" s="1685"/>
      <c r="J67" s="1685"/>
      <c r="K67" s="1685"/>
      <c r="L67" s="1685"/>
      <c r="M67" s="1779" t="s">
        <v>298</v>
      </c>
      <c r="N67" s="1685"/>
      <c r="O67" s="1685"/>
      <c r="P67" s="1685"/>
      <c r="Q67" s="1685"/>
      <c r="R67" s="1780"/>
      <c r="S67" s="364"/>
      <c r="T67" s="366"/>
      <c r="U67" s="364"/>
      <c r="V67" s="364"/>
      <c r="W67" s="365"/>
      <c r="X67" s="364"/>
    </row>
    <row r="68" spans="1:24" ht="15.95" customHeight="1">
      <c r="C68" s="1783" t="s">
        <v>291</v>
      </c>
      <c r="D68" s="1784"/>
      <c r="E68" s="1775">
        <f>IF('DATA INDUK'!$H$19="","",'DATA INDUK'!$H$19-1)</f>
        <v>46050</v>
      </c>
      <c r="F68" s="1775"/>
      <c r="G68" s="1776"/>
      <c r="H68" s="1783" t="s">
        <v>291</v>
      </c>
      <c r="I68" s="1784"/>
      <c r="J68" s="1775">
        <f>IF('DATA INDUK'!$H$19="","",'DATA INDUK'!$H$19-1)</f>
        <v>46050</v>
      </c>
      <c r="K68" s="1775"/>
      <c r="L68" s="1776"/>
      <c r="M68" s="1783" t="s">
        <v>291</v>
      </c>
      <c r="N68" s="1784"/>
      <c r="O68" s="1784"/>
      <c r="P68" s="1775">
        <f>IF('DATA INDUK'!$H$19="","",'DATA INDUK'!$H$19-1)</f>
        <v>46050</v>
      </c>
      <c r="Q68" s="1775"/>
      <c r="R68" s="1776"/>
      <c r="T68" s="332"/>
      <c r="U68" s="333"/>
      <c r="V68" s="333"/>
      <c r="W68" s="334"/>
    </row>
    <row r="69" spans="1:24" ht="8.1" customHeight="1">
      <c r="B69" s="353"/>
      <c r="C69" s="353"/>
      <c r="D69" s="353"/>
      <c r="E69" s="353"/>
      <c r="F69" s="353"/>
      <c r="G69" s="353"/>
      <c r="J69" s="353"/>
      <c r="K69" s="353"/>
      <c r="L69" s="353"/>
      <c r="M69" s="353"/>
      <c r="N69" s="353"/>
      <c r="O69" s="353"/>
      <c r="P69" s="19"/>
    </row>
    <row r="70" spans="1:24" ht="15.95" customHeight="1">
      <c r="A70" s="1691" t="s">
        <v>899</v>
      </c>
      <c r="B70" s="1692"/>
      <c r="C70" s="1693"/>
      <c r="D70" s="965" t="s">
        <v>895</v>
      </c>
      <c r="E70" s="915"/>
      <c r="F70" s="916"/>
      <c r="G70" s="916"/>
      <c r="H70" s="916"/>
      <c r="I70" s="917"/>
      <c r="J70" s="916"/>
      <c r="K70" s="916"/>
      <c r="L70" s="918"/>
      <c r="M70" s="951" t="s">
        <v>90</v>
      </c>
      <c r="N70" s="916" t="s">
        <v>891</v>
      </c>
      <c r="O70" s="920"/>
      <c r="P70" s="920"/>
      <c r="Q70" s="920"/>
      <c r="R70" s="921"/>
      <c r="S70" s="921"/>
      <c r="T70" s="921"/>
      <c r="U70" s="921"/>
      <c r="V70" s="921"/>
      <c r="W70" s="921"/>
      <c r="X70" s="922"/>
    </row>
    <row r="71" spans="1:24">
      <c r="A71" s="1694"/>
      <c r="B71" s="1695"/>
      <c r="C71" s="1696"/>
      <c r="D71" s="966" t="s">
        <v>904</v>
      </c>
      <c r="E71" s="923"/>
      <c r="F71" s="923"/>
      <c r="G71" s="923"/>
      <c r="H71" s="923"/>
      <c r="I71" s="923"/>
      <c r="J71" s="923"/>
      <c r="K71" s="923"/>
      <c r="L71" s="924"/>
      <c r="M71" s="952" t="s">
        <v>90</v>
      </c>
      <c r="N71" s="926" t="s">
        <v>912</v>
      </c>
      <c r="O71" s="927"/>
      <c r="P71" s="927"/>
      <c r="Q71" s="927"/>
      <c r="R71" s="928"/>
      <c r="S71" s="928"/>
      <c r="T71" s="928"/>
      <c r="U71" s="928"/>
      <c r="V71" s="928"/>
      <c r="W71" s="928"/>
      <c r="X71" s="929"/>
    </row>
    <row r="72" spans="1:24">
      <c r="A72" s="1694"/>
      <c r="B72" s="1695"/>
      <c r="C72" s="1696"/>
      <c r="D72" s="966" t="s">
        <v>1580</v>
      </c>
      <c r="E72" s="923"/>
      <c r="F72" s="923"/>
      <c r="G72" s="923"/>
      <c r="H72" s="923"/>
      <c r="I72" s="923"/>
      <c r="J72" s="923"/>
      <c r="K72" s="923"/>
      <c r="L72" s="924"/>
      <c r="M72" s="953"/>
      <c r="N72" s="926" t="s">
        <v>1581</v>
      </c>
      <c r="O72" s="927"/>
      <c r="P72" s="927"/>
      <c r="Q72" s="927"/>
      <c r="R72" s="928"/>
      <c r="S72" s="928"/>
      <c r="T72" s="928"/>
      <c r="U72" s="928"/>
      <c r="V72" s="928"/>
      <c r="W72" s="928"/>
      <c r="X72" s="929"/>
    </row>
    <row r="73" spans="1:24" ht="15.95" customHeight="1">
      <c r="A73" s="1694"/>
      <c r="B73" s="1695"/>
      <c r="C73" s="1696"/>
      <c r="D73" s="966" t="s">
        <v>1322</v>
      </c>
      <c r="E73" s="923"/>
      <c r="F73" s="923"/>
      <c r="G73" s="923"/>
      <c r="H73" s="923"/>
      <c r="I73" s="923"/>
      <c r="J73" s="923"/>
      <c r="K73" s="923"/>
      <c r="L73" s="924"/>
      <c r="M73" s="952" t="s">
        <v>90</v>
      </c>
      <c r="N73" s="926" t="s">
        <v>898</v>
      </c>
      <c r="O73" s="931"/>
      <c r="P73" s="932"/>
      <c r="Q73" s="933"/>
      <c r="R73" s="934"/>
      <c r="S73" s="934"/>
      <c r="T73" s="934"/>
      <c r="U73" s="934"/>
      <c r="V73" s="934"/>
      <c r="W73" s="934"/>
      <c r="X73" s="935"/>
    </row>
    <row r="74" spans="1:24">
      <c r="A74" s="1697"/>
      <c r="B74" s="1698"/>
      <c r="C74" s="1699"/>
      <c r="D74" s="967" t="s">
        <v>897</v>
      </c>
      <c r="E74" s="936"/>
      <c r="F74" s="936"/>
      <c r="G74" s="936"/>
      <c r="H74" s="936"/>
      <c r="I74" s="936"/>
      <c r="J74" s="936"/>
      <c r="K74" s="936"/>
      <c r="L74" s="937"/>
      <c r="M74" s="954"/>
      <c r="N74" s="939" t="s">
        <v>894</v>
      </c>
      <c r="O74" s="940"/>
      <c r="P74" s="940"/>
      <c r="Q74" s="940"/>
      <c r="R74" s="940"/>
      <c r="S74" s="941"/>
      <c r="T74" s="940"/>
      <c r="U74" s="940"/>
      <c r="V74" s="941"/>
      <c r="W74" s="941"/>
      <c r="X74" s="942"/>
    </row>
    <row r="75" spans="1:24" ht="12" customHeight="1">
      <c r="B75" s="353"/>
      <c r="C75" s="353"/>
      <c r="D75" s="353"/>
      <c r="E75" s="353"/>
      <c r="F75" s="353"/>
      <c r="G75" s="353"/>
      <c r="J75" s="353"/>
      <c r="K75" s="353"/>
      <c r="L75" s="353"/>
      <c r="M75" s="353"/>
      <c r="N75" s="353"/>
      <c r="O75" s="353"/>
      <c r="P75" s="19"/>
      <c r="T75" s="1002" t="str">
        <f>'DATA INDUK'!$BT$47</f>
        <v>23-MINEARTH-RM-LHU-CON-R0</v>
      </c>
    </row>
    <row r="76" spans="1:24">
      <c r="A76" s="361" t="s">
        <v>892</v>
      </c>
      <c r="B76" s="893"/>
      <c r="C76" s="893"/>
      <c r="D76" s="893"/>
      <c r="E76" s="893"/>
      <c r="F76" s="893"/>
      <c r="G76" s="893"/>
      <c r="H76" s="893"/>
      <c r="I76" s="894"/>
      <c r="J76" s="893"/>
      <c r="K76" s="361" t="s">
        <v>1330</v>
      </c>
      <c r="L76" s="893"/>
      <c r="M76" s="893"/>
      <c r="N76" s="893"/>
      <c r="O76" s="893"/>
      <c r="P76" s="893"/>
      <c r="Q76" s="893"/>
      <c r="R76" s="893"/>
      <c r="S76" s="361" t="s">
        <v>285</v>
      </c>
      <c r="T76" s="893"/>
      <c r="U76" s="895"/>
      <c r="V76" s="893"/>
      <c r="W76" s="893"/>
      <c r="X76" s="893"/>
    </row>
    <row r="77" spans="1:24">
      <c r="A77" s="361" t="s">
        <v>283</v>
      </c>
      <c r="B77" s="892"/>
      <c r="C77" s="892"/>
      <c r="D77" s="892"/>
      <c r="E77" s="892"/>
      <c r="F77" s="892"/>
      <c r="G77" s="892"/>
      <c r="H77" s="892"/>
      <c r="I77" s="891"/>
      <c r="J77" s="892"/>
      <c r="K77" s="361" t="s">
        <v>296</v>
      </c>
      <c r="L77" s="892"/>
      <c r="M77" s="892"/>
      <c r="N77" s="892"/>
      <c r="O77" s="892"/>
      <c r="P77" s="892"/>
      <c r="Q77" s="892"/>
      <c r="R77" s="892"/>
      <c r="S77" s="361" t="s">
        <v>289</v>
      </c>
      <c r="T77" s="892"/>
      <c r="U77" s="892"/>
      <c r="V77" s="892"/>
      <c r="W77" s="892"/>
      <c r="X77" s="892"/>
    </row>
    <row r="78" spans="1:24">
      <c r="A78" s="892"/>
      <c r="B78" s="361"/>
      <c r="C78" s="361"/>
      <c r="D78" s="361"/>
      <c r="E78" s="361"/>
      <c r="F78" s="361"/>
      <c r="G78" s="361"/>
      <c r="H78" s="336"/>
      <c r="I78" s="891"/>
      <c r="J78" s="336"/>
      <c r="K78" s="892"/>
      <c r="L78" s="336"/>
      <c r="M78" s="336"/>
      <c r="N78" s="336"/>
      <c r="O78" s="336"/>
      <c r="P78" s="892"/>
      <c r="Q78" s="336"/>
      <c r="R78" s="892"/>
      <c r="S78" s="892"/>
      <c r="T78" s="336"/>
      <c r="U78" s="336"/>
      <c r="V78" s="336"/>
      <c r="W78" s="336"/>
      <c r="X78" s="336"/>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2"</f>
        <v>:  2 dari 2</v>
      </c>
      <c r="X85" s="1635"/>
    </row>
    <row r="86" spans="1:24" ht="8.1" customHeight="1"/>
    <row r="87" spans="1:24" ht="24.95" customHeight="1">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89" spans="1:24">
      <c r="A89" s="540" t="s">
        <v>1205</v>
      </c>
    </row>
    <row r="127" ht="12" customHeight="1"/>
    <row r="139" spans="1:24" ht="15.75" customHeight="1">
      <c r="U139" s="20" t="s">
        <v>1537</v>
      </c>
    </row>
    <row r="140" spans="1:24">
      <c r="A140" s="700" t="s">
        <v>297</v>
      </c>
      <c r="B140" s="338"/>
      <c r="C140" s="338"/>
      <c r="D140" s="4"/>
      <c r="E140" s="4"/>
      <c r="F140" s="4"/>
      <c r="G140" s="4"/>
      <c r="H140" s="1827" t="s">
        <v>623</v>
      </c>
      <c r="I140" s="1828"/>
      <c r="J140" s="1828"/>
      <c r="K140" s="1829"/>
      <c r="L140" s="1827" t="s">
        <v>292</v>
      </c>
      <c r="M140" s="1828"/>
      <c r="N140" s="1828"/>
      <c r="O140" s="1829"/>
      <c r="P140" s="1827" t="s">
        <v>294</v>
      </c>
      <c r="Q140" s="1828"/>
      <c r="R140" s="1828"/>
      <c r="S140" s="1829"/>
      <c r="U140" s="904"/>
      <c r="V140" s="905"/>
      <c r="W140" s="905"/>
      <c r="X140" s="906"/>
    </row>
    <row r="141" spans="1:24" ht="15.95" customHeight="1">
      <c r="H141" s="1890" t="s">
        <v>624</v>
      </c>
      <c r="I141" s="1675"/>
      <c r="J141" s="1675"/>
      <c r="K141" s="1891"/>
      <c r="L141" s="1890" t="s">
        <v>293</v>
      </c>
      <c r="M141" s="1675"/>
      <c r="N141" s="1675"/>
      <c r="O141" s="1891"/>
      <c r="P141" s="1890" t="s">
        <v>295</v>
      </c>
      <c r="Q141" s="1675"/>
      <c r="R141" s="1675"/>
      <c r="S141" s="1891"/>
      <c r="U141" s="901"/>
      <c r="X141" s="903"/>
    </row>
    <row r="142" spans="1:24">
      <c r="H142" s="901"/>
      <c r="I142" s="911"/>
      <c r="J142" s="911"/>
      <c r="K142" s="944"/>
      <c r="L142" s="901"/>
      <c r="O142" s="946"/>
      <c r="P142" s="901"/>
      <c r="S142" s="903"/>
      <c r="U142" s="901"/>
      <c r="X142" s="903"/>
    </row>
    <row r="143" spans="1:24">
      <c r="H143" s="945"/>
      <c r="I143" s="911"/>
      <c r="J143" s="911"/>
      <c r="K143" s="944"/>
      <c r="L143" s="901"/>
      <c r="O143" s="946"/>
      <c r="P143" s="901"/>
      <c r="S143" s="903"/>
      <c r="U143" s="901"/>
      <c r="X143" s="903"/>
    </row>
    <row r="144" spans="1:24">
      <c r="H144" s="945"/>
      <c r="I144" s="911"/>
      <c r="J144" s="911"/>
      <c r="K144" s="944"/>
      <c r="L144" s="901"/>
      <c r="O144" s="946"/>
      <c r="P144" s="901"/>
      <c r="S144" s="903"/>
      <c r="U144" s="901"/>
      <c r="X144" s="903"/>
    </row>
    <row r="145" spans="1:27">
      <c r="H145" s="1892" t="str">
        <f>C66</f>
        <v>RIZKI</v>
      </c>
      <c r="I145" s="1665"/>
      <c r="J145" s="1665"/>
      <c r="K145" s="1893"/>
      <c r="L145" s="1892" t="str">
        <f>H66</f>
        <v>NOUFAL</v>
      </c>
      <c r="M145" s="1665"/>
      <c r="N145" s="1665"/>
      <c r="O145" s="1893"/>
      <c r="P145" s="1892" t="str">
        <f>M66</f>
        <v>A.SUMARTADJI</v>
      </c>
      <c r="Q145" s="1665"/>
      <c r="R145" s="1665"/>
      <c r="S145" s="1893"/>
      <c r="U145" s="901"/>
      <c r="X145" s="903"/>
    </row>
    <row r="146" spans="1:27">
      <c r="H146" s="1896" t="str">
        <f>C67</f>
        <v>Teknisi/Analis</v>
      </c>
      <c r="I146" s="1668"/>
      <c r="J146" s="1668"/>
      <c r="K146" s="1897"/>
      <c r="L146" s="1896" t="str">
        <f>H67</f>
        <v>Koordinator Teknis</v>
      </c>
      <c r="M146" s="1668"/>
      <c r="N146" s="1668"/>
      <c r="O146" s="1897"/>
      <c r="P146" s="1896" t="str">
        <f>M67</f>
        <v>Kepala Laboratorium</v>
      </c>
      <c r="Q146" s="1668"/>
      <c r="R146" s="1668"/>
      <c r="S146" s="1897"/>
      <c r="U146" s="947"/>
      <c r="V146" s="358"/>
      <c r="W146" s="358"/>
      <c r="X146" s="948"/>
      <c r="Y146" s="358"/>
      <c r="Z146" s="358"/>
      <c r="AA146" s="358"/>
    </row>
    <row r="147" spans="1:27" ht="15.95" customHeight="1">
      <c r="H147" s="1898" t="s">
        <v>291</v>
      </c>
      <c r="I147" s="1899"/>
      <c r="J147" s="1839">
        <f>E68</f>
        <v>46050</v>
      </c>
      <c r="K147" s="1840"/>
      <c r="L147" s="1954" t="s">
        <v>300</v>
      </c>
      <c r="M147" s="1900"/>
      <c r="N147" s="1901">
        <f>J68</f>
        <v>46050</v>
      </c>
      <c r="O147" s="1902"/>
      <c r="P147" s="1898" t="s">
        <v>301</v>
      </c>
      <c r="Q147" s="1899"/>
      <c r="R147" s="1839">
        <f>P68</f>
        <v>46050</v>
      </c>
      <c r="S147" s="1840"/>
      <c r="U147" s="949"/>
      <c r="V147" s="896"/>
      <c r="W147" s="896"/>
      <c r="X147" s="950"/>
    </row>
    <row r="148" spans="1:27" ht="8.1" customHeight="1"/>
    <row r="149" spans="1:27" ht="18" customHeight="1">
      <c r="B149" s="356"/>
      <c r="C149" s="356"/>
      <c r="D149" s="356"/>
      <c r="E149" s="356"/>
      <c r="T149" s="684" t="str">
        <f>$T$75</f>
        <v>23-MINEARTH-RM-LHU-CON-R0</v>
      </c>
      <c r="U149" s="367"/>
      <c r="V149" s="367"/>
      <c r="W149" s="367"/>
      <c r="X149" s="367"/>
    </row>
    <row r="150" spans="1:27" ht="18" customHeight="1">
      <c r="A150" s="362"/>
      <c r="B150" s="362"/>
      <c r="C150" s="362"/>
      <c r="D150" s="362"/>
      <c r="E150" s="362"/>
    </row>
    <row r="151" spans="1:27" ht="8.1" customHeight="1"/>
  </sheetData>
  <mergeCells count="165">
    <mergeCell ref="T85:V85"/>
    <mergeCell ref="W85:X85"/>
    <mergeCell ref="A19:D20"/>
    <mergeCell ref="E19:L20"/>
    <mergeCell ref="A21:D22"/>
    <mergeCell ref="E21:L22"/>
    <mergeCell ref="A84:D84"/>
    <mergeCell ref="M62:R62"/>
    <mergeCell ref="C66:G66"/>
    <mergeCell ref="H66:L66"/>
    <mergeCell ref="M66:R66"/>
    <mergeCell ref="A59:B59"/>
    <mergeCell ref="C59:D59"/>
    <mergeCell ref="E59:F59"/>
    <mergeCell ref="G59:H59"/>
    <mergeCell ref="C61:G61"/>
    <mergeCell ref="H61:L61"/>
    <mergeCell ref="A57:B57"/>
    <mergeCell ref="C57:D57"/>
    <mergeCell ref="E57:F57"/>
    <mergeCell ref="G57:H57"/>
    <mergeCell ref="A58:B58"/>
    <mergeCell ref="H68:I68"/>
    <mergeCell ref="M68:O68"/>
    <mergeCell ref="P68:R68"/>
    <mergeCell ref="M61:R61"/>
    <mergeCell ref="C62:G62"/>
    <mergeCell ref="H62:L62"/>
    <mergeCell ref="N18:R19"/>
    <mergeCell ref="S18:X19"/>
    <mergeCell ref="H146:K146"/>
    <mergeCell ref="L146:O146"/>
    <mergeCell ref="P146:S146"/>
    <mergeCell ref="F81:T81"/>
    <mergeCell ref="C67:G67"/>
    <mergeCell ref="H67:L67"/>
    <mergeCell ref="M67:R67"/>
    <mergeCell ref="C68:D68"/>
    <mergeCell ref="E68:G68"/>
    <mergeCell ref="I42:J43"/>
    <mergeCell ref="N20:R21"/>
    <mergeCell ref="S20:X21"/>
    <mergeCell ref="N22:R23"/>
    <mergeCell ref="S22:X23"/>
    <mergeCell ref="N58:X59"/>
    <mergeCell ref="A26:T26"/>
    <mergeCell ref="K55:L55"/>
    <mergeCell ref="F80:T80"/>
    <mergeCell ref="H147:I147"/>
    <mergeCell ref="J147:K147"/>
    <mergeCell ref="L147:M147"/>
    <mergeCell ref="N147:O147"/>
    <mergeCell ref="P147:Q147"/>
    <mergeCell ref="R147:S147"/>
    <mergeCell ref="C55:D55"/>
    <mergeCell ref="E55:F55"/>
    <mergeCell ref="G55:H55"/>
    <mergeCell ref="H141:K141"/>
    <mergeCell ref="L141:O141"/>
    <mergeCell ref="P141:S141"/>
    <mergeCell ref="H145:K145"/>
    <mergeCell ref="L145:O145"/>
    <mergeCell ref="P145:S145"/>
    <mergeCell ref="A87:X87"/>
    <mergeCell ref="H140:K140"/>
    <mergeCell ref="L140:O140"/>
    <mergeCell ref="P140:S140"/>
    <mergeCell ref="A85:D85"/>
    <mergeCell ref="M85:Q85"/>
    <mergeCell ref="A70:C74"/>
    <mergeCell ref="F79:T79"/>
    <mergeCell ref="J68:L68"/>
    <mergeCell ref="A49:B49"/>
    <mergeCell ref="C49:D49"/>
    <mergeCell ref="E49:F49"/>
    <mergeCell ref="G49:H49"/>
    <mergeCell ref="I49:J49"/>
    <mergeCell ref="C58:D58"/>
    <mergeCell ref="E58:F58"/>
    <mergeCell ref="G58:H58"/>
    <mergeCell ref="A56:B56"/>
    <mergeCell ref="C56:D56"/>
    <mergeCell ref="E56:F56"/>
    <mergeCell ref="G56:H56"/>
    <mergeCell ref="E53:F53"/>
    <mergeCell ref="G53:H53"/>
    <mergeCell ref="A54:B54"/>
    <mergeCell ref="C54:D54"/>
    <mergeCell ref="E54:F54"/>
    <mergeCell ref="G54:H54"/>
    <mergeCell ref="A52:B53"/>
    <mergeCell ref="C52:D52"/>
    <mergeCell ref="E52:F52"/>
    <mergeCell ref="G52:H52"/>
    <mergeCell ref="C53:D53"/>
    <mergeCell ref="A55:B55"/>
    <mergeCell ref="A47:B47"/>
    <mergeCell ref="C47:D47"/>
    <mergeCell ref="E47:F47"/>
    <mergeCell ref="G47:H47"/>
    <mergeCell ref="I47:J47"/>
    <mergeCell ref="A48:B48"/>
    <mergeCell ref="C48:D48"/>
    <mergeCell ref="E48:F48"/>
    <mergeCell ref="G48:H48"/>
    <mergeCell ref="I48:J48"/>
    <mergeCell ref="A46:B46"/>
    <mergeCell ref="C46:D46"/>
    <mergeCell ref="E46:F46"/>
    <mergeCell ref="G46:H46"/>
    <mergeCell ref="I46:J46"/>
    <mergeCell ref="C44:D44"/>
    <mergeCell ref="E44:F44"/>
    <mergeCell ref="G44:H44"/>
    <mergeCell ref="I44:J44"/>
    <mergeCell ref="A45:B45"/>
    <mergeCell ref="C45:D45"/>
    <mergeCell ref="E45:F45"/>
    <mergeCell ref="G45:H45"/>
    <mergeCell ref="I45:J45"/>
    <mergeCell ref="A44:B44"/>
    <mergeCell ref="V26:X27"/>
    <mergeCell ref="A27:T27"/>
    <mergeCell ref="A36:H36"/>
    <mergeCell ref="A37:H37"/>
    <mergeCell ref="A38:H38"/>
    <mergeCell ref="A39:H39"/>
    <mergeCell ref="A42:B42"/>
    <mergeCell ref="C42:D42"/>
    <mergeCell ref="E42:F42"/>
    <mergeCell ref="G42:H43"/>
    <mergeCell ref="A30:H30"/>
    <mergeCell ref="A31:H31"/>
    <mergeCell ref="A32:H32"/>
    <mergeCell ref="A33:H33"/>
    <mergeCell ref="A34:H34"/>
    <mergeCell ref="A35:H35"/>
    <mergeCell ref="A43:B43"/>
    <mergeCell ref="C43:D43"/>
    <mergeCell ref="E43:F43"/>
    <mergeCell ref="U26:U27"/>
    <mergeCell ref="A17:L17"/>
    <mergeCell ref="A9:L9"/>
    <mergeCell ref="A12:L12"/>
    <mergeCell ref="N12:X12"/>
    <mergeCell ref="F1:T1"/>
    <mergeCell ref="F2:T2"/>
    <mergeCell ref="F3:T3"/>
    <mergeCell ref="A6:D6"/>
    <mergeCell ref="A7:D7"/>
    <mergeCell ref="M7:Q7"/>
    <mergeCell ref="N13:R13"/>
    <mergeCell ref="S13:X13"/>
    <mergeCell ref="N14:R14"/>
    <mergeCell ref="S14:X14"/>
    <mergeCell ref="N15:R16"/>
    <mergeCell ref="S15:X16"/>
    <mergeCell ref="N17:R17"/>
    <mergeCell ref="S17:X17"/>
    <mergeCell ref="T7:V7"/>
    <mergeCell ref="W7:X7"/>
    <mergeCell ref="A13:D13"/>
    <mergeCell ref="E13:L13"/>
    <mergeCell ref="A14:D14"/>
    <mergeCell ref="E14:L14"/>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A5C7-90A1-A44E-A2AF-77A13D592F8D}">
  <dimension ref="A1:AA314"/>
  <sheetViews>
    <sheetView topLeftCell="A188" zoomScaleNormal="100" workbookViewId="0">
      <selection activeCell="H191" sqref="H191"/>
    </sheetView>
  </sheetViews>
  <sheetFormatPr defaultColWidth="11" defaultRowHeight="15.75"/>
  <cols>
    <col min="8" max="8" width="12.375" customWidth="1"/>
  </cols>
  <sheetData>
    <row r="1" spans="1:22" ht="18">
      <c r="A1" s="708" t="s">
        <v>701</v>
      </c>
      <c r="B1" s="708"/>
      <c r="C1" s="708"/>
      <c r="D1" s="708"/>
      <c r="E1" s="708"/>
      <c r="F1" s="708"/>
      <c r="G1" s="708"/>
      <c r="H1" s="708"/>
      <c r="I1" s="708"/>
      <c r="J1" s="708"/>
      <c r="K1" s="708"/>
      <c r="L1" s="708"/>
      <c r="M1" s="708"/>
      <c r="N1" s="708"/>
      <c r="O1" s="708"/>
      <c r="P1" s="708"/>
      <c r="Q1" s="708"/>
      <c r="R1" s="708"/>
      <c r="S1" s="708"/>
      <c r="T1" s="708"/>
      <c r="U1" s="708"/>
    </row>
    <row r="2" spans="1:22" ht="23.25">
      <c r="A2" s="663" t="s">
        <v>1099</v>
      </c>
      <c r="B2" s="663"/>
      <c r="C2" s="663"/>
      <c r="D2" s="663"/>
      <c r="E2" s="663"/>
      <c r="F2" s="663"/>
      <c r="G2" s="663"/>
      <c r="H2" s="663"/>
      <c r="I2" s="663"/>
      <c r="J2" s="663"/>
      <c r="K2" s="663"/>
      <c r="L2" s="663"/>
      <c r="M2" s="663"/>
      <c r="N2" s="663"/>
      <c r="O2" s="663"/>
      <c r="P2" s="663"/>
      <c r="Q2" s="663"/>
      <c r="R2" s="663"/>
      <c r="S2" s="663"/>
      <c r="T2" s="663"/>
      <c r="U2" s="663"/>
    </row>
    <row r="3" spans="1:22" ht="23.25">
      <c r="A3" s="664" t="s">
        <v>1100</v>
      </c>
      <c r="B3" s="662"/>
      <c r="C3" s="662"/>
      <c r="D3" s="662"/>
      <c r="E3" s="662"/>
      <c r="F3" s="662"/>
      <c r="G3" s="662"/>
      <c r="H3" s="662"/>
      <c r="I3" s="662"/>
      <c r="J3" s="662"/>
      <c r="K3" s="662"/>
      <c r="L3" s="662"/>
      <c r="M3" s="662"/>
      <c r="N3" s="662"/>
      <c r="O3" s="662"/>
      <c r="P3" s="662"/>
      <c r="Q3" s="662"/>
      <c r="R3" s="662"/>
      <c r="S3" s="662"/>
      <c r="T3" s="662"/>
      <c r="U3" s="662"/>
    </row>
    <row r="4" spans="1:22" ht="23.25">
      <c r="A4" s="616"/>
      <c r="B4" s="616"/>
      <c r="C4" s="616"/>
      <c r="D4" s="616"/>
      <c r="E4" s="616"/>
      <c r="F4" s="616"/>
      <c r="G4" s="616"/>
      <c r="H4" s="616"/>
      <c r="I4" s="616"/>
      <c r="J4" s="616"/>
      <c r="K4" s="616"/>
      <c r="L4" s="616"/>
      <c r="M4" s="616"/>
      <c r="N4" s="616"/>
      <c r="O4" s="616"/>
      <c r="P4" s="616"/>
      <c r="Q4" s="616"/>
      <c r="R4" s="616"/>
      <c r="S4" s="616"/>
      <c r="T4" s="616"/>
      <c r="U4" s="616"/>
    </row>
    <row r="5" spans="1:22">
      <c r="A5" s="335" t="s">
        <v>772</v>
      </c>
      <c r="B5" s="335"/>
      <c r="C5" s="335"/>
      <c r="D5" s="335"/>
      <c r="E5" s="335"/>
      <c r="F5" s="335"/>
      <c r="G5" s="335"/>
      <c r="H5" s="335"/>
      <c r="I5" s="335"/>
      <c r="J5" s="335"/>
      <c r="K5" s="335"/>
      <c r="L5" s="335"/>
      <c r="M5" s="335"/>
      <c r="N5" s="335"/>
      <c r="O5" s="335"/>
      <c r="P5" s="335"/>
      <c r="Q5" s="335"/>
      <c r="R5" s="335"/>
      <c r="S5" s="335"/>
      <c r="T5" s="335"/>
      <c r="U5" s="335"/>
    </row>
    <row r="6" spans="1:22">
      <c r="A6" s="335"/>
      <c r="B6" s="335"/>
      <c r="C6" s="335"/>
      <c r="D6" s="335"/>
      <c r="E6" s="335"/>
      <c r="F6" s="335"/>
      <c r="G6" s="335"/>
      <c r="H6" s="335"/>
      <c r="I6" s="335"/>
      <c r="J6" s="335"/>
      <c r="K6" s="335"/>
      <c r="L6" s="335"/>
      <c r="M6" s="335"/>
      <c r="N6" s="335"/>
      <c r="O6" s="335"/>
      <c r="P6" s="335"/>
      <c r="Q6" s="335"/>
      <c r="R6" s="335"/>
      <c r="S6" s="335"/>
      <c r="T6" s="335"/>
      <c r="U6" s="335"/>
    </row>
    <row r="7" spans="1:22">
      <c r="A7" s="1" t="s">
        <v>775</v>
      </c>
      <c r="B7" s="1"/>
      <c r="C7" s="1"/>
      <c r="D7" s="539" t="str">
        <f>IFERROR(INDEX('DATA INDUK'!$H$27:$H$152,MATCH(ROW(D1),'DATA INDUK'!$AX$27:$AX$152,0)),"")</f>
        <v>26-001-DS-001</v>
      </c>
      <c r="E7" s="13"/>
      <c r="F7" s="13"/>
      <c r="G7" s="13"/>
      <c r="H7" s="15"/>
      <c r="I7" s="15"/>
      <c r="J7" s="15"/>
      <c r="K7" s="15"/>
      <c r="L7" s="15"/>
      <c r="M7" s="15"/>
      <c r="N7" s="15"/>
      <c r="O7" s="15"/>
      <c r="P7" s="15"/>
      <c r="Q7" s="15"/>
      <c r="R7" s="15"/>
      <c r="S7" s="15"/>
      <c r="T7" s="15"/>
      <c r="U7" s="15"/>
      <c r="V7" s="1127"/>
    </row>
    <row r="8" spans="1:22">
      <c r="A8" s="13"/>
      <c r="B8" s="13"/>
      <c r="C8" s="13"/>
      <c r="D8" s="540"/>
      <c r="E8" s="15"/>
      <c r="F8" s="15"/>
      <c r="G8" s="15"/>
      <c r="H8" s="15"/>
      <c r="I8" s="15"/>
      <c r="J8" s="15"/>
      <c r="K8" s="15"/>
      <c r="L8" s="15"/>
      <c r="M8" s="15"/>
      <c r="N8" s="15"/>
      <c r="O8" s="15"/>
      <c r="P8" s="15"/>
      <c r="Q8" s="15"/>
      <c r="R8" s="15"/>
      <c r="S8" s="15"/>
      <c r="T8" s="15"/>
      <c r="U8" s="15"/>
      <c r="V8" s="1127"/>
    </row>
    <row r="9" spans="1:22">
      <c r="A9" s="1" t="s">
        <v>776</v>
      </c>
      <c r="B9" s="1"/>
      <c r="C9" s="1"/>
      <c r="D9" s="13" t="str">
        <f>IFERROR(INDEX('DATA INDUK'!$C$27:$C$152,MATCH(ROW(D1),'DATA INDUK'!$AX$27:$AX$152,0)),"")</f>
        <v>BH-04R1-SPT 15</v>
      </c>
      <c r="E9" s="15"/>
      <c r="F9" s="15"/>
      <c r="G9" s="15"/>
      <c r="H9" s="15"/>
      <c r="I9" s="15"/>
      <c r="J9" s="15"/>
      <c r="K9" s="15"/>
      <c r="L9" s="1" t="s">
        <v>703</v>
      </c>
      <c r="M9" s="1"/>
      <c r="N9" s="1"/>
      <c r="O9" s="15" t="str">
        <f>IF($D$7="","",P9)</f>
        <v>NOUFAL</v>
      </c>
      <c r="P9" s="588" t="s">
        <v>1051</v>
      </c>
      <c r="Q9" s="15"/>
      <c r="R9" s="15"/>
      <c r="S9" s="15"/>
      <c r="T9" s="15" t="str">
        <f>"TTD_"&amp;O9&amp;""</f>
        <v>TTD_NOUFAL</v>
      </c>
      <c r="U9" s="15"/>
      <c r="V9" s="1127"/>
    </row>
    <row r="10" spans="1:22">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G10" s="15"/>
      <c r="H10" s="15"/>
      <c r="I10" s="15"/>
      <c r="J10" s="15"/>
      <c r="K10" s="15"/>
      <c r="L10" s="1" t="s">
        <v>704</v>
      </c>
      <c r="M10" s="1"/>
      <c r="N10" s="1"/>
      <c r="O10" s="15" t="str">
        <f t="shared" ref="O10:O11" si="0">IF($D$7="","",P10)</f>
        <v>NOUFAL</v>
      </c>
      <c r="P10" s="15" t="s">
        <v>1051</v>
      </c>
      <c r="Q10" s="15"/>
      <c r="R10" s="15"/>
      <c r="S10" s="15"/>
      <c r="T10" s="15" t="str">
        <f>IF(O9=O10,"TTD_","TTD_"&amp;O10&amp;"")</f>
        <v>TTD_</v>
      </c>
      <c r="U10" s="15"/>
      <c r="V10" s="1127"/>
    </row>
    <row r="11" spans="1:22">
      <c r="A11" s="1" t="s">
        <v>778</v>
      </c>
      <c r="B11" s="1"/>
      <c r="C11" s="1"/>
      <c r="D11" s="13" t="str">
        <f>IFERROR(INDEX('DATA INDUK'!$D$27:$D$152,MATCH(ROW(D1),'DATA INDUK'!$AX$27:$AX$152,0)),"")</f>
        <v>Disturbed Sample</v>
      </c>
      <c r="E11" s="15"/>
      <c r="F11" s="15" t="s">
        <v>1659</v>
      </c>
      <c r="G11" s="15"/>
      <c r="H11" s="15"/>
      <c r="I11" s="15"/>
      <c r="J11" s="15"/>
      <c r="K11" s="15"/>
      <c r="L11" s="13" t="s">
        <v>716</v>
      </c>
      <c r="M11" s="15"/>
      <c r="N11" s="15"/>
      <c r="O11" s="15" t="str">
        <f t="shared" si="0"/>
        <v>A.SUMARTADJI</v>
      </c>
      <c r="P11" s="15" t="s">
        <v>766</v>
      </c>
      <c r="Q11" s="15"/>
      <c r="R11" s="15"/>
      <c r="S11" s="15"/>
      <c r="T11" s="15" t="str">
        <f>"TTD_"&amp;O11&amp;""</f>
        <v>TTD_A.SUMARTADJI</v>
      </c>
      <c r="U11" s="15"/>
      <c r="V11" s="1127"/>
    </row>
    <row r="12" spans="1:22">
      <c r="A12" s="1" t="s">
        <v>779</v>
      </c>
      <c r="B12" s="1"/>
      <c r="C12" s="1"/>
      <c r="D12" s="13" t="s">
        <v>1510</v>
      </c>
      <c r="E12" s="15"/>
      <c r="F12" s="15" t="str">
        <f>IFERROR(INDEX($S$24:$S$35,
MATCH(D12,$V$24:$V$35,0)),
"CHECK DESKRIPSI")</f>
        <v>CL</v>
      </c>
      <c r="G12" s="15"/>
      <c r="H12" s="15"/>
      <c r="I12" s="15"/>
      <c r="J12" s="15"/>
      <c r="K12" s="15"/>
      <c r="L12" s="1" t="s">
        <v>705</v>
      </c>
      <c r="M12" s="1"/>
      <c r="N12" s="1"/>
      <c r="O12" s="1171">
        <v>46137</v>
      </c>
      <c r="P12" s="15"/>
      <c r="Q12" s="15"/>
      <c r="R12" s="15"/>
      <c r="S12" s="15"/>
      <c r="T12" s="15"/>
      <c r="U12" s="15"/>
      <c r="V12" s="1127"/>
    </row>
    <row r="13" spans="1:22">
      <c r="A13" s="1" t="s">
        <v>780</v>
      </c>
      <c r="B13" s="1"/>
      <c r="C13" s="1"/>
      <c r="D13" s="13"/>
      <c r="E13" s="15"/>
      <c r="F13" s="15"/>
      <c r="G13" s="15"/>
      <c r="H13" s="15"/>
      <c r="I13" s="15"/>
      <c r="J13" s="15"/>
      <c r="K13" s="15"/>
      <c r="L13" s="15"/>
      <c r="M13" s="15"/>
      <c r="N13" s="15"/>
      <c r="O13" s="15"/>
      <c r="P13" s="15"/>
      <c r="Q13" s="15"/>
      <c r="R13" s="15"/>
      <c r="S13" s="15"/>
      <c r="T13" s="15"/>
      <c r="U13" s="15"/>
      <c r="V13" s="1127"/>
    </row>
    <row r="14" spans="1:22"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717"/>
      <c r="U14" s="717"/>
      <c r="V14" s="1127"/>
    </row>
    <row r="22" spans="3:23">
      <c r="K22" t="s">
        <v>269</v>
      </c>
      <c r="S22" s="370" t="s">
        <v>1641</v>
      </c>
      <c r="T22" s="370"/>
      <c r="U22" s="370"/>
      <c r="V22" s="370"/>
      <c r="W22" s="370"/>
    </row>
    <row r="23" spans="3:23">
      <c r="K23" s="1957" t="s">
        <v>273</v>
      </c>
      <c r="L23" s="1956" t="s">
        <v>271</v>
      </c>
      <c r="M23" s="1956"/>
      <c r="O23" t="s">
        <v>712</v>
      </c>
      <c r="P23" t="s">
        <v>713</v>
      </c>
      <c r="Q23" t="s">
        <v>274</v>
      </c>
      <c r="S23" s="370" t="s">
        <v>1611</v>
      </c>
      <c r="T23" s="370" t="s">
        <v>1642</v>
      </c>
      <c r="U23" s="370" t="s">
        <v>1632</v>
      </c>
      <c r="V23" s="370" t="s">
        <v>1633</v>
      </c>
      <c r="W23" s="370"/>
    </row>
    <row r="24" spans="3:23">
      <c r="K24" s="1957"/>
      <c r="L24" t="s">
        <v>1098</v>
      </c>
      <c r="M24" t="s">
        <v>272</v>
      </c>
      <c r="P24" t="s">
        <v>714</v>
      </c>
      <c r="S24" s="370" t="s">
        <v>1612</v>
      </c>
      <c r="T24" s="370" t="s">
        <v>1613</v>
      </c>
      <c r="U24" s="370" t="s">
        <v>1610</v>
      </c>
      <c r="V24" s="370" t="s">
        <v>1510</v>
      </c>
      <c r="W24" s="370"/>
    </row>
    <row r="25" spans="3:23">
      <c r="K25" t="s">
        <v>270</v>
      </c>
      <c r="L25" s="43">
        <f>D115</f>
        <v>107.17375121966415</v>
      </c>
      <c r="S25" s="370" t="s">
        <v>1614</v>
      </c>
      <c r="T25" s="370" t="s">
        <v>1615</v>
      </c>
      <c r="U25" s="370" t="s">
        <v>1634</v>
      </c>
      <c r="V25" s="370" t="s">
        <v>1635</v>
      </c>
      <c r="W25" s="370"/>
    </row>
    <row r="26" spans="3:23">
      <c r="K26" t="s">
        <v>274</v>
      </c>
      <c r="L26" s="43">
        <f>H115</f>
        <v>83.866106310793427</v>
      </c>
      <c r="M26" s="382">
        <f>VLOOKUP(L26,$I$84:$J$108,2,FALSE)</f>
        <v>11.184210526315789</v>
      </c>
      <c r="S26" s="370" t="s">
        <v>1617</v>
      </c>
      <c r="T26" s="370" t="s">
        <v>1618</v>
      </c>
      <c r="U26" s="370" t="s">
        <v>1636</v>
      </c>
      <c r="V26" s="370" t="s">
        <v>1637</v>
      </c>
      <c r="W26" s="370"/>
    </row>
    <row r="27" spans="3:23">
      <c r="C27" s="208" t="s">
        <v>267</v>
      </c>
      <c r="K27" t="s">
        <v>275</v>
      </c>
      <c r="L27" s="1958">
        <f>L25/L26</f>
        <v>1.2779149519890263</v>
      </c>
      <c r="M27" s="1958"/>
      <c r="S27" s="370" t="s">
        <v>1643</v>
      </c>
      <c r="T27" s="370" t="s">
        <v>1644</v>
      </c>
      <c r="U27" s="370" t="s">
        <v>1645</v>
      </c>
      <c r="V27" s="370" t="s">
        <v>1646</v>
      </c>
      <c r="W27" s="370"/>
    </row>
    <row r="28" spans="3:23">
      <c r="S28" s="370" t="s">
        <v>1620</v>
      </c>
      <c r="T28" s="370" t="s">
        <v>1616</v>
      </c>
      <c r="U28" s="370" t="s">
        <v>509</v>
      </c>
      <c r="V28" s="370" t="s">
        <v>1638</v>
      </c>
      <c r="W28" s="370"/>
    </row>
    <row r="29" spans="3:23">
      <c r="C29" s="169" t="s">
        <v>188</v>
      </c>
      <c r="D29" s="170"/>
      <c r="E29" s="171"/>
      <c r="F29" s="171"/>
      <c r="G29" s="171"/>
      <c r="H29" s="171"/>
      <c r="I29" s="171"/>
      <c r="J29" s="171"/>
      <c r="K29" s="171"/>
      <c r="L29" s="171"/>
      <c r="M29" s="171"/>
      <c r="N29" s="171"/>
      <c r="O29" s="171"/>
      <c r="S29" s="370" t="s">
        <v>1621</v>
      </c>
      <c r="T29" s="370" t="s">
        <v>1622</v>
      </c>
      <c r="U29" s="370" t="s">
        <v>1639</v>
      </c>
      <c r="V29" s="370" t="s">
        <v>1640</v>
      </c>
      <c r="W29" s="370"/>
    </row>
    <row r="30" spans="3:23">
      <c r="C30" s="172" t="s">
        <v>189</v>
      </c>
      <c r="D30" s="173"/>
      <c r="E30" s="173"/>
      <c r="F30" s="174" t="s">
        <v>190</v>
      </c>
      <c r="G30" s="173" t="s">
        <v>191</v>
      </c>
      <c r="H30" s="173"/>
      <c r="I30" s="175"/>
      <c r="J30" s="171"/>
      <c r="K30" s="208" t="s">
        <v>192</v>
      </c>
      <c r="L30" s="171"/>
      <c r="M30" s="171"/>
      <c r="N30" s="171"/>
      <c r="O30" s="171"/>
      <c r="S30" s="370" t="s">
        <v>1623</v>
      </c>
      <c r="T30" s="370" t="s">
        <v>1624</v>
      </c>
      <c r="U30" s="370" t="s">
        <v>1647</v>
      </c>
      <c r="V30" s="370" t="s">
        <v>1648</v>
      </c>
      <c r="W30" s="370"/>
    </row>
    <row r="31" spans="3:23">
      <c r="C31" s="176" t="s">
        <v>125</v>
      </c>
      <c r="D31" s="177"/>
      <c r="E31" s="177" t="s">
        <v>193</v>
      </c>
      <c r="F31" s="178">
        <v>38</v>
      </c>
      <c r="G31" s="179" t="s">
        <v>194</v>
      </c>
      <c r="H31" s="180" t="s">
        <v>22</v>
      </c>
      <c r="I31" s="181">
        <f>F36</f>
        <v>173.04</v>
      </c>
      <c r="J31" s="171"/>
      <c r="K31" s="208" t="s">
        <v>195</v>
      </c>
      <c r="L31" s="170"/>
      <c r="M31" s="170"/>
      <c r="N31" s="307"/>
      <c r="O31" s="171"/>
      <c r="S31" s="370" t="s">
        <v>1649</v>
      </c>
      <c r="T31" s="370" t="s">
        <v>1650</v>
      </c>
      <c r="U31" s="370" t="s">
        <v>1651</v>
      </c>
      <c r="V31" s="370" t="s">
        <v>1652</v>
      </c>
      <c r="W31" s="370"/>
    </row>
    <row r="32" spans="3:23">
      <c r="C32" s="176" t="s">
        <v>126</v>
      </c>
      <c r="D32" s="177"/>
      <c r="E32" s="177" t="s">
        <v>196</v>
      </c>
      <c r="F32" s="185">
        <f>+((F31^2))*(PI()/4)</f>
        <v>1134.1149479459152</v>
      </c>
      <c r="G32" s="179" t="s">
        <v>197</v>
      </c>
      <c r="H32" s="180" t="s">
        <v>22</v>
      </c>
      <c r="I32" s="178">
        <v>160</v>
      </c>
      <c r="J32" s="186"/>
      <c r="K32" s="208" t="s">
        <v>198</v>
      </c>
      <c r="L32" s="186"/>
      <c r="M32" s="308" t="s">
        <v>199</v>
      </c>
      <c r="N32" s="309">
        <v>1</v>
      </c>
      <c r="S32" s="370" t="s">
        <v>1690</v>
      </c>
      <c r="T32" s="370" t="s">
        <v>1619</v>
      </c>
      <c r="U32" s="370" t="s">
        <v>510</v>
      </c>
      <c r="V32" s="370" t="s">
        <v>1197</v>
      </c>
      <c r="W32" s="370"/>
    </row>
    <row r="33" spans="3:23">
      <c r="C33" s="208"/>
      <c r="D33" s="171"/>
      <c r="E33" s="171"/>
      <c r="F33" s="213"/>
      <c r="G33" s="171"/>
      <c r="H33" s="171"/>
      <c r="I33" s="213"/>
      <c r="J33" s="186"/>
      <c r="K33" s="171"/>
      <c r="L33" s="171"/>
      <c r="M33" s="171"/>
      <c r="N33" s="171"/>
      <c r="S33" s="370" t="s">
        <v>1626</v>
      </c>
      <c r="T33" s="370" t="s">
        <v>1627</v>
      </c>
      <c r="U33" s="370" t="s">
        <v>1653</v>
      </c>
      <c r="V33" s="370" t="s">
        <v>1654</v>
      </c>
      <c r="W33" s="370"/>
    </row>
    <row r="34" spans="3:23">
      <c r="C34" s="172" t="s">
        <v>200</v>
      </c>
      <c r="D34" s="173"/>
      <c r="E34" s="173" t="s">
        <v>201</v>
      </c>
      <c r="F34" s="190">
        <v>76</v>
      </c>
      <c r="G34" s="173" t="s">
        <v>202</v>
      </c>
      <c r="H34" s="175" t="s">
        <v>34</v>
      </c>
      <c r="I34" s="191">
        <f>+((I31-I32)/I32)*100</f>
        <v>8.149999999999995</v>
      </c>
      <c r="J34" s="186"/>
      <c r="K34" s="208" t="s">
        <v>203</v>
      </c>
      <c r="L34" s="186"/>
      <c r="M34" s="308" t="s">
        <v>204</v>
      </c>
      <c r="N34" s="310">
        <v>0.57779999999999998</v>
      </c>
      <c r="S34" s="370" t="s">
        <v>1628</v>
      </c>
      <c r="T34" s="370" t="s">
        <v>1629</v>
      </c>
      <c r="U34" s="370" t="s">
        <v>1655</v>
      </c>
      <c r="V34" s="370" t="s">
        <v>1656</v>
      </c>
      <c r="W34" s="370"/>
    </row>
    <row r="35" spans="3:23">
      <c r="C35" s="176" t="s">
        <v>127</v>
      </c>
      <c r="D35" s="177"/>
      <c r="E35" s="177" t="s">
        <v>104</v>
      </c>
      <c r="F35" s="185">
        <f>+F32*F34/1000</f>
        <v>86.192736043889553</v>
      </c>
      <c r="G35" s="177"/>
      <c r="H35" s="180"/>
      <c r="I35" s="194"/>
      <c r="J35" s="193"/>
      <c r="K35" s="171"/>
      <c r="L35" s="171"/>
      <c r="M35" s="171"/>
      <c r="N35" s="186"/>
      <c r="O35" s="193"/>
      <c r="S35" s="370" t="s">
        <v>1630</v>
      </c>
      <c r="T35" s="370" t="s">
        <v>1631</v>
      </c>
      <c r="U35" s="370" t="s">
        <v>1657</v>
      </c>
      <c r="V35" s="370" t="s">
        <v>1658</v>
      </c>
      <c r="W35" s="370"/>
    </row>
    <row r="36" spans="3:23">
      <c r="C36" s="176" t="s">
        <v>205</v>
      </c>
      <c r="D36" s="177"/>
      <c r="E36" s="177" t="s">
        <v>22</v>
      </c>
      <c r="F36" s="178">
        <v>173.04</v>
      </c>
      <c r="G36" s="177"/>
      <c r="H36" s="180"/>
      <c r="I36" s="194"/>
      <c r="J36" s="171"/>
      <c r="K36" s="171"/>
      <c r="L36" s="171"/>
      <c r="M36" s="171"/>
      <c r="N36" s="171"/>
      <c r="O36" s="171"/>
      <c r="P36" s="669"/>
    </row>
    <row r="37" spans="3:23">
      <c r="C37" s="176" t="s">
        <v>206</v>
      </c>
      <c r="D37" s="177"/>
      <c r="E37" s="177" t="s">
        <v>123</v>
      </c>
      <c r="F37" s="185">
        <f>+F36/F35</f>
        <v>2.00759377114897</v>
      </c>
      <c r="G37" s="177"/>
      <c r="H37" s="180"/>
      <c r="I37" s="195"/>
      <c r="J37" s="193"/>
      <c r="K37" s="171"/>
      <c r="L37" s="171"/>
      <c r="M37" s="171"/>
      <c r="N37" s="186"/>
      <c r="O37" s="186"/>
    </row>
    <row r="38" spans="3:23">
      <c r="F38">
        <f>I32/F35</f>
        <v>1.8563049201562369</v>
      </c>
    </row>
    <row r="41" spans="3:23">
      <c r="D41" s="311"/>
      <c r="G41" s="171"/>
      <c r="H41" s="171"/>
    </row>
    <row r="42" spans="3:23">
      <c r="C42" s="290" t="s">
        <v>208</v>
      </c>
      <c r="D42" s="290" t="s">
        <v>209</v>
      </c>
      <c r="E42" s="174" t="s">
        <v>166</v>
      </c>
      <c r="F42" s="174" t="s">
        <v>210</v>
      </c>
      <c r="G42" s="192" t="s">
        <v>147</v>
      </c>
      <c r="H42" s="192" t="s">
        <v>276</v>
      </c>
      <c r="I42" s="174" t="s">
        <v>148</v>
      </c>
    </row>
    <row r="43" spans="3:23">
      <c r="C43" s="290" t="s">
        <v>216</v>
      </c>
      <c r="D43" s="312" t="s">
        <v>217</v>
      </c>
      <c r="E43" s="174" t="s">
        <v>218</v>
      </c>
      <c r="F43" s="174" t="s">
        <v>219</v>
      </c>
      <c r="G43" s="174" t="s">
        <v>265</v>
      </c>
      <c r="H43" s="174" t="s">
        <v>266</v>
      </c>
      <c r="I43" s="174" t="s">
        <v>465</v>
      </c>
    </row>
    <row r="44" spans="3:23">
      <c r="C44">
        <v>0</v>
      </c>
      <c r="D44">
        <f>C44*0.01</f>
        <v>0</v>
      </c>
      <c r="E44" s="21">
        <f>(D44/$F$34)*100</f>
        <v>0</v>
      </c>
      <c r="F44" s="102">
        <v>0</v>
      </c>
      <c r="G44">
        <f t="shared" ref="G44:G68" si="1">$N$34*F44</f>
        <v>0</v>
      </c>
      <c r="H44" s="42">
        <f>$F$32*0.01</f>
        <v>11.341149479459153</v>
      </c>
      <c r="I44">
        <f>(G44/H44)*98.065</f>
        <v>0</v>
      </c>
      <c r="J44" s="670">
        <f t="shared" ref="J44:J68" si="2">E44</f>
        <v>0</v>
      </c>
    </row>
    <row r="45" spans="3:23">
      <c r="C45">
        <f>IF(F45&lt;&gt;"",C44+50,"")</f>
        <v>50</v>
      </c>
      <c r="D45">
        <f t="shared" ref="D45:D68" si="3">C45*0.01</f>
        <v>0.5</v>
      </c>
      <c r="E45" s="78">
        <f t="shared" ref="E45:E68" si="4">(D45/$F$34)*100</f>
        <v>0.6578947368421052</v>
      </c>
      <c r="F45" s="1123">
        <v>6</v>
      </c>
      <c r="G45" s="42">
        <f t="shared" si="1"/>
        <v>3.4668000000000001</v>
      </c>
      <c r="H45" s="135">
        <f>IF(E45&lt;&gt;"",$H$44/(1-(E45/100)),"")</f>
        <v>11.416256429654247</v>
      </c>
      <c r="I45" s="42">
        <f>(G45/H45)*98.065</f>
        <v>29.779616820528652</v>
      </c>
      <c r="J45" s="670">
        <f t="shared" si="2"/>
        <v>0.6578947368421052</v>
      </c>
    </row>
    <row r="46" spans="3:23">
      <c r="C46">
        <f t="shared" ref="C46:C68" si="5">IF(F46&lt;&gt;"",C45+50,"")</f>
        <v>100</v>
      </c>
      <c r="D46">
        <f t="shared" si="3"/>
        <v>1</v>
      </c>
      <c r="E46" s="78">
        <f t="shared" si="4"/>
        <v>1.3157894736842104</v>
      </c>
      <c r="F46" s="1123">
        <v>9</v>
      </c>
      <c r="G46" s="42">
        <f t="shared" si="1"/>
        <v>5.2001999999999997</v>
      </c>
      <c r="H46" s="135">
        <f t="shared" ref="H46:H68" si="6">IF(E46&lt;&gt;"",$H$44/(1-(E46/100)),"")</f>
        <v>11.492364805851942</v>
      </c>
      <c r="I46" s="42">
        <f t="shared" ref="I46:I68" si="7">(G46/H46)*98.065</f>
        <v>44.37360122264203</v>
      </c>
      <c r="J46" s="670">
        <f t="shared" si="2"/>
        <v>1.3157894736842104</v>
      </c>
    </row>
    <row r="47" spans="3:23">
      <c r="C47">
        <f t="shared" si="5"/>
        <v>150</v>
      </c>
      <c r="D47">
        <f t="shared" si="3"/>
        <v>1.5</v>
      </c>
      <c r="E47" s="78">
        <f t="shared" si="4"/>
        <v>1.9736842105263157</v>
      </c>
      <c r="F47" s="1123">
        <v>12</v>
      </c>
      <c r="G47" s="42">
        <f t="shared" si="1"/>
        <v>6.9336000000000002</v>
      </c>
      <c r="H47" s="135">
        <f t="shared" si="6"/>
        <v>11.569494770991888</v>
      </c>
      <c r="I47" s="42">
        <f t="shared" si="7"/>
        <v>58.77036961932145</v>
      </c>
      <c r="J47" s="670">
        <f t="shared" si="2"/>
        <v>1.9736842105263157</v>
      </c>
    </row>
    <row r="48" spans="3:23">
      <c r="C48">
        <f t="shared" si="5"/>
        <v>200</v>
      </c>
      <c r="D48">
        <f t="shared" si="3"/>
        <v>2</v>
      </c>
      <c r="E48" s="78">
        <f t="shared" si="4"/>
        <v>2.6315789473684208</v>
      </c>
      <c r="F48" s="1123">
        <v>15</v>
      </c>
      <c r="G48" s="42">
        <f t="shared" si="1"/>
        <v>8.6669999999999998</v>
      </c>
      <c r="H48" s="135">
        <f t="shared" si="6"/>
        <v>11.647667032958049</v>
      </c>
      <c r="I48" s="42">
        <f t="shared" si="7"/>
        <v>72.969922010566904</v>
      </c>
      <c r="J48" s="670">
        <f t="shared" si="2"/>
        <v>2.6315789473684208</v>
      </c>
    </row>
    <row r="49" spans="3:22">
      <c r="C49">
        <f t="shared" si="5"/>
        <v>250</v>
      </c>
      <c r="D49">
        <f t="shared" si="3"/>
        <v>2.5</v>
      </c>
      <c r="E49" s="78">
        <f t="shared" si="4"/>
        <v>3.2894736842105261</v>
      </c>
      <c r="F49" s="1123">
        <v>17</v>
      </c>
      <c r="G49" s="42">
        <f t="shared" si="1"/>
        <v>9.8225999999999996</v>
      </c>
      <c r="H49" s="135">
        <f t="shared" si="6"/>
        <v>11.726902863114226</v>
      </c>
      <c r="I49" s="42">
        <f t="shared" si="7"/>
        <v>82.140466263246253</v>
      </c>
      <c r="J49" s="670">
        <f t="shared" si="2"/>
        <v>3.2894736842105261</v>
      </c>
    </row>
    <row r="50" spans="3:22">
      <c r="C50">
        <f t="shared" si="5"/>
        <v>300</v>
      </c>
      <c r="D50">
        <f t="shared" si="3"/>
        <v>3</v>
      </c>
      <c r="E50" s="78">
        <f t="shared" si="4"/>
        <v>3.9473684210526314</v>
      </c>
      <c r="F50" s="1123">
        <v>19</v>
      </c>
      <c r="G50" s="42">
        <f t="shared" si="1"/>
        <v>10.978199999999999</v>
      </c>
      <c r="H50" s="135">
        <f t="shared" si="6"/>
        <v>11.80722411560131</v>
      </c>
      <c r="I50" s="42">
        <f t="shared" si="7"/>
        <v>91.179533178969635</v>
      </c>
      <c r="J50" s="670">
        <f t="shared" si="2"/>
        <v>3.9473684210526314</v>
      </c>
    </row>
    <row r="51" spans="3:22">
      <c r="C51">
        <f t="shared" si="5"/>
        <v>350</v>
      </c>
      <c r="D51">
        <f t="shared" si="3"/>
        <v>3.5</v>
      </c>
      <c r="E51" s="78">
        <f t="shared" si="4"/>
        <v>4.6052631578947363</v>
      </c>
      <c r="F51" s="1123">
        <v>20</v>
      </c>
      <c r="G51" s="42">
        <f t="shared" si="1"/>
        <v>11.555999999999999</v>
      </c>
      <c r="H51" s="135">
        <f t="shared" si="6"/>
        <v>11.888653247433043</v>
      </c>
      <c r="I51" s="42">
        <f t="shared" si="7"/>
        <v>95.321069293082886</v>
      </c>
      <c r="J51" s="670">
        <f t="shared" si="2"/>
        <v>4.6052631578947363</v>
      </c>
    </row>
    <row r="52" spans="3:22">
      <c r="C52">
        <f t="shared" si="5"/>
        <v>400</v>
      </c>
      <c r="D52">
        <f t="shared" si="3"/>
        <v>4</v>
      </c>
      <c r="E52" s="78">
        <f t="shared" si="4"/>
        <v>5.2631578947368416</v>
      </c>
      <c r="F52" s="1123">
        <v>21</v>
      </c>
      <c r="G52" s="42">
        <f t="shared" si="1"/>
        <v>12.133799999999999</v>
      </c>
      <c r="H52" s="135">
        <f t="shared" si="6"/>
        <v>11.971213339429106</v>
      </c>
      <c r="I52" s="42">
        <f t="shared" si="7"/>
        <v>99.396866738718145</v>
      </c>
      <c r="J52" s="670">
        <f t="shared" si="2"/>
        <v>5.2631578947368416</v>
      </c>
    </row>
    <row r="53" spans="3:22">
      <c r="C53">
        <f t="shared" si="5"/>
        <v>450</v>
      </c>
      <c r="D53">
        <f t="shared" si="3"/>
        <v>4.5</v>
      </c>
      <c r="E53" s="78">
        <f t="shared" si="4"/>
        <v>5.9210526315789469</v>
      </c>
      <c r="F53" s="1123">
        <v>22</v>
      </c>
      <c r="G53" s="42">
        <f t="shared" si="1"/>
        <v>12.711599999999999</v>
      </c>
      <c r="H53" s="135">
        <f t="shared" si="6"/>
        <v>12.054928118026513</v>
      </c>
      <c r="I53" s="42">
        <f t="shared" si="7"/>
        <v>103.40692551587541</v>
      </c>
      <c r="J53" s="670">
        <f t="shared" si="2"/>
        <v>5.9210526315789469</v>
      </c>
    </row>
    <row r="54" spans="3:22">
      <c r="C54">
        <f t="shared" si="5"/>
        <v>500</v>
      </c>
      <c r="D54">
        <f t="shared" si="3"/>
        <v>5</v>
      </c>
      <c r="E54" s="78">
        <f t="shared" si="4"/>
        <v>6.5789473684210522</v>
      </c>
      <c r="F54" s="1123">
        <v>22.5</v>
      </c>
      <c r="G54" s="42">
        <f t="shared" si="1"/>
        <v>13.000499999999999</v>
      </c>
      <c r="H54" s="135">
        <f t="shared" si="6"/>
        <v>12.139821978012614</v>
      </c>
      <c r="I54" s="42">
        <f t="shared" si="7"/>
        <v>105.01752289358615</v>
      </c>
      <c r="J54" s="670">
        <f t="shared" si="2"/>
        <v>6.5789473684210522</v>
      </c>
    </row>
    <row r="55" spans="3:22">
      <c r="C55">
        <f t="shared" si="5"/>
        <v>550</v>
      </c>
      <c r="D55">
        <f t="shared" si="3"/>
        <v>5.5</v>
      </c>
      <c r="E55" s="78">
        <f t="shared" si="4"/>
        <v>7.2368421052631584</v>
      </c>
      <c r="F55" s="1123">
        <v>23</v>
      </c>
      <c r="G55" s="42">
        <f t="shared" si="1"/>
        <v>13.289399999999999</v>
      </c>
      <c r="H55" s="135">
        <f t="shared" si="6"/>
        <v>12.22592000622547</v>
      </c>
      <c r="I55" s="42">
        <f t="shared" si="7"/>
        <v>106.59525093705786</v>
      </c>
      <c r="J55" s="670">
        <f t="shared" si="2"/>
        <v>7.2368421052631584</v>
      </c>
      <c r="U55" t="s">
        <v>601</v>
      </c>
      <c r="V55" t="s">
        <v>602</v>
      </c>
    </row>
    <row r="56" spans="3:22">
      <c r="C56">
        <f t="shared" si="5"/>
        <v>600</v>
      </c>
      <c r="D56">
        <f t="shared" si="3"/>
        <v>6</v>
      </c>
      <c r="E56" s="78">
        <f t="shared" si="4"/>
        <v>7.8947368421052628</v>
      </c>
      <c r="F56" s="1123">
        <v>23.2</v>
      </c>
      <c r="G56" s="42">
        <f t="shared" si="1"/>
        <v>13.404959999999999</v>
      </c>
      <c r="H56" s="135">
        <f t="shared" si="6"/>
        <v>12.313248006269937</v>
      </c>
      <c r="I56" s="42">
        <f t="shared" si="7"/>
        <v>106.75959760825283</v>
      </c>
      <c r="J56" s="670">
        <f t="shared" si="2"/>
        <v>7.8947368421052628</v>
      </c>
      <c r="T56" s="1172" t="s">
        <v>1101</v>
      </c>
      <c r="U56" s="42">
        <f>D177</f>
        <v>9.8684210526315788</v>
      </c>
      <c r="V56" s="43">
        <f>D175</f>
        <v>107.17375121966415</v>
      </c>
    </row>
    <row r="57" spans="3:22">
      <c r="C57">
        <f t="shared" si="5"/>
        <v>650</v>
      </c>
      <c r="D57">
        <f t="shared" si="3"/>
        <v>6.5</v>
      </c>
      <c r="E57" s="78">
        <f t="shared" si="4"/>
        <v>8.5526315789473681</v>
      </c>
      <c r="F57" s="1123">
        <v>23.4</v>
      </c>
      <c r="G57" s="42">
        <f t="shared" si="1"/>
        <v>13.520519999999999</v>
      </c>
      <c r="H57" s="135">
        <f t="shared" si="6"/>
        <v>12.401832524300657</v>
      </c>
      <c r="I57" s="42">
        <f t="shared" si="7"/>
        <v>106.91079654575219</v>
      </c>
      <c r="J57" s="670">
        <f t="shared" si="2"/>
        <v>8.5526315789473681</v>
      </c>
    </row>
    <row r="58" spans="3:22">
      <c r="C58">
        <f t="shared" si="5"/>
        <v>700</v>
      </c>
      <c r="D58">
        <f t="shared" si="3"/>
        <v>7</v>
      </c>
      <c r="E58" s="78">
        <f t="shared" si="4"/>
        <v>9.2105263157894726</v>
      </c>
      <c r="F58" s="1123">
        <v>23.6</v>
      </c>
      <c r="G58" s="42">
        <f t="shared" si="1"/>
        <v>13.63608</v>
      </c>
      <c r="H58" s="135">
        <f t="shared" si="6"/>
        <v>12.491700875926023</v>
      </c>
      <c r="I58" s="42">
        <f t="shared" si="7"/>
        <v>107.04884774955599</v>
      </c>
      <c r="J58" s="670">
        <f t="shared" si="2"/>
        <v>9.2105263157894726</v>
      </c>
    </row>
    <row r="59" spans="3:22">
      <c r="C59">
        <f t="shared" si="5"/>
        <v>750</v>
      </c>
      <c r="D59">
        <f t="shared" si="3"/>
        <v>7.5</v>
      </c>
      <c r="E59" s="78">
        <f t="shared" si="4"/>
        <v>9.8684210526315788</v>
      </c>
      <c r="F59" s="1123">
        <v>23.8</v>
      </c>
      <c r="G59" s="42">
        <f t="shared" si="1"/>
        <v>13.75164</v>
      </c>
      <c r="H59" s="135">
        <f t="shared" si="6"/>
        <v>12.582881174290447</v>
      </c>
      <c r="I59" s="42">
        <f t="shared" si="7"/>
        <v>107.17375121966415</v>
      </c>
      <c r="J59" s="670">
        <f t="shared" si="2"/>
        <v>9.8684210526315788</v>
      </c>
      <c r="T59" t="s">
        <v>1101</v>
      </c>
      <c r="U59" s="42">
        <f>E177</f>
        <v>11.184210526315789</v>
      </c>
      <c r="V59" s="43">
        <f>E175</f>
        <v>83.866106310793427</v>
      </c>
    </row>
    <row r="60" spans="3:22">
      <c r="C60">
        <f t="shared" si="5"/>
        <v>800</v>
      </c>
      <c r="D60">
        <f t="shared" si="3"/>
        <v>8</v>
      </c>
      <c r="E60" s="78">
        <f t="shared" si="4"/>
        <v>10.526315789473683</v>
      </c>
      <c r="F60" s="1123">
        <v>23.9</v>
      </c>
      <c r="G60" s="42">
        <f t="shared" si="1"/>
        <v>13.809419999999999</v>
      </c>
      <c r="H60" s="135">
        <f t="shared" si="6"/>
        <v>12.675402359395523</v>
      </c>
      <c r="I60" s="42">
        <f t="shared" si="7"/>
        <v>106.83848401042641</v>
      </c>
      <c r="J60" s="670">
        <f t="shared" si="2"/>
        <v>10.526315789473683</v>
      </c>
    </row>
    <row r="61" spans="3:22">
      <c r="C61">
        <f t="shared" si="5"/>
        <v>850</v>
      </c>
      <c r="D61">
        <f t="shared" si="3"/>
        <v>8.5</v>
      </c>
      <c r="E61" s="78">
        <f t="shared" si="4"/>
        <v>11.184210526315789</v>
      </c>
      <c r="F61" s="1123">
        <v>24</v>
      </c>
      <c r="G61" s="42">
        <f t="shared" si="1"/>
        <v>13.8672</v>
      </c>
      <c r="H61" s="135">
        <f t="shared" si="6"/>
        <v>12.769294228724378</v>
      </c>
      <c r="I61" s="42">
        <f t="shared" si="7"/>
        <v>106.49664293434088</v>
      </c>
      <c r="J61" s="670">
        <f t="shared" si="2"/>
        <v>11.184210526315789</v>
      </c>
    </row>
    <row r="62" spans="3:22">
      <c r="C62">
        <f t="shared" si="5"/>
        <v>900</v>
      </c>
      <c r="D62">
        <f t="shared" si="3"/>
        <v>9</v>
      </c>
      <c r="E62" s="78">
        <f t="shared" si="4"/>
        <v>11.842105263157894</v>
      </c>
      <c r="F62" s="1123">
        <v>24</v>
      </c>
      <c r="G62" s="42">
        <f t="shared" si="1"/>
        <v>13.8672</v>
      </c>
      <c r="H62" s="135">
        <f t="shared" si="6"/>
        <v>12.864587469237248</v>
      </c>
      <c r="I62" s="42">
        <f t="shared" si="7"/>
        <v>105.70777891260502</v>
      </c>
      <c r="J62" s="670">
        <f t="shared" si="2"/>
        <v>11.842105263157894</v>
      </c>
    </row>
    <row r="63" spans="3:22">
      <c r="C63">
        <f t="shared" si="5"/>
        <v>950</v>
      </c>
      <c r="D63">
        <f t="shared" si="3"/>
        <v>9.5</v>
      </c>
      <c r="E63" s="78">
        <f t="shared" si="4"/>
        <v>12.5</v>
      </c>
      <c r="F63" s="1123">
        <v>24</v>
      </c>
      <c r="G63" s="42">
        <f t="shared" si="1"/>
        <v>13.8672</v>
      </c>
      <c r="H63" s="135">
        <f t="shared" si="6"/>
        <v>12.96131369081046</v>
      </c>
      <c r="I63" s="42">
        <f t="shared" si="7"/>
        <v>104.91891489086917</v>
      </c>
      <c r="J63" s="670">
        <f t="shared" si="2"/>
        <v>12.5</v>
      </c>
    </row>
    <row r="64" spans="3:22">
      <c r="C64">
        <f t="shared" si="5"/>
        <v>1000</v>
      </c>
      <c r="D64">
        <f t="shared" si="3"/>
        <v>10</v>
      </c>
      <c r="E64" s="78">
        <f t="shared" si="4"/>
        <v>13.157894736842104</v>
      </c>
      <c r="F64" s="1123">
        <v>24</v>
      </c>
      <c r="G64" s="42">
        <f t="shared" si="1"/>
        <v>13.8672</v>
      </c>
      <c r="H64" s="135">
        <f t="shared" si="6"/>
        <v>13.059505461195387</v>
      </c>
      <c r="I64" s="42">
        <f t="shared" si="7"/>
        <v>104.1300508691333</v>
      </c>
      <c r="J64" s="670">
        <f t="shared" si="2"/>
        <v>13.157894736842104</v>
      </c>
      <c r="R64" s="116" t="s">
        <v>132</v>
      </c>
      <c r="S64" s="116" t="s">
        <v>133</v>
      </c>
    </row>
    <row r="65" spans="3:19">
      <c r="C65">
        <f t="shared" si="5"/>
        <v>1050</v>
      </c>
      <c r="D65">
        <f t="shared" si="3"/>
        <v>10.5</v>
      </c>
      <c r="E65" s="78">
        <f t="shared" si="4"/>
        <v>13.815789473684212</v>
      </c>
      <c r="F65" s="1123">
        <v>24</v>
      </c>
      <c r="G65" s="42">
        <f t="shared" si="1"/>
        <v>13.8672</v>
      </c>
      <c r="H65" s="135">
        <f t="shared" si="6"/>
        <v>13.159196342578559</v>
      </c>
      <c r="I65" s="42">
        <f t="shared" si="7"/>
        <v>103.34118684739747</v>
      </c>
      <c r="J65" s="670">
        <f t="shared" si="2"/>
        <v>13.815789473684212</v>
      </c>
      <c r="R65">
        <v>0</v>
      </c>
      <c r="S65" s="43">
        <f>V56</f>
        <v>107.17375121966415</v>
      </c>
    </row>
    <row r="66" spans="3:19">
      <c r="C66">
        <f t="shared" si="5"/>
        <v>1100</v>
      </c>
      <c r="D66">
        <f t="shared" si="3"/>
        <v>11</v>
      </c>
      <c r="E66" s="78">
        <f t="shared" si="4"/>
        <v>14.473684210526317</v>
      </c>
      <c r="F66" s="1123">
        <v>24</v>
      </c>
      <c r="G66" s="42">
        <f t="shared" si="1"/>
        <v>13.8672</v>
      </c>
      <c r="H66" s="135">
        <f t="shared" si="6"/>
        <v>13.260420929829163</v>
      </c>
      <c r="I66" s="42">
        <f t="shared" si="7"/>
        <v>102.55232282566159</v>
      </c>
      <c r="J66" s="670">
        <f t="shared" si="2"/>
        <v>14.473684210526317</v>
      </c>
      <c r="R66" s="42">
        <f>U56</f>
        <v>9.8684210526315788</v>
      </c>
      <c r="S66" s="43">
        <f>V56</f>
        <v>107.17375121966415</v>
      </c>
    </row>
    <row r="67" spans="3:19">
      <c r="C67">
        <f t="shared" si="5"/>
        <v>1150</v>
      </c>
      <c r="D67">
        <f t="shared" si="3"/>
        <v>11.5</v>
      </c>
      <c r="E67" s="78">
        <f t="shared" si="4"/>
        <v>15.131578947368421</v>
      </c>
      <c r="F67" s="1123">
        <v>24</v>
      </c>
      <c r="G67" s="42">
        <f t="shared" si="1"/>
        <v>13.8672</v>
      </c>
      <c r="H67" s="135">
        <f t="shared" si="6"/>
        <v>13.363214890525514</v>
      </c>
      <c r="I67" s="42">
        <f t="shared" si="7"/>
        <v>101.76345880392573</v>
      </c>
      <c r="J67" s="670">
        <f t="shared" si="2"/>
        <v>15.131578947368421</v>
      </c>
      <c r="R67" s="42">
        <f>R66</f>
        <v>9.8684210526315788</v>
      </c>
      <c r="S67">
        <v>0</v>
      </c>
    </row>
    <row r="68" spans="3:19">
      <c r="C68">
        <f t="shared" si="5"/>
        <v>1200</v>
      </c>
      <c r="D68">
        <f t="shared" si="3"/>
        <v>12</v>
      </c>
      <c r="E68" s="78">
        <f t="shared" si="4"/>
        <v>15.789473684210526</v>
      </c>
      <c r="F68" s="1123">
        <v>24</v>
      </c>
      <c r="G68" s="42">
        <f t="shared" si="1"/>
        <v>13.8672</v>
      </c>
      <c r="H68" s="135">
        <f t="shared" si="6"/>
        <v>13.467615006857745</v>
      </c>
      <c r="I68" s="42">
        <f t="shared" si="7"/>
        <v>100.97459478218985</v>
      </c>
      <c r="J68" s="670">
        <f t="shared" si="2"/>
        <v>15.789473684210526</v>
      </c>
    </row>
    <row r="69" spans="3:19">
      <c r="R69">
        <v>0</v>
      </c>
      <c r="S69" s="43">
        <f>V59</f>
        <v>83.866106310793427</v>
      </c>
    </row>
    <row r="70" spans="3:19">
      <c r="C70" t="s">
        <v>268</v>
      </c>
      <c r="R70" s="42">
        <f>U59</f>
        <v>11.184210526315789</v>
      </c>
      <c r="S70" s="43">
        <f>V59</f>
        <v>83.866106310793427</v>
      </c>
    </row>
    <row r="71" spans="3:19">
      <c r="R71" s="42">
        <f>U59</f>
        <v>11.184210526315789</v>
      </c>
      <c r="S71">
        <v>0</v>
      </c>
    </row>
    <row r="72" spans="3:19">
      <c r="C72" s="172" t="s">
        <v>189</v>
      </c>
      <c r="D72" s="173"/>
      <c r="E72" s="173"/>
      <c r="F72" s="174" t="s">
        <v>190</v>
      </c>
      <c r="G72" s="196" t="s">
        <v>191</v>
      </c>
      <c r="H72" s="173"/>
      <c r="I72" s="175"/>
      <c r="J72" s="171"/>
      <c r="K72" s="172" t="s">
        <v>192</v>
      </c>
      <c r="L72" s="173"/>
      <c r="M72" s="173"/>
      <c r="N72" s="173"/>
      <c r="O72" s="175"/>
    </row>
    <row r="73" spans="3:19">
      <c r="C73" s="176" t="s">
        <v>125</v>
      </c>
      <c r="D73" s="177"/>
      <c r="E73" s="177" t="s">
        <v>193</v>
      </c>
      <c r="F73" s="178">
        <v>38</v>
      </c>
      <c r="G73" s="179" t="s">
        <v>194</v>
      </c>
      <c r="H73" s="180" t="s">
        <v>22</v>
      </c>
      <c r="I73" s="197">
        <f>F77</f>
        <v>170.006</v>
      </c>
      <c r="J73" s="171"/>
      <c r="K73" s="176" t="s">
        <v>195</v>
      </c>
      <c r="L73" s="183"/>
      <c r="M73" s="183"/>
      <c r="N73" s="184"/>
      <c r="O73" s="198"/>
    </row>
    <row r="74" spans="3:19">
      <c r="C74" s="176" t="s">
        <v>126</v>
      </c>
      <c r="D74" s="177"/>
      <c r="E74" s="177" t="s">
        <v>196</v>
      </c>
      <c r="F74" s="185">
        <f>+((F73^2))*(PI()/4)</f>
        <v>1134.1149479459152</v>
      </c>
      <c r="G74" s="179" t="s">
        <v>197</v>
      </c>
      <c r="H74" s="180" t="s">
        <v>22</v>
      </c>
      <c r="I74" s="178">
        <v>156</v>
      </c>
      <c r="J74" s="186"/>
      <c r="K74" s="176" t="s">
        <v>198</v>
      </c>
      <c r="L74" s="187"/>
      <c r="M74" s="187"/>
      <c r="N74" s="188" t="s">
        <v>199</v>
      </c>
      <c r="O74" s="189">
        <v>1</v>
      </c>
      <c r="R74" t="s">
        <v>1102</v>
      </c>
    </row>
    <row r="75" spans="3:19">
      <c r="C75" s="176" t="s">
        <v>200</v>
      </c>
      <c r="D75" s="177"/>
      <c r="E75" s="177" t="s">
        <v>201</v>
      </c>
      <c r="F75" s="178">
        <v>76</v>
      </c>
      <c r="G75" s="179" t="s">
        <v>202</v>
      </c>
      <c r="H75" s="180" t="s">
        <v>34</v>
      </c>
      <c r="I75" s="199">
        <f>+((I73-I74)/I74)*100</f>
        <v>8.9782051282051292</v>
      </c>
      <c r="J75" s="186"/>
      <c r="K75" s="176" t="s">
        <v>203</v>
      </c>
      <c r="L75" s="187"/>
      <c r="M75" s="187"/>
      <c r="N75" s="188" t="s">
        <v>144</v>
      </c>
      <c r="O75" s="200">
        <f>N34</f>
        <v>0.57779999999999998</v>
      </c>
      <c r="R75" t="str">
        <f>"qu = "&amp;TEXT(V56,0)&amp;" kPa"</f>
        <v>qu = 107 kPa</v>
      </c>
    </row>
    <row r="76" spans="3:19">
      <c r="C76" s="176" t="s">
        <v>127</v>
      </c>
      <c r="D76" s="177"/>
      <c r="E76" s="177" t="s">
        <v>104</v>
      </c>
      <c r="F76" s="185">
        <f>+F74*F75/1000</f>
        <v>86.192736043889553</v>
      </c>
      <c r="G76" s="179"/>
      <c r="H76" s="180"/>
      <c r="I76" s="194"/>
      <c r="J76" s="186"/>
      <c r="K76" s="201"/>
      <c r="L76" s="202"/>
      <c r="M76" s="202"/>
      <c r="N76" s="203"/>
      <c r="O76" s="204"/>
      <c r="R76" t="str">
        <f>"qu = "&amp;TEXT(V59,0)&amp;" kPa"</f>
        <v>qu = 84 kPa</v>
      </c>
    </row>
    <row r="77" spans="3:19">
      <c r="C77" s="176" t="s">
        <v>205</v>
      </c>
      <c r="D77" s="177"/>
      <c r="E77" s="177" t="s">
        <v>22</v>
      </c>
      <c r="F77" s="178">
        <v>170.006</v>
      </c>
      <c r="G77" s="179"/>
      <c r="H77" s="180"/>
      <c r="I77" s="194"/>
      <c r="J77" s="193"/>
      <c r="K77" s="171"/>
      <c r="L77" s="171"/>
      <c r="M77" s="171"/>
      <c r="N77" s="186"/>
      <c r="O77" s="193"/>
      <c r="R77" t="s">
        <v>713</v>
      </c>
    </row>
    <row r="78" spans="3:19">
      <c r="C78" s="176" t="s">
        <v>206</v>
      </c>
      <c r="D78" s="177"/>
      <c r="E78" s="177" t="s">
        <v>207</v>
      </c>
      <c r="F78" s="185">
        <f>+F77/F76</f>
        <v>1.9723935891005075</v>
      </c>
      <c r="G78" s="179"/>
      <c r="H78" s="180"/>
      <c r="I78" s="195"/>
      <c r="J78" s="171"/>
      <c r="K78" s="171"/>
      <c r="L78" s="171"/>
      <c r="M78" s="171"/>
      <c r="N78" s="171"/>
      <c r="O78" s="171"/>
      <c r="R78" t="s">
        <v>274</v>
      </c>
    </row>
    <row r="79" spans="3:19">
      <c r="F79">
        <f>I74/F76</f>
        <v>1.8098972971523311</v>
      </c>
      <c r="R79" t="s">
        <v>1126</v>
      </c>
    </row>
    <row r="80" spans="3:19">
      <c r="R80" t="s">
        <v>1103</v>
      </c>
    </row>
    <row r="81" spans="3:10">
      <c r="C81" s="304" t="s">
        <v>208</v>
      </c>
      <c r="D81" s="301" t="s">
        <v>209</v>
      </c>
      <c r="E81" s="206" t="s">
        <v>166</v>
      </c>
      <c r="F81" s="201" t="s">
        <v>210</v>
      </c>
      <c r="G81" s="205" t="s">
        <v>211</v>
      </c>
      <c r="H81" s="207" t="s">
        <v>212</v>
      </c>
      <c r="I81" s="201" t="s">
        <v>148</v>
      </c>
    </row>
    <row r="82" spans="3:10">
      <c r="C82" s="305" t="s">
        <v>213</v>
      </c>
      <c r="D82" s="302" t="s">
        <v>214</v>
      </c>
      <c r="E82" s="209"/>
      <c r="F82" s="171" t="s">
        <v>101</v>
      </c>
      <c r="G82" s="210" t="s">
        <v>215</v>
      </c>
      <c r="H82" s="211" t="s">
        <v>126</v>
      </c>
      <c r="I82" s="171"/>
    </row>
    <row r="83" spans="3:10">
      <c r="C83" s="306" t="s">
        <v>216</v>
      </c>
      <c r="D83" s="303" t="s">
        <v>217</v>
      </c>
      <c r="E83" s="182" t="s">
        <v>218</v>
      </c>
      <c r="F83" s="177" t="s">
        <v>219</v>
      </c>
      <c r="G83" s="212" t="s">
        <v>265</v>
      </c>
      <c r="H83" s="180" t="s">
        <v>266</v>
      </c>
      <c r="I83" s="177" t="s">
        <v>465</v>
      </c>
    </row>
    <row r="84" spans="3:10">
      <c r="C84">
        <v>0</v>
      </c>
      <c r="D84">
        <f>C84*0.01</f>
        <v>0</v>
      </c>
      <c r="E84" s="21">
        <f>(D84/$F$34)*100</f>
        <v>0</v>
      </c>
      <c r="F84" s="1124">
        <v>0</v>
      </c>
      <c r="G84">
        <f>$O$75*F84</f>
        <v>0</v>
      </c>
      <c r="H84" s="42">
        <f>$F$32*0.01</f>
        <v>11.341149479459153</v>
      </c>
      <c r="I84">
        <f>(G84/H84)*98.065</f>
        <v>0</v>
      </c>
      <c r="J84" s="1173">
        <f t="shared" ref="J84:J108" si="8">E84</f>
        <v>0</v>
      </c>
    </row>
    <row r="85" spans="3:10">
      <c r="C85">
        <f>IF(F85&lt;&gt;"",C84+50,"")</f>
        <v>50</v>
      </c>
      <c r="D85">
        <f t="shared" ref="D85:D108" si="9">C85*0.01</f>
        <v>0.5</v>
      </c>
      <c r="E85" s="78">
        <f t="shared" ref="E85:E108" si="10">(D85/$F$34)*100</f>
        <v>0.6578947368421052</v>
      </c>
      <c r="F85" s="1124">
        <v>3</v>
      </c>
      <c r="G85" s="42">
        <f t="shared" ref="G85:G108" si="11">$O$75*F85</f>
        <v>1.7334000000000001</v>
      </c>
      <c r="H85" s="135">
        <f>IF(E85&lt;&gt;"",$H$84/(1-(E85/100)),"")</f>
        <v>11.416256429654247</v>
      </c>
      <c r="I85" s="42">
        <f t="shared" ref="I85:I108" si="12">(G85/H85)*98.065</f>
        <v>14.889808410264326</v>
      </c>
      <c r="J85" s="1173">
        <f t="shared" si="8"/>
        <v>0.6578947368421052</v>
      </c>
    </row>
    <row r="86" spans="3:10">
      <c r="C86">
        <f t="shared" ref="C86:C108" si="13">IF(F86&lt;&gt;"",C85+50,"")</f>
        <v>100</v>
      </c>
      <c r="D86">
        <f t="shared" si="9"/>
        <v>1</v>
      </c>
      <c r="E86" s="78">
        <f t="shared" si="10"/>
        <v>1.3157894736842104</v>
      </c>
      <c r="F86" s="1124">
        <v>6</v>
      </c>
      <c r="G86" s="42">
        <f t="shared" si="11"/>
        <v>3.4668000000000001</v>
      </c>
      <c r="H86" s="135">
        <f t="shared" ref="H86:H108" si="14">IF(E86&lt;&gt;"",$H$84/(1-(E86/100)),"")</f>
        <v>11.492364805851942</v>
      </c>
      <c r="I86" s="42">
        <f t="shared" si="12"/>
        <v>29.582400815094687</v>
      </c>
      <c r="J86" s="1173">
        <f t="shared" si="8"/>
        <v>1.3157894736842104</v>
      </c>
    </row>
    <row r="87" spans="3:10">
      <c r="C87">
        <f t="shared" si="13"/>
        <v>150</v>
      </c>
      <c r="D87">
        <f t="shared" si="9"/>
        <v>1.5</v>
      </c>
      <c r="E87" s="78">
        <f t="shared" si="10"/>
        <v>1.9736842105263157</v>
      </c>
      <c r="F87" s="1124">
        <v>8</v>
      </c>
      <c r="G87" s="42">
        <f t="shared" si="11"/>
        <v>4.6223999999999998</v>
      </c>
      <c r="H87" s="135">
        <f t="shared" si="14"/>
        <v>11.569494770991888</v>
      </c>
      <c r="I87" s="42">
        <f t="shared" si="12"/>
        <v>39.180246412880962</v>
      </c>
      <c r="J87" s="1173">
        <f t="shared" si="8"/>
        <v>1.9736842105263157</v>
      </c>
    </row>
    <row r="88" spans="3:10">
      <c r="C88">
        <f t="shared" si="13"/>
        <v>200</v>
      </c>
      <c r="D88">
        <f t="shared" si="9"/>
        <v>2</v>
      </c>
      <c r="E88" s="78">
        <f t="shared" si="10"/>
        <v>2.6315789473684208</v>
      </c>
      <c r="F88" s="1124">
        <v>10</v>
      </c>
      <c r="G88" s="42">
        <f t="shared" si="11"/>
        <v>5.7779999999999996</v>
      </c>
      <c r="H88" s="135">
        <f t="shared" si="14"/>
        <v>11.647667032958049</v>
      </c>
      <c r="I88" s="42">
        <f t="shared" si="12"/>
        <v>48.646614673711262</v>
      </c>
      <c r="J88" s="1173">
        <f t="shared" si="8"/>
        <v>2.6315789473684208</v>
      </c>
    </row>
    <row r="89" spans="3:10">
      <c r="C89">
        <f t="shared" si="13"/>
        <v>250</v>
      </c>
      <c r="D89">
        <f t="shared" si="9"/>
        <v>2.5</v>
      </c>
      <c r="E89" s="78">
        <f t="shared" si="10"/>
        <v>3.2894736842105261</v>
      </c>
      <c r="F89" s="1124">
        <v>12</v>
      </c>
      <c r="G89" s="42">
        <f t="shared" si="11"/>
        <v>6.9336000000000002</v>
      </c>
      <c r="H89" s="135">
        <f t="shared" si="14"/>
        <v>11.726902863114226</v>
      </c>
      <c r="I89" s="42">
        <f t="shared" si="12"/>
        <v>57.981505597585596</v>
      </c>
      <c r="J89" s="1173">
        <f t="shared" si="8"/>
        <v>3.2894736842105261</v>
      </c>
    </row>
    <row r="90" spans="3:10">
      <c r="C90">
        <f t="shared" si="13"/>
        <v>300</v>
      </c>
      <c r="D90">
        <f t="shared" si="9"/>
        <v>3</v>
      </c>
      <c r="E90" s="78">
        <f t="shared" si="10"/>
        <v>3.9473684210526314</v>
      </c>
      <c r="F90" s="1124">
        <v>13</v>
      </c>
      <c r="G90" s="42">
        <f t="shared" si="11"/>
        <v>7.5114000000000001</v>
      </c>
      <c r="H90" s="135">
        <f t="shared" si="14"/>
        <v>11.80722411560131</v>
      </c>
      <c r="I90" s="42">
        <f t="shared" si="12"/>
        <v>62.38599638561081</v>
      </c>
      <c r="J90" s="1173">
        <f t="shared" si="8"/>
        <v>3.9473684210526314</v>
      </c>
    </row>
    <row r="91" spans="3:10">
      <c r="C91">
        <f t="shared" si="13"/>
        <v>350</v>
      </c>
      <c r="D91">
        <f t="shared" si="9"/>
        <v>3.5</v>
      </c>
      <c r="E91" s="78">
        <f t="shared" si="10"/>
        <v>4.6052631578947363</v>
      </c>
      <c r="F91" s="1124">
        <v>14</v>
      </c>
      <c r="G91" s="42">
        <f t="shared" si="11"/>
        <v>8.0891999999999999</v>
      </c>
      <c r="H91" s="135">
        <f t="shared" si="14"/>
        <v>11.888653247433043</v>
      </c>
      <c r="I91" s="42">
        <f t="shared" si="12"/>
        <v>66.724748505158018</v>
      </c>
      <c r="J91" s="1173">
        <f t="shared" si="8"/>
        <v>4.6052631578947363</v>
      </c>
    </row>
    <row r="92" spans="3:10">
      <c r="C92">
        <f t="shared" si="13"/>
        <v>400</v>
      </c>
      <c r="D92">
        <f t="shared" si="9"/>
        <v>4</v>
      </c>
      <c r="E92" s="78">
        <f t="shared" si="10"/>
        <v>5.2631578947368416</v>
      </c>
      <c r="F92" s="1124">
        <v>15</v>
      </c>
      <c r="G92" s="42">
        <f t="shared" si="11"/>
        <v>8.6669999999999998</v>
      </c>
      <c r="H92" s="135">
        <f t="shared" si="14"/>
        <v>11.971213339429106</v>
      </c>
      <c r="I92" s="42">
        <f t="shared" si="12"/>
        <v>70.997761956227251</v>
      </c>
      <c r="J92" s="1173">
        <f t="shared" si="8"/>
        <v>5.2631578947368416</v>
      </c>
    </row>
    <row r="93" spans="3:10">
      <c r="C93">
        <f t="shared" si="13"/>
        <v>450</v>
      </c>
      <c r="D93">
        <f t="shared" si="9"/>
        <v>4.5</v>
      </c>
      <c r="E93" s="78">
        <f t="shared" si="10"/>
        <v>5.9210526315789469</v>
      </c>
      <c r="F93" s="1124">
        <v>15.8</v>
      </c>
      <c r="G93" s="42">
        <f t="shared" si="11"/>
        <v>9.1292399999999994</v>
      </c>
      <c r="H93" s="135">
        <f t="shared" si="14"/>
        <v>12.054928118026513</v>
      </c>
      <c r="I93" s="42">
        <f t="shared" si="12"/>
        <v>74.264973779583244</v>
      </c>
      <c r="J93" s="1173">
        <f t="shared" si="8"/>
        <v>5.9210526315789469</v>
      </c>
    </row>
    <row r="94" spans="3:10">
      <c r="C94">
        <f t="shared" si="13"/>
        <v>500</v>
      </c>
      <c r="D94">
        <f t="shared" si="9"/>
        <v>5</v>
      </c>
      <c r="E94" s="78">
        <f t="shared" si="10"/>
        <v>6.5789473684210522</v>
      </c>
      <c r="F94" s="1124">
        <v>16.5</v>
      </c>
      <c r="G94" s="42">
        <f t="shared" si="11"/>
        <v>9.5336999999999996</v>
      </c>
      <c r="H94" s="135">
        <f t="shared" si="14"/>
        <v>12.139821978012614</v>
      </c>
      <c r="I94" s="42">
        <f t="shared" si="12"/>
        <v>77.012850121963169</v>
      </c>
      <c r="J94" s="1173">
        <f t="shared" si="8"/>
        <v>6.5789473684210522</v>
      </c>
    </row>
    <row r="95" spans="3:10">
      <c r="C95">
        <f t="shared" si="13"/>
        <v>550</v>
      </c>
      <c r="D95">
        <f t="shared" si="9"/>
        <v>5.5</v>
      </c>
      <c r="E95" s="78">
        <f t="shared" si="10"/>
        <v>7.2368421052631584</v>
      </c>
      <c r="F95" s="1124">
        <v>17</v>
      </c>
      <c r="G95" s="42">
        <f t="shared" si="11"/>
        <v>9.8225999999999996</v>
      </c>
      <c r="H95" s="135">
        <f t="shared" si="14"/>
        <v>12.22592000622547</v>
      </c>
      <c r="I95" s="42">
        <f t="shared" si="12"/>
        <v>78.78779417086885</v>
      </c>
      <c r="J95" s="1173">
        <f t="shared" si="8"/>
        <v>7.2368421052631584</v>
      </c>
    </row>
    <row r="96" spans="3:10">
      <c r="C96">
        <f t="shared" si="13"/>
        <v>600</v>
      </c>
      <c r="D96">
        <f t="shared" si="9"/>
        <v>6</v>
      </c>
      <c r="E96" s="78">
        <f t="shared" si="10"/>
        <v>7.8947368421052628</v>
      </c>
      <c r="F96" s="1124">
        <v>17.5</v>
      </c>
      <c r="G96" s="42">
        <f t="shared" si="11"/>
        <v>10.111499999999999</v>
      </c>
      <c r="H96" s="135">
        <f t="shared" si="14"/>
        <v>12.313248006269937</v>
      </c>
      <c r="I96" s="42">
        <f t="shared" si="12"/>
        <v>80.529868885535535</v>
      </c>
      <c r="J96" s="1173">
        <f t="shared" si="8"/>
        <v>7.8947368421052628</v>
      </c>
    </row>
    <row r="97" spans="3:10">
      <c r="C97">
        <f t="shared" si="13"/>
        <v>650</v>
      </c>
      <c r="D97">
        <f t="shared" si="9"/>
        <v>6.5</v>
      </c>
      <c r="E97" s="78">
        <f t="shared" si="10"/>
        <v>8.5526315789473681</v>
      </c>
      <c r="F97" s="1124">
        <v>18</v>
      </c>
      <c r="G97" s="42">
        <f t="shared" si="11"/>
        <v>10.400399999999999</v>
      </c>
      <c r="H97" s="135">
        <f t="shared" si="14"/>
        <v>12.401832524300657</v>
      </c>
      <c r="I97" s="42">
        <f t="shared" si="12"/>
        <v>82.239074265963225</v>
      </c>
      <c r="J97" s="1173">
        <f t="shared" si="8"/>
        <v>8.5526315789473681</v>
      </c>
    </row>
    <row r="98" spans="3:10">
      <c r="C98">
        <f t="shared" si="13"/>
        <v>700</v>
      </c>
      <c r="D98">
        <f t="shared" si="9"/>
        <v>7</v>
      </c>
      <c r="E98" s="78">
        <f t="shared" si="10"/>
        <v>9.2105263157894726</v>
      </c>
      <c r="F98" s="1124">
        <v>18.2</v>
      </c>
      <c r="G98" s="42">
        <f t="shared" si="11"/>
        <v>10.51596</v>
      </c>
      <c r="H98" s="135">
        <f t="shared" si="14"/>
        <v>12.491700875926023</v>
      </c>
      <c r="I98" s="42">
        <f t="shared" si="12"/>
        <v>82.554619874657575</v>
      </c>
      <c r="J98" s="1173">
        <f t="shared" si="8"/>
        <v>9.2105263157894726</v>
      </c>
    </row>
    <row r="99" spans="3:10">
      <c r="C99">
        <f t="shared" si="13"/>
        <v>750</v>
      </c>
      <c r="D99">
        <f t="shared" si="9"/>
        <v>7.5</v>
      </c>
      <c r="E99" s="78">
        <f t="shared" si="10"/>
        <v>9.8684210526315788</v>
      </c>
      <c r="F99" s="1124">
        <v>18.399999999999999</v>
      </c>
      <c r="G99" s="42">
        <f t="shared" si="11"/>
        <v>10.631519999999998</v>
      </c>
      <c r="H99" s="135">
        <f t="shared" si="14"/>
        <v>12.582881174290447</v>
      </c>
      <c r="I99" s="42">
        <f t="shared" si="12"/>
        <v>82.857017749656308</v>
      </c>
      <c r="J99" s="1173">
        <f t="shared" si="8"/>
        <v>9.8684210526315788</v>
      </c>
    </row>
    <row r="100" spans="3:10">
      <c r="C100">
        <f t="shared" si="13"/>
        <v>800</v>
      </c>
      <c r="D100">
        <f t="shared" si="9"/>
        <v>8</v>
      </c>
      <c r="E100" s="78">
        <f t="shared" si="10"/>
        <v>10.526315789473683</v>
      </c>
      <c r="F100" s="1124">
        <v>18.600000000000001</v>
      </c>
      <c r="G100" s="42">
        <f t="shared" si="11"/>
        <v>10.74708</v>
      </c>
      <c r="H100" s="135">
        <f t="shared" si="14"/>
        <v>12.675402359395523</v>
      </c>
      <c r="I100" s="42">
        <f t="shared" si="12"/>
        <v>83.146267890959479</v>
      </c>
      <c r="J100" s="1173">
        <f t="shared" si="8"/>
        <v>10.526315789473683</v>
      </c>
    </row>
    <row r="101" spans="3:10">
      <c r="C101">
        <f t="shared" si="13"/>
        <v>850</v>
      </c>
      <c r="D101">
        <f t="shared" si="9"/>
        <v>8.5</v>
      </c>
      <c r="E101" s="78">
        <f t="shared" si="10"/>
        <v>11.184210526315789</v>
      </c>
      <c r="F101" s="1124">
        <v>18.899999999999999</v>
      </c>
      <c r="G101" s="42">
        <f t="shared" si="11"/>
        <v>10.920419999999998</v>
      </c>
      <c r="H101" s="135">
        <f t="shared" si="14"/>
        <v>12.769294228724378</v>
      </c>
      <c r="I101" s="42">
        <f t="shared" si="12"/>
        <v>83.866106310793427</v>
      </c>
      <c r="J101" s="1173">
        <f t="shared" si="8"/>
        <v>11.184210526315789</v>
      </c>
    </row>
    <row r="102" spans="3:10">
      <c r="C102">
        <f t="shared" si="13"/>
        <v>900</v>
      </c>
      <c r="D102">
        <f t="shared" si="9"/>
        <v>9</v>
      </c>
      <c r="E102" s="78">
        <f t="shared" si="10"/>
        <v>11.842105263157894</v>
      </c>
      <c r="F102" s="1124">
        <v>19</v>
      </c>
      <c r="G102" s="42">
        <f t="shared" si="11"/>
        <v>10.978199999999999</v>
      </c>
      <c r="H102" s="135">
        <f t="shared" si="14"/>
        <v>12.864587469237248</v>
      </c>
      <c r="I102" s="42">
        <f t="shared" si="12"/>
        <v>83.685324972478966</v>
      </c>
      <c r="J102" s="1173">
        <f t="shared" si="8"/>
        <v>11.842105263157894</v>
      </c>
    </row>
    <row r="103" spans="3:10">
      <c r="C103">
        <f t="shared" si="13"/>
        <v>950</v>
      </c>
      <c r="D103">
        <f t="shared" si="9"/>
        <v>9.5</v>
      </c>
      <c r="E103" s="78">
        <f t="shared" si="10"/>
        <v>12.5</v>
      </c>
      <c r="F103" s="1124">
        <v>19</v>
      </c>
      <c r="G103" s="42">
        <f t="shared" si="11"/>
        <v>10.978199999999999</v>
      </c>
      <c r="H103" s="135">
        <f t="shared" si="14"/>
        <v>12.96131369081046</v>
      </c>
      <c r="I103" s="42">
        <f t="shared" si="12"/>
        <v>83.060807621938082</v>
      </c>
      <c r="J103" s="1173">
        <f t="shared" si="8"/>
        <v>12.5</v>
      </c>
    </row>
    <row r="104" spans="3:10">
      <c r="C104">
        <f t="shared" si="13"/>
        <v>1000</v>
      </c>
      <c r="D104">
        <f t="shared" si="9"/>
        <v>10</v>
      </c>
      <c r="E104" s="78">
        <f t="shared" si="10"/>
        <v>13.157894736842104</v>
      </c>
      <c r="F104" s="1124">
        <v>19</v>
      </c>
      <c r="G104" s="42">
        <f t="shared" si="11"/>
        <v>10.978199999999999</v>
      </c>
      <c r="H104" s="135">
        <f t="shared" si="14"/>
        <v>13.059505461195387</v>
      </c>
      <c r="I104" s="42">
        <f t="shared" si="12"/>
        <v>82.436290271397198</v>
      </c>
      <c r="J104" s="1173">
        <f t="shared" si="8"/>
        <v>13.157894736842104</v>
      </c>
    </row>
    <row r="105" spans="3:10">
      <c r="C105">
        <f t="shared" si="13"/>
        <v>1050</v>
      </c>
      <c r="D105">
        <f t="shared" si="9"/>
        <v>10.5</v>
      </c>
      <c r="E105" s="78">
        <f t="shared" si="10"/>
        <v>13.815789473684212</v>
      </c>
      <c r="F105" s="1124">
        <v>19</v>
      </c>
      <c r="G105" s="42">
        <f t="shared" si="11"/>
        <v>10.978199999999999</v>
      </c>
      <c r="H105" s="135">
        <f t="shared" si="14"/>
        <v>13.159196342578559</v>
      </c>
      <c r="I105" s="42">
        <f t="shared" si="12"/>
        <v>81.811772920856299</v>
      </c>
      <c r="J105" s="1173">
        <f t="shared" si="8"/>
        <v>13.815789473684212</v>
      </c>
    </row>
    <row r="106" spans="3:10">
      <c r="C106">
        <f t="shared" si="13"/>
        <v>1100</v>
      </c>
      <c r="D106">
        <f t="shared" si="9"/>
        <v>11</v>
      </c>
      <c r="E106" s="78">
        <f t="shared" si="10"/>
        <v>14.473684210526317</v>
      </c>
      <c r="F106" s="1124">
        <v>19</v>
      </c>
      <c r="G106" s="42">
        <f t="shared" si="11"/>
        <v>10.978199999999999</v>
      </c>
      <c r="H106" s="135">
        <f t="shared" si="14"/>
        <v>13.260420929829163</v>
      </c>
      <c r="I106" s="42">
        <f t="shared" si="12"/>
        <v>81.187255570315429</v>
      </c>
      <c r="J106" s="1173">
        <f t="shared" si="8"/>
        <v>14.473684210526317</v>
      </c>
    </row>
    <row r="107" spans="3:10">
      <c r="C107">
        <f t="shared" si="13"/>
        <v>1150</v>
      </c>
      <c r="D107">
        <f t="shared" si="9"/>
        <v>11.5</v>
      </c>
      <c r="E107" s="78">
        <f t="shared" si="10"/>
        <v>15.131578947368421</v>
      </c>
      <c r="F107" s="1124">
        <v>19</v>
      </c>
      <c r="G107" s="42">
        <f t="shared" si="11"/>
        <v>10.978199999999999</v>
      </c>
      <c r="H107" s="135">
        <f t="shared" si="14"/>
        <v>13.363214890525514</v>
      </c>
      <c r="I107" s="42">
        <f t="shared" si="12"/>
        <v>80.562738219774531</v>
      </c>
      <c r="J107" s="1173">
        <f t="shared" si="8"/>
        <v>15.131578947368421</v>
      </c>
    </row>
    <row r="108" spans="3:10">
      <c r="C108">
        <f t="shared" si="13"/>
        <v>1200</v>
      </c>
      <c r="D108">
        <f t="shared" si="9"/>
        <v>12</v>
      </c>
      <c r="E108" s="78">
        <f t="shared" si="10"/>
        <v>15.789473684210526</v>
      </c>
      <c r="F108" s="1124">
        <v>19</v>
      </c>
      <c r="G108" s="42">
        <f t="shared" si="11"/>
        <v>10.978199999999999</v>
      </c>
      <c r="H108" s="135">
        <f t="shared" si="14"/>
        <v>13.467615006857745</v>
      </c>
      <c r="I108" s="42">
        <f t="shared" si="12"/>
        <v>79.938220869233632</v>
      </c>
      <c r="J108" s="1173">
        <f t="shared" si="8"/>
        <v>15.789473684210526</v>
      </c>
    </row>
    <row r="112" spans="3:10">
      <c r="C112" s="1956" t="s">
        <v>267</v>
      </c>
      <c r="D112" s="1956"/>
      <c r="G112" t="s">
        <v>268</v>
      </c>
    </row>
    <row r="114" spans="3:9">
      <c r="C114" t="s">
        <v>258</v>
      </c>
      <c r="D114" s="43">
        <v>0</v>
      </c>
      <c r="G114" t="s">
        <v>258</v>
      </c>
      <c r="H114" s="43">
        <v>0</v>
      </c>
    </row>
    <row r="115" spans="3:9">
      <c r="C115" t="s">
        <v>257</v>
      </c>
      <c r="D115" s="43">
        <f>MAX(I44:I68)</f>
        <v>107.17375121966415</v>
      </c>
      <c r="E115" t="s">
        <v>465</v>
      </c>
      <c r="G115" t="s">
        <v>257</v>
      </c>
      <c r="H115" s="43">
        <f>MAX(I84:I108)</f>
        <v>83.866106310793427</v>
      </c>
      <c r="I115" t="s">
        <v>465</v>
      </c>
    </row>
    <row r="116" spans="3:9">
      <c r="C116" t="s">
        <v>170</v>
      </c>
      <c r="D116" s="43">
        <f>(D114+D115)/2</f>
        <v>53.586875609832077</v>
      </c>
      <c r="G116" t="s">
        <v>170</v>
      </c>
      <c r="H116" s="43">
        <f>(H114+H115)/2</f>
        <v>41.933053155396713</v>
      </c>
    </row>
    <row r="117" spans="3:9">
      <c r="C117" t="s">
        <v>173</v>
      </c>
      <c r="D117" s="43">
        <f>(D115-D114)/2</f>
        <v>53.586875609832077</v>
      </c>
      <c r="G117" t="s">
        <v>173</v>
      </c>
      <c r="H117" s="43">
        <f>(H115-H114)/2</f>
        <v>41.933053155396713</v>
      </c>
    </row>
    <row r="121" spans="3:9">
      <c r="C121" t="s">
        <v>176</v>
      </c>
      <c r="D121" s="160" t="s">
        <v>177</v>
      </c>
      <c r="E121" s="160" t="s">
        <v>98</v>
      </c>
      <c r="G121" t="s">
        <v>176</v>
      </c>
      <c r="H121" s="160" t="s">
        <v>177</v>
      </c>
      <c r="I121" s="160" t="s">
        <v>98</v>
      </c>
    </row>
    <row r="122" spans="3:9">
      <c r="C122">
        <v>0</v>
      </c>
      <c r="D122" s="42">
        <f>$D$116+$D$117*COS(RADIANS(C122))</f>
        <v>107.17375121966415</v>
      </c>
      <c r="E122">
        <f>$D$117*SIN(RADIANS(C122))</f>
        <v>0</v>
      </c>
      <c r="G122">
        <v>0</v>
      </c>
      <c r="H122" s="42">
        <f>$H$116+$H$117*COS(RADIANS(G122))</f>
        <v>83.866106310793427</v>
      </c>
      <c r="I122">
        <f>$H$117*SIN(RADIANS(G122))</f>
        <v>0</v>
      </c>
    </row>
    <row r="123" spans="3:9">
      <c r="C123">
        <f>C122+5</f>
        <v>5</v>
      </c>
      <c r="D123" s="42">
        <f t="shared" ref="D123:D158" si="15">$D$116+$D$117*COS(RADIANS(C123))</f>
        <v>106.96983697964868</v>
      </c>
      <c r="E123">
        <f t="shared" ref="E123:E158" si="16">$D$117*SIN(RADIANS(C123))</f>
        <v>4.670403945301282</v>
      </c>
      <c r="G123">
        <f>G122+5</f>
        <v>5</v>
      </c>
      <c r="H123" s="42">
        <f t="shared" ref="H123:H158" si="17">$H$116+$H$117*COS(RADIANS(G123))</f>
        <v>83.706538383602265</v>
      </c>
      <c r="I123">
        <f t="shared" ref="I123:I158" si="18">$H$117*SIN(RADIANS(G123))</f>
        <v>3.6547063934356316</v>
      </c>
    </row>
    <row r="124" spans="3:9">
      <c r="C124">
        <f t="shared" ref="C124:C158" si="19">C123+5</f>
        <v>10</v>
      </c>
      <c r="D124" s="42">
        <f t="shared" si="15"/>
        <v>106.3596461700955</v>
      </c>
      <c r="E124">
        <f t="shared" si="16"/>
        <v>9.3052632965118161</v>
      </c>
      <c r="G124">
        <f t="shared" ref="G124:G158" si="20">G123+5</f>
        <v>10</v>
      </c>
      <c r="H124" s="42">
        <f t="shared" si="17"/>
        <v>83.229049010304436</v>
      </c>
      <c r="I124">
        <f t="shared" si="18"/>
        <v>7.2815982644451624</v>
      </c>
    </row>
    <row r="125" spans="3:9">
      <c r="C125">
        <f t="shared" si="19"/>
        <v>15</v>
      </c>
      <c r="D125" s="42">
        <f t="shared" si="15"/>
        <v>105.34782271150866</v>
      </c>
      <c r="E125">
        <f t="shared" si="16"/>
        <v>13.869303975364296</v>
      </c>
      <c r="G125">
        <f t="shared" si="20"/>
        <v>15</v>
      </c>
      <c r="H125" s="42">
        <f t="shared" si="17"/>
        <v>82.437272173346713</v>
      </c>
      <c r="I125">
        <f t="shared" si="18"/>
        <v>10.853072775913022</v>
      </c>
    </row>
    <row r="126" spans="3:9">
      <c r="C126">
        <f t="shared" si="19"/>
        <v>20</v>
      </c>
      <c r="D126" s="42">
        <f t="shared" si="15"/>
        <v>103.94206719136366</v>
      </c>
      <c r="E126">
        <f t="shared" si="16"/>
        <v>18.327790876449548</v>
      </c>
      <c r="G126">
        <f t="shared" si="20"/>
        <v>20</v>
      </c>
      <c r="H126" s="42">
        <f t="shared" si="17"/>
        <v>81.337233772546256</v>
      </c>
      <c r="I126">
        <f t="shared" si="18"/>
        <v>14.341948850291669</v>
      </c>
    </row>
    <row r="127" spans="3:9">
      <c r="C127">
        <f t="shared" si="19"/>
        <v>25</v>
      </c>
      <c r="D127" s="42">
        <f t="shared" si="15"/>
        <v>102.15307825798722</v>
      </c>
      <c r="E127">
        <f t="shared" si="16"/>
        <v>22.646792222342317</v>
      </c>
      <c r="G127">
        <f t="shared" si="20"/>
        <v>25</v>
      </c>
      <c r="H127" s="42">
        <f t="shared" si="17"/>
        <v>79.93730576435452</v>
      </c>
      <c r="I127">
        <f t="shared" si="18"/>
        <v>17.721674034014111</v>
      </c>
    </row>
    <row r="128" spans="3:9">
      <c r="C128">
        <f t="shared" si="19"/>
        <v>30</v>
      </c>
      <c r="D128" s="42">
        <f t="shared" si="15"/>
        <v>99.99447119738339</v>
      </c>
      <c r="E128">
        <f t="shared" si="16"/>
        <v>26.793437804916035</v>
      </c>
      <c r="G128">
        <f t="shared" si="20"/>
        <v>30</v>
      </c>
      <c r="H128" s="42">
        <f t="shared" si="17"/>
        <v>78.248142446213478</v>
      </c>
      <c r="I128">
        <f t="shared" si="18"/>
        <v>20.966526577698353</v>
      </c>
    </row>
    <row r="129" spans="3:9">
      <c r="C129">
        <f t="shared" si="19"/>
        <v>35</v>
      </c>
      <c r="D129" s="42">
        <f t="shared" si="15"/>
        <v>97.48267431268593</v>
      </c>
      <c r="E129">
        <f t="shared" si="16"/>
        <v>30.736169147474271</v>
      </c>
      <c r="G129">
        <f t="shared" si="20"/>
        <v>35</v>
      </c>
      <c r="H129" s="42">
        <f t="shared" si="17"/>
        <v>76.282599370918888</v>
      </c>
      <c r="I129">
        <f t="shared" si="18"/>
        <v>24.051811194191433</v>
      </c>
    </row>
    <row r="130" spans="3:9">
      <c r="C130">
        <f t="shared" si="19"/>
        <v>40</v>
      </c>
      <c r="D130" s="42">
        <f t="shared" si="15"/>
        <v>94.636803894851838</v>
      </c>
      <c r="E130">
        <f t="shared" si="16"/>
        <v>34.44497968381387</v>
      </c>
      <c r="G130">
        <f t="shared" si="20"/>
        <v>40</v>
      </c>
      <c r="H130" s="42">
        <f t="shared" si="17"/>
        <v>74.055635508101091</v>
      </c>
      <c r="I130">
        <f t="shared" si="18"/>
        <v>26.954047004616047</v>
      </c>
    </row>
    <row r="131" spans="3:9">
      <c r="C131">
        <f t="shared" si="19"/>
        <v>45</v>
      </c>
      <c r="D131" s="42">
        <f t="shared" si="15"/>
        <v>91.478518736144352</v>
      </c>
      <c r="E131">
        <f t="shared" si="16"/>
        <v>37.891643126312267</v>
      </c>
      <c r="G131">
        <f t="shared" si="20"/>
        <v>45</v>
      </c>
      <c r="H131" s="42">
        <f t="shared" si="17"/>
        <v>71.584199397433679</v>
      </c>
      <c r="I131">
        <f t="shared" si="18"/>
        <v>29.651146242036969</v>
      </c>
    </row>
    <row r="132" spans="3:9">
      <c r="C132">
        <f t="shared" si="19"/>
        <v>50</v>
      </c>
      <c r="D132" s="42">
        <f t="shared" si="15"/>
        <v>88.031855293645947</v>
      </c>
      <c r="E132">
        <f t="shared" si="16"/>
        <v>41.04992828501976</v>
      </c>
      <c r="G132">
        <f t="shared" si="20"/>
        <v>50</v>
      </c>
      <c r="H132" s="42">
        <f t="shared" si="17"/>
        <v>68.887100160012764</v>
      </c>
      <c r="I132">
        <f t="shared" si="18"/>
        <v>32.122582352704377</v>
      </c>
    </row>
    <row r="133" spans="3:9">
      <c r="C133">
        <f t="shared" si="19"/>
        <v>55</v>
      </c>
      <c r="D133" s="42">
        <f t="shared" si="15"/>
        <v>84.323044757306349</v>
      </c>
      <c r="E133">
        <f t="shared" si="16"/>
        <v>43.89579870285386</v>
      </c>
      <c r="G133">
        <f t="shared" si="20"/>
        <v>55</v>
      </c>
      <c r="H133" s="42">
        <f t="shared" si="17"/>
        <v>65.98486434958815</v>
      </c>
      <c r="I133">
        <f t="shared" si="18"/>
        <v>34.349546215522174</v>
      </c>
    </row>
    <row r="134" spans="3:9">
      <c r="C134">
        <f t="shared" si="19"/>
        <v>60</v>
      </c>
      <c r="D134" s="42">
        <f t="shared" si="15"/>
        <v>80.380313414748116</v>
      </c>
      <c r="E134">
        <f t="shared" si="16"/>
        <v>46.407595587551306</v>
      </c>
      <c r="G134">
        <f t="shared" si="20"/>
        <v>60</v>
      </c>
      <c r="H134" s="42">
        <f t="shared" si="17"/>
        <v>62.899579733095074</v>
      </c>
      <c r="I134">
        <f t="shared" si="18"/>
        <v>36.315089290816765</v>
      </c>
    </row>
    <row r="135" spans="3:9">
      <c r="C135">
        <f t="shared" si="19"/>
        <v>65</v>
      </c>
      <c r="D135" s="42">
        <f t="shared" si="15"/>
        <v>76.23366783217439</v>
      </c>
      <c r="E135">
        <f t="shared" si="16"/>
        <v>48.566202648155141</v>
      </c>
      <c r="G135">
        <f t="shared" si="20"/>
        <v>65</v>
      </c>
      <c r="H135" s="42">
        <f t="shared" si="17"/>
        <v>59.654727189410821</v>
      </c>
      <c r="I135">
        <f t="shared" si="18"/>
        <v>38.004252608957806</v>
      </c>
    </row>
    <row r="136" spans="3:9">
      <c r="C136">
        <f t="shared" si="19"/>
        <v>70</v>
      </c>
      <c r="D136" s="42">
        <f t="shared" si="15"/>
        <v>71.914666486281632</v>
      </c>
      <c r="E136">
        <f t="shared" si="16"/>
        <v>50.355191581531571</v>
      </c>
      <c r="G136">
        <f t="shared" si="20"/>
        <v>70</v>
      </c>
      <c r="H136" s="42">
        <f t="shared" si="17"/>
        <v>56.275002005688386</v>
      </c>
      <c r="I136">
        <f t="shared" si="18"/>
        <v>39.404180617149542</v>
      </c>
    </row>
    <row r="137" spans="3:9">
      <c r="C137">
        <f t="shared" si="19"/>
        <v>75</v>
      </c>
      <c r="D137" s="42">
        <f t="shared" si="15"/>
        <v>67.456179585196367</v>
      </c>
      <c r="E137">
        <f t="shared" si="16"/>
        <v>51.760947101676571</v>
      </c>
      <c r="G137">
        <f t="shared" si="20"/>
        <v>75</v>
      </c>
      <c r="H137" s="42">
        <f t="shared" si="17"/>
        <v>52.786125931309734</v>
      </c>
      <c r="I137">
        <f t="shared" si="18"/>
        <v>40.504219017949993</v>
      </c>
    </row>
    <row r="138" spans="3:9">
      <c r="C138">
        <f t="shared" si="19"/>
        <v>80</v>
      </c>
      <c r="D138" s="42">
        <f t="shared" si="15"/>
        <v>62.892138906343902</v>
      </c>
      <c r="E138">
        <f t="shared" si="16"/>
        <v>52.772770560263424</v>
      </c>
      <c r="G138">
        <f t="shared" si="20"/>
        <v>80</v>
      </c>
      <c r="H138" s="42">
        <f t="shared" si="17"/>
        <v>49.214651419841879</v>
      </c>
      <c r="I138">
        <f t="shared" si="18"/>
        <v>41.295995854907716</v>
      </c>
    </row>
    <row r="139" spans="3:9">
      <c r="C139">
        <f t="shared" si="19"/>
        <v>85</v>
      </c>
      <c r="D139" s="42">
        <f t="shared" si="15"/>
        <v>58.257279555133358</v>
      </c>
      <c r="E139">
        <f t="shared" si="16"/>
        <v>53.382961369816591</v>
      </c>
      <c r="G139">
        <f t="shared" si="20"/>
        <v>85</v>
      </c>
      <c r="H139" s="42">
        <f t="shared" si="17"/>
        <v>45.587759548832345</v>
      </c>
      <c r="I139">
        <f t="shared" si="18"/>
        <v>41.773485228205544</v>
      </c>
    </row>
    <row r="140" spans="3:9">
      <c r="C140">
        <f t="shared" si="19"/>
        <v>90</v>
      </c>
      <c r="D140" s="42">
        <f t="shared" si="15"/>
        <v>53.586875609832077</v>
      </c>
      <c r="E140">
        <f t="shared" si="16"/>
        <v>53.586875609832077</v>
      </c>
      <c r="G140">
        <f t="shared" si="20"/>
        <v>90</v>
      </c>
      <c r="H140" s="42">
        <f t="shared" si="17"/>
        <v>41.933053155396713</v>
      </c>
      <c r="I140">
        <f t="shared" si="18"/>
        <v>41.933053155396713</v>
      </c>
    </row>
    <row r="141" spans="3:9">
      <c r="C141">
        <f t="shared" si="19"/>
        <v>95</v>
      </c>
      <c r="D141" s="42">
        <f t="shared" si="15"/>
        <v>48.916471664530789</v>
      </c>
      <c r="E141">
        <f t="shared" si="16"/>
        <v>53.382961369816591</v>
      </c>
      <c r="G141">
        <f t="shared" si="20"/>
        <v>95</v>
      </c>
      <c r="H141" s="42">
        <f t="shared" si="17"/>
        <v>38.278346761961082</v>
      </c>
      <c r="I141">
        <f t="shared" si="18"/>
        <v>41.773485228205544</v>
      </c>
    </row>
    <row r="142" spans="3:9">
      <c r="C142">
        <f t="shared" si="19"/>
        <v>100</v>
      </c>
      <c r="D142" s="42">
        <f t="shared" si="15"/>
        <v>44.281612313320267</v>
      </c>
      <c r="E142">
        <f t="shared" si="16"/>
        <v>52.772770560263424</v>
      </c>
      <c r="G142">
        <f t="shared" si="20"/>
        <v>100</v>
      </c>
      <c r="H142" s="42">
        <f t="shared" si="17"/>
        <v>34.651454890951555</v>
      </c>
      <c r="I142">
        <f t="shared" si="18"/>
        <v>41.295995854907716</v>
      </c>
    </row>
    <row r="143" spans="3:9">
      <c r="C143">
        <f t="shared" si="19"/>
        <v>105</v>
      </c>
      <c r="D143" s="42">
        <f t="shared" si="15"/>
        <v>39.717571634467774</v>
      </c>
      <c r="E143">
        <f t="shared" si="16"/>
        <v>51.760947101676571</v>
      </c>
      <c r="G143">
        <f t="shared" si="20"/>
        <v>105</v>
      </c>
      <c r="H143" s="42">
        <f t="shared" si="17"/>
        <v>31.079980379483686</v>
      </c>
      <c r="I143">
        <f t="shared" si="18"/>
        <v>40.504219017949993</v>
      </c>
    </row>
    <row r="144" spans="3:9">
      <c r="C144">
        <f t="shared" si="19"/>
        <v>110</v>
      </c>
      <c r="D144" s="42">
        <f t="shared" si="15"/>
        <v>35.259084733382529</v>
      </c>
      <c r="E144">
        <f t="shared" si="16"/>
        <v>50.355191581531578</v>
      </c>
      <c r="G144">
        <f t="shared" si="20"/>
        <v>110</v>
      </c>
      <c r="H144" s="42">
        <f t="shared" si="17"/>
        <v>27.591104305105045</v>
      </c>
      <c r="I144">
        <f t="shared" si="18"/>
        <v>39.404180617149542</v>
      </c>
    </row>
    <row r="145" spans="3:9">
      <c r="C145">
        <f t="shared" si="19"/>
        <v>115</v>
      </c>
      <c r="D145" s="42">
        <f t="shared" si="15"/>
        <v>30.940083387489768</v>
      </c>
      <c r="E145">
        <f t="shared" si="16"/>
        <v>48.566202648155148</v>
      </c>
      <c r="G145">
        <f t="shared" si="20"/>
        <v>115</v>
      </c>
      <c r="H145" s="42">
        <f t="shared" si="17"/>
        <v>24.211379121382606</v>
      </c>
      <c r="I145">
        <f t="shared" si="18"/>
        <v>38.004252608957813</v>
      </c>
    </row>
    <row r="146" spans="3:9">
      <c r="C146">
        <f t="shared" si="19"/>
        <v>120</v>
      </c>
      <c r="D146" s="42">
        <f t="shared" si="15"/>
        <v>26.793437804916049</v>
      </c>
      <c r="E146">
        <f t="shared" si="16"/>
        <v>46.407595587551313</v>
      </c>
      <c r="G146">
        <f t="shared" si="20"/>
        <v>120</v>
      </c>
      <c r="H146" s="42">
        <f t="shared" si="17"/>
        <v>20.966526577698367</v>
      </c>
      <c r="I146">
        <f t="shared" si="18"/>
        <v>36.315089290816772</v>
      </c>
    </row>
    <row r="147" spans="3:9">
      <c r="C147">
        <f t="shared" si="19"/>
        <v>125</v>
      </c>
      <c r="D147" s="42">
        <f t="shared" si="15"/>
        <v>22.850706462357802</v>
      </c>
      <c r="E147">
        <f t="shared" si="16"/>
        <v>43.895798702853853</v>
      </c>
      <c r="G147">
        <f t="shared" si="20"/>
        <v>125</v>
      </c>
      <c r="H147" s="42">
        <f t="shared" si="17"/>
        <v>17.881241961205276</v>
      </c>
      <c r="I147">
        <f t="shared" si="18"/>
        <v>34.349546215522174</v>
      </c>
    </row>
    <row r="148" spans="3:9">
      <c r="C148">
        <f t="shared" si="19"/>
        <v>130</v>
      </c>
      <c r="D148" s="42">
        <f t="shared" si="15"/>
        <v>19.141895926018201</v>
      </c>
      <c r="E148">
        <f t="shared" si="16"/>
        <v>41.04992828501976</v>
      </c>
      <c r="G148">
        <f t="shared" si="20"/>
        <v>130</v>
      </c>
      <c r="H148" s="42">
        <f t="shared" si="17"/>
        <v>14.979006150780663</v>
      </c>
      <c r="I148">
        <f t="shared" si="18"/>
        <v>32.122582352704377</v>
      </c>
    </row>
    <row r="149" spans="3:9">
      <c r="C149">
        <f t="shared" si="19"/>
        <v>135</v>
      </c>
      <c r="D149" s="42">
        <f t="shared" si="15"/>
        <v>15.69523248351981</v>
      </c>
      <c r="E149">
        <f t="shared" si="16"/>
        <v>37.891643126312275</v>
      </c>
      <c r="G149">
        <f t="shared" si="20"/>
        <v>135</v>
      </c>
      <c r="H149" s="42">
        <f t="shared" si="17"/>
        <v>12.281906913359744</v>
      </c>
      <c r="I149">
        <f t="shared" si="18"/>
        <v>29.651146242036972</v>
      </c>
    </row>
    <row r="150" spans="3:9">
      <c r="C150">
        <f t="shared" si="19"/>
        <v>140</v>
      </c>
      <c r="D150" s="42">
        <f t="shared" si="15"/>
        <v>12.536947324812324</v>
      </c>
      <c r="E150">
        <f t="shared" si="16"/>
        <v>34.444979683813884</v>
      </c>
      <c r="G150">
        <f t="shared" si="20"/>
        <v>140</v>
      </c>
      <c r="H150" s="42">
        <f t="shared" si="17"/>
        <v>9.8104708026923362</v>
      </c>
      <c r="I150">
        <f t="shared" si="18"/>
        <v>26.954047004616054</v>
      </c>
    </row>
    <row r="151" spans="3:9">
      <c r="C151">
        <f t="shared" si="19"/>
        <v>145</v>
      </c>
      <c r="D151" s="42">
        <f t="shared" si="15"/>
        <v>9.6910769069782106</v>
      </c>
      <c r="E151">
        <f t="shared" si="16"/>
        <v>30.736169147474264</v>
      </c>
      <c r="G151">
        <f t="shared" si="20"/>
        <v>145</v>
      </c>
      <c r="H151" s="42">
        <f t="shared" si="17"/>
        <v>7.5835069398745318</v>
      </c>
      <c r="I151">
        <f t="shared" si="18"/>
        <v>24.05181119419143</v>
      </c>
    </row>
    <row r="152" spans="3:9">
      <c r="C152">
        <f t="shared" si="19"/>
        <v>150</v>
      </c>
      <c r="D152" s="42">
        <f t="shared" si="15"/>
        <v>7.1792800222807642</v>
      </c>
      <c r="E152">
        <f t="shared" si="16"/>
        <v>26.793437804916035</v>
      </c>
      <c r="G152">
        <f t="shared" si="20"/>
        <v>150</v>
      </c>
      <c r="H152" s="42">
        <f t="shared" si="17"/>
        <v>5.6179638645799415</v>
      </c>
      <c r="I152">
        <f t="shared" si="18"/>
        <v>20.966526577698353</v>
      </c>
    </row>
    <row r="153" spans="3:9">
      <c r="C153">
        <f t="shared" si="19"/>
        <v>155</v>
      </c>
      <c r="D153" s="42">
        <f t="shared" si="15"/>
        <v>5.0206729616769366</v>
      </c>
      <c r="E153">
        <f t="shared" si="16"/>
        <v>22.64679222234232</v>
      </c>
      <c r="G153">
        <f t="shared" si="20"/>
        <v>155</v>
      </c>
      <c r="H153" s="42">
        <f t="shared" si="17"/>
        <v>3.9288005464389073</v>
      </c>
      <c r="I153">
        <f t="shared" si="18"/>
        <v>17.721674034014114</v>
      </c>
    </row>
    <row r="154" spans="3:9">
      <c r="C154">
        <f t="shared" si="19"/>
        <v>160</v>
      </c>
      <c r="D154" s="42">
        <f t="shared" si="15"/>
        <v>3.2316840283005064</v>
      </c>
      <c r="E154">
        <f t="shared" si="16"/>
        <v>18.327790876449559</v>
      </c>
      <c r="G154">
        <f t="shared" si="20"/>
        <v>160</v>
      </c>
      <c r="H154" s="42">
        <f t="shared" si="17"/>
        <v>2.5288725382471711</v>
      </c>
      <c r="I154">
        <f t="shared" si="18"/>
        <v>14.341948850291676</v>
      </c>
    </row>
    <row r="155" spans="3:9">
      <c r="C155">
        <f t="shared" si="19"/>
        <v>165</v>
      </c>
      <c r="D155" s="42">
        <f t="shared" si="15"/>
        <v>1.8259285081555134</v>
      </c>
      <c r="E155">
        <f t="shared" si="16"/>
        <v>13.869303975364312</v>
      </c>
      <c r="G155">
        <f t="shared" si="20"/>
        <v>165</v>
      </c>
      <c r="H155" s="42">
        <f t="shared" si="17"/>
        <v>1.4288341374467279</v>
      </c>
      <c r="I155">
        <f t="shared" si="18"/>
        <v>10.853072775913033</v>
      </c>
    </row>
    <row r="156" spans="3:9">
      <c r="C156">
        <f t="shared" si="19"/>
        <v>170</v>
      </c>
      <c r="D156" s="42">
        <f t="shared" si="15"/>
        <v>0.81410504956865282</v>
      </c>
      <c r="E156">
        <f t="shared" si="16"/>
        <v>9.3052632965118125</v>
      </c>
      <c r="G156">
        <f t="shared" si="20"/>
        <v>170</v>
      </c>
      <c r="H156" s="42">
        <f t="shared" si="17"/>
        <v>0.63705730048899767</v>
      </c>
      <c r="I156">
        <f t="shared" si="18"/>
        <v>7.2815982644451598</v>
      </c>
    </row>
    <row r="157" spans="3:9">
      <c r="C157">
        <f t="shared" si="19"/>
        <v>175</v>
      </c>
      <c r="D157" s="42">
        <f t="shared" si="15"/>
        <v>0.20391424001548586</v>
      </c>
      <c r="E157">
        <f t="shared" si="16"/>
        <v>4.6704039453012838</v>
      </c>
      <c r="G157">
        <f t="shared" si="20"/>
        <v>175</v>
      </c>
      <c r="H157" s="42">
        <f t="shared" si="17"/>
        <v>0.15956792719116919</v>
      </c>
      <c r="I157">
        <f t="shared" si="18"/>
        <v>3.6547063934356325</v>
      </c>
    </row>
    <row r="158" spans="3:9">
      <c r="C158">
        <f t="shared" si="19"/>
        <v>180</v>
      </c>
      <c r="D158" s="42">
        <f t="shared" si="15"/>
        <v>0</v>
      </c>
      <c r="E158">
        <f t="shared" si="16"/>
        <v>6.5651877856766187E-15</v>
      </c>
      <c r="G158">
        <f t="shared" si="20"/>
        <v>180</v>
      </c>
      <c r="H158" s="42">
        <f t="shared" si="17"/>
        <v>0</v>
      </c>
      <c r="I158">
        <f t="shared" si="18"/>
        <v>5.1374215282935316E-15</v>
      </c>
    </row>
    <row r="163" spans="1:5">
      <c r="D163" s="116" t="s">
        <v>1104</v>
      </c>
    </row>
    <row r="164" spans="1:5">
      <c r="A164" s="116" t="s">
        <v>575</v>
      </c>
      <c r="D164" t="s">
        <v>270</v>
      </c>
      <c r="E164" t="s">
        <v>274</v>
      </c>
    </row>
    <row r="166" spans="1:5">
      <c r="A166" t="s">
        <v>1105</v>
      </c>
      <c r="D166" s="42">
        <f>F31</f>
        <v>38</v>
      </c>
      <c r="E166" s="42">
        <f>F73</f>
        <v>38</v>
      </c>
    </row>
    <row r="167" spans="1:5">
      <c r="A167" t="s">
        <v>1106</v>
      </c>
      <c r="D167" s="42">
        <f>F75</f>
        <v>76</v>
      </c>
      <c r="E167" s="42">
        <f>F75</f>
        <v>76</v>
      </c>
    </row>
    <row r="168" spans="1:5">
      <c r="A168" t="s">
        <v>1107</v>
      </c>
      <c r="D168" s="42">
        <f>F32</f>
        <v>1134.1149479459152</v>
      </c>
      <c r="E168" s="42">
        <f>F74</f>
        <v>1134.1149479459152</v>
      </c>
    </row>
    <row r="169" spans="1:5">
      <c r="A169" t="s">
        <v>1108</v>
      </c>
      <c r="D169" s="42">
        <f>I34</f>
        <v>8.149999999999995</v>
      </c>
      <c r="E169" s="42">
        <f>I75</f>
        <v>8.9782051282051292</v>
      </c>
    </row>
    <row r="170" spans="1:5">
      <c r="A170" t="s">
        <v>1109</v>
      </c>
      <c r="D170" s="42">
        <f>F37</f>
        <v>2.00759377114897</v>
      </c>
      <c r="E170" s="42">
        <f>F78</f>
        <v>1.9723935891005075</v>
      </c>
    </row>
    <row r="171" spans="1:5">
      <c r="A171" t="s">
        <v>1110</v>
      </c>
      <c r="D171" s="42">
        <f>F38</f>
        <v>1.8563049201562369</v>
      </c>
      <c r="E171" s="42">
        <f>F79</f>
        <v>1.8098972971523311</v>
      </c>
    </row>
    <row r="173" spans="1:5">
      <c r="D173" s="116" t="s">
        <v>760</v>
      </c>
    </row>
    <row r="174" spans="1:5">
      <c r="A174" s="116" t="s">
        <v>575</v>
      </c>
      <c r="D174" t="s">
        <v>270</v>
      </c>
      <c r="E174" t="s">
        <v>274</v>
      </c>
    </row>
    <row r="175" spans="1:5">
      <c r="A175" t="s">
        <v>1112</v>
      </c>
      <c r="D175" s="42">
        <f>D115</f>
        <v>107.17375121966415</v>
      </c>
      <c r="E175" s="42">
        <f>H115</f>
        <v>83.866106310793427</v>
      </c>
    </row>
    <row r="176" spans="1:5">
      <c r="A176" t="s">
        <v>1113</v>
      </c>
      <c r="D176" s="42">
        <f>D117</f>
        <v>53.586875609832077</v>
      </c>
      <c r="E176" s="42">
        <f>H117</f>
        <v>41.933053155396713</v>
      </c>
    </row>
    <row r="177" spans="1:23">
      <c r="A177" t="s">
        <v>1114</v>
      </c>
      <c r="D177" s="42">
        <f>VLOOKUP(L25,$I$42:$J$68,2,FALSE)</f>
        <v>9.8684210526315788</v>
      </c>
      <c r="E177" s="42">
        <f>VLOOKUP(E175,$I$84:$J$108,2,0)</f>
        <v>11.184210526315789</v>
      </c>
    </row>
    <row r="178" spans="1:23">
      <c r="A178" t="s">
        <v>1111</v>
      </c>
      <c r="D178" s="1959">
        <f>D175/E175</f>
        <v>1.2779149519890263</v>
      </c>
      <c r="E178" s="1959"/>
    </row>
    <row r="180" spans="1:23">
      <c r="A180" s="1566" t="s">
        <v>1719</v>
      </c>
      <c r="B180" s="862"/>
      <c r="C180" s="14"/>
      <c r="D180" s="370"/>
      <c r="E180" s="370"/>
    </row>
    <row r="181" spans="1:23">
      <c r="A181" s="1570" t="s">
        <v>1994</v>
      </c>
      <c r="B181" s="862"/>
      <c r="C181" s="14"/>
      <c r="D181" s="370"/>
      <c r="E181" s="370"/>
    </row>
    <row r="182" spans="1:23">
      <c r="A182" s="1566" t="s">
        <v>1719</v>
      </c>
      <c r="B182" s="862"/>
      <c r="C182" s="14"/>
      <c r="D182" s="370"/>
      <c r="E182" s="370"/>
    </row>
    <row r="183" spans="1:23">
      <c r="A183" s="1566"/>
      <c r="B183" s="862"/>
      <c r="C183" s="14"/>
      <c r="D183" s="370"/>
      <c r="E183" s="370"/>
    </row>
    <row r="184" spans="1:23">
      <c r="B184" t="s">
        <v>1611</v>
      </c>
      <c r="C184" s="299" t="str">
        <f>F12</f>
        <v>CL</v>
      </c>
    </row>
    <row r="185" spans="1:23">
      <c r="B185" s="116"/>
      <c r="H185" s="116"/>
      <c r="N185" s="116"/>
    </row>
    <row r="186" spans="1:23">
      <c r="B186" s="116" t="s">
        <v>1793</v>
      </c>
      <c r="H186" s="116"/>
      <c r="N186" s="116"/>
    </row>
    <row r="187" spans="1:23">
      <c r="B187" s="116"/>
      <c r="H187" s="116"/>
      <c r="N187" s="116"/>
    </row>
    <row r="188" spans="1:23">
      <c r="B188" s="1866" t="s">
        <v>124</v>
      </c>
      <c r="C188" s="1866"/>
      <c r="D188" s="1866" t="s">
        <v>1783</v>
      </c>
      <c r="E188" s="1867" t="s">
        <v>1788</v>
      </c>
      <c r="F188" s="1867"/>
      <c r="G188" s="1868" t="s">
        <v>1789</v>
      </c>
      <c r="H188" s="1868"/>
      <c r="I188" s="1868"/>
      <c r="J188" s="1868"/>
      <c r="K188" s="1868"/>
      <c r="L188" s="1868"/>
      <c r="M188" s="1868"/>
      <c r="N188" s="1868"/>
    </row>
    <row r="189" spans="1:23">
      <c r="B189" s="1866"/>
      <c r="C189" s="1866"/>
      <c r="D189" s="1866"/>
      <c r="E189" s="1581" t="s">
        <v>1598</v>
      </c>
      <c r="F189" s="1581" t="s">
        <v>1718</v>
      </c>
      <c r="G189" s="1579" t="s">
        <v>1790</v>
      </c>
      <c r="H189" s="1579" t="s">
        <v>1684</v>
      </c>
      <c r="I189" s="1580" t="s">
        <v>1794</v>
      </c>
      <c r="J189" s="1580" t="s">
        <v>438</v>
      </c>
      <c r="K189" s="1580" t="s">
        <v>1791</v>
      </c>
      <c r="L189" s="1580" t="s">
        <v>1598</v>
      </c>
      <c r="M189" s="1580" t="s">
        <v>1792</v>
      </c>
      <c r="N189" s="1580" t="s">
        <v>1718</v>
      </c>
      <c r="Q189" t="s">
        <v>1954</v>
      </c>
      <c r="R189" t="s">
        <v>575</v>
      </c>
      <c r="S189" t="s">
        <v>1836</v>
      </c>
      <c r="T189" t="s">
        <v>1607</v>
      </c>
      <c r="U189" t="s">
        <v>1608</v>
      </c>
      <c r="V189" t="s">
        <v>1715</v>
      </c>
      <c r="W189" t="s">
        <v>1715</v>
      </c>
    </row>
    <row r="190" spans="1:23" ht="67.5" customHeight="1">
      <c r="B190" s="1910" t="s">
        <v>1947</v>
      </c>
      <c r="C190" s="1910"/>
      <c r="D190" s="869">
        <f>D175</f>
        <v>107.17375121966415</v>
      </c>
      <c r="E190" s="1597" t="str">
        <f>IF(D190="","CHECK",
IFERROR(
IF(AND(
D190&gt;=INDEX($T$190:$T$196,MATCH(B190,$R$190:$R$196,0)),
D190&lt;=INDEX($U$190:$U$196,MATCH(B190,$R$190:$R$196,0))
),
"PASS",
"REVIEW"),
"CHECK"))</f>
        <v>PASS</v>
      </c>
      <c r="F190" s="1598" t="str">
        <f>IFERROR(
INDEX($V$190:$V$196,
MATCH(B190,$R$190:$R$196,0)),
"")</f>
        <v>ASTM D2166; Das (2016)</v>
      </c>
      <c r="G190" s="1596" t="str" cm="1">
        <f t="array" ref="G190">IFERROR(
INDEX($R$200:$R$232,
MATCH(1,
($Q$200:$Q$232=B190)*
($U$200:$U$232&gt;=D190)*
($T$200:$T$232&lt;=D190),
0)),
"")</f>
        <v>Tinggi</v>
      </c>
      <c r="H190" s="1596" cm="1">
        <f t="array" ref="H190">IFERROR(
INDEX($S$200:$S$232,
MATCH(1,
($Q$200:$Q$232=B190)*
($U$200:$U$232&gt;=D190)*
($T$200:$T$232&lt;=D190),
0)),
"")</f>
        <v>4</v>
      </c>
      <c r="I190" s="1596" t="str" cm="1">
        <f t="array" ref="I190">IFERROR(
INDEX($R$236:$R$307,
MATCH(1,
($P$236:$P$307=$C$184)*
($Q$236:$Q$307=B190),
0)),
"")</f>
        <v>Sedang-Tinggi</v>
      </c>
      <c r="J190" s="1596" cm="1">
        <f t="array" ref="J190">IFERROR(
INDEX($S$236:$S$307,
MATCH(1,
($P$236:$P$307=$C$184)*
($Q$236:$Q$307=B190),
0)),
"")</f>
        <v>3</v>
      </c>
      <c r="K190" s="1596" cm="1">
        <f t="array" ref="K190">IFERROR(
INDEX($T$236:$T$307,
MATCH(1,
($P$236:$P$307=$C$184)*
($Q$236:$Q$307=B190),
0)),
"")</f>
        <v>5</v>
      </c>
      <c r="L190" s="1597" t="str">
        <f>IF(AND(H190&gt;=J190,H190&lt;=K190),"PASS","REVIEW")</f>
        <v>PASS</v>
      </c>
      <c r="M190" s="1596" t="str" cm="1">
        <f t="array" ref="M190">IFERROR(
INDEX($U$236:$U$307,
MATCH(1,
($P$236:$P$307=$C$184)*
($Q$236:$Q$307=B190),
0)),
"")</f>
        <v>Kondisi alami memberikan kontribusi terhadap kuat tekan bebas.</v>
      </c>
      <c r="N190" s="1596" t="str" cm="1">
        <f t="array" ref="N190">IFERROR(
INDEX($V$236:$V$307,
MATCH(1,
($P$236:$P$307=$C$184)*
($Q$236:$Q$307=B190),
0)),
"")</f>
        <v>ASTM D2166; Das (2016)</v>
      </c>
      <c r="Q190" t="s">
        <v>1955</v>
      </c>
      <c r="R190" t="s">
        <v>1947</v>
      </c>
      <c r="S190" s="5" t="s">
        <v>465</v>
      </c>
      <c r="T190">
        <v>0</v>
      </c>
      <c r="U190">
        <v>1000</v>
      </c>
      <c r="V190" t="s">
        <v>1946</v>
      </c>
      <c r="W190" t="s">
        <v>1946</v>
      </c>
    </row>
    <row r="191" spans="1:23" ht="54" customHeight="1">
      <c r="B191" s="1910" t="s">
        <v>1948</v>
      </c>
      <c r="C191" s="1910"/>
      <c r="D191" s="869">
        <f>E175</f>
        <v>83.866106310793427</v>
      </c>
      <c r="E191" s="1597" t="str">
        <f t="shared" ref="E191:E196" si="21">IF(D191="","CHECK",
IFERROR(
IF(AND(
D191&gt;=INDEX($T$190:$T$196,MATCH(B191,$R$190:$R$196,0)),
D191&lt;=INDEX($U$190:$U$196,MATCH(B191,$R$190:$R$196,0))
),
"PASS",
"REVIEW"),
"CHECK"))</f>
        <v>PASS</v>
      </c>
      <c r="F191" s="1598" t="str">
        <f t="shared" ref="F191:F196" si="22">IFERROR(
INDEX($V$190:$V$196,
MATCH(B191,$R$190:$R$196,0)),
"")</f>
        <v>ASTM D2166; Das (2016)</v>
      </c>
      <c r="G191" s="1596" t="str" cm="1">
        <f t="array" ref="G191">IFERROR(
INDEX($R$200:$R$232,
MATCH(1,
($Q$200:$Q$232=B191)*
($U$200:$U$232&gt;=D191)*
($T$200:$T$232&lt;=D191),
0)),
"")</f>
        <v>Sedang</v>
      </c>
      <c r="H191" s="1596" cm="1">
        <f t="array" ref="H191">IFERROR(
INDEX($S$200:$S$232,
MATCH(1,
($Q$200:$Q$232=B191)*
($U$200:$U$232&gt;=D191)*
($T$200:$T$232&lt;=D191),
0)),
"")</f>
        <v>3</v>
      </c>
      <c r="I191" s="1596" t="str" cm="1">
        <f t="array" ref="I191">IFERROR(
INDEX($R$236:$R$307,
MATCH(1,
($P$236:$P$307=$C$184)*
($Q$236:$Q$307=B191),
0)),
"")</f>
        <v>Sedang</v>
      </c>
      <c r="J191" s="1596" cm="1">
        <f t="array" ref="J191">IFERROR(
INDEX($S$236:$S$307,
MATCH(1,
($P$236:$P$307=$C$184)*
($Q$236:$Q$307=B191),
0)),
"")</f>
        <v>3</v>
      </c>
      <c r="K191" s="1596" cm="1">
        <f t="array" ref="K191">IFERROR(
INDEX($T$236:$T$307,
MATCH(1,
($P$236:$P$307=$C$184)*
($Q$236:$Q$307=B191),
0)),
"")</f>
        <v>4</v>
      </c>
      <c r="L191" s="1597" t="str">
        <f t="shared" ref="L191:L195" si="23">IF(AND(H191&gt;=J191,H191&lt;=K191),"PASS","REVIEW")</f>
        <v>PASS</v>
      </c>
      <c r="M191" s="1596" t="str" cm="1">
        <f t="array" ref="M191">IFERROR(
INDEX($U$236:$U$307,
MATCH(1,
($P$236:$P$307=$C$184)*
($Q$236:$Q$307=B191),
0)),
"")</f>
        <v>Remolding umumnya menurunkan kuat tekan bebas.</v>
      </c>
      <c r="N191" s="1596" t="str" cm="1">
        <f t="array" ref="N191">IFERROR(
INDEX($V$236:$V$307,
MATCH(1,
($P$236:$P$307=$C$184)*
($Q$236:$Q$307=B191),
0)),
"")</f>
        <v>ASTM D2166; Das (2016)</v>
      </c>
      <c r="Q191" t="s">
        <v>1955</v>
      </c>
      <c r="R191" t="s">
        <v>1949</v>
      </c>
      <c r="S191" s="5" t="s">
        <v>465</v>
      </c>
      <c r="T191">
        <v>0</v>
      </c>
      <c r="U191">
        <v>500</v>
      </c>
      <c r="V191" t="s">
        <v>1946</v>
      </c>
      <c r="W191" t="s">
        <v>1946</v>
      </c>
    </row>
    <row r="192" spans="1:23" ht="54" customHeight="1">
      <c r="B192" s="1910" t="s">
        <v>1949</v>
      </c>
      <c r="C192" s="1910"/>
      <c r="D192" s="869">
        <f>D176</f>
        <v>53.586875609832077</v>
      </c>
      <c r="E192" s="1597" t="str">
        <f t="shared" si="21"/>
        <v>PASS</v>
      </c>
      <c r="F192" s="1598" t="str">
        <f t="shared" si="22"/>
        <v>ASTM D2166; Das (2016)</v>
      </c>
      <c r="G192" s="1596" t="str" cm="1">
        <f t="array" ref="G192">IFERROR(
INDEX($R$200:$R$232,
MATCH(1,
($Q$200:$Q$232=B192)*
($U$200:$U$232&gt;=D192)*
($T$200:$T$232&lt;=D192),
0)),
"")</f>
        <v>Tinggi</v>
      </c>
      <c r="H192" s="1596" cm="1">
        <f t="array" ref="H192">IFERROR(
INDEX($S$200:$S$232,
MATCH(1,
($Q$200:$Q$232=B192)*
($U$200:$U$232&gt;=D192)*
($T$200:$T$232&lt;=D192),
0)),
"")</f>
        <v>4</v>
      </c>
      <c r="I192" s="1596" t="str" cm="1">
        <f t="array" ref="I192">IFERROR(
INDEX($R$236:$R$307,
MATCH(1,
($P$236:$P$307=$C$184)*
($Q$236:$Q$307=B192),
0)),
"")</f>
        <v>Sedang-Tinggi</v>
      </c>
      <c r="J192" s="1596" cm="1">
        <f t="array" ref="J192">IFERROR(
INDEX($S$236:$S$307,
MATCH(1,
($P$236:$P$307=$C$184)*
($Q$236:$Q$307=B192),
0)),
"")</f>
        <v>3</v>
      </c>
      <c r="K192" s="1596" cm="1">
        <f t="array" ref="K192">IFERROR(
INDEX($T$236:$T$307,
MATCH(1,
($P$236:$P$307=$C$184)*
($Q$236:$Q$307=B192),
0)),
"")</f>
        <v>5</v>
      </c>
      <c r="L192" s="1597" t="str">
        <f t="shared" si="23"/>
        <v>PASS</v>
      </c>
      <c r="M192" s="1596" t="str" cm="1">
        <f t="array" ref="M192">IFERROR(
INDEX($U$236:$U$307,
MATCH(1,
($P$236:$P$307=$C$184)*
($Q$236:$Q$307=B192),
0)),
"")</f>
        <v>Nilai cu mewakili kuat geser undrained.</v>
      </c>
      <c r="N192" s="1596" t="str" cm="1">
        <f t="array" ref="N192">IFERROR(
INDEX($V$236:$V$307,
MATCH(1,
($P$236:$P$307=$C$184)*
($Q$236:$Q$307=B192),
0)),
"")</f>
        <v>ASTM D2166; Das (2016)</v>
      </c>
      <c r="Q192" t="s">
        <v>1955</v>
      </c>
      <c r="R192" t="s">
        <v>1951</v>
      </c>
      <c r="S192" s="5" t="s">
        <v>34</v>
      </c>
      <c r="T192">
        <v>0</v>
      </c>
      <c r="U192">
        <v>20</v>
      </c>
      <c r="V192" t="s">
        <v>1956</v>
      </c>
    </row>
    <row r="193" spans="1:22" ht="54" customHeight="1">
      <c r="B193" s="1910" t="s">
        <v>1950</v>
      </c>
      <c r="C193" s="1910"/>
      <c r="D193" s="869">
        <f>E176</f>
        <v>41.933053155396713</v>
      </c>
      <c r="E193" s="1597" t="str">
        <f t="shared" si="21"/>
        <v>PASS</v>
      </c>
      <c r="F193" s="1598" t="str">
        <f t="shared" si="22"/>
        <v>ASTM D2166; Das (2016)</v>
      </c>
      <c r="G193" s="1596" t="str" cm="1">
        <f t="array" ref="G193">IFERROR(
INDEX($R$200:$R$232,
MATCH(1,
($Q$200:$Q$232=B193)*
($U$200:$U$232&gt;=D193)*
($T$200:$T$232&lt;=D193),
0)),
"")</f>
        <v>Sedang</v>
      </c>
      <c r="H193" s="1596" cm="1">
        <f t="array" ref="H193">IFERROR(
INDEX($S$200:$S$232,
MATCH(1,
($Q$200:$Q$232=B193)*
($U$200:$U$232&gt;=D193)*
($T$200:$T$232&lt;=D193),
0)),
"")</f>
        <v>3</v>
      </c>
      <c r="I193" s="1596" t="str" cm="1">
        <f t="array" ref="I193">IFERROR(
INDEX($R$236:$R$307,
MATCH(1,
($P$236:$P$307=$C$184)*
($Q$236:$Q$307=B193),
0)),
"")</f>
        <v>Sedang</v>
      </c>
      <c r="J193" s="1596" cm="1">
        <f t="array" ref="J193">IFERROR(
INDEX($S$236:$S$307,
MATCH(1,
($P$236:$P$307=$C$184)*
($Q$236:$Q$307=B193),
0)),
"")</f>
        <v>3</v>
      </c>
      <c r="K193" s="1596" cm="1">
        <f t="array" ref="K193">IFERROR(
INDEX($T$236:$T$307,
MATCH(1,
($P$236:$P$307=$C$184)*
($Q$236:$Q$307=B193),
0)),
"")</f>
        <v>4</v>
      </c>
      <c r="L193" s="1597" t="str">
        <f t="shared" si="23"/>
        <v>PASS</v>
      </c>
      <c r="M193" s="1596" t="str" cm="1">
        <f t="array" ref="M193">IFERROR(
INDEX($U$236:$U$307,
MATCH(1,
($P$236:$P$307=$C$184)*
($Q$236:$Q$307=B193),
0)),
"")</f>
        <v>Nilai cu umumnya menurun setelah remolding.</v>
      </c>
      <c r="N193" s="1596" t="str" cm="1">
        <f t="array" ref="N193">IFERROR(
INDEX($V$236:$V$307,
MATCH(1,
($P$236:$P$307=$C$184)*
($Q$236:$Q$307=B193),
0)),
"")</f>
        <v>ASTM D2166; Das (2016)</v>
      </c>
      <c r="Q193" t="s">
        <v>1957</v>
      </c>
      <c r="R193" t="s">
        <v>1948</v>
      </c>
      <c r="S193" s="5" t="s">
        <v>465</v>
      </c>
      <c r="T193">
        <v>0</v>
      </c>
      <c r="U193">
        <v>1000</v>
      </c>
      <c r="V193" t="s">
        <v>1946</v>
      </c>
    </row>
    <row r="194" spans="1:22" ht="54" customHeight="1">
      <c r="B194" s="1910" t="s">
        <v>1951</v>
      </c>
      <c r="C194" s="1910"/>
      <c r="D194" s="869">
        <f>D177</f>
        <v>9.8684210526315788</v>
      </c>
      <c r="E194" s="1597" t="str">
        <f t="shared" si="21"/>
        <v>PASS</v>
      </c>
      <c r="F194" s="1598" t="str">
        <f t="shared" si="22"/>
        <v>ASTM D2166; Head (2006)</v>
      </c>
      <c r="G194" s="1596" t="str" cm="1">
        <f t="array" ref="G194">IFERROR(
INDEX($R$200:$R$232,
MATCH(1,
($Q$200:$Q$232=B194)*
($U$200:$U$232&gt;=D194)*
($T$200:$T$232&lt;=D194),
0)),
"")</f>
        <v>Sedang</v>
      </c>
      <c r="H194" s="1596" cm="1">
        <f t="array" ref="H194">IFERROR(
INDEX($S$200:$S$232,
MATCH(1,
($Q$200:$Q$232=B194)*
($U$200:$U$232&gt;=D194)*
($T$200:$T$232&lt;=D194),
0)),
"")</f>
        <v>2</v>
      </c>
      <c r="I194" s="1596" t="str" cm="1">
        <f t="array" ref="I194">IFERROR(
INDEX($R$236:$R$307,
MATCH(1,
($P$236:$P$307=$C$184)*
($Q$236:$Q$307=B194),
0)),
"")</f>
        <v>Sedang</v>
      </c>
      <c r="J194" s="1596" cm="1">
        <f t="array" ref="J194">IFERROR(
INDEX($S$236:$S$307,
MATCH(1,
($P$236:$P$307=$C$184)*
($Q$236:$Q$307=B194),
0)),
"")</f>
        <v>2</v>
      </c>
      <c r="K194" s="1596" cm="1">
        <f t="array" ref="K194">IFERROR(
INDEX($T$236:$T$307,
MATCH(1,
($P$236:$P$307=$C$184)*
($Q$236:$Q$307=B194),
0)),
"")</f>
        <v>3</v>
      </c>
      <c r="L194" s="1597" t="str">
        <f t="shared" si="23"/>
        <v>PASS</v>
      </c>
      <c r="M194" s="1596" t="str" cm="1">
        <f t="array" ref="M194">IFERROR(
INDEX($U$236:$U$307,
MATCH(1,
($P$236:$P$307=$C$184)*
($Q$236:$Q$307=B194),
0)),
"")</f>
        <v>Regangan keruntuhan umumnya normal.</v>
      </c>
      <c r="N194" s="1596" t="str" cm="1">
        <f t="array" ref="N194">IFERROR(
INDEX($V$236:$V$307,
MATCH(1,
($P$236:$P$307=$C$184)*
($Q$236:$Q$307=B194),
0)),
"")</f>
        <v>Head (2006)</v>
      </c>
      <c r="Q194" t="s">
        <v>1957</v>
      </c>
      <c r="R194" t="s">
        <v>1950</v>
      </c>
      <c r="S194" s="5" t="s">
        <v>465</v>
      </c>
      <c r="T194">
        <v>0</v>
      </c>
      <c r="U194">
        <v>500</v>
      </c>
      <c r="V194" t="s">
        <v>1946</v>
      </c>
    </row>
    <row r="195" spans="1:22" ht="34.5" customHeight="1">
      <c r="B195" s="1910" t="s">
        <v>1952</v>
      </c>
      <c r="C195" s="1910"/>
      <c r="D195" s="1599">
        <f>E177</f>
        <v>11.184210526315789</v>
      </c>
      <c r="E195" s="1597" t="str">
        <f t="shared" si="21"/>
        <v>PASS</v>
      </c>
      <c r="F195" s="1598" t="str">
        <f t="shared" si="22"/>
        <v>ASTM D2166; Head (2006)</v>
      </c>
      <c r="G195" s="1596" t="str" cm="1">
        <f t="array" ref="G195">IFERROR(
INDEX($R$200:$R$232,
MATCH(1,
($Q$200:$Q$232=B195)*
($U$200:$U$232&gt;=D195)*
($T$200:$T$232&lt;=D195),
0)),
"")</f>
        <v>Tinggi</v>
      </c>
      <c r="H195" s="1596" cm="1">
        <f t="array" ref="H195">IFERROR(
INDEX($S$200:$S$232,
MATCH(1,
($Q$200:$Q$232=B195)*
($U$200:$U$232&gt;=D195)*
($T$200:$T$232&lt;=D195),
0)),
"")</f>
        <v>3</v>
      </c>
      <c r="I195" s="1596" t="str" cm="1">
        <f t="array" ref="I195">IFERROR(
INDEX($R$236:$R$307,
MATCH(1,
($P$236:$P$307=$C$184)*
($Q$236:$Q$307=B195),
0)),
"")</f>
        <v>Sedang-Tinggi</v>
      </c>
      <c r="J195" s="1596" cm="1">
        <f t="array" ref="J195">IFERROR(
INDEX($S$236:$S$307,
MATCH(1,
($P$236:$P$307=$C$184)*
($Q$236:$Q$307=B195),
0)),
"")</f>
        <v>3</v>
      </c>
      <c r="K195" s="1596" cm="1">
        <f t="array" ref="K195">IFERROR(
INDEX($T$236:$T$307,
MATCH(1,
($P$236:$P$307=$C$184)*
($Q$236:$Q$307=B195),
0)),
"")</f>
        <v>4</v>
      </c>
      <c r="L195" s="1597" t="str">
        <f t="shared" si="23"/>
        <v>PASS</v>
      </c>
      <c r="M195" s="1596" t="str" cm="1">
        <f t="array" ref="M195">IFERROR(
INDEX($U$236:$U$307,
MATCH(1,
($P$236:$P$307=$C$184)*
($Q$236:$Q$307=B195),
0)),
"")</f>
        <v>Regangan keruntuhan cenderung meningkat setelah remolding.</v>
      </c>
      <c r="N195" s="1596" t="str" cm="1">
        <f t="array" ref="N195">IFERROR(
INDEX($V$236:$V$307,
MATCH(1,
($P$236:$P$307=$C$184)*
($Q$236:$Q$307=B195),
0)),
"")</f>
        <v>Head (2006)</v>
      </c>
      <c r="Q195" t="s">
        <v>1957</v>
      </c>
      <c r="R195" t="s">
        <v>1952</v>
      </c>
      <c r="S195" t="s">
        <v>34</v>
      </c>
      <c r="T195">
        <v>0</v>
      </c>
      <c r="U195">
        <v>20</v>
      </c>
      <c r="V195" t="s">
        <v>1956</v>
      </c>
    </row>
    <row r="196" spans="1:22" ht="24">
      <c r="B196" s="875" t="s">
        <v>1953</v>
      </c>
      <c r="C196" s="875"/>
      <c r="D196" s="1599">
        <f>D178</f>
        <v>1.2779149519890263</v>
      </c>
      <c r="E196" s="1597" t="str">
        <f t="shared" si="21"/>
        <v>PASS</v>
      </c>
      <c r="F196" s="1598" t="str">
        <f t="shared" si="22"/>
        <v>ASTM D2166; Skempton</v>
      </c>
      <c r="G196" s="1596" t="str" cm="1">
        <f t="array" ref="G196">IFERROR(
INDEX($R$200:$R$232,
MATCH(1,
($Q$200:$Q$232=B196)*
($U$200:$U$232&gt;=D196)*
($T$200:$T$232&lt;=D196),
0)),
"")</f>
        <v>Sangat Rendah</v>
      </c>
      <c r="H196" s="1596" cm="1">
        <f t="array" ref="H196">IFERROR(
INDEX($S$200:$S$232,
MATCH(1,
($Q$200:$Q$232=B196)*
($U$200:$U$232&gt;=D196)*
($T$200:$T$232&lt;=D196),
0)),
"")</f>
        <v>1</v>
      </c>
      <c r="I196" s="875"/>
      <c r="J196" s="875"/>
      <c r="K196" s="875"/>
      <c r="L196" s="1597"/>
      <c r="M196" s="875"/>
      <c r="N196" s="875"/>
      <c r="Q196" t="s">
        <v>1958</v>
      </c>
      <c r="R196" t="s">
        <v>1953</v>
      </c>
      <c r="S196" t="s">
        <v>90</v>
      </c>
      <c r="T196">
        <v>1</v>
      </c>
      <c r="U196">
        <v>100</v>
      </c>
      <c r="V196" t="s">
        <v>1959</v>
      </c>
    </row>
    <row r="198" spans="1:22">
      <c r="Q198" t="s">
        <v>1797</v>
      </c>
    </row>
    <row r="199" spans="1:22">
      <c r="A199" s="116" t="s">
        <v>1795</v>
      </c>
      <c r="P199" t="s">
        <v>1954</v>
      </c>
      <c r="Q199" t="s">
        <v>575</v>
      </c>
      <c r="R199" t="s">
        <v>1667</v>
      </c>
      <c r="S199" t="s">
        <v>1611</v>
      </c>
      <c r="T199" t="s">
        <v>1607</v>
      </c>
      <c r="U199" t="s">
        <v>1608</v>
      </c>
    </row>
    <row r="200" spans="1:22">
      <c r="A200" t="s">
        <v>1831</v>
      </c>
      <c r="D200" s="1583" t="str">
        <f>IF(COUNTIF(E190:E195,"REVIEW")&gt;0,
"REVIEW",
"PASS")</f>
        <v>PASS</v>
      </c>
      <c r="P200" t="s">
        <v>1955</v>
      </c>
      <c r="Q200" s="326" t="s">
        <v>1947</v>
      </c>
      <c r="R200" t="s">
        <v>1680</v>
      </c>
      <c r="S200">
        <v>1</v>
      </c>
      <c r="T200">
        <v>0</v>
      </c>
      <c r="U200">
        <v>25</v>
      </c>
    </row>
    <row r="201" spans="1:22">
      <c r="A201" t="s">
        <v>1832</v>
      </c>
      <c r="D201" s="1583" t="str">
        <f>IF(COUNTIF(L190:L195,"REVIEW")&gt;0,
"REVIEW",
"PASS")</f>
        <v>PASS</v>
      </c>
      <c r="P201" t="s">
        <v>1955</v>
      </c>
      <c r="Q201" s="326" t="s">
        <v>1947</v>
      </c>
      <c r="R201" t="s">
        <v>1670</v>
      </c>
      <c r="S201">
        <v>2</v>
      </c>
      <c r="T201">
        <v>25.1</v>
      </c>
      <c r="U201">
        <v>50</v>
      </c>
    </row>
    <row r="202" spans="1:22">
      <c r="A202" t="s">
        <v>1605</v>
      </c>
      <c r="D202" s="1583" t="str">
        <f>IF(AND(D200="PASS",D201="PASS"),
"PASS",
IF(AND(D200="PASS",D201="REVIEW"),
"REVIEW",
IF(AND(D200="REVIEW",D201="PASS"),
"REVIEW",
"RE-ANALYZE")))</f>
        <v>PASS</v>
      </c>
      <c r="P202" t="s">
        <v>1955</v>
      </c>
      <c r="Q202" s="326" t="s">
        <v>1947</v>
      </c>
      <c r="R202" t="s">
        <v>1672</v>
      </c>
      <c r="S202">
        <v>3</v>
      </c>
      <c r="T202">
        <v>50.1</v>
      </c>
      <c r="U202">
        <v>100</v>
      </c>
    </row>
    <row r="203" spans="1:22">
      <c r="P203" t="s">
        <v>1955</v>
      </c>
      <c r="Q203" s="326" t="s">
        <v>1947</v>
      </c>
      <c r="R203" t="s">
        <v>338</v>
      </c>
      <c r="S203">
        <v>4</v>
      </c>
      <c r="T203">
        <v>100.1</v>
      </c>
      <c r="U203">
        <v>200</v>
      </c>
    </row>
    <row r="204" spans="1:22">
      <c r="A204" s="116" t="s">
        <v>1833</v>
      </c>
      <c r="P204" t="s">
        <v>1955</v>
      </c>
      <c r="Q204" s="326" t="s">
        <v>1947</v>
      </c>
      <c r="R204" t="s">
        <v>1681</v>
      </c>
      <c r="S204">
        <v>5</v>
      </c>
      <c r="T204">
        <v>200.1</v>
      </c>
      <c r="U204">
        <v>1000</v>
      </c>
    </row>
    <row r="205" spans="1:22">
      <c r="B205" s="1907" t="str" cm="1">
        <f t="array" ref="B205">IFERROR(
INDEX($R$311:$R$314,
MATCH(1,
($O$311:$O$314=D200)*
($P$311:$P$314=D201),
0)),
"")</f>
        <v>Parameter UCT Undisturbed dan Remolded berada dalam rentang teoritis serta konsisten dengan karakteristik umum tanah. Nilai Sensitivity menunjukkan perilaku tanah yang dapat diterima secara engineering.</v>
      </c>
      <c r="C205" s="1907"/>
      <c r="D205" s="1907"/>
      <c r="E205" s="1907"/>
      <c r="F205" s="1907"/>
      <c r="G205" s="1907"/>
      <c r="H205" s="1907"/>
      <c r="I205" s="1907"/>
      <c r="J205" s="1907"/>
      <c r="K205" s="1907"/>
      <c r="L205" s="1907"/>
      <c r="P205" t="s">
        <v>1957</v>
      </c>
      <c r="Q205" s="326" t="s">
        <v>1948</v>
      </c>
      <c r="R205" t="s">
        <v>1680</v>
      </c>
      <c r="S205">
        <v>1</v>
      </c>
      <c r="T205">
        <v>0</v>
      </c>
      <c r="U205">
        <v>25</v>
      </c>
    </row>
    <row r="206" spans="1:22">
      <c r="B206" s="1907"/>
      <c r="C206" s="1907"/>
      <c r="D206" s="1907"/>
      <c r="E206" s="1907"/>
      <c r="F206" s="1907"/>
      <c r="G206" s="1907"/>
      <c r="H206" s="1907"/>
      <c r="I206" s="1907"/>
      <c r="J206" s="1907"/>
      <c r="K206" s="1907"/>
      <c r="L206" s="1907"/>
      <c r="P206" t="s">
        <v>1957</v>
      </c>
      <c r="Q206" s="326" t="s">
        <v>1948</v>
      </c>
      <c r="R206" t="s">
        <v>1670</v>
      </c>
      <c r="S206">
        <v>2</v>
      </c>
      <c r="T206">
        <v>25.1</v>
      </c>
      <c r="U206">
        <v>50</v>
      </c>
    </row>
    <row r="207" spans="1:22">
      <c r="P207" t="s">
        <v>1957</v>
      </c>
      <c r="Q207" s="326" t="s">
        <v>1948</v>
      </c>
      <c r="R207" t="s">
        <v>1672</v>
      </c>
      <c r="S207">
        <v>3</v>
      </c>
      <c r="T207">
        <v>50.1</v>
      </c>
      <c r="U207">
        <v>100</v>
      </c>
    </row>
    <row r="208" spans="1:22">
      <c r="P208" t="s">
        <v>1957</v>
      </c>
      <c r="Q208" s="326" t="s">
        <v>1948</v>
      </c>
      <c r="R208" t="s">
        <v>338</v>
      </c>
      <c r="S208">
        <v>4</v>
      </c>
      <c r="T208">
        <v>100.1</v>
      </c>
      <c r="U208">
        <v>200</v>
      </c>
    </row>
    <row r="209" spans="1:21">
      <c r="A209" s="116" t="s">
        <v>1989</v>
      </c>
      <c r="P209" t="s">
        <v>1957</v>
      </c>
      <c r="Q209" s="326" t="s">
        <v>1948</v>
      </c>
      <c r="R209" t="s">
        <v>1681</v>
      </c>
      <c r="S209">
        <v>5</v>
      </c>
      <c r="T209">
        <v>200.1</v>
      </c>
      <c r="U209">
        <v>1000</v>
      </c>
    </row>
    <row r="210" spans="1:21">
      <c r="A210" s="875" t="s">
        <v>1953</v>
      </c>
      <c r="P210" t="s">
        <v>1955</v>
      </c>
      <c r="Q210" t="s">
        <v>1949</v>
      </c>
      <c r="R210" t="s">
        <v>1680</v>
      </c>
      <c r="S210">
        <v>1</v>
      </c>
      <c r="T210">
        <v>0</v>
      </c>
      <c r="U210">
        <v>12.5</v>
      </c>
    </row>
    <row r="211" spans="1:21">
      <c r="A211" t="s">
        <v>1990</v>
      </c>
      <c r="D211" s="1583" t="str">
        <f>IF(OR(D190="",D192=""),"CHECK",
IF(ABS(D192-(D190/2))&lt;=0.01,"PASS","REVIEW"))</f>
        <v>PASS</v>
      </c>
      <c r="K211" s="1578"/>
      <c r="L211" s="1578"/>
      <c r="M211" s="1578"/>
      <c r="P211" t="s">
        <v>1955</v>
      </c>
      <c r="Q211" t="s">
        <v>1949</v>
      </c>
      <c r="R211" t="s">
        <v>1670</v>
      </c>
      <c r="S211">
        <v>2</v>
      </c>
      <c r="T211">
        <v>12.6</v>
      </c>
      <c r="U211">
        <v>25</v>
      </c>
    </row>
    <row r="212" spans="1:21">
      <c r="A212" t="s">
        <v>1991</v>
      </c>
      <c r="D212" s="1583" t="str">
        <f>IF(OR(D191="",D193=""),"CHECK",
IF(ABS(D193-(D191/2))&lt;=0.01,"PASS","REVIEW"))</f>
        <v>PASS</v>
      </c>
      <c r="K212" s="5"/>
      <c r="L212" s="5"/>
      <c r="M212" s="5"/>
      <c r="P212" t="s">
        <v>1955</v>
      </c>
      <c r="Q212" t="s">
        <v>1949</v>
      </c>
      <c r="R212" t="s">
        <v>1672</v>
      </c>
      <c r="S212">
        <v>3</v>
      </c>
      <c r="T212">
        <v>25.1</v>
      </c>
      <c r="U212">
        <v>50</v>
      </c>
    </row>
    <row r="213" spans="1:21">
      <c r="A213" t="s">
        <v>1992</v>
      </c>
      <c r="D213" s="1583" t="str">
        <f>IF(OR(D190="",D191=""),"CHECK",
IF(D190&gt;=D191,"PASS","REVIEW"))</f>
        <v>PASS</v>
      </c>
      <c r="K213" s="5"/>
      <c r="L213" s="5"/>
      <c r="M213" s="5"/>
      <c r="P213" t="s">
        <v>1955</v>
      </c>
      <c r="Q213" t="s">
        <v>1949</v>
      </c>
      <c r="R213" t="s">
        <v>338</v>
      </c>
      <c r="S213">
        <v>4</v>
      </c>
      <c r="T213">
        <v>50.1</v>
      </c>
      <c r="U213">
        <v>100</v>
      </c>
    </row>
    <row r="214" spans="1:21">
      <c r="A214" t="s">
        <v>1993</v>
      </c>
      <c r="D214" s="1583" t="str">
        <f>IF(D196="","CHECK",
IF(D196&lt;=8,"PASS","REVIEW"))</f>
        <v>PASS</v>
      </c>
      <c r="K214" s="5"/>
      <c r="L214" s="5"/>
      <c r="M214" s="5"/>
      <c r="P214" t="s">
        <v>1955</v>
      </c>
      <c r="Q214" t="s">
        <v>1949</v>
      </c>
      <c r="R214" t="s">
        <v>1681</v>
      </c>
      <c r="S214">
        <v>5</v>
      </c>
      <c r="T214">
        <v>100.1</v>
      </c>
      <c r="U214">
        <v>500</v>
      </c>
    </row>
    <row r="215" spans="1:21">
      <c r="K215" s="5"/>
      <c r="L215" s="5"/>
      <c r="M215" s="5"/>
      <c r="P215" t="s">
        <v>1957</v>
      </c>
      <c r="Q215" t="s">
        <v>1950</v>
      </c>
      <c r="R215" t="s">
        <v>1680</v>
      </c>
      <c r="S215">
        <v>1</v>
      </c>
      <c r="T215">
        <v>0</v>
      </c>
      <c r="U215">
        <v>12.5</v>
      </c>
    </row>
    <row r="216" spans="1:21">
      <c r="A216" t="s">
        <v>1995</v>
      </c>
      <c r="D216" s="1583" t="str">
        <f>IF(OR(D194="",D195=""),"CHECK",
IF(D195&gt;=D194,"PASS","REVIEW"))</f>
        <v>PASS</v>
      </c>
      <c r="K216" s="5"/>
      <c r="L216" s="5"/>
      <c r="M216" s="5"/>
      <c r="P216" t="s">
        <v>1957</v>
      </c>
      <c r="Q216" t="s">
        <v>1950</v>
      </c>
      <c r="R216" t="s">
        <v>1670</v>
      </c>
      <c r="S216">
        <v>2</v>
      </c>
      <c r="T216">
        <v>12.6</v>
      </c>
      <c r="U216">
        <v>25</v>
      </c>
    </row>
    <row r="217" spans="1:21">
      <c r="K217" s="5"/>
      <c r="L217" s="5"/>
      <c r="M217" s="5"/>
      <c r="P217" t="s">
        <v>1957</v>
      </c>
      <c r="Q217" t="s">
        <v>1950</v>
      </c>
      <c r="R217" t="s">
        <v>1672</v>
      </c>
      <c r="S217">
        <v>3</v>
      </c>
      <c r="T217">
        <v>25.1</v>
      </c>
      <c r="U217">
        <v>50</v>
      </c>
    </row>
    <row r="218" spans="1:21">
      <c r="K218" s="5"/>
      <c r="L218" s="5"/>
      <c r="M218" s="5"/>
      <c r="P218" t="s">
        <v>1957</v>
      </c>
      <c r="Q218" t="s">
        <v>1950</v>
      </c>
      <c r="R218" t="s">
        <v>338</v>
      </c>
      <c r="S218">
        <v>4</v>
      </c>
      <c r="T218">
        <v>50.1</v>
      </c>
      <c r="U218">
        <v>100</v>
      </c>
    </row>
    <row r="219" spans="1:21">
      <c r="K219" s="5"/>
      <c r="L219" s="5"/>
      <c r="M219" s="5"/>
      <c r="P219" t="s">
        <v>1957</v>
      </c>
      <c r="Q219" t="s">
        <v>1950</v>
      </c>
      <c r="R219" t="s">
        <v>1681</v>
      </c>
      <c r="S219">
        <v>5</v>
      </c>
      <c r="T219">
        <v>100.1</v>
      </c>
      <c r="U219">
        <v>500</v>
      </c>
    </row>
    <row r="220" spans="1:21">
      <c r="P220" t="s">
        <v>1955</v>
      </c>
      <c r="Q220" t="s">
        <v>1951</v>
      </c>
      <c r="R220" t="s">
        <v>1670</v>
      </c>
      <c r="S220">
        <v>1</v>
      </c>
      <c r="T220">
        <v>0</v>
      </c>
      <c r="U220">
        <v>5</v>
      </c>
    </row>
    <row r="221" spans="1:21">
      <c r="P221" t="s">
        <v>1955</v>
      </c>
      <c r="Q221" t="s">
        <v>1951</v>
      </c>
      <c r="R221" t="s">
        <v>1672</v>
      </c>
      <c r="S221">
        <v>2</v>
      </c>
      <c r="T221">
        <v>5.0999999999999996</v>
      </c>
      <c r="U221">
        <v>10</v>
      </c>
    </row>
    <row r="222" spans="1:21">
      <c r="P222" t="s">
        <v>1955</v>
      </c>
      <c r="Q222" t="s">
        <v>1951</v>
      </c>
      <c r="R222" t="s">
        <v>338</v>
      </c>
      <c r="S222">
        <v>3</v>
      </c>
      <c r="T222">
        <v>10.1</v>
      </c>
      <c r="U222">
        <v>15</v>
      </c>
    </row>
    <row r="223" spans="1:21">
      <c r="P223" t="s">
        <v>1955</v>
      </c>
      <c r="Q223" t="s">
        <v>1951</v>
      </c>
      <c r="R223" t="s">
        <v>1681</v>
      </c>
      <c r="S223">
        <v>4</v>
      </c>
      <c r="T223">
        <v>15.1</v>
      </c>
      <c r="U223">
        <v>20</v>
      </c>
    </row>
    <row r="224" spans="1:21">
      <c r="P224" t="s">
        <v>1957</v>
      </c>
      <c r="Q224" t="s">
        <v>1952</v>
      </c>
      <c r="R224" t="s">
        <v>1670</v>
      </c>
      <c r="S224">
        <v>1</v>
      </c>
      <c r="T224">
        <v>0</v>
      </c>
      <c r="U224">
        <v>5</v>
      </c>
    </row>
    <row r="225" spans="15:27">
      <c r="P225" t="s">
        <v>1957</v>
      </c>
      <c r="Q225" t="s">
        <v>1952</v>
      </c>
      <c r="R225" t="s">
        <v>1672</v>
      </c>
      <c r="S225">
        <v>2</v>
      </c>
      <c r="T225">
        <v>5.0999999999999996</v>
      </c>
      <c r="U225">
        <v>10</v>
      </c>
    </row>
    <row r="226" spans="15:27">
      <c r="P226" t="s">
        <v>1957</v>
      </c>
      <c r="Q226" t="s">
        <v>1952</v>
      </c>
      <c r="R226" t="s">
        <v>338</v>
      </c>
      <c r="S226">
        <v>3</v>
      </c>
      <c r="T226">
        <v>10.1</v>
      </c>
      <c r="U226">
        <v>15</v>
      </c>
    </row>
    <row r="227" spans="15:27">
      <c r="P227" t="s">
        <v>1957</v>
      </c>
      <c r="Q227" t="s">
        <v>1952</v>
      </c>
      <c r="R227" t="s">
        <v>1681</v>
      </c>
      <c r="S227">
        <v>4</v>
      </c>
      <c r="T227">
        <v>15.1</v>
      </c>
      <c r="U227">
        <v>20</v>
      </c>
    </row>
    <row r="228" spans="15:27">
      <c r="Q228" t="s">
        <v>1953</v>
      </c>
      <c r="R228" t="s">
        <v>1680</v>
      </c>
      <c r="S228">
        <v>1</v>
      </c>
      <c r="T228">
        <v>1</v>
      </c>
      <c r="U228">
        <v>2</v>
      </c>
    </row>
    <row r="229" spans="15:27">
      <c r="Q229" t="s">
        <v>1953</v>
      </c>
      <c r="R229" t="s">
        <v>1670</v>
      </c>
      <c r="S229">
        <v>2</v>
      </c>
      <c r="T229">
        <v>2.1</v>
      </c>
      <c r="U229">
        <v>4</v>
      </c>
    </row>
    <row r="230" spans="15:27">
      <c r="Q230" t="s">
        <v>1953</v>
      </c>
      <c r="R230" t="s">
        <v>1672</v>
      </c>
      <c r="S230">
        <v>3</v>
      </c>
      <c r="T230">
        <v>4.0999999999999996</v>
      </c>
      <c r="U230">
        <v>8</v>
      </c>
    </row>
    <row r="231" spans="15:27">
      <c r="Q231" t="s">
        <v>1953</v>
      </c>
      <c r="R231" t="s">
        <v>338</v>
      </c>
      <c r="S231">
        <v>4</v>
      </c>
      <c r="T231">
        <v>8.1</v>
      </c>
      <c r="U231">
        <v>16</v>
      </c>
    </row>
    <row r="232" spans="15:27">
      <c r="Q232" t="s">
        <v>1953</v>
      </c>
      <c r="R232" t="s">
        <v>1681</v>
      </c>
      <c r="S232">
        <v>5</v>
      </c>
      <c r="T232" t="s">
        <v>1960</v>
      </c>
      <c r="U232">
        <v>100</v>
      </c>
    </row>
    <row r="234" spans="15:27">
      <c r="P234" t="s">
        <v>1798</v>
      </c>
    </row>
    <row r="235" spans="15:27">
      <c r="O235" s="1592" t="s">
        <v>1954</v>
      </c>
      <c r="P235" s="1592" t="s">
        <v>1961</v>
      </c>
      <c r="Q235" s="1592" t="s">
        <v>575</v>
      </c>
      <c r="R235" s="1592" t="s">
        <v>1683</v>
      </c>
      <c r="S235" s="1592" t="s">
        <v>1607</v>
      </c>
      <c r="T235" s="1592" t="s">
        <v>1608</v>
      </c>
      <c r="U235" s="1592" t="s">
        <v>1685</v>
      </c>
      <c r="V235" s="1592" t="s">
        <v>1715</v>
      </c>
      <c r="Z235" t="s">
        <v>1970</v>
      </c>
      <c r="AA235" t="s">
        <v>1971</v>
      </c>
    </row>
    <row r="236" spans="15:27">
      <c r="O236" t="s">
        <v>1955</v>
      </c>
      <c r="P236" t="s">
        <v>1612</v>
      </c>
      <c r="Q236" t="s">
        <v>1947</v>
      </c>
      <c r="R236" t="s">
        <v>1668</v>
      </c>
      <c r="S236">
        <v>3</v>
      </c>
      <c r="T236">
        <v>5</v>
      </c>
      <c r="U236" t="s">
        <v>1962</v>
      </c>
      <c r="V236" t="s">
        <v>1946</v>
      </c>
      <c r="Z236" t="s">
        <v>1972</v>
      </c>
      <c r="AA236" t="s">
        <v>1973</v>
      </c>
    </row>
    <row r="237" spans="15:27">
      <c r="O237" t="s">
        <v>1955</v>
      </c>
      <c r="P237" t="s">
        <v>1612</v>
      </c>
      <c r="Q237" t="s">
        <v>1949</v>
      </c>
      <c r="R237" t="s">
        <v>1668</v>
      </c>
      <c r="S237">
        <v>3</v>
      </c>
      <c r="T237">
        <v>5</v>
      </c>
      <c r="U237" t="s">
        <v>1963</v>
      </c>
      <c r="V237" t="s">
        <v>1946</v>
      </c>
      <c r="Z237" t="s">
        <v>1974</v>
      </c>
      <c r="AA237" t="s">
        <v>1975</v>
      </c>
    </row>
    <row r="238" spans="15:27">
      <c r="O238" t="s">
        <v>1955</v>
      </c>
      <c r="P238" t="s">
        <v>1612</v>
      </c>
      <c r="Q238" t="s">
        <v>1951</v>
      </c>
      <c r="R238" t="s">
        <v>1672</v>
      </c>
      <c r="S238">
        <v>2</v>
      </c>
      <c r="T238">
        <v>3</v>
      </c>
      <c r="U238" t="s">
        <v>1964</v>
      </c>
      <c r="V238" t="s">
        <v>1846</v>
      </c>
      <c r="Z238" t="s">
        <v>1976</v>
      </c>
      <c r="AA238" t="s">
        <v>1977</v>
      </c>
    </row>
    <row r="239" spans="15:27">
      <c r="O239" t="s">
        <v>1957</v>
      </c>
      <c r="P239" t="s">
        <v>1612</v>
      </c>
      <c r="Q239" t="s">
        <v>1948</v>
      </c>
      <c r="R239" t="s">
        <v>1672</v>
      </c>
      <c r="S239">
        <v>3</v>
      </c>
      <c r="T239">
        <v>4</v>
      </c>
      <c r="U239" t="s">
        <v>1965</v>
      </c>
      <c r="V239" t="s">
        <v>1946</v>
      </c>
      <c r="Z239" t="s">
        <v>1978</v>
      </c>
      <c r="AA239" t="s">
        <v>1979</v>
      </c>
    </row>
    <row r="240" spans="15:27">
      <c r="O240" t="s">
        <v>1957</v>
      </c>
      <c r="P240" t="s">
        <v>1612</v>
      </c>
      <c r="Q240" t="s">
        <v>1950</v>
      </c>
      <c r="R240" t="s">
        <v>1672</v>
      </c>
      <c r="S240">
        <v>3</v>
      </c>
      <c r="T240">
        <v>4</v>
      </c>
      <c r="U240" t="s">
        <v>1966</v>
      </c>
      <c r="V240" t="s">
        <v>1946</v>
      </c>
      <c r="Z240" t="s">
        <v>1980</v>
      </c>
      <c r="AA240" t="s">
        <v>1981</v>
      </c>
    </row>
    <row r="241" spans="15:22">
      <c r="O241" t="s">
        <v>1957</v>
      </c>
      <c r="P241" t="s">
        <v>1612</v>
      </c>
      <c r="Q241" t="s">
        <v>1952</v>
      </c>
      <c r="R241" t="s">
        <v>1668</v>
      </c>
      <c r="S241">
        <v>3</v>
      </c>
      <c r="T241">
        <v>4</v>
      </c>
      <c r="U241" t="s">
        <v>1967</v>
      </c>
      <c r="V241" t="s">
        <v>1846</v>
      </c>
    </row>
    <row r="242" spans="15:22">
      <c r="O242" t="s">
        <v>1955</v>
      </c>
      <c r="P242" t="s">
        <v>1614</v>
      </c>
      <c r="Q242" t="s">
        <v>1947</v>
      </c>
      <c r="R242" t="s">
        <v>1672</v>
      </c>
      <c r="S242">
        <v>3</v>
      </c>
      <c r="T242">
        <v>4</v>
      </c>
      <c r="U242" t="s">
        <v>1962</v>
      </c>
      <c r="V242" t="s">
        <v>1946</v>
      </c>
    </row>
    <row r="243" spans="15:22">
      <c r="O243" t="s">
        <v>1955</v>
      </c>
      <c r="P243" t="s">
        <v>1614</v>
      </c>
      <c r="Q243" t="s">
        <v>1949</v>
      </c>
      <c r="R243" t="s">
        <v>1672</v>
      </c>
      <c r="S243">
        <v>3</v>
      </c>
      <c r="T243">
        <v>4</v>
      </c>
      <c r="U243" t="s">
        <v>1963</v>
      </c>
      <c r="V243" t="s">
        <v>1946</v>
      </c>
    </row>
    <row r="244" spans="15:22">
      <c r="O244" t="s">
        <v>1955</v>
      </c>
      <c r="P244" t="s">
        <v>1614</v>
      </c>
      <c r="Q244" t="s">
        <v>1951</v>
      </c>
      <c r="R244" t="s">
        <v>1672</v>
      </c>
      <c r="S244">
        <v>2</v>
      </c>
      <c r="T244">
        <v>3</v>
      </c>
      <c r="U244" t="s">
        <v>1964</v>
      </c>
      <c r="V244" t="s">
        <v>1846</v>
      </c>
    </row>
    <row r="245" spans="15:22">
      <c r="O245" t="s">
        <v>1957</v>
      </c>
      <c r="P245" t="s">
        <v>1614</v>
      </c>
      <c r="Q245" t="s">
        <v>1948</v>
      </c>
      <c r="R245" t="s">
        <v>1675</v>
      </c>
      <c r="S245">
        <v>2</v>
      </c>
      <c r="T245">
        <v>3</v>
      </c>
      <c r="U245" t="s">
        <v>1965</v>
      </c>
      <c r="V245" t="s">
        <v>1946</v>
      </c>
    </row>
    <row r="246" spans="15:22">
      <c r="O246" t="s">
        <v>1957</v>
      </c>
      <c r="P246" t="s">
        <v>1614</v>
      </c>
      <c r="Q246" t="s">
        <v>1950</v>
      </c>
      <c r="R246" t="s">
        <v>1675</v>
      </c>
      <c r="S246">
        <v>2</v>
      </c>
      <c r="T246">
        <v>3</v>
      </c>
      <c r="U246" t="s">
        <v>1966</v>
      </c>
      <c r="V246" t="s">
        <v>1946</v>
      </c>
    </row>
    <row r="247" spans="15:22">
      <c r="O247" t="s">
        <v>1957</v>
      </c>
      <c r="P247" t="s">
        <v>1614</v>
      </c>
      <c r="Q247" t="s">
        <v>1952</v>
      </c>
      <c r="R247" t="s">
        <v>1668</v>
      </c>
      <c r="S247">
        <v>3</v>
      </c>
      <c r="T247">
        <v>4</v>
      </c>
      <c r="U247" t="s">
        <v>1967</v>
      </c>
      <c r="V247" t="s">
        <v>1846</v>
      </c>
    </row>
    <row r="248" spans="15:22">
      <c r="O248" t="s">
        <v>1955</v>
      </c>
      <c r="P248" t="s">
        <v>1617</v>
      </c>
      <c r="Q248" t="s">
        <v>1947</v>
      </c>
      <c r="R248" t="s">
        <v>1672</v>
      </c>
      <c r="S248">
        <v>3</v>
      </c>
      <c r="T248">
        <v>4</v>
      </c>
      <c r="U248" t="s">
        <v>1962</v>
      </c>
      <c r="V248" t="s">
        <v>1946</v>
      </c>
    </row>
    <row r="249" spans="15:22">
      <c r="O249" t="s">
        <v>1955</v>
      </c>
      <c r="P249" t="s">
        <v>1617</v>
      </c>
      <c r="Q249" t="s">
        <v>1949</v>
      </c>
      <c r="R249" t="s">
        <v>1672</v>
      </c>
      <c r="S249">
        <v>3</v>
      </c>
      <c r="T249">
        <v>4</v>
      </c>
      <c r="U249" t="s">
        <v>1963</v>
      </c>
      <c r="V249" t="s">
        <v>1946</v>
      </c>
    </row>
    <row r="250" spans="15:22">
      <c r="O250" t="s">
        <v>1955</v>
      </c>
      <c r="P250" t="s">
        <v>1617</v>
      </c>
      <c r="Q250" t="s">
        <v>1951</v>
      </c>
      <c r="R250" t="s">
        <v>1672</v>
      </c>
      <c r="S250">
        <v>2</v>
      </c>
      <c r="T250">
        <v>3</v>
      </c>
      <c r="U250" t="s">
        <v>1964</v>
      </c>
      <c r="V250" t="s">
        <v>1846</v>
      </c>
    </row>
    <row r="251" spans="15:22">
      <c r="O251" t="s">
        <v>1957</v>
      </c>
      <c r="P251" t="s">
        <v>1617</v>
      </c>
      <c r="Q251" t="s">
        <v>1948</v>
      </c>
      <c r="R251" t="s">
        <v>1675</v>
      </c>
      <c r="S251">
        <v>2</v>
      </c>
      <c r="T251">
        <v>3</v>
      </c>
      <c r="U251" t="s">
        <v>1965</v>
      </c>
      <c r="V251" t="s">
        <v>1946</v>
      </c>
    </row>
    <row r="252" spans="15:22">
      <c r="O252" t="s">
        <v>1957</v>
      </c>
      <c r="P252" t="s">
        <v>1617</v>
      </c>
      <c r="Q252" t="s">
        <v>1950</v>
      </c>
      <c r="R252" t="s">
        <v>1675</v>
      </c>
      <c r="S252">
        <v>2</v>
      </c>
      <c r="T252">
        <v>3</v>
      </c>
      <c r="U252" t="s">
        <v>1966</v>
      </c>
      <c r="V252" t="s">
        <v>1946</v>
      </c>
    </row>
    <row r="253" spans="15:22">
      <c r="O253" t="s">
        <v>1957</v>
      </c>
      <c r="P253" t="s">
        <v>1617</v>
      </c>
      <c r="Q253" t="s">
        <v>1952</v>
      </c>
      <c r="R253" t="s">
        <v>1668</v>
      </c>
      <c r="S253">
        <v>3</v>
      </c>
      <c r="T253">
        <v>4</v>
      </c>
      <c r="U253" t="s">
        <v>1967</v>
      </c>
      <c r="V253" t="s">
        <v>1846</v>
      </c>
    </row>
    <row r="254" spans="15:22">
      <c r="O254" t="s">
        <v>1955</v>
      </c>
      <c r="P254" t="s">
        <v>1643</v>
      </c>
      <c r="Q254" t="s">
        <v>1947</v>
      </c>
      <c r="R254" t="s">
        <v>1672</v>
      </c>
      <c r="S254">
        <v>3</v>
      </c>
      <c r="T254">
        <v>4</v>
      </c>
      <c r="U254" t="s">
        <v>1962</v>
      </c>
      <c r="V254" t="s">
        <v>1946</v>
      </c>
    </row>
    <row r="255" spans="15:22">
      <c r="O255" t="s">
        <v>1955</v>
      </c>
      <c r="P255" t="s">
        <v>1643</v>
      </c>
      <c r="Q255" t="s">
        <v>1949</v>
      </c>
      <c r="R255" t="s">
        <v>1672</v>
      </c>
      <c r="S255">
        <v>3</v>
      </c>
      <c r="T255">
        <v>4</v>
      </c>
      <c r="U255" t="s">
        <v>1963</v>
      </c>
      <c r="V255" t="s">
        <v>1946</v>
      </c>
    </row>
    <row r="256" spans="15:22">
      <c r="O256" t="s">
        <v>1955</v>
      </c>
      <c r="P256" t="s">
        <v>1643</v>
      </c>
      <c r="Q256" t="s">
        <v>1951</v>
      </c>
      <c r="R256" t="s">
        <v>1672</v>
      </c>
      <c r="S256">
        <v>2</v>
      </c>
      <c r="T256">
        <v>3</v>
      </c>
      <c r="U256" t="s">
        <v>1964</v>
      </c>
      <c r="V256" t="s">
        <v>1846</v>
      </c>
    </row>
    <row r="257" spans="15:22">
      <c r="O257" t="s">
        <v>1957</v>
      </c>
      <c r="P257" t="s">
        <v>1643</v>
      </c>
      <c r="Q257" t="s">
        <v>1948</v>
      </c>
      <c r="R257" t="s">
        <v>1672</v>
      </c>
      <c r="S257">
        <v>3</v>
      </c>
      <c r="T257">
        <v>4</v>
      </c>
      <c r="U257" t="s">
        <v>1965</v>
      </c>
      <c r="V257" t="s">
        <v>1946</v>
      </c>
    </row>
    <row r="258" spans="15:22">
      <c r="O258" t="s">
        <v>1957</v>
      </c>
      <c r="P258" t="s">
        <v>1643</v>
      </c>
      <c r="Q258" t="s">
        <v>1950</v>
      </c>
      <c r="R258" t="s">
        <v>1672</v>
      </c>
      <c r="S258">
        <v>3</v>
      </c>
      <c r="T258">
        <v>4</v>
      </c>
      <c r="U258" t="s">
        <v>1966</v>
      </c>
      <c r="V258" t="s">
        <v>1946</v>
      </c>
    </row>
    <row r="259" spans="15:22">
      <c r="O259" t="s">
        <v>1957</v>
      </c>
      <c r="P259" t="s">
        <v>1643</v>
      </c>
      <c r="Q259" t="s">
        <v>1952</v>
      </c>
      <c r="R259" t="s">
        <v>1668</v>
      </c>
      <c r="S259">
        <v>3</v>
      </c>
      <c r="T259">
        <v>4</v>
      </c>
      <c r="U259" t="s">
        <v>1967</v>
      </c>
      <c r="V259" t="s">
        <v>1846</v>
      </c>
    </row>
    <row r="260" spans="15:22">
      <c r="O260" t="s">
        <v>1955</v>
      </c>
      <c r="P260" t="s">
        <v>1690</v>
      </c>
      <c r="Q260" t="s">
        <v>1947</v>
      </c>
      <c r="R260" t="s">
        <v>1675</v>
      </c>
      <c r="S260">
        <v>2</v>
      </c>
      <c r="T260">
        <v>3</v>
      </c>
      <c r="U260" t="s">
        <v>1962</v>
      </c>
      <c r="V260" t="s">
        <v>1946</v>
      </c>
    </row>
    <row r="261" spans="15:22">
      <c r="O261" t="s">
        <v>1955</v>
      </c>
      <c r="P261" t="s">
        <v>1690</v>
      </c>
      <c r="Q261" t="s">
        <v>1949</v>
      </c>
      <c r="R261" t="s">
        <v>1675</v>
      </c>
      <c r="S261">
        <v>2</v>
      </c>
      <c r="T261">
        <v>3</v>
      </c>
      <c r="U261" t="s">
        <v>1963</v>
      </c>
      <c r="V261" t="s">
        <v>1946</v>
      </c>
    </row>
    <row r="262" spans="15:22">
      <c r="O262" t="s">
        <v>1955</v>
      </c>
      <c r="P262" t="s">
        <v>1690</v>
      </c>
      <c r="Q262" t="s">
        <v>1951</v>
      </c>
      <c r="R262" t="s">
        <v>1672</v>
      </c>
      <c r="S262">
        <v>2</v>
      </c>
      <c r="T262">
        <v>3</v>
      </c>
      <c r="U262" t="s">
        <v>1964</v>
      </c>
      <c r="V262" t="s">
        <v>1846</v>
      </c>
    </row>
    <row r="263" spans="15:22">
      <c r="O263" t="s">
        <v>1957</v>
      </c>
      <c r="P263" t="s">
        <v>1690</v>
      </c>
      <c r="Q263" t="s">
        <v>1948</v>
      </c>
      <c r="R263" t="s">
        <v>1675</v>
      </c>
      <c r="S263">
        <v>2</v>
      </c>
      <c r="T263">
        <v>3</v>
      </c>
      <c r="U263" t="s">
        <v>1965</v>
      </c>
      <c r="V263" t="s">
        <v>1946</v>
      </c>
    </row>
    <row r="264" spans="15:22">
      <c r="O264" t="s">
        <v>1957</v>
      </c>
      <c r="P264" t="s">
        <v>1690</v>
      </c>
      <c r="Q264" t="s">
        <v>1950</v>
      </c>
      <c r="R264" t="s">
        <v>1675</v>
      </c>
      <c r="S264">
        <v>2</v>
      </c>
      <c r="T264">
        <v>3</v>
      </c>
      <c r="U264" t="s">
        <v>1966</v>
      </c>
      <c r="V264" t="s">
        <v>1946</v>
      </c>
    </row>
    <row r="265" spans="15:22">
      <c r="O265" t="s">
        <v>1957</v>
      </c>
      <c r="P265" t="s">
        <v>1690</v>
      </c>
      <c r="Q265" t="s">
        <v>1952</v>
      </c>
      <c r="R265" t="s">
        <v>1668</v>
      </c>
      <c r="S265">
        <v>3</v>
      </c>
      <c r="T265">
        <v>4</v>
      </c>
      <c r="U265" t="s">
        <v>1967</v>
      </c>
      <c r="V265" t="s">
        <v>1846</v>
      </c>
    </row>
    <row r="266" spans="15:22">
      <c r="O266" t="s">
        <v>1955</v>
      </c>
      <c r="P266" t="s">
        <v>1626</v>
      </c>
      <c r="Q266" t="s">
        <v>1947</v>
      </c>
      <c r="R266" t="s">
        <v>1672</v>
      </c>
      <c r="S266">
        <v>3</v>
      </c>
      <c r="T266">
        <v>4</v>
      </c>
      <c r="U266" t="s">
        <v>1962</v>
      </c>
      <c r="V266" t="s">
        <v>1946</v>
      </c>
    </row>
    <row r="267" spans="15:22">
      <c r="O267" t="s">
        <v>1955</v>
      </c>
      <c r="P267" t="s">
        <v>1626</v>
      </c>
      <c r="Q267" t="s">
        <v>1949</v>
      </c>
      <c r="R267" t="s">
        <v>1672</v>
      </c>
      <c r="S267">
        <v>3</v>
      </c>
      <c r="T267">
        <v>4</v>
      </c>
      <c r="U267" t="s">
        <v>1963</v>
      </c>
      <c r="V267" t="s">
        <v>1946</v>
      </c>
    </row>
    <row r="268" spans="15:22">
      <c r="O268" t="s">
        <v>1955</v>
      </c>
      <c r="P268" t="s">
        <v>1626</v>
      </c>
      <c r="Q268" t="s">
        <v>1951</v>
      </c>
      <c r="R268" t="s">
        <v>1672</v>
      </c>
      <c r="S268">
        <v>2</v>
      </c>
      <c r="T268">
        <v>3</v>
      </c>
      <c r="U268" t="s">
        <v>1964</v>
      </c>
      <c r="V268" t="s">
        <v>1846</v>
      </c>
    </row>
    <row r="269" spans="15:22">
      <c r="O269" t="s">
        <v>1957</v>
      </c>
      <c r="P269" t="s">
        <v>1626</v>
      </c>
      <c r="Q269" t="s">
        <v>1948</v>
      </c>
      <c r="R269" t="s">
        <v>1672</v>
      </c>
      <c r="S269">
        <v>3</v>
      </c>
      <c r="T269">
        <v>4</v>
      </c>
      <c r="U269" t="s">
        <v>1965</v>
      </c>
      <c r="V269" t="s">
        <v>1946</v>
      </c>
    </row>
    <row r="270" spans="15:22">
      <c r="O270" t="s">
        <v>1957</v>
      </c>
      <c r="P270" t="s">
        <v>1626</v>
      </c>
      <c r="Q270" t="s">
        <v>1950</v>
      </c>
      <c r="R270" t="s">
        <v>1672</v>
      </c>
      <c r="S270">
        <v>3</v>
      </c>
      <c r="T270">
        <v>4</v>
      </c>
      <c r="U270" t="s">
        <v>1966</v>
      </c>
      <c r="V270" t="s">
        <v>1946</v>
      </c>
    </row>
    <row r="271" spans="15:22">
      <c r="O271" t="s">
        <v>1957</v>
      </c>
      <c r="P271" t="s">
        <v>1626</v>
      </c>
      <c r="Q271" t="s">
        <v>1952</v>
      </c>
      <c r="R271" t="s">
        <v>1668</v>
      </c>
      <c r="S271">
        <v>3</v>
      </c>
      <c r="T271">
        <v>4</v>
      </c>
      <c r="U271" t="s">
        <v>1967</v>
      </c>
      <c r="V271" t="s">
        <v>1846</v>
      </c>
    </row>
    <row r="272" spans="15:22">
      <c r="O272" t="s">
        <v>1955</v>
      </c>
      <c r="P272" t="s">
        <v>1628</v>
      </c>
      <c r="Q272" t="s">
        <v>1947</v>
      </c>
      <c r="R272" t="s">
        <v>1670</v>
      </c>
      <c r="S272">
        <v>2</v>
      </c>
      <c r="T272">
        <v>3</v>
      </c>
      <c r="U272" t="s">
        <v>1962</v>
      </c>
      <c r="V272" t="s">
        <v>1946</v>
      </c>
    </row>
    <row r="273" spans="15:22">
      <c r="O273" t="s">
        <v>1955</v>
      </c>
      <c r="P273" t="s">
        <v>1628</v>
      </c>
      <c r="Q273" t="s">
        <v>1949</v>
      </c>
      <c r="R273" t="s">
        <v>1670</v>
      </c>
      <c r="S273">
        <v>2</v>
      </c>
      <c r="T273">
        <v>3</v>
      </c>
      <c r="U273" t="s">
        <v>1963</v>
      </c>
      <c r="V273" t="s">
        <v>1946</v>
      </c>
    </row>
    <row r="274" spans="15:22">
      <c r="O274" t="s">
        <v>1955</v>
      </c>
      <c r="P274" t="s">
        <v>1628</v>
      </c>
      <c r="Q274" t="s">
        <v>1951</v>
      </c>
      <c r="R274" t="s">
        <v>1672</v>
      </c>
      <c r="S274">
        <v>2</v>
      </c>
      <c r="T274">
        <v>3</v>
      </c>
      <c r="U274" t="s">
        <v>1964</v>
      </c>
      <c r="V274" t="s">
        <v>1846</v>
      </c>
    </row>
    <row r="275" spans="15:22">
      <c r="O275" t="s">
        <v>1957</v>
      </c>
      <c r="P275" t="s">
        <v>1628</v>
      </c>
      <c r="Q275" t="s">
        <v>1948</v>
      </c>
      <c r="R275" t="s">
        <v>1670</v>
      </c>
      <c r="S275">
        <v>2</v>
      </c>
      <c r="T275">
        <v>3</v>
      </c>
      <c r="U275" t="s">
        <v>1965</v>
      </c>
      <c r="V275" t="s">
        <v>1946</v>
      </c>
    </row>
    <row r="276" spans="15:22">
      <c r="O276" t="s">
        <v>1957</v>
      </c>
      <c r="P276" t="s">
        <v>1628</v>
      </c>
      <c r="Q276" t="s">
        <v>1950</v>
      </c>
      <c r="R276" t="s">
        <v>1670</v>
      </c>
      <c r="S276">
        <v>2</v>
      </c>
      <c r="T276">
        <v>3</v>
      </c>
      <c r="U276" t="s">
        <v>1966</v>
      </c>
      <c r="V276" t="s">
        <v>1946</v>
      </c>
    </row>
    <row r="277" spans="15:22">
      <c r="O277" t="s">
        <v>1957</v>
      </c>
      <c r="P277" t="s">
        <v>1628</v>
      </c>
      <c r="Q277" t="s">
        <v>1952</v>
      </c>
      <c r="R277" t="s">
        <v>1668</v>
      </c>
      <c r="S277">
        <v>3</v>
      </c>
      <c r="T277">
        <v>4</v>
      </c>
      <c r="U277" t="s">
        <v>1967</v>
      </c>
      <c r="V277" t="s">
        <v>1846</v>
      </c>
    </row>
    <row r="278" spans="15:22">
      <c r="O278" t="s">
        <v>1955</v>
      </c>
      <c r="P278" t="s">
        <v>1621</v>
      </c>
      <c r="Q278" t="s">
        <v>1947</v>
      </c>
      <c r="R278" t="s">
        <v>1675</v>
      </c>
      <c r="S278">
        <v>2</v>
      </c>
      <c r="T278">
        <v>3</v>
      </c>
      <c r="U278" t="s">
        <v>1962</v>
      </c>
      <c r="V278" t="s">
        <v>1946</v>
      </c>
    </row>
    <row r="279" spans="15:22">
      <c r="O279" t="s">
        <v>1955</v>
      </c>
      <c r="P279" t="s">
        <v>1621</v>
      </c>
      <c r="Q279" t="s">
        <v>1949</v>
      </c>
      <c r="R279" t="s">
        <v>1675</v>
      </c>
      <c r="S279">
        <v>2</v>
      </c>
      <c r="T279">
        <v>3</v>
      </c>
      <c r="U279" t="s">
        <v>1963</v>
      </c>
      <c r="V279" t="s">
        <v>1946</v>
      </c>
    </row>
    <row r="280" spans="15:22">
      <c r="O280" t="s">
        <v>1955</v>
      </c>
      <c r="P280" t="s">
        <v>1621</v>
      </c>
      <c r="Q280" t="s">
        <v>1951</v>
      </c>
      <c r="R280" t="s">
        <v>1672</v>
      </c>
      <c r="S280">
        <v>2</v>
      </c>
      <c r="T280">
        <v>3</v>
      </c>
      <c r="U280" t="s">
        <v>1964</v>
      </c>
      <c r="V280" t="s">
        <v>1846</v>
      </c>
    </row>
    <row r="281" spans="15:22">
      <c r="O281" t="s">
        <v>1957</v>
      </c>
      <c r="P281" t="s">
        <v>1621</v>
      </c>
      <c r="Q281" t="s">
        <v>1948</v>
      </c>
      <c r="R281" t="s">
        <v>1670</v>
      </c>
      <c r="S281">
        <v>2</v>
      </c>
      <c r="T281">
        <v>3</v>
      </c>
      <c r="U281" t="s">
        <v>1965</v>
      </c>
      <c r="V281" t="s">
        <v>1946</v>
      </c>
    </row>
    <row r="282" spans="15:22">
      <c r="O282" t="s">
        <v>1957</v>
      </c>
      <c r="P282" t="s">
        <v>1621</v>
      </c>
      <c r="Q282" t="s">
        <v>1950</v>
      </c>
      <c r="R282" t="s">
        <v>1670</v>
      </c>
      <c r="S282">
        <v>2</v>
      </c>
      <c r="T282">
        <v>3</v>
      </c>
      <c r="U282" t="s">
        <v>1966</v>
      </c>
      <c r="V282" t="s">
        <v>1946</v>
      </c>
    </row>
    <row r="283" spans="15:22">
      <c r="O283" t="s">
        <v>1957</v>
      </c>
      <c r="P283" t="s">
        <v>1621</v>
      </c>
      <c r="Q283" t="s">
        <v>1952</v>
      </c>
      <c r="R283" t="s">
        <v>1668</v>
      </c>
      <c r="S283">
        <v>3</v>
      </c>
      <c r="T283">
        <v>4</v>
      </c>
      <c r="U283" t="s">
        <v>1967</v>
      </c>
      <c r="V283" t="s">
        <v>1846</v>
      </c>
    </row>
    <row r="284" spans="15:22">
      <c r="O284" t="s">
        <v>1955</v>
      </c>
      <c r="P284" t="s">
        <v>1623</v>
      </c>
      <c r="Q284" t="s">
        <v>1947</v>
      </c>
      <c r="R284" t="s">
        <v>1670</v>
      </c>
      <c r="S284">
        <v>2</v>
      </c>
      <c r="T284">
        <v>3</v>
      </c>
      <c r="U284" t="s">
        <v>1962</v>
      </c>
      <c r="V284" t="s">
        <v>1946</v>
      </c>
    </row>
    <row r="285" spans="15:22">
      <c r="O285" t="s">
        <v>1955</v>
      </c>
      <c r="P285" t="s">
        <v>1623</v>
      </c>
      <c r="Q285" t="s">
        <v>1949</v>
      </c>
      <c r="R285" t="s">
        <v>1670</v>
      </c>
      <c r="S285">
        <v>2</v>
      </c>
      <c r="T285">
        <v>3</v>
      </c>
      <c r="U285" t="s">
        <v>1963</v>
      </c>
      <c r="V285" t="s">
        <v>1946</v>
      </c>
    </row>
    <row r="286" spans="15:22">
      <c r="O286" t="s">
        <v>1955</v>
      </c>
      <c r="P286" t="s">
        <v>1623</v>
      </c>
      <c r="Q286" t="s">
        <v>1951</v>
      </c>
      <c r="R286" t="s">
        <v>1672</v>
      </c>
      <c r="S286">
        <v>2</v>
      </c>
      <c r="T286">
        <v>3</v>
      </c>
      <c r="U286" t="s">
        <v>1964</v>
      </c>
      <c r="V286" t="s">
        <v>1846</v>
      </c>
    </row>
    <row r="287" spans="15:22">
      <c r="O287" t="s">
        <v>1957</v>
      </c>
      <c r="P287" t="s">
        <v>1623</v>
      </c>
      <c r="Q287" t="s">
        <v>1948</v>
      </c>
      <c r="R287" t="s">
        <v>1670</v>
      </c>
      <c r="S287">
        <v>2</v>
      </c>
      <c r="T287">
        <v>3</v>
      </c>
      <c r="U287" t="s">
        <v>1965</v>
      </c>
      <c r="V287" t="s">
        <v>1946</v>
      </c>
    </row>
    <row r="288" spans="15:22">
      <c r="O288" t="s">
        <v>1957</v>
      </c>
      <c r="P288" t="s">
        <v>1623</v>
      </c>
      <c r="Q288" t="s">
        <v>1950</v>
      </c>
      <c r="R288" t="s">
        <v>1670</v>
      </c>
      <c r="S288">
        <v>2</v>
      </c>
      <c r="T288">
        <v>3</v>
      </c>
      <c r="U288" t="s">
        <v>1966</v>
      </c>
      <c r="V288" t="s">
        <v>1946</v>
      </c>
    </row>
    <row r="289" spans="15:22">
      <c r="O289" t="s">
        <v>1957</v>
      </c>
      <c r="P289" t="s">
        <v>1623</v>
      </c>
      <c r="Q289" t="s">
        <v>1952</v>
      </c>
      <c r="R289" t="s">
        <v>1668</v>
      </c>
      <c r="S289">
        <v>3</v>
      </c>
      <c r="T289">
        <v>4</v>
      </c>
      <c r="U289" t="s">
        <v>1967</v>
      </c>
      <c r="V289" t="s">
        <v>1846</v>
      </c>
    </row>
    <row r="290" spans="15:22">
      <c r="O290" t="s">
        <v>1955</v>
      </c>
      <c r="P290" t="s">
        <v>1620</v>
      </c>
      <c r="Q290" t="s">
        <v>1947</v>
      </c>
      <c r="R290" t="s">
        <v>1968</v>
      </c>
      <c r="U290" t="s">
        <v>1969</v>
      </c>
      <c r="V290" t="s">
        <v>1946</v>
      </c>
    </row>
    <row r="291" spans="15:22">
      <c r="O291" t="s">
        <v>1955</v>
      </c>
      <c r="P291" t="s">
        <v>1620</v>
      </c>
      <c r="Q291" t="s">
        <v>1949</v>
      </c>
      <c r="R291" t="s">
        <v>1968</v>
      </c>
      <c r="U291" t="s">
        <v>1969</v>
      </c>
      <c r="V291" t="s">
        <v>1946</v>
      </c>
    </row>
    <row r="292" spans="15:22">
      <c r="O292" t="s">
        <v>1955</v>
      </c>
      <c r="P292" t="s">
        <v>1620</v>
      </c>
      <c r="Q292" t="s">
        <v>1951</v>
      </c>
      <c r="R292" t="s">
        <v>1968</v>
      </c>
      <c r="U292" t="s">
        <v>1969</v>
      </c>
      <c r="V292" t="s">
        <v>1946</v>
      </c>
    </row>
    <row r="293" spans="15:22">
      <c r="O293" t="s">
        <v>1957</v>
      </c>
      <c r="P293" t="s">
        <v>1620</v>
      </c>
      <c r="Q293" t="s">
        <v>1948</v>
      </c>
      <c r="R293" t="s">
        <v>1968</v>
      </c>
      <c r="U293" t="s">
        <v>1969</v>
      </c>
      <c r="V293" t="s">
        <v>1946</v>
      </c>
    </row>
    <row r="294" spans="15:22">
      <c r="O294" t="s">
        <v>1957</v>
      </c>
      <c r="P294" t="s">
        <v>1620</v>
      </c>
      <c r="Q294" t="s">
        <v>1950</v>
      </c>
      <c r="R294" t="s">
        <v>1968</v>
      </c>
      <c r="U294" t="s">
        <v>1969</v>
      </c>
      <c r="V294" t="s">
        <v>1946</v>
      </c>
    </row>
    <row r="295" spans="15:22">
      <c r="O295" t="s">
        <v>1957</v>
      </c>
      <c r="P295" t="s">
        <v>1620</v>
      </c>
      <c r="Q295" t="s">
        <v>1952</v>
      </c>
      <c r="R295" t="s">
        <v>1968</v>
      </c>
      <c r="U295" t="s">
        <v>1969</v>
      </c>
      <c r="V295" t="s">
        <v>1946</v>
      </c>
    </row>
    <row r="296" spans="15:22">
      <c r="O296" t="s">
        <v>1955</v>
      </c>
      <c r="P296" t="s">
        <v>1649</v>
      </c>
      <c r="Q296" t="s">
        <v>1947</v>
      </c>
      <c r="R296" t="s">
        <v>1968</v>
      </c>
      <c r="U296" t="s">
        <v>1969</v>
      </c>
      <c r="V296" t="s">
        <v>1946</v>
      </c>
    </row>
    <row r="297" spans="15:22">
      <c r="O297" t="s">
        <v>1955</v>
      </c>
      <c r="P297" t="s">
        <v>1649</v>
      </c>
      <c r="Q297" t="s">
        <v>1949</v>
      </c>
      <c r="R297" t="s">
        <v>1968</v>
      </c>
      <c r="U297" t="s">
        <v>1969</v>
      </c>
      <c r="V297" t="s">
        <v>1946</v>
      </c>
    </row>
    <row r="298" spans="15:22">
      <c r="O298" t="s">
        <v>1955</v>
      </c>
      <c r="P298" t="s">
        <v>1649</v>
      </c>
      <c r="Q298" t="s">
        <v>1951</v>
      </c>
      <c r="R298" t="s">
        <v>1968</v>
      </c>
      <c r="U298" t="s">
        <v>1969</v>
      </c>
      <c r="V298" t="s">
        <v>1946</v>
      </c>
    </row>
    <row r="299" spans="15:22">
      <c r="O299" t="s">
        <v>1957</v>
      </c>
      <c r="P299" t="s">
        <v>1649</v>
      </c>
      <c r="Q299" t="s">
        <v>1948</v>
      </c>
      <c r="R299" t="s">
        <v>1968</v>
      </c>
      <c r="U299" t="s">
        <v>1969</v>
      </c>
      <c r="V299" t="s">
        <v>1946</v>
      </c>
    </row>
    <row r="300" spans="15:22">
      <c r="O300" t="s">
        <v>1957</v>
      </c>
      <c r="P300" t="s">
        <v>1649</v>
      </c>
      <c r="Q300" t="s">
        <v>1950</v>
      </c>
      <c r="R300" t="s">
        <v>1968</v>
      </c>
      <c r="U300" t="s">
        <v>1969</v>
      </c>
      <c r="V300" t="s">
        <v>1946</v>
      </c>
    </row>
    <row r="301" spans="15:22">
      <c r="O301" t="s">
        <v>1957</v>
      </c>
      <c r="P301" t="s">
        <v>1649</v>
      </c>
      <c r="Q301" t="s">
        <v>1952</v>
      </c>
      <c r="R301" t="s">
        <v>1968</v>
      </c>
      <c r="U301" t="s">
        <v>1969</v>
      </c>
      <c r="V301" t="s">
        <v>1946</v>
      </c>
    </row>
    <row r="302" spans="15:22">
      <c r="O302" t="s">
        <v>1955</v>
      </c>
      <c r="P302" t="s">
        <v>1630</v>
      </c>
      <c r="Q302" t="s">
        <v>1947</v>
      </c>
      <c r="R302" t="s">
        <v>1968</v>
      </c>
      <c r="U302" t="s">
        <v>1969</v>
      </c>
      <c r="V302" t="s">
        <v>1946</v>
      </c>
    </row>
    <row r="303" spans="15:22">
      <c r="O303" t="s">
        <v>1955</v>
      </c>
      <c r="P303" t="s">
        <v>1630</v>
      </c>
      <c r="Q303" t="s">
        <v>1949</v>
      </c>
      <c r="R303" t="s">
        <v>1968</v>
      </c>
      <c r="U303" t="s">
        <v>1969</v>
      </c>
      <c r="V303" t="s">
        <v>1946</v>
      </c>
    </row>
    <row r="304" spans="15:22">
      <c r="O304" t="s">
        <v>1955</v>
      </c>
      <c r="P304" t="s">
        <v>1630</v>
      </c>
      <c r="Q304" t="s">
        <v>1951</v>
      </c>
      <c r="R304" t="s">
        <v>1968</v>
      </c>
      <c r="U304" t="s">
        <v>1969</v>
      </c>
      <c r="V304" t="s">
        <v>1946</v>
      </c>
    </row>
    <row r="305" spans="15:22">
      <c r="O305" t="s">
        <v>1957</v>
      </c>
      <c r="P305" t="s">
        <v>1630</v>
      </c>
      <c r="Q305" t="s">
        <v>1948</v>
      </c>
      <c r="R305" t="s">
        <v>1968</v>
      </c>
      <c r="U305" t="s">
        <v>1969</v>
      </c>
      <c r="V305" t="s">
        <v>1946</v>
      </c>
    </row>
    <row r="306" spans="15:22">
      <c r="O306" t="s">
        <v>1957</v>
      </c>
      <c r="P306" t="s">
        <v>1630</v>
      </c>
      <c r="Q306" t="s">
        <v>1950</v>
      </c>
      <c r="R306" t="s">
        <v>1968</v>
      </c>
      <c r="U306" t="s">
        <v>1969</v>
      </c>
      <c r="V306" t="s">
        <v>1946</v>
      </c>
    </row>
    <row r="307" spans="15:22">
      <c r="O307" t="s">
        <v>1957</v>
      </c>
      <c r="P307" t="s">
        <v>1630</v>
      </c>
      <c r="Q307" t="s">
        <v>1952</v>
      </c>
      <c r="R307" t="s">
        <v>1968</v>
      </c>
      <c r="U307" t="s">
        <v>1969</v>
      </c>
      <c r="V307" t="s">
        <v>1946</v>
      </c>
    </row>
    <row r="310" spans="15:22">
      <c r="O310" t="s">
        <v>1982</v>
      </c>
      <c r="P310" t="s">
        <v>1983</v>
      </c>
      <c r="Q310" t="s">
        <v>1984</v>
      </c>
      <c r="R310" t="s">
        <v>1749</v>
      </c>
    </row>
    <row r="311" spans="15:22">
      <c r="O311" t="s">
        <v>1733</v>
      </c>
      <c r="P311" t="s">
        <v>1733</v>
      </c>
      <c r="Q311" t="s">
        <v>1825</v>
      </c>
      <c r="R311" t="s">
        <v>1985</v>
      </c>
    </row>
    <row r="312" spans="15:22">
      <c r="O312" t="s">
        <v>1733</v>
      </c>
      <c r="P312" t="s">
        <v>1735</v>
      </c>
      <c r="Q312" t="s">
        <v>1735</v>
      </c>
      <c r="R312" t="s">
        <v>1986</v>
      </c>
    </row>
    <row r="313" spans="15:22">
      <c r="O313" t="s">
        <v>1735</v>
      </c>
      <c r="P313" t="s">
        <v>1733</v>
      </c>
      <c r="Q313" t="s">
        <v>1735</v>
      </c>
      <c r="R313" t="s">
        <v>1987</v>
      </c>
    </row>
    <row r="314" spans="15:22">
      <c r="O314" t="s">
        <v>1735</v>
      </c>
      <c r="P314" t="s">
        <v>1735</v>
      </c>
      <c r="Q314" t="s">
        <v>1829</v>
      </c>
      <c r="R314" t="s">
        <v>1988</v>
      </c>
    </row>
  </sheetData>
  <mergeCells count="25">
    <mergeCell ref="B191:C191"/>
    <mergeCell ref="B205:L206"/>
    <mergeCell ref="B192:C192"/>
    <mergeCell ref="B190:C190"/>
    <mergeCell ref="B193:C193"/>
    <mergeCell ref="B194:C194"/>
    <mergeCell ref="B195:C195"/>
    <mergeCell ref="B188:C189"/>
    <mergeCell ref="D188:D189"/>
    <mergeCell ref="E188:F188"/>
    <mergeCell ref="G188:N188"/>
    <mergeCell ref="D178:E178"/>
    <mergeCell ref="C112:D112"/>
    <mergeCell ref="K23:K24"/>
    <mergeCell ref="L23:M23"/>
    <mergeCell ref="L27:M27"/>
    <mergeCell ref="A11:C11"/>
    <mergeCell ref="A12:C12"/>
    <mergeCell ref="L12:N12"/>
    <mergeCell ref="A13:C13"/>
    <mergeCell ref="A7:C7"/>
    <mergeCell ref="A9:C9"/>
    <mergeCell ref="L9:N9"/>
    <mergeCell ref="A10:C10"/>
    <mergeCell ref="L10:N10"/>
  </mergeCells>
  <conditionalFormatting sqref="D200:D202">
    <cfRule type="expression" dxfId="245" priority="13">
      <formula>ISNUMBER(SEARCH("RE-ANALYZE",$D200))</formula>
    </cfRule>
    <cfRule type="expression" dxfId="244" priority="14">
      <formula>ISNUMBER(SEARCH("REVIEW",$D200))</formula>
    </cfRule>
    <cfRule type="expression" dxfId="243" priority="15">
      <formula>ISNUMBER(SEARCH("CHECK",$D200))</formula>
    </cfRule>
    <cfRule type="expression" dxfId="242" priority="16">
      <formula>ISNUMBER(SEARCH("PASS",$D200))</formula>
    </cfRule>
  </conditionalFormatting>
  <conditionalFormatting sqref="D211:D214">
    <cfRule type="expression" dxfId="241" priority="9">
      <formula>ISNUMBER(SEARCH("RE-ANALYZE",$D211))</formula>
    </cfRule>
    <cfRule type="expression" dxfId="240" priority="10">
      <formula>ISNUMBER(SEARCH("REVIEW",$D211))</formula>
    </cfRule>
    <cfRule type="expression" dxfId="239" priority="11">
      <formula>ISNUMBER(SEARCH("CHECK",$D211))</formula>
    </cfRule>
    <cfRule type="expression" dxfId="238" priority="12">
      <formula>ISNUMBER(SEARCH("PASS",$D211))</formula>
    </cfRule>
  </conditionalFormatting>
  <conditionalFormatting sqref="D216">
    <cfRule type="expression" dxfId="237" priority="1">
      <formula>ISNUMBER(SEARCH("RE-ANALYZE",$D216))</formula>
    </cfRule>
    <cfRule type="expression" dxfId="236" priority="2">
      <formula>ISNUMBER(SEARCH("REVIEW",$D216))</formula>
    </cfRule>
    <cfRule type="expression" dxfId="235" priority="3">
      <formula>ISNUMBER(SEARCH("CHECK",$D216))</formula>
    </cfRule>
    <cfRule type="expression" dxfId="234" priority="4">
      <formula>ISNUMBER(SEARCH("PASS",$D216))</formula>
    </cfRule>
  </conditionalFormatting>
  <conditionalFormatting sqref="E190:E196">
    <cfRule type="expression" dxfId="233" priority="21">
      <formula>ISNUMBER(SEARCH("RE-ANALYZE",$E190))</formula>
    </cfRule>
    <cfRule type="expression" dxfId="232" priority="22">
      <formula>ISNUMBER(SEARCH("REVIEW",$E190))</formula>
    </cfRule>
    <cfRule type="expression" dxfId="231" priority="23">
      <formula>ISNUMBER(SEARCH("CHECK",$E190))</formula>
    </cfRule>
    <cfRule type="expression" dxfId="230" priority="24">
      <formula>ISNUMBER(SEARCH("PASS",$E190))</formula>
    </cfRule>
  </conditionalFormatting>
  <conditionalFormatting sqref="L190:L196">
    <cfRule type="expression" dxfId="229" priority="17">
      <formula>ISNUMBER(SEARCH("RE-ANALYZE",$L190))</formula>
    </cfRule>
    <cfRule type="expression" dxfId="228" priority="18">
      <formula>ISNUMBER(SEARCH("REVIEW",$L190))</formula>
    </cfRule>
    <cfRule type="expression" dxfId="227" priority="19">
      <formula>ISNUMBER(SEARCH("CHECK",$L190))</formula>
    </cfRule>
    <cfRule type="expression" dxfId="226" priority="20">
      <formula>ISNUMBER(SEARCH("PASS",$L190))</formula>
    </cfRule>
  </conditionalFormatting>
  <dataValidations count="2">
    <dataValidation type="list" allowBlank="1" showInputMessage="1" showErrorMessage="1" sqref="P9" xr:uid="{274B4E43-34E7-4F4A-8ED2-B40A7700DC63}">
      <formula1>"RAFLY,RIZKI,NOUFAL"</formula1>
    </dataValidation>
    <dataValidation type="list" allowBlank="1" showInputMessage="1" showErrorMessage="1" sqref="D12" xr:uid="{9128CDAB-3FB1-48CB-BACC-38D035AB5620}">
      <formula1>$V$24:$V$35</formula1>
    </dataValidation>
  </dataValidations>
  <pageMargins left="0.7" right="0.7" top="0.75" bottom="0.75" header="0.3" footer="0.3"/>
  <pageSetup paperSize="14" orientation="portrait" horizontalDpi="0" verticalDpi="0"/>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77D2-277A-A946-BA05-A538423A680E}">
  <sheetPr>
    <tabColor rgb="FFFFC000"/>
  </sheetPr>
  <dimension ref="A1:AB151"/>
  <sheetViews>
    <sheetView view="pageBreakPreview" zoomScale="106" zoomScaleNormal="100" zoomScaleSheetLayoutView="106" zoomScalePageLayoutView="77" workbookViewId="0">
      <selection activeCell="H46" sqref="H46:J47"/>
    </sheetView>
  </sheetViews>
  <sheetFormatPr defaultColWidth="11" defaultRowHeight="15.75"/>
  <cols>
    <col min="1" max="2" width="4.875" customWidth="1"/>
    <col min="3" max="3" width="6.75" customWidth="1"/>
    <col min="4"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IF('WS-UCT'!D9="","",'WS-UCT'!D7)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"&amp;IF('WS-UCT'!D9="","",'WS-UCT'!D9)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"&amp;IF('WS-UCT'!D10="","",'WS-UCT'!D10)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"&amp;IF('WS-UCT'!D11="","",'WS-UCT'!D11)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8">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"&amp;IF('WS-UCT'!D12="","",'WS-UCT'!D12)</f>
        <v>:  Lempung / Clay</v>
      </c>
      <c r="T17" s="1637"/>
      <c r="U17" s="1637"/>
      <c r="V17" s="1637"/>
      <c r="W17" s="1637"/>
      <c r="X17" s="1638"/>
    </row>
    <row r="18" spans="1:28"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"&amp;IF('WS-UCT'!D13="","",'WS-UCT'!D13)</f>
        <v xml:space="preserve">:  </v>
      </c>
      <c r="T18" s="1637"/>
      <c r="U18" s="1637"/>
      <c r="V18" s="1637"/>
      <c r="W18" s="1637"/>
      <c r="X18" s="1638"/>
    </row>
    <row r="19" spans="1:28"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8"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8"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8"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"&amp;IF('WS-UCT'!O12="","",TEXT('WS-UCT'!O12,"dd mmmm yyyy"))</f>
        <v>:  25 April 2026</v>
      </c>
      <c r="T22" s="1637"/>
      <c r="U22" s="1637"/>
      <c r="V22" s="1637"/>
      <c r="W22" s="1637"/>
      <c r="X22" s="1638"/>
    </row>
    <row r="23" spans="1:28"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8"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8"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8">
      <c r="A26" s="1706" t="str">
        <f>'WS-UCT'!A2</f>
        <v>UJI KUAT TEKAN BEBAS</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INDUK'!$BS$40</f>
        <v>3638:2012</v>
      </c>
      <c r="W26" s="1704"/>
      <c r="X26" s="1704"/>
    </row>
    <row r="27" spans="1:28">
      <c r="A27" s="1650" t="str">
        <f>'WS-UCT'!A3</f>
        <v>UNCONFINED COMPRESSION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8"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8">
      <c r="A29" s="1117" t="s">
        <v>1128</v>
      </c>
      <c r="B29" s="1117"/>
      <c r="C29" s="1117"/>
      <c r="D29" s="1117"/>
      <c r="E29" s="1117"/>
      <c r="F29" s="1117"/>
      <c r="G29" s="1117"/>
      <c r="H29" s="1117"/>
      <c r="I29" s="1118"/>
      <c r="J29" s="1117"/>
      <c r="K29" s="1117"/>
      <c r="L29" s="1117"/>
      <c r="M29" s="335"/>
      <c r="N29" s="1117" t="s">
        <v>184</v>
      </c>
      <c r="O29" s="1117"/>
      <c r="P29" s="1117"/>
      <c r="Q29" s="1117"/>
      <c r="R29" s="1117"/>
      <c r="S29" s="1117"/>
      <c r="T29" s="1117"/>
      <c r="U29" s="1117"/>
      <c r="V29" s="1117"/>
      <c r="W29" s="1117"/>
      <c r="X29" s="1117"/>
    </row>
    <row r="30" spans="1:28" ht="15.95" customHeight="1">
      <c r="A30" s="1960" t="s">
        <v>1117</v>
      </c>
      <c r="B30" s="1960"/>
      <c r="C30" s="1960"/>
      <c r="D30" s="1960"/>
      <c r="E30" s="1960"/>
      <c r="F30" s="1960"/>
      <c r="G30" s="1960"/>
      <c r="H30" s="1815" t="s">
        <v>1118</v>
      </c>
      <c r="I30" s="1815"/>
      <c r="J30" s="1815"/>
      <c r="K30" s="1815" t="s">
        <v>1119</v>
      </c>
      <c r="L30" s="1815"/>
      <c r="M30" s="335"/>
      <c r="N30" s="15" t="s">
        <v>1127</v>
      </c>
      <c r="O30" s="335"/>
      <c r="P30" s="335"/>
      <c r="Q30" s="335"/>
      <c r="R30" s="335"/>
      <c r="S30" s="335"/>
      <c r="T30" s="335"/>
      <c r="U30" s="335"/>
      <c r="V30" s="335"/>
      <c r="W30" s="335"/>
      <c r="X30" s="335"/>
    </row>
    <row r="31" spans="1:28">
      <c r="A31" s="1960"/>
      <c r="B31" s="1960"/>
      <c r="C31" s="1960"/>
      <c r="D31" s="1960"/>
      <c r="E31" s="1960"/>
      <c r="F31" s="1960"/>
      <c r="G31" s="1960"/>
      <c r="H31" s="1815"/>
      <c r="I31" s="1815"/>
      <c r="J31" s="1815"/>
      <c r="K31" s="1815"/>
      <c r="L31" s="1815"/>
      <c r="M31" s="335"/>
      <c r="N31" s="335"/>
      <c r="O31" s="335"/>
      <c r="P31" s="335"/>
      <c r="Q31" s="335"/>
      <c r="R31" s="335"/>
      <c r="S31" s="335"/>
      <c r="T31" s="335"/>
      <c r="U31" s="335"/>
      <c r="V31" s="335"/>
      <c r="W31" s="335"/>
      <c r="X31" s="335"/>
    </row>
    <row r="32" spans="1:28">
      <c r="A32" s="1960" t="s">
        <v>1121</v>
      </c>
      <c r="B32" s="1960"/>
      <c r="C32" s="1960"/>
      <c r="D32" s="1960"/>
      <c r="E32" s="1960"/>
      <c r="F32" s="1960"/>
      <c r="G32" s="1960"/>
      <c r="H32" s="1824">
        <f>'WS-UCT'!D166</f>
        <v>38</v>
      </c>
      <c r="I32" s="1824"/>
      <c r="J32" s="1824"/>
      <c r="K32" s="1824">
        <f>'WS-UCT'!E166</f>
        <v>38</v>
      </c>
      <c r="L32" s="1824"/>
      <c r="M32" s="335"/>
      <c r="N32" s="335"/>
      <c r="O32" s="335"/>
      <c r="P32" s="335"/>
      <c r="Q32" s="335"/>
      <c r="R32" s="335"/>
      <c r="S32" s="335"/>
      <c r="T32" s="335"/>
      <c r="U32" s="335"/>
      <c r="V32" s="335"/>
      <c r="W32" s="335"/>
      <c r="X32" s="335"/>
      <c r="Z32" s="1012"/>
      <c r="AA32" s="656" t="str">
        <f>"LHU No.   : "&amp; IF('DATA INDUK'!$H$17="","",'DATA INDUK'!$H$17)</f>
        <v>LHU No.   : 23/MGS/53/II/2026</v>
      </c>
      <c r="AB32" s="1012"/>
    </row>
    <row r="33" spans="1:28">
      <c r="A33" s="1960" t="s">
        <v>1122</v>
      </c>
      <c r="B33" s="1960"/>
      <c r="C33" s="1960"/>
      <c r="D33" s="1960"/>
      <c r="E33" s="1960"/>
      <c r="F33" s="1960"/>
      <c r="G33" s="1960"/>
      <c r="H33" s="1824">
        <f>'WS-UCT'!D167</f>
        <v>76</v>
      </c>
      <c r="I33" s="1824"/>
      <c r="J33" s="1824"/>
      <c r="K33" s="1824">
        <f>'WS-UCT'!E167</f>
        <v>76</v>
      </c>
      <c r="L33" s="1824"/>
      <c r="M33" s="335"/>
      <c r="N33" s="335"/>
      <c r="O33" s="335"/>
      <c r="P33" s="335"/>
      <c r="Q33" s="335"/>
      <c r="R33" s="335"/>
      <c r="S33" s="335"/>
      <c r="T33" s="335"/>
      <c r="U33" s="335"/>
      <c r="V33" s="335"/>
      <c r="W33" s="335"/>
      <c r="X33" s="335"/>
      <c r="Z33" s="1012"/>
      <c r="AA33" s="1275" t="str">
        <f>"LAB ID.        : "&amp;$N$12&amp;""</f>
        <v>LAB ID.        : 26-001-DS-001</v>
      </c>
      <c r="AB33" s="1012"/>
    </row>
    <row r="34" spans="1:28">
      <c r="A34" s="1960" t="s">
        <v>1107</v>
      </c>
      <c r="B34" s="1960"/>
      <c r="C34" s="1960"/>
      <c r="D34" s="1960"/>
      <c r="E34" s="1960"/>
      <c r="F34" s="1960"/>
      <c r="G34" s="1960"/>
      <c r="H34" s="1824">
        <f>'WS-UCT'!D168</f>
        <v>1134.1149479459152</v>
      </c>
      <c r="I34" s="1824"/>
      <c r="J34" s="1824"/>
      <c r="K34" s="1824">
        <f>'WS-UCT'!E168</f>
        <v>1134.1149479459152</v>
      </c>
      <c r="L34" s="1824"/>
      <c r="M34" s="335"/>
      <c r="N34" s="335"/>
      <c r="O34" s="335"/>
      <c r="P34" s="335"/>
      <c r="Q34" s="335"/>
      <c r="R34" s="335"/>
      <c r="S34" s="335"/>
      <c r="T34" s="335"/>
      <c r="U34" s="335"/>
      <c r="V34" s="335"/>
      <c r="W34" s="335"/>
      <c r="X34" s="335"/>
      <c r="Z34" s="1012" t="s">
        <v>612</v>
      </c>
      <c r="AA34" s="1275" t="str">
        <f>"TEST TYPE   : "&amp;Z34&amp;""</f>
        <v>TEST TYPE   : UCT</v>
      </c>
      <c r="AB34" s="1012"/>
    </row>
    <row r="35" spans="1:28">
      <c r="A35" s="1960" t="s">
        <v>1123</v>
      </c>
      <c r="B35" s="1960"/>
      <c r="C35" s="1960"/>
      <c r="D35" s="1960"/>
      <c r="E35" s="1960"/>
      <c r="F35" s="1960"/>
      <c r="G35" s="1960"/>
      <c r="H35" s="1824">
        <f>'WS-UCT'!D169</f>
        <v>8.149999999999995</v>
      </c>
      <c r="I35" s="1824"/>
      <c r="J35" s="1824"/>
      <c r="K35" s="1824">
        <f>'WS-UCT'!E169</f>
        <v>8.9782051282051292</v>
      </c>
      <c r="L35" s="1824"/>
      <c r="M35" s="335"/>
      <c r="N35" s="335"/>
      <c r="O35" s="335"/>
      <c r="P35" s="335"/>
      <c r="Q35" s="335"/>
      <c r="R35" s="335"/>
      <c r="S35" s="335"/>
      <c r="T35" s="335"/>
      <c r="U35" s="335"/>
      <c r="V35" s="335"/>
      <c r="W35" s="335"/>
      <c r="X35" s="335"/>
      <c r="Z35" s="1276"/>
      <c r="AA35" s="1275" t="str">
        <f>"DATE            : "&amp;TEXT('DATA INDUK'!$H$19,"yyyy-mm-dd")</f>
        <v>DATE            : 2026-01-29</v>
      </c>
      <c r="AB35" s="1012"/>
    </row>
    <row r="36" spans="1:28">
      <c r="A36" s="1960" t="s">
        <v>1541</v>
      </c>
      <c r="B36" s="1960"/>
      <c r="C36" s="1960"/>
      <c r="D36" s="1960"/>
      <c r="E36" s="1960"/>
      <c r="F36" s="1960"/>
      <c r="G36" s="1960"/>
      <c r="H36" s="1824">
        <f>'WS-UCT'!D170</f>
        <v>2.00759377114897</v>
      </c>
      <c r="I36" s="1824"/>
      <c r="J36" s="1824"/>
      <c r="K36" s="1824">
        <f>'WS-UCT'!E170</f>
        <v>1.9723935891005075</v>
      </c>
      <c r="L36" s="1824"/>
      <c r="M36" s="335"/>
      <c r="N36" s="335"/>
      <c r="O36" s="335"/>
      <c r="P36" s="335"/>
      <c r="Q36" s="335"/>
      <c r="R36" s="335"/>
      <c r="S36" s="335"/>
      <c r="T36" s="335"/>
      <c r="U36" s="335"/>
      <c r="V36" s="335"/>
      <c r="W36" s="335"/>
      <c r="X36" s="335"/>
    </row>
    <row r="37" spans="1:28">
      <c r="A37" s="1960" t="s">
        <v>1124</v>
      </c>
      <c r="B37" s="1960"/>
      <c r="C37" s="1960"/>
      <c r="D37" s="1960"/>
      <c r="E37" s="1960"/>
      <c r="F37" s="1960"/>
      <c r="G37" s="1960"/>
      <c r="H37" s="1824">
        <f>'WS-UCT'!D171</f>
        <v>1.8563049201562369</v>
      </c>
      <c r="I37" s="1824"/>
      <c r="J37" s="1824"/>
      <c r="K37" s="1824">
        <f>'WS-UCT'!E171</f>
        <v>1.8098972971523311</v>
      </c>
      <c r="L37" s="1824"/>
    </row>
    <row r="39" spans="1:28">
      <c r="A39" s="1117" t="s">
        <v>1120</v>
      </c>
      <c r="B39" s="1174"/>
      <c r="C39" s="1174"/>
      <c r="D39" s="1174"/>
      <c r="E39" s="1174"/>
      <c r="F39" s="1174"/>
      <c r="G39" s="1174"/>
      <c r="H39" s="1174"/>
      <c r="I39" s="1175"/>
      <c r="J39" s="1174"/>
      <c r="K39" s="1174"/>
      <c r="L39" s="1174"/>
    </row>
    <row r="40" spans="1:28">
      <c r="A40" s="1960" t="s">
        <v>1117</v>
      </c>
      <c r="B40" s="1960"/>
      <c r="C40" s="1960"/>
      <c r="D40" s="1960"/>
      <c r="E40" s="1960"/>
      <c r="F40" s="1960"/>
      <c r="G40" s="1960"/>
      <c r="H40" s="1815" t="s">
        <v>1118</v>
      </c>
      <c r="I40" s="1815"/>
      <c r="J40" s="1815"/>
      <c r="K40" s="1815" t="s">
        <v>1119</v>
      </c>
      <c r="L40" s="1815"/>
    </row>
    <row r="41" spans="1:28">
      <c r="A41" s="1960"/>
      <c r="B41" s="1960"/>
      <c r="C41" s="1960"/>
      <c r="D41" s="1960"/>
      <c r="E41" s="1960"/>
      <c r="F41" s="1960"/>
      <c r="G41" s="1960"/>
      <c r="H41" s="1815"/>
      <c r="I41" s="1815"/>
      <c r="J41" s="1815"/>
      <c r="K41" s="1815"/>
      <c r="L41" s="1815"/>
    </row>
    <row r="42" spans="1:28">
      <c r="A42" s="1961" t="s">
        <v>1112</v>
      </c>
      <c r="B42" s="1961"/>
      <c r="C42" s="1961"/>
      <c r="D42" s="1961"/>
      <c r="E42" s="1961"/>
      <c r="F42" s="1961"/>
      <c r="G42" s="1961"/>
      <c r="H42" s="1817">
        <f>'WS-UCT'!D175</f>
        <v>107.17375121966415</v>
      </c>
      <c r="I42" s="1817"/>
      <c r="J42" s="1817"/>
      <c r="K42" s="1817">
        <f>'WS-UCT'!E175</f>
        <v>83.866106310793427</v>
      </c>
      <c r="L42" s="1817"/>
    </row>
    <row r="43" spans="1:28">
      <c r="A43" s="1961"/>
      <c r="B43" s="1961"/>
      <c r="C43" s="1961"/>
      <c r="D43" s="1961"/>
      <c r="E43" s="1961"/>
      <c r="F43" s="1961"/>
      <c r="G43" s="1961"/>
      <c r="H43" s="1817"/>
      <c r="I43" s="1817"/>
      <c r="J43" s="1817"/>
      <c r="K43" s="1817"/>
      <c r="L43" s="1817"/>
    </row>
    <row r="44" spans="1:28">
      <c r="A44" s="1961" t="s">
        <v>1113</v>
      </c>
      <c r="B44" s="1961"/>
      <c r="C44" s="1961"/>
      <c r="D44" s="1961"/>
      <c r="E44" s="1961"/>
      <c r="F44" s="1961"/>
      <c r="G44" s="1961"/>
      <c r="H44" s="1817">
        <f>'WS-UCT'!D176</f>
        <v>53.586875609832077</v>
      </c>
      <c r="I44" s="1817"/>
      <c r="J44" s="1817"/>
      <c r="K44" s="1817">
        <f>'WS-UCT'!E176</f>
        <v>41.933053155396713</v>
      </c>
      <c r="L44" s="1817"/>
    </row>
    <row r="45" spans="1:28">
      <c r="A45" s="1961"/>
      <c r="B45" s="1961"/>
      <c r="C45" s="1961"/>
      <c r="D45" s="1961"/>
      <c r="E45" s="1961"/>
      <c r="F45" s="1961"/>
      <c r="G45" s="1961"/>
      <c r="H45" s="1817"/>
      <c r="I45" s="1817"/>
      <c r="J45" s="1817"/>
      <c r="K45" s="1817"/>
      <c r="L45" s="1817"/>
    </row>
    <row r="46" spans="1:28">
      <c r="A46" s="1961" t="s">
        <v>1114</v>
      </c>
      <c r="B46" s="1961"/>
      <c r="C46" s="1961"/>
      <c r="D46" s="1961"/>
      <c r="E46" s="1961"/>
      <c r="F46" s="1961"/>
      <c r="G46" s="1961"/>
      <c r="H46" s="1817">
        <f>'WS-UCT'!D177</f>
        <v>9.8684210526315788</v>
      </c>
      <c r="I46" s="1817"/>
      <c r="J46" s="1817"/>
      <c r="K46" s="1817">
        <f>'WS-UCT'!E177</f>
        <v>11.184210526315789</v>
      </c>
      <c r="L46" s="1817"/>
    </row>
    <row r="47" spans="1:28">
      <c r="A47" s="1961"/>
      <c r="B47" s="1961"/>
      <c r="C47" s="1961"/>
      <c r="D47" s="1961"/>
      <c r="E47" s="1961"/>
      <c r="F47" s="1961"/>
      <c r="G47" s="1961"/>
      <c r="H47" s="1817"/>
      <c r="I47" s="1817"/>
      <c r="J47" s="1817"/>
      <c r="K47" s="1817"/>
      <c r="L47" s="1817"/>
    </row>
    <row r="48" spans="1:28">
      <c r="A48" s="1960" t="s">
        <v>1125</v>
      </c>
      <c r="B48" s="1960"/>
      <c r="C48" s="1960"/>
      <c r="D48" s="1960"/>
      <c r="E48" s="1960"/>
      <c r="F48" s="1960"/>
      <c r="G48" s="1960"/>
      <c r="H48" s="1962">
        <f>'WS-UCT'!D178</f>
        <v>1.2779149519890263</v>
      </c>
      <c r="I48" s="1962"/>
      <c r="J48" s="1962"/>
      <c r="K48" s="1962"/>
      <c r="L48" s="1962"/>
    </row>
    <row r="59" spans="3:23">
      <c r="T59" s="20" t="s">
        <v>1537</v>
      </c>
    </row>
    <row r="60" spans="3:23">
      <c r="C60" s="1768" t="s">
        <v>623</v>
      </c>
      <c r="D60" s="1769"/>
      <c r="E60" s="1769"/>
      <c r="F60" s="1769"/>
      <c r="G60" s="1770"/>
      <c r="H60" s="1768" t="s">
        <v>292</v>
      </c>
      <c r="I60" s="1769"/>
      <c r="J60" s="1769"/>
      <c r="K60" s="1769"/>
      <c r="L60" s="1769"/>
      <c r="M60" s="1768" t="s">
        <v>294</v>
      </c>
      <c r="N60" s="1769"/>
      <c r="O60" s="1769"/>
      <c r="P60" s="1769"/>
      <c r="Q60" s="1769"/>
      <c r="R60" s="1770"/>
      <c r="T60" s="328"/>
      <c r="U60" s="329"/>
      <c r="V60" s="329"/>
      <c r="W60" s="330"/>
    </row>
    <row r="61" spans="3:23" ht="15.95" customHeight="1">
      <c r="C61" s="1771" t="s">
        <v>624</v>
      </c>
      <c r="D61" s="1646"/>
      <c r="E61" s="1646"/>
      <c r="F61" s="1646"/>
      <c r="G61" s="1772"/>
      <c r="H61" s="1773" t="s">
        <v>293</v>
      </c>
      <c r="I61" s="1652"/>
      <c r="J61" s="1652"/>
      <c r="K61" s="1652"/>
      <c r="L61" s="1652"/>
      <c r="M61" s="1773" t="s">
        <v>295</v>
      </c>
      <c r="N61" s="1652"/>
      <c r="O61" s="1652"/>
      <c r="P61" s="1652"/>
      <c r="Q61" s="1652"/>
      <c r="R61" s="1774"/>
      <c r="T61" s="357"/>
      <c r="W61" s="331"/>
    </row>
    <row r="62" spans="3:23" ht="15.95" customHeight="1">
      <c r="C62" s="357"/>
      <c r="D62" s="359"/>
      <c r="E62" s="359"/>
      <c r="F62" s="359"/>
      <c r="G62" s="360"/>
      <c r="H62" s="357"/>
      <c r="I62"/>
      <c r="K62" s="4"/>
      <c r="M62" s="357"/>
      <c r="R62" s="331"/>
      <c r="T62" s="357"/>
      <c r="W62" s="331"/>
    </row>
    <row r="63" spans="3:23">
      <c r="C63" s="357"/>
      <c r="G63" s="331"/>
      <c r="H63" s="357"/>
      <c r="I63"/>
      <c r="K63" s="4"/>
      <c r="M63" s="357"/>
      <c r="R63" s="331"/>
      <c r="T63" s="357"/>
      <c r="W63" s="331"/>
    </row>
    <row r="64" spans="3:23">
      <c r="C64" s="357"/>
      <c r="G64" s="331"/>
      <c r="H64" s="357"/>
      <c r="I64"/>
      <c r="K64" s="4"/>
      <c r="M64" s="357"/>
      <c r="R64" s="331"/>
      <c r="T64" s="357"/>
      <c r="W64" s="331"/>
    </row>
    <row r="65" spans="1:24">
      <c r="C65" s="1777" t="str">
        <f>'WS-UCT'!O9</f>
        <v>NOUFAL</v>
      </c>
      <c r="D65" s="1632"/>
      <c r="E65" s="1632"/>
      <c r="F65" s="1632"/>
      <c r="G65" s="1778"/>
      <c r="H65" s="1777" t="str">
        <f>IF(C65='WS-UCT'!O10," - ",'WS-UCT'!O10)</f>
        <v xml:space="preserve"> - </v>
      </c>
      <c r="I65" s="1632"/>
      <c r="J65" s="1632"/>
      <c r="K65" s="1632"/>
      <c r="L65" s="1632"/>
      <c r="M65" s="1777" t="str">
        <f>'WS-UCT'!O11</f>
        <v>A.SUMARTADJI</v>
      </c>
      <c r="N65" s="1632"/>
      <c r="O65" s="1632"/>
      <c r="P65" s="1632"/>
      <c r="Q65" s="1632"/>
      <c r="R65" s="1778"/>
      <c r="T65" s="357"/>
      <c r="W65" s="331"/>
    </row>
    <row r="66" spans="1:24" s="15" customFormat="1" ht="12">
      <c r="C66" s="1779" t="s">
        <v>299</v>
      </c>
      <c r="D66" s="1685"/>
      <c r="E66" s="1685"/>
      <c r="F66" s="1685"/>
      <c r="G66" s="1780"/>
      <c r="H66" s="1779" t="s">
        <v>305</v>
      </c>
      <c r="I66" s="1685"/>
      <c r="J66" s="1685"/>
      <c r="K66" s="1685"/>
      <c r="L66" s="1685"/>
      <c r="M66" s="1779" t="s">
        <v>298</v>
      </c>
      <c r="N66" s="1685"/>
      <c r="O66" s="1685"/>
      <c r="P66" s="1685"/>
      <c r="Q66" s="1685"/>
      <c r="R66" s="1780"/>
      <c r="S66" s="364"/>
      <c r="T66" s="366"/>
      <c r="U66" s="364"/>
      <c r="V66" s="364"/>
      <c r="W66" s="365"/>
      <c r="X66" s="364"/>
    </row>
    <row r="67" spans="1:24" ht="15.95" customHeight="1">
      <c r="C67" s="1820" t="s">
        <v>291</v>
      </c>
      <c r="D67" s="1821"/>
      <c r="E67" s="1775">
        <f>IF('DATA INDUK'!$H$19="","",'DATA INDUK'!$H$19-1)</f>
        <v>46050</v>
      </c>
      <c r="F67" s="1775"/>
      <c r="G67" s="1776"/>
      <c r="H67" s="1783" t="s">
        <v>291</v>
      </c>
      <c r="I67" s="1784"/>
      <c r="J67" s="1775">
        <f>IF('DATA INDUK'!$H$19="","",'DATA INDUK'!$H$19-1)</f>
        <v>46050</v>
      </c>
      <c r="K67" s="1775"/>
      <c r="L67" s="1776"/>
      <c r="M67" s="1783" t="s">
        <v>291</v>
      </c>
      <c r="N67" s="1784"/>
      <c r="O67" s="1784"/>
      <c r="P67" s="1775">
        <f>IF('DATA INDUK'!$H$19="","",'DATA INDUK'!$H$19-1)</f>
        <v>46050</v>
      </c>
      <c r="Q67" s="1775"/>
      <c r="R67" s="1776"/>
      <c r="T67" s="332"/>
      <c r="U67" s="333"/>
      <c r="V67" s="333"/>
      <c r="W67" s="334"/>
    </row>
    <row r="68" spans="1:24" ht="8.1" customHeight="1">
      <c r="A68" s="897"/>
      <c r="B68" s="898"/>
      <c r="C68" s="898"/>
      <c r="D68" s="898"/>
      <c r="E68" s="898"/>
      <c r="F68" s="898"/>
      <c r="G68" s="898"/>
      <c r="H68" s="897"/>
      <c r="I68" s="899"/>
      <c r="J68" s="898"/>
      <c r="K68" s="898"/>
      <c r="L68" s="898"/>
      <c r="M68" s="898"/>
      <c r="N68" s="898"/>
      <c r="O68" s="898"/>
      <c r="P68" s="900"/>
      <c r="Q68" s="897"/>
      <c r="R68" s="897"/>
      <c r="S68" s="897"/>
      <c r="T68" s="897"/>
      <c r="U68" s="897"/>
      <c r="V68" s="897"/>
      <c r="W68" s="897"/>
      <c r="X68" s="897"/>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1002" t="str">
        <f>'DATA INDUK'!$BT$40</f>
        <v>23-MINEARTH-RM-LHU-UCT-R0</v>
      </c>
    </row>
    <row r="75" spans="1:24" s="326" customFormat="1" ht="15" customHeight="1">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676"/>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2"</f>
        <v>:  2 dari 2</v>
      </c>
      <c r="X85" s="1895"/>
    </row>
    <row r="86" spans="1:24" ht="8.1" customHeight="1"/>
    <row r="87" spans="1:24" ht="23.25" customHeight="1">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139" spans="1:24">
      <c r="H139" s="686"/>
      <c r="I139" s="687"/>
      <c r="J139" s="686"/>
      <c r="K139" s="686"/>
      <c r="L139" s="686"/>
      <c r="M139" s="686"/>
      <c r="N139" s="686"/>
      <c r="O139" s="686"/>
      <c r="P139" s="686"/>
      <c r="Q139" s="686"/>
      <c r="R139" s="686"/>
      <c r="S139" s="686"/>
      <c r="U139" s="20" t="s">
        <v>1537</v>
      </c>
      <c r="V139" s="686"/>
      <c r="W139" s="686"/>
      <c r="X139" s="686"/>
    </row>
    <row r="140" spans="1:24">
      <c r="A140" s="700" t="s">
        <v>297</v>
      </c>
      <c r="B140" s="338"/>
      <c r="C140" s="338"/>
      <c r="D140" s="4"/>
      <c r="E140" s="4"/>
      <c r="F140" s="4"/>
      <c r="G140" s="690"/>
      <c r="H140" s="1798" t="s">
        <v>623</v>
      </c>
      <c r="I140" s="1798"/>
      <c r="J140" s="1798"/>
      <c r="K140" s="1799"/>
      <c r="L140" s="1800" t="s">
        <v>292</v>
      </c>
      <c r="M140" s="1800"/>
      <c r="N140" s="1800"/>
      <c r="O140" s="1801"/>
      <c r="P140" s="1802" t="s">
        <v>294</v>
      </c>
      <c r="Q140" s="1798"/>
      <c r="R140" s="1798"/>
      <c r="S140" s="1799"/>
      <c r="U140" s="698"/>
      <c r="V140" s="688"/>
      <c r="W140" s="688"/>
      <c r="X140" s="694"/>
    </row>
    <row r="141" spans="1:24" ht="15.95" customHeight="1">
      <c r="G141" s="691"/>
      <c r="H141" s="1675" t="s">
        <v>624</v>
      </c>
      <c r="I141" s="1675"/>
      <c r="J141" s="1675"/>
      <c r="K141" s="1785"/>
      <c r="L141" s="1675" t="s">
        <v>293</v>
      </c>
      <c r="M141" s="1675"/>
      <c r="N141" s="1675"/>
      <c r="O141" s="1785"/>
      <c r="P141" s="1794" t="s">
        <v>295</v>
      </c>
      <c r="Q141" s="1675"/>
      <c r="R141" s="1675"/>
      <c r="S141" s="1785"/>
      <c r="U141" s="697"/>
      <c r="X141" s="691"/>
    </row>
    <row r="142" spans="1:24">
      <c r="G142" s="691"/>
      <c r="H142" s="1665" t="str">
        <f>C65</f>
        <v>NOUFAL</v>
      </c>
      <c r="I142" s="1665"/>
      <c r="J142" s="1665"/>
      <c r="K142" s="1796"/>
      <c r="O142" s="690"/>
      <c r="P142" s="697"/>
      <c r="S142" s="691"/>
      <c r="U142" s="697"/>
      <c r="X142" s="691"/>
    </row>
    <row r="143" spans="1:24">
      <c r="G143" s="691"/>
      <c r="H143" s="1665"/>
      <c r="I143" s="1665"/>
      <c r="J143" s="1665"/>
      <c r="K143" s="1796"/>
      <c r="O143" s="690"/>
      <c r="P143" s="697"/>
      <c r="S143" s="691"/>
      <c r="U143" s="697"/>
      <c r="X143" s="691"/>
    </row>
    <row r="144" spans="1:24">
      <c r="G144" s="691"/>
      <c r="H144" s="1665"/>
      <c r="I144" s="1665"/>
      <c r="J144" s="1665"/>
      <c r="K144" s="1796"/>
      <c r="O144" s="690"/>
      <c r="P144" s="697"/>
      <c r="S144" s="691"/>
      <c r="U144" s="697"/>
      <c r="X144" s="691"/>
    </row>
    <row r="145" spans="1:27">
      <c r="G145" s="691"/>
      <c r="H145" s="1665"/>
      <c r="I145" s="1665"/>
      <c r="J145" s="1665"/>
      <c r="K145" s="1796"/>
      <c r="L145" s="1665" t="str">
        <f>H65</f>
        <v xml:space="preserve"> - </v>
      </c>
      <c r="M145" s="1665"/>
      <c r="N145" s="1665"/>
      <c r="O145" s="1796"/>
      <c r="P145" s="1797" t="str">
        <f>M65</f>
        <v>A.SUMARTADJI</v>
      </c>
      <c r="Q145" s="1665"/>
      <c r="R145" s="1665"/>
      <c r="S145" s="1796"/>
      <c r="U145" s="697"/>
      <c r="X145" s="691"/>
    </row>
    <row r="146" spans="1:27">
      <c r="G146" s="691"/>
      <c r="H146" s="1668" t="str">
        <f>C66</f>
        <v>Teknisi/Analis</v>
      </c>
      <c r="I146" s="1668"/>
      <c r="J146" s="1668"/>
      <c r="K146" s="1755"/>
      <c r="L146" s="1668" t="str">
        <f>H66</f>
        <v>Koordinator Teknis</v>
      </c>
      <c r="M146" s="1668"/>
      <c r="N146" s="1668"/>
      <c r="O146" s="1755"/>
      <c r="P146" s="1754" t="str">
        <f>M66</f>
        <v>Kepala Laboratorium</v>
      </c>
      <c r="Q146" s="1668"/>
      <c r="R146" s="1668"/>
      <c r="S146" s="1755"/>
      <c r="U146" s="699"/>
      <c r="V146" s="358"/>
      <c r="W146" s="358"/>
      <c r="X146" s="695"/>
      <c r="Y146" s="358"/>
      <c r="Z146" s="358"/>
      <c r="AA146" s="358"/>
    </row>
    <row r="147" spans="1:27" ht="15.95" customHeight="1">
      <c r="G147" s="691"/>
      <c r="H147" s="1803" t="s">
        <v>291</v>
      </c>
      <c r="I147" s="1803"/>
      <c r="J147" s="1804">
        <f>E67</f>
        <v>46050</v>
      </c>
      <c r="K147" s="1805"/>
      <c r="L147" s="1806" t="s">
        <v>300</v>
      </c>
      <c r="M147" s="1806"/>
      <c r="N147" s="1807">
        <f>J67</f>
        <v>46050</v>
      </c>
      <c r="O147" s="1808"/>
      <c r="P147" s="1809" t="s">
        <v>301</v>
      </c>
      <c r="Q147" s="1810"/>
      <c r="R147" s="1792">
        <f>P67</f>
        <v>46050</v>
      </c>
      <c r="S147" s="1793"/>
      <c r="U147" s="692"/>
      <c r="V147" s="693"/>
      <c r="W147" s="693"/>
      <c r="X147" s="696"/>
    </row>
    <row r="148" spans="1:27" ht="8.1" customHeight="1">
      <c r="H148" s="688"/>
      <c r="I148" s="689"/>
      <c r="J148" s="688"/>
      <c r="K148" s="688"/>
      <c r="L148" s="688"/>
      <c r="M148" s="688"/>
      <c r="N148" s="688"/>
      <c r="O148" s="688"/>
      <c r="P148" s="688"/>
      <c r="Q148" s="688"/>
      <c r="R148" s="688"/>
      <c r="S148" s="688"/>
    </row>
    <row r="149" spans="1:27" ht="18" customHeight="1">
      <c r="B149" s="356"/>
      <c r="C149" s="356"/>
      <c r="D149" s="356"/>
      <c r="E149" s="356"/>
      <c r="T149" s="684" t="str">
        <f>$T$74</f>
        <v>23-MINEARTH-RM-LHU-UCT-R0</v>
      </c>
      <c r="U149" s="367"/>
      <c r="V149" s="367"/>
      <c r="W149" s="367"/>
      <c r="X149" s="367"/>
    </row>
    <row r="150" spans="1:27" ht="18" customHeight="1">
      <c r="A150" s="362"/>
      <c r="B150" s="362"/>
      <c r="C150" s="362"/>
      <c r="D150" s="362"/>
      <c r="E150" s="362"/>
    </row>
    <row r="151" spans="1:27" ht="8.1" customHeight="1"/>
  </sheetData>
  <mergeCells count="119">
    <mergeCell ref="H46:J47"/>
    <mergeCell ref="H48:L48"/>
    <mergeCell ref="A42:G43"/>
    <mergeCell ref="A46:G47"/>
    <mergeCell ref="K33:L33"/>
    <mergeCell ref="K34:L34"/>
    <mergeCell ref="K35:L35"/>
    <mergeCell ref="K36:L36"/>
    <mergeCell ref="K37:L37"/>
    <mergeCell ref="A37:G37"/>
    <mergeCell ref="H33:J33"/>
    <mergeCell ref="H34:J34"/>
    <mergeCell ref="H35:J35"/>
    <mergeCell ref="H36:J36"/>
    <mergeCell ref="H37:J37"/>
    <mergeCell ref="H141:K141"/>
    <mergeCell ref="L141:O141"/>
    <mergeCell ref="P141:S141"/>
    <mergeCell ref="H142:K145"/>
    <mergeCell ref="L145:O145"/>
    <mergeCell ref="P145:S145"/>
    <mergeCell ref="A87:X87"/>
    <mergeCell ref="H140:K140"/>
    <mergeCell ref="A40:G41"/>
    <mergeCell ref="H40:J41"/>
    <mergeCell ref="K40:L41"/>
    <mergeCell ref="A44:G45"/>
    <mergeCell ref="K42:L43"/>
    <mergeCell ref="K44:L45"/>
    <mergeCell ref="K46:L47"/>
    <mergeCell ref="L140:O140"/>
    <mergeCell ref="P140:S140"/>
    <mergeCell ref="A69:C73"/>
    <mergeCell ref="F79:T79"/>
    <mergeCell ref="F80:T80"/>
    <mergeCell ref="F81:T81"/>
    <mergeCell ref="C67:D67"/>
    <mergeCell ref="E67:G67"/>
    <mergeCell ref="H67:I67"/>
    <mergeCell ref="H146:K146"/>
    <mergeCell ref="L146:O146"/>
    <mergeCell ref="P146:S146"/>
    <mergeCell ref="H147:I147"/>
    <mergeCell ref="J147:K147"/>
    <mergeCell ref="L147:M147"/>
    <mergeCell ref="N147:O147"/>
    <mergeCell ref="P147:Q147"/>
    <mergeCell ref="R147:S147"/>
    <mergeCell ref="P67:R67"/>
    <mergeCell ref="A17:L17"/>
    <mergeCell ref="C65:G65"/>
    <mergeCell ref="H65:L65"/>
    <mergeCell ref="A9:L9"/>
    <mergeCell ref="A12:L12"/>
    <mergeCell ref="N12:X12"/>
    <mergeCell ref="A14:D14"/>
    <mergeCell ref="E14:L14"/>
    <mergeCell ref="N14:R14"/>
    <mergeCell ref="M65:R65"/>
    <mergeCell ref="C60:G60"/>
    <mergeCell ref="H60:L60"/>
    <mergeCell ref="A19:D20"/>
    <mergeCell ref="E19:L20"/>
    <mergeCell ref="A21:D22"/>
    <mergeCell ref="E21:L22"/>
    <mergeCell ref="A33:G33"/>
    <mergeCell ref="A34:G34"/>
    <mergeCell ref="A35:G35"/>
    <mergeCell ref="A36:G36"/>
    <mergeCell ref="A48:G48"/>
    <mergeCell ref="H42:J43"/>
    <mergeCell ref="H44:J45"/>
    <mergeCell ref="F1:T1"/>
    <mergeCell ref="F2:T2"/>
    <mergeCell ref="F3:T3"/>
    <mergeCell ref="A6:D6"/>
    <mergeCell ref="A7:D7"/>
    <mergeCell ref="M7:Q7"/>
    <mergeCell ref="T7:V7"/>
    <mergeCell ref="N22:R23"/>
    <mergeCell ref="S22:X23"/>
    <mergeCell ref="S14:X14"/>
    <mergeCell ref="N15:R16"/>
    <mergeCell ref="S15:X16"/>
    <mergeCell ref="N17:R17"/>
    <mergeCell ref="S17:X17"/>
    <mergeCell ref="N18:R19"/>
    <mergeCell ref="S18:X19"/>
    <mergeCell ref="N20:R21"/>
    <mergeCell ref="S20:X21"/>
    <mergeCell ref="W7:X7"/>
    <mergeCell ref="A13:D13"/>
    <mergeCell ref="E13:L13"/>
    <mergeCell ref="N13:R13"/>
    <mergeCell ref="S13:X13"/>
    <mergeCell ref="A84:D84"/>
    <mergeCell ref="A85:D85"/>
    <mergeCell ref="M85:Q85"/>
    <mergeCell ref="T85:V85"/>
    <mergeCell ref="W85:X85"/>
    <mergeCell ref="A26:T26"/>
    <mergeCell ref="U26:U27"/>
    <mergeCell ref="V26:X27"/>
    <mergeCell ref="A27:T27"/>
    <mergeCell ref="C66:G66"/>
    <mergeCell ref="H66:L66"/>
    <mergeCell ref="M66:R66"/>
    <mergeCell ref="M60:R60"/>
    <mergeCell ref="C61:G61"/>
    <mergeCell ref="H61:L61"/>
    <mergeCell ref="M61:R61"/>
    <mergeCell ref="H30:J31"/>
    <mergeCell ref="K30:L31"/>
    <mergeCell ref="A30:G31"/>
    <mergeCell ref="K32:L32"/>
    <mergeCell ref="A32:G32"/>
    <mergeCell ref="H32:J32"/>
    <mergeCell ref="J67:L67"/>
    <mergeCell ref="M67:O67"/>
  </mergeCells>
  <pageMargins left="0.72" right="0.47" top="0.59" bottom="0.51" header="0.28000000000000003" footer="0.28000000000000003"/>
  <pageSetup paperSize="9" scale="6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C446-9F2A-1140-B60D-6279F6748218}">
  <dimension ref="A1:BC215"/>
  <sheetViews>
    <sheetView view="pageBreakPreview" topLeftCell="I179" zoomScale="98" zoomScaleNormal="42" zoomScaleSheetLayoutView="98" workbookViewId="0">
      <selection activeCell="Q193" sqref="Q193"/>
    </sheetView>
  </sheetViews>
  <sheetFormatPr defaultColWidth="11" defaultRowHeight="15.75"/>
  <cols>
    <col min="9" max="9" width="12.5" customWidth="1"/>
    <col min="12" max="13" width="13.625" bestFit="1" customWidth="1"/>
    <col min="14" max="14" width="14.625" bestFit="1" customWidth="1"/>
  </cols>
  <sheetData>
    <row r="1" spans="1:21" ht="18">
      <c r="A1" s="708" t="s">
        <v>701</v>
      </c>
      <c r="B1" s="708"/>
      <c r="C1" s="708"/>
      <c r="D1" s="708"/>
      <c r="E1" s="708"/>
      <c r="F1" s="708"/>
      <c r="G1" s="708"/>
      <c r="H1" s="708"/>
      <c r="I1" s="708"/>
      <c r="J1" s="708"/>
      <c r="K1" s="708"/>
      <c r="L1" s="708"/>
      <c r="M1" s="708"/>
      <c r="N1" s="708"/>
      <c r="O1" s="708"/>
      <c r="P1" s="708"/>
      <c r="Q1" s="708"/>
      <c r="R1" s="708"/>
      <c r="S1" s="708"/>
      <c r="T1" s="708"/>
      <c r="U1" s="708"/>
    </row>
    <row r="2" spans="1:21" ht="23.25">
      <c r="A2" s="663" t="s">
        <v>774</v>
      </c>
      <c r="B2" s="663"/>
      <c r="C2" s="663"/>
      <c r="D2" s="663"/>
      <c r="E2" s="663"/>
      <c r="F2" s="663"/>
      <c r="G2" s="663"/>
      <c r="H2" s="663"/>
      <c r="I2" s="663"/>
      <c r="J2" s="663"/>
      <c r="K2" s="663"/>
      <c r="L2" s="663"/>
      <c r="M2" s="663"/>
      <c r="N2" s="663"/>
      <c r="O2" s="663"/>
      <c r="P2" s="663"/>
      <c r="Q2" s="663"/>
      <c r="R2" s="663"/>
      <c r="S2" s="663"/>
      <c r="T2" s="663"/>
      <c r="U2" s="663"/>
    </row>
    <row r="3" spans="1:21" ht="23.25">
      <c r="A3" s="664" t="s">
        <v>773</v>
      </c>
      <c r="B3" s="662"/>
      <c r="C3" s="662"/>
      <c r="D3" s="662"/>
      <c r="E3" s="662"/>
      <c r="F3" s="662"/>
      <c r="G3" s="662"/>
      <c r="H3" s="662"/>
      <c r="I3" s="662"/>
      <c r="J3" s="662"/>
      <c r="K3" s="662"/>
      <c r="L3" s="662"/>
      <c r="M3" s="662"/>
      <c r="N3" s="662"/>
      <c r="O3" s="662"/>
      <c r="P3" s="662"/>
      <c r="Q3" s="662"/>
      <c r="R3" s="662"/>
      <c r="S3" s="662"/>
      <c r="T3" s="662"/>
      <c r="U3" s="662"/>
    </row>
    <row r="4" spans="1:21" ht="23.25">
      <c r="A4" s="709"/>
      <c r="B4" s="709"/>
      <c r="C4" s="709"/>
      <c r="D4" s="709"/>
      <c r="E4" s="709"/>
      <c r="F4" s="709"/>
      <c r="G4" s="709"/>
      <c r="H4" s="709"/>
      <c r="I4" s="709"/>
      <c r="J4" s="709"/>
      <c r="K4" s="709"/>
      <c r="L4" s="709"/>
      <c r="M4" s="709"/>
      <c r="N4" s="709"/>
      <c r="O4" s="709"/>
      <c r="P4" s="709"/>
      <c r="Q4" s="709"/>
      <c r="R4" s="709"/>
      <c r="S4" s="709"/>
      <c r="T4" s="709"/>
      <c r="U4" s="616"/>
    </row>
    <row r="5" spans="1:21">
      <c r="A5" s="335" t="s">
        <v>772</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963" t="s">
        <v>767</v>
      </c>
      <c r="B7" s="1963"/>
      <c r="C7" s="1963"/>
      <c r="D7" s="710" t="str">
        <f>IFERROR(INDEX('DATA INDUK'!$H$27:$H$152,MATCH(ROW(D1),'DATA INDUK'!$BA$27:$BA$152,0)),"")</f>
        <v>26-001-DS-001</v>
      </c>
      <c r="E7" s="576"/>
      <c r="F7" s="576"/>
      <c r="G7" s="576"/>
      <c r="H7" s="335"/>
      <c r="I7" s="335"/>
      <c r="J7" s="335"/>
      <c r="K7" s="335"/>
      <c r="L7" s="335"/>
      <c r="M7" s="335"/>
      <c r="N7" s="335"/>
      <c r="O7" s="335"/>
      <c r="P7" s="335"/>
      <c r="Q7" s="335"/>
      <c r="R7" s="335"/>
      <c r="S7" s="335"/>
      <c r="T7" s="335"/>
      <c r="U7" s="335"/>
    </row>
    <row r="8" spans="1:21">
      <c r="A8" s="576"/>
      <c r="B8" s="576"/>
      <c r="C8" s="576"/>
      <c r="D8" s="531"/>
      <c r="E8" s="335"/>
      <c r="F8" s="335"/>
      <c r="G8" s="335"/>
      <c r="H8" s="335"/>
      <c r="I8" s="335"/>
      <c r="J8" s="335"/>
      <c r="K8" s="335"/>
      <c r="L8" s="335"/>
      <c r="M8" s="335"/>
      <c r="N8" s="335"/>
      <c r="O8" s="15"/>
      <c r="P8" s="15"/>
      <c r="Q8" s="15"/>
      <c r="R8" s="15"/>
      <c r="S8" s="15"/>
      <c r="T8" s="15"/>
      <c r="U8" s="335"/>
    </row>
    <row r="9" spans="1:21">
      <c r="A9" s="1964" t="s">
        <v>1834</v>
      </c>
      <c r="B9" s="1964"/>
      <c r="C9" s="1964"/>
      <c r="D9" s="1584" t="str">
        <f>IFERROR(INDEX('DATA INDUK'!$C$27:$C$152,MATCH(ROW(D1),'DATA INDUK'!$BA$27:$BA$152,0)),"")</f>
        <v>BH-04R1-SPT 15</v>
      </c>
      <c r="E9" s="335"/>
      <c r="F9" s="335"/>
      <c r="G9" s="335"/>
      <c r="H9" s="335"/>
      <c r="I9" s="335"/>
      <c r="J9" s="335"/>
      <c r="K9" s="335"/>
      <c r="L9" s="1963" t="s">
        <v>703</v>
      </c>
      <c r="M9" s="1963"/>
      <c r="N9" s="1963"/>
      <c r="O9" s="15" t="str">
        <f>IF($D$7="","",P9)</f>
        <v>NOUFAL</v>
      </c>
      <c r="P9" s="588" t="s">
        <v>1051</v>
      </c>
      <c r="Q9" s="15"/>
      <c r="R9" s="15"/>
      <c r="S9" s="15"/>
      <c r="T9" s="15" t="str">
        <f>"TTD_"&amp;O9&amp;""</f>
        <v>TTD_NOUFAL</v>
      </c>
      <c r="U9" s="335"/>
    </row>
    <row r="10" spans="1:21">
      <c r="A10" s="1963" t="s">
        <v>768</v>
      </c>
      <c r="B10" s="1963"/>
      <c r="C10" s="1963"/>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335"/>
      <c r="F10" s="335"/>
      <c r="G10" s="335"/>
      <c r="H10" s="335"/>
      <c r="I10" s="335"/>
      <c r="J10" s="335"/>
      <c r="K10" s="335"/>
      <c r="L10" s="1963" t="s">
        <v>704</v>
      </c>
      <c r="M10" s="1963"/>
      <c r="N10" s="1963"/>
      <c r="O10" s="15" t="str">
        <f t="shared" ref="O10:O11" si="0">IF($D$7="","",P10)</f>
        <v>NOUFAL</v>
      </c>
      <c r="P10" s="588" t="s">
        <v>1051</v>
      </c>
      <c r="Q10" s="15"/>
      <c r="R10" s="15"/>
      <c r="S10" s="15"/>
      <c r="T10" s="15" t="str">
        <f>IF(O9=O10,"TTD_","TTD_"&amp;O10&amp;"")</f>
        <v>TTD_</v>
      </c>
      <c r="U10" s="335"/>
    </row>
    <row r="11" spans="1:21">
      <c r="A11" s="1963" t="s">
        <v>769</v>
      </c>
      <c r="B11" s="1963"/>
      <c r="C11" s="1963"/>
      <c r="D11" s="576" t="str">
        <f>IFERROR(INDEX('DATA INDUK'!$D$27:$D$152,MATCH(ROW(D1),'DATA INDUK'!$BA$27:$BA$152,0)),"")</f>
        <v>Disturbed Sample</v>
      </c>
      <c r="E11" s="335"/>
      <c r="F11" s="335" t="s">
        <v>1611</v>
      </c>
      <c r="G11" s="335"/>
      <c r="H11" s="335"/>
      <c r="I11" s="335"/>
      <c r="J11" s="335"/>
      <c r="K11" s="335"/>
      <c r="L11" s="576" t="s">
        <v>716</v>
      </c>
      <c r="M11" s="335"/>
      <c r="N11" s="335"/>
      <c r="O11" s="15" t="str">
        <f t="shared" si="0"/>
        <v>A.SUMARTADJI</v>
      </c>
      <c r="P11" s="588" t="s">
        <v>766</v>
      </c>
      <c r="Q11" s="15"/>
      <c r="R11" s="15"/>
      <c r="S11" s="15"/>
      <c r="T11" s="15" t="str">
        <f>"TTD_"&amp;O11&amp;""</f>
        <v>TTD_A.SUMARTADJI</v>
      </c>
      <c r="U11" s="335"/>
    </row>
    <row r="12" spans="1:21">
      <c r="A12" s="1963" t="s">
        <v>770</v>
      </c>
      <c r="B12" s="1963"/>
      <c r="C12" s="1963"/>
      <c r="D12" s="1577" t="s">
        <v>1510</v>
      </c>
      <c r="E12" s="335"/>
      <c r="F12" s="15" t="str">
        <f>IFERROR(INDEX($R$36:$R$47,
MATCH(D12,$U$36:$U$47,0)),
"CHECK DESKRIPSI")</f>
        <v>CL</v>
      </c>
      <c r="G12" s="335"/>
      <c r="H12" s="335"/>
      <c r="I12" s="335"/>
      <c r="J12" s="335"/>
      <c r="K12" s="335"/>
      <c r="L12" s="1963" t="s">
        <v>705</v>
      </c>
      <c r="M12" s="1963"/>
      <c r="N12" s="1963"/>
      <c r="O12" s="713"/>
      <c r="P12" s="335"/>
      <c r="Q12" s="335"/>
      <c r="R12" s="335"/>
      <c r="S12" s="335"/>
      <c r="T12" s="335"/>
      <c r="U12" s="335"/>
    </row>
    <row r="13" spans="1:21">
      <c r="A13" s="1963" t="s">
        <v>771</v>
      </c>
      <c r="B13" s="1963"/>
      <c r="C13" s="1963"/>
      <c r="D13" s="712"/>
      <c r="E13" s="335"/>
      <c r="F13" s="335"/>
      <c r="G13" s="335"/>
      <c r="H13" s="335"/>
      <c r="I13" s="335"/>
      <c r="J13" s="335"/>
      <c r="K13" s="335"/>
      <c r="L13" s="335"/>
      <c r="M13" s="335"/>
      <c r="N13" s="335"/>
      <c r="O13" s="335"/>
      <c r="P13" s="335"/>
      <c r="Q13" s="335"/>
      <c r="R13" s="335"/>
      <c r="S13" s="335"/>
      <c r="T13" s="335"/>
      <c r="U13" s="335"/>
    </row>
    <row r="14" spans="1:21" ht="16.5" thickBot="1">
      <c r="A14" s="711"/>
      <c r="B14" s="711"/>
      <c r="C14" s="711"/>
      <c r="D14" s="668" t="str">
        <f>IFERROR(INDEX('DATA INDUK'!$H$27:$H$38,MATCH(ROW(D9),'DATA INDUK'!$Z$27:$Z$38,0)),"")</f>
        <v/>
      </c>
      <c r="E14" s="668"/>
      <c r="F14" s="668"/>
      <c r="G14" s="668"/>
      <c r="H14" s="668"/>
      <c r="I14" s="668"/>
      <c r="J14" s="668"/>
      <c r="K14" s="668"/>
      <c r="L14" s="668"/>
      <c r="M14" s="668"/>
      <c r="N14" s="668"/>
      <c r="O14" s="668"/>
      <c r="P14" s="668"/>
      <c r="Q14" s="668"/>
      <c r="R14" s="668"/>
      <c r="S14" s="668"/>
      <c r="T14" s="668"/>
      <c r="U14" s="668"/>
    </row>
    <row r="23" spans="2:22">
      <c r="B23" s="483"/>
      <c r="D23" s="21"/>
      <c r="E23" s="21"/>
      <c r="F23" s="21"/>
      <c r="H23" s="1956"/>
      <c r="I23" s="1956"/>
      <c r="Q23" s="1968" t="s">
        <v>440</v>
      </c>
      <c r="R23" s="460" t="s">
        <v>125</v>
      </c>
      <c r="S23" s="460" t="s">
        <v>44</v>
      </c>
      <c r="T23" s="460" t="s">
        <v>441</v>
      </c>
      <c r="U23" s="460" t="s">
        <v>126</v>
      </c>
      <c r="V23" s="460" t="s">
        <v>127</v>
      </c>
    </row>
    <row r="24" spans="2:22">
      <c r="B24" s="483"/>
      <c r="Q24" s="1969"/>
      <c r="R24" s="462" t="s">
        <v>442</v>
      </c>
      <c r="S24" s="462" t="s">
        <v>442</v>
      </c>
      <c r="T24" s="462" t="s">
        <v>443</v>
      </c>
      <c r="U24" s="462" t="s">
        <v>444</v>
      </c>
      <c r="V24" s="462" t="s">
        <v>445</v>
      </c>
    </row>
    <row r="25" spans="2:22">
      <c r="B25" s="483"/>
      <c r="Q25" s="463">
        <v>1</v>
      </c>
      <c r="R25" s="464">
        <v>5.94</v>
      </c>
      <c r="S25" s="464">
        <v>2.4900000000000002</v>
      </c>
      <c r="T25" s="464">
        <v>63.16</v>
      </c>
      <c r="U25" s="465">
        <f>IF(R25="","",PI()*R25^2/4)</f>
        <v>27.711674638050212</v>
      </c>
      <c r="V25" s="465">
        <f>IF(OR(R25="",S25=""),"",U25*S25)</f>
        <v>69.002069848745037</v>
      </c>
    </row>
    <row r="26" spans="2:22">
      <c r="B26" s="483"/>
      <c r="Q26" s="466"/>
      <c r="R26" s="467"/>
      <c r="S26" s="467"/>
      <c r="T26" s="467"/>
      <c r="U26" s="468" t="str">
        <f>IF(R26="","",PI()*R26^2/4)</f>
        <v/>
      </c>
      <c r="V26" s="468" t="str">
        <f t="shared" ref="V26:V33" si="1">IF(OR(R26="",S26=""),"",U26*S26)</f>
        <v/>
      </c>
    </row>
    <row r="27" spans="2:22">
      <c r="B27" s="483"/>
      <c r="Q27" s="469"/>
      <c r="R27" s="470"/>
      <c r="S27" s="470"/>
      <c r="T27" s="470"/>
      <c r="U27" s="471" t="str">
        <f t="shared" ref="U27:U33" si="2">IF(R27="","",PI()*R27^2/4)</f>
        <v/>
      </c>
      <c r="V27" s="471" t="str">
        <f t="shared" si="1"/>
        <v/>
      </c>
    </row>
    <row r="28" spans="2:22">
      <c r="B28" s="1965" t="s">
        <v>479</v>
      </c>
      <c r="C28" s="1966"/>
      <c r="D28" s="1967" t="s">
        <v>185</v>
      </c>
      <c r="E28" s="1967"/>
      <c r="F28" s="1967" t="s">
        <v>237</v>
      </c>
      <c r="G28" s="1967"/>
      <c r="H28" s="1967" t="s">
        <v>249</v>
      </c>
      <c r="I28" s="1967"/>
      <c r="Q28" s="469"/>
      <c r="R28" s="470"/>
      <c r="S28" s="470"/>
      <c r="T28" s="470"/>
      <c r="U28" s="471"/>
      <c r="V28" s="471"/>
    </row>
    <row r="29" spans="2:22">
      <c r="B29" s="1965"/>
      <c r="C29" s="1966"/>
      <c r="D29" s="475" t="s">
        <v>190</v>
      </c>
      <c r="E29" s="475" t="s">
        <v>461</v>
      </c>
      <c r="F29" s="475" t="s">
        <v>190</v>
      </c>
      <c r="G29" s="475" t="s">
        <v>461</v>
      </c>
      <c r="H29" s="475" t="s">
        <v>190</v>
      </c>
      <c r="I29" s="475" t="s">
        <v>461</v>
      </c>
      <c r="L29" s="483"/>
      <c r="Q29" s="466"/>
      <c r="R29" s="467"/>
      <c r="S29" s="467"/>
      <c r="T29" s="467"/>
      <c r="U29" s="468" t="str">
        <f t="shared" si="2"/>
        <v/>
      </c>
      <c r="V29" s="468" t="str">
        <f t="shared" si="1"/>
        <v/>
      </c>
    </row>
    <row r="30" spans="2:22">
      <c r="B30" s="472" t="s">
        <v>440</v>
      </c>
      <c r="D30" s="1970">
        <v>1</v>
      </c>
      <c r="E30" s="1970"/>
      <c r="F30" s="1970">
        <v>1</v>
      </c>
      <c r="G30" s="1970"/>
      <c r="H30" s="1970">
        <v>1</v>
      </c>
      <c r="I30" s="1970"/>
      <c r="Q30" s="466"/>
      <c r="R30" s="467"/>
      <c r="S30" s="467"/>
      <c r="T30" s="467"/>
      <c r="U30" s="468" t="str">
        <f t="shared" si="2"/>
        <v/>
      </c>
      <c r="V30" s="468" t="str">
        <f t="shared" si="1"/>
        <v/>
      </c>
    </row>
    <row r="31" spans="2:22">
      <c r="B31" s="473" t="s">
        <v>449</v>
      </c>
      <c r="D31" s="476">
        <f>VLOOKUP($D$30,$Q$23:$R$30,2)</f>
        <v>5.94</v>
      </c>
      <c r="E31" s="476">
        <f>VLOOKUP($D$30,$Q$23:$R$30,2)</f>
        <v>5.94</v>
      </c>
      <c r="F31" s="476">
        <f>VLOOKUP($F$30,$Q$23:$R$30,2)</f>
        <v>5.94</v>
      </c>
      <c r="G31" s="476">
        <f>VLOOKUP($F$30,$Q$23:$R$30,2)</f>
        <v>5.94</v>
      </c>
      <c r="H31" s="476">
        <f>VLOOKUP($H$30,$Q$23:$R$30,2)</f>
        <v>5.94</v>
      </c>
      <c r="I31" s="476">
        <f>VLOOKUP($H$30,$Q$23:$R$30,2)</f>
        <v>5.94</v>
      </c>
      <c r="P31" s="498"/>
      <c r="Q31" s="515"/>
      <c r="R31" s="516"/>
      <c r="S31" s="516"/>
      <c r="T31" s="516"/>
      <c r="U31" s="517" t="str">
        <f t="shared" si="2"/>
        <v/>
      </c>
      <c r="V31" s="517" t="str">
        <f t="shared" si="1"/>
        <v/>
      </c>
    </row>
    <row r="32" spans="2:22">
      <c r="B32" s="473" t="s">
        <v>450</v>
      </c>
      <c r="D32" s="476">
        <f>VLOOKUP($D$30,$Q$23:$S$30,3)</f>
        <v>2.4900000000000002</v>
      </c>
      <c r="E32" s="476">
        <f>VLOOKUP($D$30,$Q$23:$S$30,3)</f>
        <v>2.4900000000000002</v>
      </c>
      <c r="F32" s="476">
        <f>VLOOKUP($F$30,$Q$23:$S$30,3)</f>
        <v>2.4900000000000002</v>
      </c>
      <c r="G32" s="476">
        <f>VLOOKUP($F$30,$Q$23:$S$30,3)</f>
        <v>2.4900000000000002</v>
      </c>
      <c r="H32" s="476">
        <f>VLOOKUP($H$30,$Q$23:$S$30,3)</f>
        <v>2.4900000000000002</v>
      </c>
      <c r="I32" s="476">
        <f>VLOOKUP($H$30,$Q$23:$S$30,3)</f>
        <v>2.4900000000000002</v>
      </c>
      <c r="Q32" s="481"/>
      <c r="R32" s="518"/>
      <c r="S32" s="518"/>
      <c r="T32" s="518"/>
      <c r="U32" s="518" t="str">
        <f t="shared" si="2"/>
        <v/>
      </c>
      <c r="V32" s="518" t="str">
        <f t="shared" si="1"/>
        <v/>
      </c>
    </row>
    <row r="33" spans="1:23">
      <c r="B33" s="473" t="s">
        <v>451</v>
      </c>
      <c r="D33" s="476">
        <f>VLOOKUP($D$30,$Q$23:$U$30,5)</f>
        <v>27.711674638050212</v>
      </c>
      <c r="E33" s="476">
        <f>VLOOKUP($D$30,$Q$23:$U$30,5)</f>
        <v>27.711674638050212</v>
      </c>
      <c r="F33" s="476">
        <f>VLOOKUP($F$30,$Q$23:$U$30,5)</f>
        <v>27.711674638050212</v>
      </c>
      <c r="G33" s="476">
        <f>VLOOKUP($F$30,$Q$23:$U$30,5)</f>
        <v>27.711674638050212</v>
      </c>
      <c r="H33" s="476">
        <f>VLOOKUP($H$30,$Q$23:$U$30,5)</f>
        <v>27.711674638050212</v>
      </c>
      <c r="I33" s="476">
        <f>VLOOKUP($H$30,$Q$23:$U$30,5)</f>
        <v>27.711674638050212</v>
      </c>
      <c r="Q33" s="481"/>
      <c r="R33" s="518"/>
      <c r="S33" s="518"/>
      <c r="T33" s="518"/>
      <c r="U33" s="500" t="str">
        <f t="shared" si="2"/>
        <v/>
      </c>
      <c r="V33" s="500" t="str">
        <f t="shared" si="1"/>
        <v/>
      </c>
    </row>
    <row r="34" spans="1:23">
      <c r="B34" s="473" t="s">
        <v>452</v>
      </c>
      <c r="D34" s="476">
        <f>VLOOKUP($D$30,$Q$23:$V$31,6)</f>
        <v>69.002069848745037</v>
      </c>
      <c r="E34" s="476">
        <f>VLOOKUP($D$30,$Q$23:$V$31,6)</f>
        <v>69.002069848745037</v>
      </c>
      <c r="F34" s="476">
        <f>VLOOKUP($F$30,$Q$23:$V$30,6)</f>
        <v>69.002069848745037</v>
      </c>
      <c r="G34" s="476">
        <f>VLOOKUP($F$30,$Q$23:$V$30,6)</f>
        <v>69.002069848745037</v>
      </c>
      <c r="H34" s="476">
        <f>VLOOKUP($H$30,$Q$23:$V$30,6)</f>
        <v>69.002069848745037</v>
      </c>
      <c r="I34" s="476">
        <f>VLOOKUP($H$30,$Q$23:$V$30,6)</f>
        <v>69.002069848745037</v>
      </c>
      <c r="Q34" s="481"/>
      <c r="R34" s="370" t="s">
        <v>1641</v>
      </c>
      <c r="S34" s="370"/>
      <c r="T34" s="370"/>
      <c r="U34" s="370"/>
      <c r="V34" s="370"/>
      <c r="W34" s="1133"/>
    </row>
    <row r="35" spans="1:23">
      <c r="B35" s="473" t="s">
        <v>453</v>
      </c>
      <c r="D35" s="476">
        <f>VLOOKUP($D$30,$Q$23:$T$30,4)</f>
        <v>63.16</v>
      </c>
      <c r="E35" s="476">
        <f>VLOOKUP($D$30,$Q$23:$T$30,4)</f>
        <v>63.16</v>
      </c>
      <c r="F35" s="476">
        <f>VLOOKUP($F$30,$Q$23:$T$30,4)</f>
        <v>63.16</v>
      </c>
      <c r="G35" s="476">
        <f>VLOOKUP($F$30,$Q$23:$T$30,4)</f>
        <v>63.16</v>
      </c>
      <c r="H35" s="476">
        <f>VLOOKUP($H$30,$Q$23:$T$30,4)</f>
        <v>63.16</v>
      </c>
      <c r="I35" s="476">
        <f>VLOOKUP($H$30,$Q$23:$T$30,4)</f>
        <v>63.16</v>
      </c>
      <c r="Q35" s="481"/>
      <c r="R35" s="370" t="s">
        <v>1611</v>
      </c>
      <c r="S35" s="370" t="s">
        <v>1642</v>
      </c>
      <c r="T35" s="370" t="s">
        <v>1632</v>
      </c>
      <c r="U35" s="370" t="s">
        <v>1633</v>
      </c>
      <c r="V35" s="370"/>
      <c r="W35" s="1133"/>
    </row>
    <row r="36" spans="1:23">
      <c r="B36" s="473" t="s">
        <v>454</v>
      </c>
      <c r="D36" s="477">
        <v>181.49</v>
      </c>
      <c r="E36" s="477">
        <v>181.49</v>
      </c>
      <c r="F36" s="477">
        <v>181.95</v>
      </c>
      <c r="G36" s="477">
        <v>181.96</v>
      </c>
      <c r="H36" s="477">
        <v>182.47</v>
      </c>
      <c r="I36" s="477">
        <v>182.65</v>
      </c>
      <c r="Q36" s="481"/>
      <c r="R36" s="370" t="s">
        <v>1612</v>
      </c>
      <c r="S36" s="370" t="s">
        <v>1613</v>
      </c>
      <c r="T36" s="370" t="s">
        <v>1610</v>
      </c>
      <c r="U36" s="370" t="s">
        <v>1510</v>
      </c>
      <c r="V36" s="370"/>
      <c r="W36" s="1568"/>
    </row>
    <row r="37" spans="1:23">
      <c r="B37" s="473" t="s">
        <v>455</v>
      </c>
      <c r="D37" s="477">
        <v>175.26</v>
      </c>
      <c r="E37" s="477">
        <v>174.26</v>
      </c>
      <c r="F37" s="477">
        <v>176.25</v>
      </c>
      <c r="G37" s="477">
        <v>176.45</v>
      </c>
      <c r="H37" s="477">
        <v>176.48</v>
      </c>
      <c r="I37" s="477">
        <v>176.52</v>
      </c>
      <c r="Q37" s="481"/>
      <c r="R37" s="370" t="s">
        <v>1614</v>
      </c>
      <c r="S37" s="370" t="s">
        <v>1615</v>
      </c>
      <c r="T37" s="370" t="s">
        <v>1634</v>
      </c>
      <c r="U37" s="370" t="s">
        <v>1635</v>
      </c>
      <c r="V37" s="370"/>
      <c r="W37" s="1568"/>
    </row>
    <row r="38" spans="1:23">
      <c r="B38" s="473" t="s">
        <v>69</v>
      </c>
      <c r="D38" s="478">
        <f>(D36-D37)/(D37-D35)*100</f>
        <v>5.5575379125780717</v>
      </c>
      <c r="E38" s="478">
        <f>(E36-E37)/(E37-E35)*100</f>
        <v>6.5076507650765238</v>
      </c>
      <c r="F38" s="478">
        <f t="shared" ref="F38:I38" si="3">(F36-F37)/(F37-F35)*100</f>
        <v>5.0402334423910062</v>
      </c>
      <c r="G38" s="478">
        <f t="shared" si="3"/>
        <v>4.8636243269485568</v>
      </c>
      <c r="H38" s="478">
        <f t="shared" si="3"/>
        <v>5.285915990116492</v>
      </c>
      <c r="I38" s="478">
        <f t="shared" si="3"/>
        <v>5.4075511644318937</v>
      </c>
      <c r="Q38" s="481"/>
      <c r="R38" s="370" t="s">
        <v>1617</v>
      </c>
      <c r="S38" s="370" t="s">
        <v>1618</v>
      </c>
      <c r="T38" s="370" t="s">
        <v>1636</v>
      </c>
      <c r="U38" s="370" t="s">
        <v>1637</v>
      </c>
      <c r="V38" s="370"/>
      <c r="W38" s="1568"/>
    </row>
    <row r="39" spans="1:23">
      <c r="B39" s="473" t="s">
        <v>456</v>
      </c>
      <c r="D39" s="476">
        <f>IF(OR(D30="",D34="",D35="",D36=""),"",(D36-D35)/D34)</f>
        <v>1.7148760937082543</v>
      </c>
      <c r="E39" s="476">
        <f>IF(OR(D30="",E34="",E35="",E36=""),"",(E36-E35)/E34)</f>
        <v>1.7148760937082543</v>
      </c>
      <c r="F39" s="476">
        <f>IF(OR(F30="",F34="",F35="",F36=""),"",(F36-F35)/F34)</f>
        <v>1.7215425603955337</v>
      </c>
      <c r="G39" s="476">
        <f>IF(OR(F30="",G34="",G35="",G36=""),"",(G36-G35)/G34)</f>
        <v>1.7216874835843878</v>
      </c>
      <c r="H39" s="476">
        <f>IF(OR(H30="",H34="",H35="",H36=""),"",(H36-H35)/H34)</f>
        <v>1.7290785662159369</v>
      </c>
      <c r="I39" s="479">
        <f>IF(OR(H30="",I34="",I35="",I36=""),"",(I36-I35)/I34)</f>
        <v>1.7316871836153074</v>
      </c>
      <c r="Q39" s="481"/>
      <c r="R39" s="370" t="s">
        <v>1643</v>
      </c>
      <c r="S39" s="370" t="s">
        <v>1644</v>
      </c>
      <c r="T39" s="370" t="s">
        <v>1645</v>
      </c>
      <c r="U39" s="370" t="s">
        <v>1646</v>
      </c>
      <c r="V39" s="370"/>
      <c r="W39" s="1568"/>
    </row>
    <row r="40" spans="1:23">
      <c r="B40" s="473" t="s">
        <v>457</v>
      </c>
      <c r="D40" s="476">
        <f>IF(OR(D30="",D34="",D35="",D36="",D38=""),"",D39/(1+D38/100))</f>
        <v>1.6245889470522714</v>
      </c>
      <c r="E40" s="476">
        <f>IF(OR(D30="",E34="",E35="",E36="",E38=""),"",E39/(1+E38/100))</f>
        <v>1.6100966281668809</v>
      </c>
      <c r="F40" s="476">
        <f>IF(OR(F30="",F34="",F35="",F36="",F38=""),"",F39/(1+F38/100))</f>
        <v>1.6389363427488084</v>
      </c>
      <c r="G40" s="476">
        <f>IF(OR(F30="",G34="",G35="",G36="",G38=""),"",G39/(1+G38/100))</f>
        <v>1.6418348065258861</v>
      </c>
      <c r="H40" s="476">
        <f>IF(OR(H30="",H34="",H35="",H36="",H38=""),"",H39/(1+H38/100))</f>
        <v>1.6422695760924477</v>
      </c>
      <c r="I40" s="476">
        <f>IF(OR(H30="",I34="",I35="",I36="",I38=""),"",I39/(1+I38/100))</f>
        <v>1.6428492688478638</v>
      </c>
      <c r="Q40" s="481"/>
      <c r="R40" s="370" t="s">
        <v>1620</v>
      </c>
      <c r="S40" s="370" t="s">
        <v>1616</v>
      </c>
      <c r="T40" s="370" t="s">
        <v>509</v>
      </c>
      <c r="U40" s="370" t="s">
        <v>1638</v>
      </c>
      <c r="V40" s="370"/>
      <c r="W40" s="1568"/>
    </row>
    <row r="41" spans="1:23">
      <c r="B41" s="473" t="s">
        <v>458</v>
      </c>
      <c r="D41" s="496">
        <v>2.69</v>
      </c>
      <c r="E41" s="496">
        <v>2.69</v>
      </c>
      <c r="F41" s="496">
        <f>D41</f>
        <v>2.69</v>
      </c>
      <c r="G41" s="496">
        <v>2.69</v>
      </c>
      <c r="H41" s="496">
        <f>D41</f>
        <v>2.69</v>
      </c>
      <c r="I41" s="496">
        <v>2.69</v>
      </c>
      <c r="Q41" s="481"/>
      <c r="R41" s="370" t="s">
        <v>1621</v>
      </c>
      <c r="S41" s="370" t="s">
        <v>1622</v>
      </c>
      <c r="T41" s="370" t="s">
        <v>1639</v>
      </c>
      <c r="U41" s="370" t="s">
        <v>1640</v>
      </c>
      <c r="V41" s="370"/>
      <c r="W41" s="1568"/>
    </row>
    <row r="42" spans="1:23">
      <c r="B42" s="473" t="s">
        <v>459</v>
      </c>
      <c r="D42" s="497">
        <f>IF(OR(D30="",D34="",D35="",D36="",D38="",D41=""),"",(D41/D40-1))</f>
        <v>0.65580346024196401</v>
      </c>
      <c r="E42" s="497">
        <f>IF(OR(D30="",E34="",E35="",E36="",E38="",E41=""),"",(E41/E40-1))</f>
        <v>0.67070718175629329</v>
      </c>
      <c r="F42" s="497">
        <f>IF(OR(F30="",F34="",F35="",F36="",F38="",F41=""),"",(F41/F40-1))</f>
        <v>0.6413084082865339</v>
      </c>
      <c r="G42" s="497">
        <f>IF(OR(F30="",G34="",G35="",G36="",G38="",G41=""),"",(G41/G40-1))</f>
        <v>0.63841087380284378</v>
      </c>
      <c r="H42" s="497">
        <f>IF(OR(H30="",H34="",H35="",H36="",H38="",H41=""),"",(H41/H40-1))</f>
        <v>0.63797712577765786</v>
      </c>
      <c r="I42" s="497">
        <f>IF(OR(H30="",I34="",I35="",I36="",I38="",I41=""),"",(I41/I40-1))</f>
        <v>0.63739915219763699</v>
      </c>
      <c r="Q42" s="481"/>
      <c r="R42" s="370" t="s">
        <v>1623</v>
      </c>
      <c r="S42" s="370" t="s">
        <v>1624</v>
      </c>
      <c r="T42" s="370" t="s">
        <v>1647</v>
      </c>
      <c r="U42" s="370" t="s">
        <v>1648</v>
      </c>
      <c r="V42" s="370"/>
      <c r="W42" s="1568"/>
    </row>
    <row r="43" spans="1:23">
      <c r="B43" s="474" t="s">
        <v>460</v>
      </c>
      <c r="D43" s="480">
        <f t="shared" ref="D43:I43" si="4">D41*D38/D42</f>
        <v>22.796123977935665</v>
      </c>
      <c r="E43" s="480">
        <f t="shared" si="4"/>
        <v>26.100183558816642</v>
      </c>
      <c r="F43" s="480">
        <f t="shared" si="4"/>
        <v>21.141509739841187</v>
      </c>
      <c r="G43" s="480">
        <f t="shared" si="4"/>
        <v>20.493306076631772</v>
      </c>
      <c r="H43" s="480">
        <f t="shared" si="4"/>
        <v>22.287811645411381</v>
      </c>
      <c r="I43" s="480">
        <f t="shared" si="4"/>
        <v>22.821355475872124</v>
      </c>
      <c r="Q43" s="481"/>
      <c r="R43" s="370" t="s">
        <v>1649</v>
      </c>
      <c r="S43" s="370" t="s">
        <v>1650</v>
      </c>
      <c r="T43" s="370" t="s">
        <v>1651</v>
      </c>
      <c r="U43" s="370" t="s">
        <v>1652</v>
      </c>
      <c r="V43" s="370"/>
      <c r="W43" s="1568"/>
    </row>
    <row r="44" spans="1:23">
      <c r="Q44" s="481"/>
      <c r="R44" s="370" t="s">
        <v>1690</v>
      </c>
      <c r="S44" s="370" t="s">
        <v>1619</v>
      </c>
      <c r="T44" s="370" t="s">
        <v>510</v>
      </c>
      <c r="U44" s="370" t="s">
        <v>1197</v>
      </c>
      <c r="V44" s="370"/>
      <c r="W44" s="1568"/>
    </row>
    <row r="45" spans="1:23">
      <c r="Q45" s="481"/>
      <c r="R45" s="370" t="s">
        <v>1626</v>
      </c>
      <c r="S45" s="370" t="s">
        <v>1627</v>
      </c>
      <c r="T45" s="370" t="s">
        <v>1653</v>
      </c>
      <c r="U45" s="370" t="s">
        <v>1654</v>
      </c>
      <c r="V45" s="370"/>
      <c r="W45" s="1568"/>
    </row>
    <row r="46" spans="1:23">
      <c r="A46" t="s">
        <v>135</v>
      </c>
      <c r="Q46" s="481"/>
      <c r="R46" s="370" t="s">
        <v>1628</v>
      </c>
      <c r="S46" s="370" t="s">
        <v>1629</v>
      </c>
      <c r="T46" s="370" t="s">
        <v>1655</v>
      </c>
      <c r="U46" s="370" t="s">
        <v>1656</v>
      </c>
      <c r="V46" s="370"/>
      <c r="W46" s="1568"/>
    </row>
    <row r="47" spans="1:23">
      <c r="Q47" s="481"/>
      <c r="R47" s="370" t="s">
        <v>1630</v>
      </c>
      <c r="S47" s="370" t="s">
        <v>1631</v>
      </c>
      <c r="T47" s="370" t="s">
        <v>1657</v>
      </c>
      <c r="U47" s="370" t="s">
        <v>1658</v>
      </c>
      <c r="V47" s="370"/>
    </row>
    <row r="48" spans="1:23">
      <c r="B48" s="1968" t="s">
        <v>98</v>
      </c>
      <c r="C48" s="1973" t="s">
        <v>478</v>
      </c>
      <c r="D48" s="1976" t="s">
        <v>185</v>
      </c>
      <c r="E48" s="1977"/>
      <c r="F48" s="1976" t="s">
        <v>237</v>
      </c>
      <c r="G48" s="1977"/>
      <c r="H48" s="1976" t="s">
        <v>249</v>
      </c>
      <c r="I48" s="1977"/>
      <c r="L48" t="s">
        <v>185</v>
      </c>
      <c r="M48" t="s">
        <v>237</v>
      </c>
      <c r="N48" t="s">
        <v>249</v>
      </c>
    </row>
    <row r="49" spans="2:14">
      <c r="B49" s="1975"/>
      <c r="C49" s="1974"/>
      <c r="D49" s="1971" t="s">
        <v>462</v>
      </c>
      <c r="E49" s="484" t="s">
        <v>463</v>
      </c>
      <c r="F49" s="459" t="s">
        <v>462</v>
      </c>
      <c r="G49" s="484" t="s">
        <v>463</v>
      </c>
      <c r="H49" s="459" t="s">
        <v>462</v>
      </c>
      <c r="I49" s="484" t="s">
        <v>463</v>
      </c>
    </row>
    <row r="50" spans="2:14">
      <c r="B50" s="493" t="s">
        <v>352</v>
      </c>
      <c r="C50" s="493" t="s">
        <v>136</v>
      </c>
      <c r="D50" s="1972"/>
      <c r="E50" s="475" t="s">
        <v>217</v>
      </c>
      <c r="F50" s="461"/>
      <c r="G50" s="475" t="s">
        <v>217</v>
      </c>
      <c r="H50" s="461"/>
      <c r="I50" s="475" t="s">
        <v>217</v>
      </c>
      <c r="J50" s="494" t="s">
        <v>482</v>
      </c>
      <c r="K50" t="s">
        <v>472</v>
      </c>
      <c r="L50" s="42">
        <f>E51</f>
        <v>24.900000000000002</v>
      </c>
      <c r="M50" s="43">
        <f>G51</f>
        <v>24.900000000000002</v>
      </c>
      <c r="N50" s="43">
        <f>I51</f>
        <v>24.900000000000002</v>
      </c>
    </row>
    <row r="51" spans="2:14">
      <c r="B51" s="493">
        <v>0</v>
      </c>
      <c r="C51">
        <f t="shared" ref="C51:C64" si="5">SQRT(B51)</f>
        <v>0</v>
      </c>
      <c r="D51" s="495">
        <v>959</v>
      </c>
      <c r="E51" s="485">
        <f>$D$32*10</f>
        <v>24.900000000000002</v>
      </c>
      <c r="F51" s="495">
        <v>956.2</v>
      </c>
      <c r="G51" s="485">
        <f>$D$32*10</f>
        <v>24.900000000000002</v>
      </c>
      <c r="H51" s="495">
        <v>958.8</v>
      </c>
      <c r="I51" s="485">
        <f>$D$32*10</f>
        <v>24.900000000000002</v>
      </c>
      <c r="J51" t="s">
        <v>483</v>
      </c>
      <c r="K51" t="s">
        <v>473</v>
      </c>
      <c r="L51" s="42">
        <f>E64</f>
        <v>24.453000000000003</v>
      </c>
      <c r="M51" s="43">
        <f>G64</f>
        <v>23.662000000000003</v>
      </c>
      <c r="N51" s="43">
        <f>I64</f>
        <v>22.202000000000002</v>
      </c>
    </row>
    <row r="52" spans="2:14">
      <c r="B52" s="475">
        <v>0.25</v>
      </c>
      <c r="C52" s="111">
        <f t="shared" si="5"/>
        <v>0.5</v>
      </c>
      <c r="D52" s="495">
        <v>929.3</v>
      </c>
      <c r="E52" s="485">
        <f t="shared" ref="E52:E64" si="6">($D$32*10)-($D$51-D52)/100</f>
        <v>24.603000000000002</v>
      </c>
      <c r="F52" s="495">
        <v>854.8</v>
      </c>
      <c r="G52" s="485">
        <f t="shared" ref="G52:G64" si="7">($D$32*10)-($D$51-F52)/100</f>
        <v>23.858000000000001</v>
      </c>
      <c r="H52" s="495">
        <v>718.2</v>
      </c>
      <c r="I52" s="485">
        <f t="shared" ref="I52:I64" si="8">($D$32*10)-($D$51-H52)/100</f>
        <v>22.492000000000004</v>
      </c>
      <c r="J52" t="s">
        <v>484</v>
      </c>
      <c r="K52" t="s">
        <v>474</v>
      </c>
      <c r="L52" s="42">
        <f>L50-0.9*(L50-L51)</f>
        <v>24.497700000000002</v>
      </c>
      <c r="M52">
        <f>M50-0.9*(M50-M51)</f>
        <v>23.785800000000002</v>
      </c>
      <c r="N52">
        <f>N50-0.9*(N50-N51)</f>
        <v>22.471800000000002</v>
      </c>
    </row>
    <row r="53" spans="2:14">
      <c r="B53" s="475">
        <v>1</v>
      </c>
      <c r="C53" s="111">
        <f t="shared" si="5"/>
        <v>1</v>
      </c>
      <c r="D53" s="495">
        <v>927.2</v>
      </c>
      <c r="E53" s="485">
        <f t="shared" si="6"/>
        <v>24.582000000000004</v>
      </c>
      <c r="F53" s="495">
        <v>852.9</v>
      </c>
      <c r="G53" s="485">
        <f t="shared" si="7"/>
        <v>23.839000000000002</v>
      </c>
      <c r="H53" s="495">
        <v>708.3</v>
      </c>
      <c r="I53" s="485">
        <f t="shared" si="8"/>
        <v>22.393000000000001</v>
      </c>
      <c r="J53" t="s">
        <v>485</v>
      </c>
      <c r="L53" cm="1">
        <f t="array" ref="L53">MATCH(TRUE,E51:E64&lt;=L52,0)</f>
        <v>12</v>
      </c>
      <c r="M53" cm="1">
        <f t="array" ref="M53">MATCH(TRUE,G51:G64&lt;=M52,0)</f>
        <v>7</v>
      </c>
      <c r="N53" cm="1">
        <f t="array" ref="N53">MATCH(TRUE,I51:I64&lt;=N52,0)</f>
        <v>3</v>
      </c>
    </row>
    <row r="54" spans="2:14">
      <c r="B54" s="475">
        <v>4</v>
      </c>
      <c r="C54" s="111">
        <f t="shared" si="5"/>
        <v>2</v>
      </c>
      <c r="D54" s="495">
        <v>925.9</v>
      </c>
      <c r="E54" s="485">
        <f t="shared" si="6"/>
        <v>24.569000000000003</v>
      </c>
      <c r="F54" s="495">
        <v>850.8</v>
      </c>
      <c r="G54" s="485">
        <f t="shared" si="7"/>
        <v>23.818000000000001</v>
      </c>
      <c r="H54" s="495">
        <v>703.9</v>
      </c>
      <c r="I54" s="485">
        <f t="shared" si="8"/>
        <v>22.349000000000004</v>
      </c>
    </row>
    <row r="55" spans="2:14">
      <c r="B55" s="475">
        <v>6.25</v>
      </c>
      <c r="C55" s="111">
        <f t="shared" si="5"/>
        <v>2.5</v>
      </c>
      <c r="D55" s="495">
        <v>924.9</v>
      </c>
      <c r="E55" s="485">
        <f t="shared" si="6"/>
        <v>24.559000000000001</v>
      </c>
      <c r="F55" s="495">
        <v>849.9</v>
      </c>
      <c r="G55" s="485">
        <f t="shared" si="7"/>
        <v>23.809000000000001</v>
      </c>
      <c r="H55" s="495">
        <v>702.8</v>
      </c>
      <c r="I55" s="485">
        <f t="shared" si="8"/>
        <v>22.338000000000001</v>
      </c>
      <c r="K55" t="s">
        <v>480</v>
      </c>
      <c r="L55" s="42" cm="1">
        <f t="array" ref="L55">INDEX($C$51:$C$64,L53-1)</f>
        <v>10.954451150103322</v>
      </c>
      <c r="M55" s="42" cm="1">
        <f t="array" ref="M55">INDEX($C$51:$C$64,M53-1)</f>
        <v>3</v>
      </c>
      <c r="N55" s="42" cm="1">
        <f t="array" ref="N55">INDEX($C$51:$C$64,N53-1)</f>
        <v>0.5</v>
      </c>
    </row>
    <row r="56" spans="2:14">
      <c r="B56" s="475">
        <v>9</v>
      </c>
      <c r="C56" s="111">
        <f t="shared" si="5"/>
        <v>3</v>
      </c>
      <c r="D56" s="495">
        <v>924</v>
      </c>
      <c r="E56" s="485">
        <f t="shared" si="6"/>
        <v>24.55</v>
      </c>
      <c r="F56" s="495">
        <v>847.9</v>
      </c>
      <c r="G56" s="485">
        <f t="shared" si="7"/>
        <v>23.789000000000001</v>
      </c>
      <c r="H56" s="495">
        <v>701.9</v>
      </c>
      <c r="I56" s="485">
        <f t="shared" si="8"/>
        <v>22.329000000000001</v>
      </c>
      <c r="K56" t="s">
        <v>481</v>
      </c>
      <c r="L56" s="42" cm="1">
        <f t="array" ref="L56">INDEX($C$51:$C$64,L53)</f>
        <v>15.491933384829668</v>
      </c>
      <c r="M56" s="42" cm="1">
        <f t="array" ref="M56">INDEX($C$51:$C$64,M53)</f>
        <v>3.5</v>
      </c>
      <c r="N56" s="42" cm="1">
        <f t="array" ref="N56">INDEX($C$51:$C$64,N53)</f>
        <v>1</v>
      </c>
    </row>
    <row r="57" spans="2:14">
      <c r="B57" s="475">
        <v>12.25</v>
      </c>
      <c r="C57" s="111">
        <f t="shared" si="5"/>
        <v>3.5</v>
      </c>
      <c r="D57" s="495">
        <v>923.8</v>
      </c>
      <c r="E57" s="485">
        <f t="shared" si="6"/>
        <v>24.548000000000002</v>
      </c>
      <c r="F57" s="495">
        <v>846.1</v>
      </c>
      <c r="G57" s="485">
        <f t="shared" si="7"/>
        <v>23.771000000000001</v>
      </c>
      <c r="H57" s="495">
        <v>701</v>
      </c>
      <c r="I57" s="485">
        <f t="shared" si="8"/>
        <v>22.32</v>
      </c>
      <c r="K57" t="s">
        <v>475</v>
      </c>
      <c r="L57" s="42" cm="1">
        <f t="array" ref="L57">INDEX(E51:E64,L53-1)</f>
        <v>24.500000000000004</v>
      </c>
      <c r="M57" s="42" cm="1">
        <f t="array" ref="M57">INDEX(G51:G64,M53-1)</f>
        <v>23.789000000000001</v>
      </c>
      <c r="N57" s="42" cm="1">
        <f t="array" ref="N57">INDEX(I51:I64,N53-1)</f>
        <v>22.492000000000004</v>
      </c>
    </row>
    <row r="58" spans="2:14">
      <c r="B58" s="475">
        <v>16</v>
      </c>
      <c r="C58" s="111">
        <f t="shared" si="5"/>
        <v>4</v>
      </c>
      <c r="D58" s="495">
        <v>923.2</v>
      </c>
      <c r="E58" s="485">
        <f t="shared" si="6"/>
        <v>24.542000000000002</v>
      </c>
      <c r="F58" s="495">
        <v>845.9</v>
      </c>
      <c r="G58" s="485">
        <f t="shared" si="7"/>
        <v>23.769000000000002</v>
      </c>
      <c r="H58" s="495">
        <v>700.1</v>
      </c>
      <c r="I58" s="485">
        <f t="shared" si="8"/>
        <v>22.311000000000003</v>
      </c>
      <c r="K58" t="s">
        <v>476</v>
      </c>
      <c r="L58" s="501" cm="1">
        <f t="array" ref="L58">INDEX(E51:E64,L53)</f>
        <v>24.492000000000001</v>
      </c>
      <c r="M58" s="501" cm="1">
        <f t="array" ref="M58">INDEX(G51:G64,M53)</f>
        <v>23.771000000000001</v>
      </c>
      <c r="N58" s="501" cm="1">
        <f t="array" ref="N58">INDEX(I51:I64,N53)</f>
        <v>22.393000000000001</v>
      </c>
    </row>
    <row r="59" spans="2:14">
      <c r="B59" s="475">
        <v>20.25</v>
      </c>
      <c r="C59" s="111">
        <f t="shared" si="5"/>
        <v>4.5</v>
      </c>
      <c r="D59" s="495">
        <v>921.3</v>
      </c>
      <c r="E59" s="485">
        <f t="shared" si="6"/>
        <v>24.523000000000003</v>
      </c>
      <c r="F59" s="495">
        <v>844.7</v>
      </c>
      <c r="G59" s="485">
        <f t="shared" si="7"/>
        <v>23.757000000000001</v>
      </c>
      <c r="H59" s="495">
        <v>699.8</v>
      </c>
      <c r="I59" s="485">
        <f t="shared" si="8"/>
        <v>22.308</v>
      </c>
    </row>
    <row r="60" spans="2:14">
      <c r="B60" s="475">
        <v>60</v>
      </c>
      <c r="C60" s="111">
        <f t="shared" si="5"/>
        <v>7.745966692414834</v>
      </c>
      <c r="D60" s="495">
        <v>920</v>
      </c>
      <c r="E60" s="485">
        <f t="shared" si="6"/>
        <v>24.51</v>
      </c>
      <c r="F60" s="495">
        <v>843.2</v>
      </c>
      <c r="G60" s="485">
        <f t="shared" si="7"/>
        <v>23.742000000000004</v>
      </c>
      <c r="H60" s="495">
        <v>696.3</v>
      </c>
      <c r="I60" s="485">
        <f t="shared" si="8"/>
        <v>22.273000000000003</v>
      </c>
      <c r="K60" t="s">
        <v>477</v>
      </c>
      <c r="L60" s="42">
        <f>L55+(((L52-L57)/(L58-L57))*(L56-L55))</f>
        <v>12.258977292587701</v>
      </c>
      <c r="M60" s="42">
        <f>M55+(((M52-M57)/(M58-M57))*(M56-M55))</f>
        <v>3.0888888888888757</v>
      </c>
      <c r="N60" s="42">
        <f t="shared" ref="N60" si="9">N55+(((N52-N57)/(N58-N57))*(N56-N55))</f>
        <v>0.60202020202021156</v>
      </c>
    </row>
    <row r="61" spans="2:14">
      <c r="B61" s="475">
        <v>120</v>
      </c>
      <c r="C61" s="111">
        <f t="shared" si="5"/>
        <v>10.954451150103322</v>
      </c>
      <c r="D61" s="495">
        <v>919</v>
      </c>
      <c r="E61" s="485">
        <f t="shared" si="6"/>
        <v>24.500000000000004</v>
      </c>
      <c r="F61" s="495">
        <v>841.1</v>
      </c>
      <c r="G61" s="485">
        <f t="shared" si="7"/>
        <v>23.721000000000004</v>
      </c>
      <c r="H61" s="495">
        <v>694.2</v>
      </c>
      <c r="I61" s="485">
        <f t="shared" si="8"/>
        <v>22.252000000000002</v>
      </c>
      <c r="K61" t="s">
        <v>486</v>
      </c>
      <c r="L61" s="42">
        <f>L60^2</f>
        <v>150.28252426018088</v>
      </c>
      <c r="M61" s="42">
        <f>M60^2</f>
        <v>9.541234567901153</v>
      </c>
      <c r="N61" s="42">
        <f t="shared" ref="N61" si="10">N60^2</f>
        <v>0.36242832364045635</v>
      </c>
    </row>
    <row r="62" spans="2:14">
      <c r="B62" s="475">
        <v>240</v>
      </c>
      <c r="C62" s="111">
        <f t="shared" si="5"/>
        <v>15.491933384829668</v>
      </c>
      <c r="D62" s="495">
        <v>918.2</v>
      </c>
      <c r="E62" s="485">
        <f t="shared" si="6"/>
        <v>24.492000000000001</v>
      </c>
      <c r="F62" s="495">
        <v>838.9</v>
      </c>
      <c r="G62" s="485">
        <f t="shared" si="7"/>
        <v>23.699000000000002</v>
      </c>
      <c r="H62" s="495">
        <v>691.9</v>
      </c>
      <c r="I62" s="485">
        <f t="shared" si="8"/>
        <v>22.229000000000003</v>
      </c>
      <c r="N62" s="43"/>
    </row>
    <row r="63" spans="2:14">
      <c r="B63" s="475">
        <v>480</v>
      </c>
      <c r="C63" s="111">
        <f t="shared" si="5"/>
        <v>21.908902300206645</v>
      </c>
      <c r="D63" s="495">
        <v>916.1</v>
      </c>
      <c r="E63" s="485">
        <f t="shared" si="6"/>
        <v>24.471000000000004</v>
      </c>
      <c r="F63" s="495">
        <v>837.8</v>
      </c>
      <c r="G63" s="485">
        <f t="shared" si="7"/>
        <v>23.688000000000002</v>
      </c>
      <c r="H63" s="495">
        <v>690.6</v>
      </c>
      <c r="I63" s="485">
        <f t="shared" si="8"/>
        <v>22.216000000000001</v>
      </c>
      <c r="K63" s="499" t="s">
        <v>487</v>
      </c>
      <c r="L63" s="503">
        <f>(0.848*$D$32^2)/$L$61</f>
        <v>3.4985337289766875E-2</v>
      </c>
      <c r="M63" s="503">
        <f>(0.848*$F$32^2)/$M$61</f>
        <v>0.55104868899125781</v>
      </c>
      <c r="N63" s="503">
        <f>(0.848*$H$32^2)/$N$61</f>
        <v>14.506826473131383</v>
      </c>
    </row>
    <row r="64" spans="2:14">
      <c r="B64" s="475">
        <v>1440</v>
      </c>
      <c r="C64" s="111">
        <f t="shared" si="5"/>
        <v>37.947331922020552</v>
      </c>
      <c r="D64" s="495">
        <v>914.3</v>
      </c>
      <c r="E64" s="485">
        <f t="shared" si="6"/>
        <v>24.453000000000003</v>
      </c>
      <c r="F64" s="495">
        <v>835.2</v>
      </c>
      <c r="G64" s="485">
        <f t="shared" si="7"/>
        <v>23.662000000000003</v>
      </c>
      <c r="H64" s="495">
        <v>689.2</v>
      </c>
      <c r="I64" s="485">
        <f t="shared" si="8"/>
        <v>22.202000000000002</v>
      </c>
      <c r="K64" s="499" t="s">
        <v>488</v>
      </c>
      <c r="L64" s="503">
        <f>((E51-E64)/($D$32*10))/$E$75</f>
        <v>1.0145659141352198E-3</v>
      </c>
      <c r="M64" s="503">
        <f>((G51-G64)/($F$32*10))/$F$75</f>
        <v>1.4049581674489976E-3</v>
      </c>
      <c r="N64" s="503">
        <f>((I51-I64)/($D$32*10))/$G$75</f>
        <v>1.530927760814781E-3</v>
      </c>
    </row>
    <row r="65" spans="2:55">
      <c r="C65" s="483"/>
      <c r="D65" s="483"/>
      <c r="E65" s="483"/>
      <c r="F65" s="483"/>
      <c r="G65" s="483"/>
      <c r="H65" s="483"/>
      <c r="I65" s="483"/>
      <c r="J65" s="483"/>
    </row>
    <row r="66" spans="2:55">
      <c r="C66" s="483"/>
      <c r="D66" s="483"/>
      <c r="E66" s="483"/>
      <c r="F66" s="483"/>
      <c r="G66" s="483"/>
      <c r="H66" s="483"/>
      <c r="I66" s="483"/>
      <c r="J66" s="483"/>
      <c r="K66" t="s">
        <v>489</v>
      </c>
      <c r="L66" s="502">
        <f>L63*0.000001667</f>
        <v>5.8320557262041386E-8</v>
      </c>
      <c r="M66" s="502">
        <f>M63*0.000001667</f>
        <v>9.1859816454842682E-7</v>
      </c>
      <c r="N66" s="502">
        <f t="shared" ref="N66" si="11">N63*0.000001667</f>
        <v>2.4182879730710019E-5</v>
      </c>
    </row>
    <row r="67" spans="2:55">
      <c r="C67" s="483"/>
      <c r="D67" s="483"/>
      <c r="E67" s="483"/>
      <c r="F67" s="483"/>
      <c r="G67" s="483"/>
      <c r="H67" s="483"/>
      <c r="I67" s="483"/>
      <c r="J67" s="483"/>
      <c r="K67" t="s">
        <v>488</v>
      </c>
      <c r="L67" s="502">
        <f>L64</f>
        <v>1.0145659141352198E-3</v>
      </c>
      <c r="M67" s="502">
        <f t="shared" ref="M67:N67" si="12">M64</f>
        <v>1.4049581674489976E-3</v>
      </c>
      <c r="N67" s="502">
        <f t="shared" si="12"/>
        <v>1.530927760814781E-3</v>
      </c>
    </row>
    <row r="68" spans="2:55">
      <c r="C68" s="483"/>
      <c r="D68" s="483"/>
      <c r="E68" s="483"/>
      <c r="F68" s="483"/>
      <c r="G68" s="483"/>
      <c r="H68" s="483"/>
      <c r="I68" s="483"/>
      <c r="J68" s="483"/>
      <c r="K68" t="s">
        <v>490</v>
      </c>
      <c r="L68" s="502">
        <f>L66*L67*9.81</f>
        <v>5.8045818551101125E-10</v>
      </c>
      <c r="M68" s="502">
        <f t="shared" ref="M68:N68" si="13">M66*M67*9.81</f>
        <v>1.2660707460021369E-8</v>
      </c>
      <c r="N68" s="502">
        <f t="shared" si="13"/>
        <v>3.6318819319781456E-7</v>
      </c>
    </row>
    <row r="69" spans="2:55">
      <c r="K69" s="499" t="s">
        <v>491</v>
      </c>
      <c r="L69" s="504">
        <f>L68*100</f>
        <v>5.8045818551101126E-8</v>
      </c>
      <c r="M69" s="504">
        <f t="shared" ref="M69:N69" si="14">M68*100</f>
        <v>1.2660707460021369E-6</v>
      </c>
      <c r="N69" s="505">
        <f t="shared" si="14"/>
        <v>3.6318819319781454E-5</v>
      </c>
    </row>
    <row r="70" spans="2:55">
      <c r="K70" s="483"/>
      <c r="L70" s="483"/>
    </row>
    <row r="71" spans="2:55">
      <c r="K71" s="483"/>
      <c r="L71" s="483"/>
    </row>
    <row r="72" spans="2:55">
      <c r="B72" s="483" t="s">
        <v>446</v>
      </c>
      <c r="C72" s="483"/>
      <c r="D72" s="483"/>
      <c r="E72" s="483">
        <v>1</v>
      </c>
      <c r="F72" s="483">
        <v>2</v>
      </c>
      <c r="G72" s="483">
        <v>3</v>
      </c>
      <c r="H72" s="483"/>
      <c r="I72" s="483"/>
      <c r="J72" s="483"/>
      <c r="M72" s="483"/>
      <c r="N72" s="483"/>
      <c r="P72" s="481"/>
      <c r="Q72" s="481"/>
      <c r="R72" s="481"/>
      <c r="S72" s="481"/>
      <c r="U72" s="483"/>
      <c r="V72" s="483"/>
      <c r="W72" s="483"/>
      <c r="X72" s="483"/>
      <c r="Y72" s="483"/>
      <c r="Z72" s="483"/>
      <c r="AA72" s="483"/>
      <c r="AB72" s="483"/>
      <c r="AC72" s="483"/>
      <c r="AD72" s="483"/>
      <c r="AE72" s="483"/>
      <c r="AG72" s="483"/>
      <c r="AH72" s="483"/>
      <c r="AI72" s="483"/>
      <c r="AJ72" s="483"/>
      <c r="AK72" s="483"/>
      <c r="AL72" s="483"/>
      <c r="AM72" s="483"/>
      <c r="AN72" s="483"/>
      <c r="AO72" s="483"/>
      <c r="AP72" s="483"/>
      <c r="AQ72" s="483"/>
      <c r="AS72" s="483"/>
      <c r="AT72" s="483"/>
      <c r="AU72" s="483"/>
      <c r="AV72" s="483"/>
      <c r="AW72" s="483"/>
      <c r="AX72" s="483"/>
      <c r="AY72" s="483"/>
      <c r="AZ72" s="483"/>
      <c r="BA72" s="483"/>
      <c r="BB72" s="483"/>
      <c r="BC72" s="483"/>
    </row>
    <row r="73" spans="2:55">
      <c r="B73" s="483" t="s">
        <v>784</v>
      </c>
      <c r="C73" s="483"/>
      <c r="D73" s="483" t="s">
        <v>121</v>
      </c>
      <c r="E73" s="971">
        <f>D33</f>
        <v>27.711674638050212</v>
      </c>
      <c r="F73" s="486">
        <f>F33</f>
        <v>27.711674638050212</v>
      </c>
      <c r="G73" s="486">
        <f>H33</f>
        <v>27.711674638050212</v>
      </c>
      <c r="H73" s="483"/>
      <c r="I73" s="483"/>
      <c r="J73" s="483"/>
      <c r="K73" s="483"/>
      <c r="L73" s="483"/>
      <c r="M73" s="483"/>
      <c r="N73" s="483"/>
      <c r="P73" s="483"/>
      <c r="Q73" s="483"/>
      <c r="R73" s="483"/>
      <c r="S73" s="483"/>
      <c r="U73" s="486"/>
      <c r="V73" s="486"/>
      <c r="W73" s="486"/>
      <c r="X73" s="486"/>
      <c r="Y73" s="486"/>
      <c r="Z73" s="486"/>
      <c r="AA73" s="486"/>
      <c r="AB73" s="486"/>
      <c r="AC73" s="486"/>
      <c r="AD73" s="486"/>
      <c r="AE73" s="486"/>
      <c r="AG73" s="486"/>
      <c r="AH73" s="486"/>
      <c r="AI73" s="486"/>
      <c r="AJ73" s="486"/>
      <c r="AK73" s="486"/>
      <c r="AL73" s="486"/>
      <c r="AM73" s="486"/>
      <c r="AN73" s="486"/>
      <c r="AO73" s="486"/>
      <c r="AP73" s="486"/>
      <c r="AQ73" s="486"/>
      <c r="AS73" s="486"/>
      <c r="AT73" s="486"/>
      <c r="AU73" s="486"/>
      <c r="AV73" s="486"/>
      <c r="AW73" s="486"/>
      <c r="AX73" s="486"/>
      <c r="AY73" s="486"/>
      <c r="AZ73" s="486"/>
      <c r="BA73" s="486"/>
      <c r="BB73" s="486"/>
      <c r="BC73" s="486"/>
    </row>
    <row r="74" spans="2:55">
      <c r="B74" s="483" t="s">
        <v>447</v>
      </c>
      <c r="C74" s="483"/>
      <c r="D74" s="483" t="s">
        <v>464</v>
      </c>
      <c r="E74" s="1336">
        <v>5</v>
      </c>
      <c r="F74" s="1336">
        <v>10</v>
      </c>
      <c r="G74" s="1336">
        <v>20</v>
      </c>
      <c r="H74" s="483"/>
      <c r="I74" s="483"/>
      <c r="J74" s="483"/>
      <c r="K74" s="483"/>
      <c r="L74" s="483"/>
      <c r="M74" s="483"/>
      <c r="N74" s="483"/>
      <c r="P74" s="483"/>
      <c r="Q74" s="483"/>
      <c r="R74" s="483"/>
      <c r="S74" s="483"/>
      <c r="U74" s="487"/>
      <c r="V74" s="487"/>
      <c r="W74" s="487"/>
      <c r="X74" s="487"/>
      <c r="Y74" s="487"/>
      <c r="Z74" s="487"/>
      <c r="AA74" s="487"/>
      <c r="AB74" s="487"/>
      <c r="AC74" s="487"/>
      <c r="AD74" s="487"/>
      <c r="AE74" s="487"/>
      <c r="AG74" s="487"/>
      <c r="AH74" s="487"/>
      <c r="AI74" s="487"/>
      <c r="AJ74" s="487"/>
      <c r="AK74" s="487"/>
      <c r="AL74" s="487"/>
      <c r="AM74" s="487"/>
      <c r="AN74" s="487"/>
      <c r="AO74" s="487"/>
      <c r="AP74" s="487"/>
      <c r="AQ74" s="487"/>
      <c r="AS74" s="487"/>
      <c r="AT74" s="487"/>
      <c r="AU74" s="487"/>
      <c r="AV74" s="487"/>
      <c r="AW74" s="487"/>
      <c r="AX74" s="487"/>
      <c r="AY74" s="487"/>
      <c r="AZ74" s="487"/>
      <c r="BA74" s="487"/>
      <c r="BB74" s="487"/>
      <c r="BC74" s="487"/>
    </row>
    <row r="75" spans="2:55">
      <c r="B75" s="483" t="s">
        <v>448</v>
      </c>
      <c r="C75" s="483"/>
      <c r="D75" s="483" t="s">
        <v>465</v>
      </c>
      <c r="E75" s="42">
        <f>(E74/E73)*98.0665</f>
        <v>17.694076825178101</v>
      </c>
      <c r="F75" s="42">
        <f t="shared" ref="F75:G75" si="15">(F74/F73)*98.0665</f>
        <v>35.388153650356202</v>
      </c>
      <c r="G75" s="42">
        <f t="shared" si="15"/>
        <v>70.776307300712404</v>
      </c>
      <c r="H75" s="483"/>
      <c r="I75" s="483"/>
      <c r="J75" s="483"/>
      <c r="K75" s="483"/>
      <c r="L75" s="483"/>
      <c r="M75" s="483"/>
      <c r="N75" s="483"/>
      <c r="P75" s="483"/>
      <c r="Q75" s="483"/>
      <c r="R75" s="483"/>
      <c r="S75" s="483"/>
      <c r="U75" s="488"/>
      <c r="V75" s="488"/>
      <c r="W75" s="488"/>
      <c r="X75" s="488"/>
      <c r="Y75" s="488"/>
      <c r="Z75" s="488"/>
      <c r="AA75" s="488"/>
      <c r="AB75" s="488"/>
      <c r="AC75" s="488"/>
      <c r="AD75" s="488"/>
      <c r="AE75" s="488"/>
      <c r="AG75" s="488"/>
      <c r="AH75" s="488"/>
      <c r="AI75" s="488"/>
      <c r="AJ75" s="488"/>
      <c r="AK75" s="488"/>
      <c r="AL75" s="488"/>
      <c r="AM75" s="488"/>
      <c r="AN75" s="488"/>
      <c r="AO75" s="488"/>
      <c r="AP75" s="488"/>
      <c r="AQ75" s="488"/>
      <c r="AS75" s="488"/>
      <c r="AT75" s="488"/>
      <c r="AU75" s="488"/>
      <c r="AV75" s="488"/>
      <c r="AW75" s="488"/>
      <c r="AX75" s="488"/>
      <c r="AY75" s="488"/>
      <c r="AZ75" s="488"/>
      <c r="BA75" s="488"/>
      <c r="BB75" s="488"/>
      <c r="BC75" s="488"/>
    </row>
    <row r="76" spans="2:55">
      <c r="B76" s="483" t="s">
        <v>466</v>
      </c>
      <c r="C76" s="483"/>
      <c r="D76" s="483" t="s">
        <v>199</v>
      </c>
      <c r="E76" s="489">
        <v>0.104</v>
      </c>
      <c r="F76" s="489">
        <v>0.114</v>
      </c>
      <c r="G76" s="489">
        <v>0.114</v>
      </c>
      <c r="H76" s="483"/>
      <c r="I76" s="483"/>
      <c r="J76" s="483"/>
      <c r="K76" s="483"/>
      <c r="L76" s="483"/>
      <c r="M76" s="483"/>
      <c r="N76" s="483"/>
      <c r="P76" s="483"/>
      <c r="Q76" s="483"/>
      <c r="R76" s="483"/>
      <c r="S76" s="483"/>
      <c r="U76" s="489"/>
      <c r="V76" s="489"/>
      <c r="W76" s="489"/>
      <c r="X76" s="489"/>
      <c r="Y76" s="489"/>
      <c r="Z76" s="489"/>
      <c r="AA76" s="489"/>
      <c r="AB76" s="489"/>
      <c r="AC76" s="489"/>
      <c r="AD76" s="489"/>
      <c r="AE76" s="489"/>
      <c r="AG76" s="489"/>
      <c r="AH76" s="489"/>
      <c r="AI76" s="489"/>
      <c r="AJ76" s="489"/>
      <c r="AK76" s="489"/>
      <c r="AL76" s="489"/>
      <c r="AM76" s="489"/>
      <c r="AN76" s="489"/>
      <c r="AO76" s="489"/>
      <c r="AP76" s="489"/>
      <c r="AQ76" s="489"/>
      <c r="AS76" s="489"/>
      <c r="AT76" s="489"/>
      <c r="AU76" s="489"/>
      <c r="AV76" s="489"/>
      <c r="AW76" s="489"/>
      <c r="AX76" s="489"/>
      <c r="AY76" s="489"/>
      <c r="AZ76" s="489"/>
      <c r="BA76" s="489"/>
      <c r="BB76" s="489"/>
      <c r="BC76" s="489"/>
    </row>
    <row r="77" spans="2:55">
      <c r="B77" s="483" t="s">
        <v>74</v>
      </c>
      <c r="D77" s="720">
        <v>0.58099999999999996</v>
      </c>
      <c r="E77" t="s">
        <v>916</v>
      </c>
      <c r="F77">
        <f>D77/9.850665</f>
        <v>5.8980789621817409E-2</v>
      </c>
      <c r="G77" t="s">
        <v>204</v>
      </c>
    </row>
    <row r="78" spans="2:55">
      <c r="D78" s="720"/>
    </row>
    <row r="79" spans="2:55" ht="15.95" customHeight="1">
      <c r="B79" s="968" t="s">
        <v>467</v>
      </c>
      <c r="C79" s="483">
        <v>1</v>
      </c>
      <c r="D79" s="483"/>
      <c r="E79" s="483"/>
      <c r="H79" s="483">
        <v>2</v>
      </c>
      <c r="I79" s="483"/>
      <c r="J79" s="483"/>
      <c r="M79" s="483">
        <v>3</v>
      </c>
      <c r="N79" s="483"/>
      <c r="O79" s="483"/>
      <c r="P79" s="483"/>
      <c r="Q79" s="483"/>
      <c r="R79" s="483"/>
      <c r="S79" s="483"/>
      <c r="T79" s="483"/>
      <c r="U79" s="483"/>
      <c r="V79" s="483"/>
      <c r="W79" s="483"/>
      <c r="X79" s="483"/>
      <c r="Y79" s="483"/>
    </row>
    <row r="80" spans="2:55" ht="15.95" customHeight="1">
      <c r="B80" s="968"/>
      <c r="C80" s="482" t="s">
        <v>468</v>
      </c>
      <c r="D80" s="482" t="s">
        <v>469</v>
      </c>
      <c r="E80" s="482" t="s">
        <v>470</v>
      </c>
      <c r="H80" s="482" t="s">
        <v>468</v>
      </c>
      <c r="I80" s="482" t="s">
        <v>469</v>
      </c>
      <c r="J80" s="482" t="s">
        <v>470</v>
      </c>
      <c r="M80" s="482" t="s">
        <v>468</v>
      </c>
      <c r="N80" s="482" t="s">
        <v>469</v>
      </c>
      <c r="O80" s="482" t="s">
        <v>470</v>
      </c>
      <c r="Q80" s="482"/>
      <c r="R80" s="482"/>
      <c r="S80" s="482"/>
      <c r="T80" s="482"/>
      <c r="V80" s="482"/>
      <c r="W80" s="482"/>
      <c r="X80" s="482"/>
      <c r="Y80" s="482"/>
    </row>
    <row r="81" spans="2:25">
      <c r="B81" s="968"/>
      <c r="C81" s="482"/>
      <c r="D81" s="482"/>
      <c r="E81" s="482"/>
      <c r="H81" s="482"/>
      <c r="I81" s="482"/>
      <c r="J81" s="482"/>
      <c r="M81" s="482"/>
      <c r="N81" s="482"/>
      <c r="O81" s="482"/>
      <c r="Q81" s="482"/>
      <c r="R81" s="482"/>
      <c r="S81" s="482"/>
      <c r="T81" s="482"/>
      <c r="V81" s="482"/>
      <c r="W81" s="482"/>
      <c r="X81" s="482"/>
      <c r="Y81" s="482"/>
    </row>
    <row r="82" spans="2:25">
      <c r="B82" s="483" t="s">
        <v>75</v>
      </c>
      <c r="C82" s="483"/>
      <c r="D82" s="483" t="s">
        <v>62</v>
      </c>
      <c r="E82" s="483" t="s">
        <v>465</v>
      </c>
      <c r="H82" s="482"/>
      <c r="I82" s="483" t="s">
        <v>62</v>
      </c>
      <c r="J82" s="483" t="s">
        <v>465</v>
      </c>
      <c r="M82" s="482"/>
      <c r="N82" s="483" t="s">
        <v>62</v>
      </c>
      <c r="O82" s="483" t="s">
        <v>465</v>
      </c>
      <c r="Q82" s="483"/>
      <c r="R82" s="483"/>
      <c r="S82" s="483"/>
      <c r="T82" s="483"/>
      <c r="V82" s="483"/>
      <c r="W82" s="483"/>
      <c r="X82" s="483"/>
      <c r="Y82" s="483"/>
    </row>
    <row r="83" spans="2:25">
      <c r="B83" s="490">
        <v>0</v>
      </c>
      <c r="C83" s="506">
        <v>9161</v>
      </c>
      <c r="D83" s="506">
        <v>0</v>
      </c>
      <c r="E83" s="492">
        <f>(D83*$F$77/$E$73)*98.0665</f>
        <v>0</v>
      </c>
      <c r="F83" s="969">
        <f>IF($D$7="",NA(),E83)</f>
        <v>0</v>
      </c>
      <c r="H83" s="506">
        <v>8352</v>
      </c>
      <c r="I83" s="507">
        <v>0</v>
      </c>
      <c r="J83" s="492">
        <f t="shared" ref="J83:J111" si="16">(I83*$F$77/$E$73)*98.0665</f>
        <v>0</v>
      </c>
      <c r="K83" s="969">
        <f t="shared" ref="K83:K111" si="17">IF($D$7="",NA(),J83)</f>
        <v>0</v>
      </c>
      <c r="M83" s="506">
        <v>683</v>
      </c>
      <c r="N83" s="508">
        <v>0</v>
      </c>
      <c r="O83" s="492">
        <f t="shared" ref="O83:O111" si="18">(N83*$F$77/$E$73)*98.0665</f>
        <v>0</v>
      </c>
      <c r="P83" s="969">
        <f t="shared" ref="P83:P111" si="19">IF($D$7="",NA(),O83)</f>
        <v>0</v>
      </c>
      <c r="Q83" s="491"/>
      <c r="R83" s="491"/>
      <c r="S83" s="491"/>
      <c r="T83" s="491"/>
      <c r="V83" s="492"/>
      <c r="W83" s="492"/>
      <c r="X83" s="492"/>
      <c r="Y83" s="492"/>
    </row>
    <row r="84" spans="2:25">
      <c r="B84" s="490">
        <v>0.3</v>
      </c>
      <c r="C84" s="506">
        <v>911.5</v>
      </c>
      <c r="D84" s="506">
        <v>6.2</v>
      </c>
      <c r="E84" s="492">
        <f t="shared" ref="E84:E111" si="20">(D84*$F$77/$E$73)*98.0665</f>
        <v>1.2940771722448496</v>
      </c>
      <c r="F84" s="969">
        <f t="shared" ref="F84:F111" si="21">IF($D$7="",NA(),E84)</f>
        <v>1.2940771722448496</v>
      </c>
      <c r="H84" s="506">
        <v>828.3</v>
      </c>
      <c r="I84" s="507">
        <v>12</v>
      </c>
      <c r="J84" s="492">
        <f t="shared" si="16"/>
        <v>2.5046654946674511</v>
      </c>
      <c r="K84" s="969">
        <f t="shared" si="17"/>
        <v>2.5046654946674511</v>
      </c>
      <c r="M84" s="506">
        <v>674.6</v>
      </c>
      <c r="N84" s="507">
        <v>22</v>
      </c>
      <c r="O84" s="492">
        <f t="shared" si="18"/>
        <v>4.5918867402236598</v>
      </c>
      <c r="P84" s="969">
        <f t="shared" si="19"/>
        <v>4.5918867402236598</v>
      </c>
      <c r="Q84" s="491"/>
      <c r="R84" s="491"/>
      <c r="S84" s="491"/>
      <c r="T84" s="491"/>
      <c r="V84" s="492"/>
      <c r="W84" s="492"/>
      <c r="X84" s="492"/>
      <c r="Y84" s="492"/>
    </row>
    <row r="85" spans="2:25">
      <c r="B85" s="490">
        <v>0.6</v>
      </c>
      <c r="C85" s="506">
        <v>908.1</v>
      </c>
      <c r="D85" s="506">
        <v>10</v>
      </c>
      <c r="E85" s="492">
        <f t="shared" si="20"/>
        <v>2.0872212455562091</v>
      </c>
      <c r="F85" s="969">
        <f t="shared" si="21"/>
        <v>2.0872212455562091</v>
      </c>
      <c r="H85" s="506">
        <v>823.5</v>
      </c>
      <c r="I85" s="507">
        <v>20</v>
      </c>
      <c r="J85" s="492">
        <f t="shared" si="16"/>
        <v>4.1744424911124183</v>
      </c>
      <c r="K85" s="969">
        <f t="shared" si="17"/>
        <v>4.1744424911124183</v>
      </c>
      <c r="M85" s="506">
        <v>670.3</v>
      </c>
      <c r="N85" s="507">
        <v>35</v>
      </c>
      <c r="O85" s="492">
        <f t="shared" si="18"/>
        <v>7.3052743594467326</v>
      </c>
      <c r="P85" s="969">
        <f t="shared" si="19"/>
        <v>7.3052743594467326</v>
      </c>
      <c r="Q85" s="491"/>
      <c r="R85" s="491"/>
      <c r="S85" s="491"/>
      <c r="T85" s="491"/>
      <c r="V85" s="492"/>
      <c r="W85" s="492"/>
      <c r="X85" s="492"/>
      <c r="Y85" s="492"/>
    </row>
    <row r="86" spans="2:25">
      <c r="B86" s="490">
        <v>0.9</v>
      </c>
      <c r="C86" s="506">
        <v>906</v>
      </c>
      <c r="D86" s="506">
        <v>15</v>
      </c>
      <c r="E86" s="492">
        <f t="shared" si="20"/>
        <v>3.130831868334313</v>
      </c>
      <c r="F86" s="969">
        <f t="shared" si="21"/>
        <v>3.130831868334313</v>
      </c>
      <c r="H86" s="506">
        <v>820</v>
      </c>
      <c r="I86" s="507">
        <v>25</v>
      </c>
      <c r="J86" s="492">
        <f t="shared" si="16"/>
        <v>5.2180531138905222</v>
      </c>
      <c r="K86" s="969">
        <f t="shared" si="17"/>
        <v>5.2180531138905222</v>
      </c>
      <c r="M86" s="506">
        <v>665.9</v>
      </c>
      <c r="N86" s="507">
        <v>45</v>
      </c>
      <c r="O86" s="492">
        <f t="shared" si="18"/>
        <v>9.3924956050029405</v>
      </c>
      <c r="P86" s="969">
        <f t="shared" si="19"/>
        <v>9.3924956050029405</v>
      </c>
      <c r="Q86" s="491"/>
      <c r="R86" s="491"/>
      <c r="S86" s="491"/>
      <c r="T86" s="491"/>
      <c r="V86" s="492"/>
      <c r="W86" s="492"/>
      <c r="X86" s="492"/>
      <c r="Y86" s="492"/>
    </row>
    <row r="87" spans="2:25">
      <c r="B87" s="490">
        <v>1.2</v>
      </c>
      <c r="C87" s="506">
        <v>905.1</v>
      </c>
      <c r="D87" s="506">
        <v>18</v>
      </c>
      <c r="E87" s="492">
        <f t="shared" si="20"/>
        <v>3.7569982420011763</v>
      </c>
      <c r="F87" s="969">
        <f t="shared" si="21"/>
        <v>3.7569982420011763</v>
      </c>
      <c r="H87" s="506">
        <v>840.8</v>
      </c>
      <c r="I87" s="507">
        <v>30</v>
      </c>
      <c r="J87" s="492">
        <f t="shared" si="16"/>
        <v>6.2616637366686261</v>
      </c>
      <c r="K87" s="969">
        <f t="shared" si="17"/>
        <v>6.2616637366686261</v>
      </c>
      <c r="M87" s="506">
        <v>661.9</v>
      </c>
      <c r="N87" s="507">
        <v>55</v>
      </c>
      <c r="O87" s="492">
        <f t="shared" si="18"/>
        <v>11.47971685055915</v>
      </c>
      <c r="P87" s="969">
        <f t="shared" si="19"/>
        <v>11.47971685055915</v>
      </c>
      <c r="Q87" s="491"/>
      <c r="R87" s="491"/>
      <c r="S87" s="491"/>
      <c r="T87" s="491"/>
      <c r="V87" s="492"/>
      <c r="W87" s="492"/>
      <c r="X87" s="492"/>
      <c r="Y87" s="492"/>
    </row>
    <row r="88" spans="2:25">
      <c r="B88" s="490">
        <v>1.5</v>
      </c>
      <c r="C88" s="506">
        <v>904</v>
      </c>
      <c r="D88" s="506">
        <v>22</v>
      </c>
      <c r="E88" s="492">
        <f t="shared" si="20"/>
        <v>4.5918867402236598</v>
      </c>
      <c r="F88" s="969">
        <f t="shared" si="21"/>
        <v>4.5918867402236598</v>
      </c>
      <c r="H88" s="506">
        <v>817</v>
      </c>
      <c r="I88" s="507">
        <v>35</v>
      </c>
      <c r="J88" s="492">
        <f t="shared" si="16"/>
        <v>7.3052743594467326</v>
      </c>
      <c r="K88" s="969">
        <f t="shared" si="17"/>
        <v>7.3052743594467326</v>
      </c>
      <c r="M88" s="506">
        <v>658</v>
      </c>
      <c r="N88" s="507">
        <v>65</v>
      </c>
      <c r="O88" s="492">
        <f t="shared" si="18"/>
        <v>13.566938096115358</v>
      </c>
      <c r="P88" s="969">
        <f t="shared" si="19"/>
        <v>13.566938096115358</v>
      </c>
      <c r="Q88" s="491"/>
      <c r="R88" s="491"/>
      <c r="S88" s="491"/>
      <c r="T88" s="491"/>
      <c r="V88" s="492"/>
      <c r="W88" s="492"/>
      <c r="X88" s="492"/>
      <c r="Y88" s="492"/>
    </row>
    <row r="89" spans="2:25">
      <c r="B89" s="490">
        <v>1.8</v>
      </c>
      <c r="C89" s="506">
        <v>903.2</v>
      </c>
      <c r="D89" s="506">
        <v>25</v>
      </c>
      <c r="E89" s="492">
        <f t="shared" si="20"/>
        <v>5.2180531138905222</v>
      </c>
      <c r="F89" s="969">
        <f t="shared" si="21"/>
        <v>5.2180531138905222</v>
      </c>
      <c r="H89" s="506">
        <v>815</v>
      </c>
      <c r="I89" s="507">
        <v>40</v>
      </c>
      <c r="J89" s="492">
        <f t="shared" si="16"/>
        <v>8.3488849822248365</v>
      </c>
      <c r="K89" s="969">
        <f t="shared" si="17"/>
        <v>8.3488849822248365</v>
      </c>
      <c r="M89" s="506">
        <v>655</v>
      </c>
      <c r="N89" s="507">
        <v>75</v>
      </c>
      <c r="O89" s="492">
        <f t="shared" si="18"/>
        <v>15.654159341671569</v>
      </c>
      <c r="P89" s="969">
        <f t="shared" si="19"/>
        <v>15.654159341671569</v>
      </c>
      <c r="Q89" s="491"/>
      <c r="R89" s="491"/>
      <c r="S89" s="491"/>
      <c r="T89" s="491"/>
      <c r="V89" s="492"/>
      <c r="W89" s="492"/>
      <c r="X89" s="492"/>
      <c r="Y89" s="492"/>
    </row>
    <row r="90" spans="2:25">
      <c r="B90" s="490">
        <v>2.1</v>
      </c>
      <c r="C90" s="506">
        <v>903</v>
      </c>
      <c r="D90" s="506">
        <v>28</v>
      </c>
      <c r="E90" s="492">
        <f t="shared" si="20"/>
        <v>5.8442194875573854</v>
      </c>
      <c r="F90" s="969">
        <f t="shared" si="21"/>
        <v>5.8442194875573854</v>
      </c>
      <c r="H90" s="506">
        <v>813.1</v>
      </c>
      <c r="I90" s="507">
        <v>45</v>
      </c>
      <c r="J90" s="492">
        <f t="shared" si="16"/>
        <v>9.3924956050029405</v>
      </c>
      <c r="K90" s="969">
        <f t="shared" si="17"/>
        <v>9.3924956050029405</v>
      </c>
      <c r="M90" s="506">
        <v>651</v>
      </c>
      <c r="N90" s="507">
        <v>85</v>
      </c>
      <c r="O90" s="492">
        <f t="shared" si="18"/>
        <v>17.741380587227773</v>
      </c>
      <c r="P90" s="969">
        <f t="shared" si="19"/>
        <v>17.741380587227773</v>
      </c>
      <c r="Q90" s="491"/>
      <c r="R90" s="491"/>
      <c r="S90" s="491"/>
      <c r="T90" s="491"/>
      <c r="V90" s="492"/>
      <c r="W90" s="492"/>
      <c r="X90" s="492"/>
      <c r="Y90" s="492"/>
    </row>
    <row r="91" spans="2:25">
      <c r="B91" s="490">
        <v>2.4</v>
      </c>
      <c r="C91" s="506">
        <v>902.3</v>
      </c>
      <c r="D91" s="506">
        <v>30</v>
      </c>
      <c r="E91" s="492">
        <f t="shared" si="20"/>
        <v>6.2616637366686261</v>
      </c>
      <c r="F91" s="969">
        <f t="shared" si="21"/>
        <v>6.2616637366686261</v>
      </c>
      <c r="H91" s="506">
        <v>811.2</v>
      </c>
      <c r="I91" s="507">
        <v>50</v>
      </c>
      <c r="J91" s="492">
        <f t="shared" si="16"/>
        <v>10.436106227781044</v>
      </c>
      <c r="K91" s="969">
        <f t="shared" si="17"/>
        <v>10.436106227781044</v>
      </c>
      <c r="M91" s="506">
        <v>648.1</v>
      </c>
      <c r="N91" s="507">
        <v>93</v>
      </c>
      <c r="O91" s="492">
        <f t="shared" si="18"/>
        <v>19.411157583672743</v>
      </c>
      <c r="P91" s="969">
        <f t="shared" si="19"/>
        <v>19.411157583672743</v>
      </c>
      <c r="Q91" s="491"/>
      <c r="R91" s="491"/>
      <c r="S91" s="491"/>
      <c r="T91" s="491"/>
      <c r="V91" s="492"/>
      <c r="W91" s="492"/>
      <c r="X91" s="492"/>
      <c r="Y91" s="492"/>
    </row>
    <row r="92" spans="2:25">
      <c r="B92" s="490">
        <v>2.7</v>
      </c>
      <c r="C92" s="506">
        <v>902.1</v>
      </c>
      <c r="D92" s="506">
        <v>31</v>
      </c>
      <c r="E92" s="492">
        <f t="shared" si="20"/>
        <v>6.4703858612242477</v>
      </c>
      <c r="F92" s="969">
        <f t="shared" si="21"/>
        <v>6.4703858612242477</v>
      </c>
      <c r="H92" s="506">
        <v>810</v>
      </c>
      <c r="I92" s="507">
        <v>55</v>
      </c>
      <c r="J92" s="492">
        <f t="shared" si="16"/>
        <v>11.47971685055915</v>
      </c>
      <c r="K92" s="969">
        <f t="shared" si="17"/>
        <v>11.47971685055915</v>
      </c>
      <c r="M92" s="506">
        <v>645.79999999999995</v>
      </c>
      <c r="N92" s="507">
        <v>100</v>
      </c>
      <c r="O92" s="492">
        <f t="shared" si="18"/>
        <v>20.872212455562089</v>
      </c>
      <c r="P92" s="969">
        <f t="shared" si="19"/>
        <v>20.872212455562089</v>
      </c>
      <c r="Q92" s="491"/>
      <c r="R92" s="491"/>
      <c r="S92" s="491"/>
      <c r="T92" s="491"/>
      <c r="V92" s="492"/>
      <c r="W92" s="492"/>
      <c r="X92" s="492"/>
      <c r="Y92" s="492"/>
    </row>
    <row r="93" spans="2:25">
      <c r="B93" s="490">
        <v>3</v>
      </c>
      <c r="C93" s="506">
        <v>901.6</v>
      </c>
      <c r="D93" s="506">
        <v>31.5</v>
      </c>
      <c r="E93" s="492">
        <f t="shared" si="20"/>
        <v>6.574746923502059</v>
      </c>
      <c r="F93" s="969">
        <f t="shared" si="21"/>
        <v>6.574746923502059</v>
      </c>
      <c r="H93" s="506">
        <v>809</v>
      </c>
      <c r="I93" s="507">
        <v>60</v>
      </c>
      <c r="J93" s="492">
        <f t="shared" si="16"/>
        <v>12.523327473337252</v>
      </c>
      <c r="K93" s="969">
        <f t="shared" si="17"/>
        <v>12.523327473337252</v>
      </c>
      <c r="M93" s="506">
        <v>644</v>
      </c>
      <c r="N93" s="507">
        <v>110</v>
      </c>
      <c r="O93" s="492">
        <f t="shared" si="18"/>
        <v>22.9594337011183</v>
      </c>
      <c r="P93" s="969">
        <f t="shared" si="19"/>
        <v>22.9594337011183</v>
      </c>
      <c r="Q93" s="491"/>
      <c r="R93" s="491"/>
      <c r="S93" s="491"/>
      <c r="T93" s="491"/>
      <c r="V93" s="492"/>
      <c r="W93" s="492"/>
      <c r="X93" s="492"/>
      <c r="Y93" s="492"/>
    </row>
    <row r="94" spans="2:25">
      <c r="B94" s="490">
        <v>3.3</v>
      </c>
      <c r="C94" s="506">
        <v>900.9</v>
      </c>
      <c r="D94" s="506">
        <v>32</v>
      </c>
      <c r="E94" s="492">
        <f t="shared" si="20"/>
        <v>6.6791079857798694</v>
      </c>
      <c r="F94" s="969">
        <f t="shared" si="21"/>
        <v>6.6791079857798694</v>
      </c>
      <c r="H94" s="506">
        <v>808</v>
      </c>
      <c r="I94" s="507">
        <v>65</v>
      </c>
      <c r="J94" s="492">
        <f t="shared" si="16"/>
        <v>13.566938096115358</v>
      </c>
      <c r="K94" s="969">
        <f t="shared" si="17"/>
        <v>13.566938096115358</v>
      </c>
      <c r="M94" s="506">
        <v>642.9</v>
      </c>
      <c r="N94" s="507">
        <v>115</v>
      </c>
      <c r="O94" s="492">
        <f t="shared" si="18"/>
        <v>24.003044323896404</v>
      </c>
      <c r="P94" s="969">
        <f t="shared" si="19"/>
        <v>24.003044323896404</v>
      </c>
      <c r="Q94" s="491"/>
      <c r="R94" s="491"/>
      <c r="S94" s="491"/>
      <c r="T94" s="491"/>
      <c r="V94" s="492"/>
      <c r="W94" s="492"/>
      <c r="X94" s="492"/>
      <c r="Y94" s="492"/>
    </row>
    <row r="95" spans="2:25">
      <c r="B95" s="490">
        <v>3.6</v>
      </c>
      <c r="C95" s="506">
        <v>901.5</v>
      </c>
      <c r="D95" s="506">
        <v>32.200000000000003</v>
      </c>
      <c r="E95" s="492">
        <f t="shared" si="20"/>
        <v>6.720852410690993</v>
      </c>
      <c r="F95" s="969">
        <f t="shared" si="21"/>
        <v>6.720852410690993</v>
      </c>
      <c r="H95" s="506">
        <v>807.9</v>
      </c>
      <c r="I95" s="507">
        <v>70</v>
      </c>
      <c r="J95" s="492">
        <f t="shared" si="16"/>
        <v>14.610548718893465</v>
      </c>
      <c r="K95" s="969">
        <f t="shared" si="17"/>
        <v>14.610548718893465</v>
      </c>
      <c r="M95" s="506">
        <v>642</v>
      </c>
      <c r="N95" s="507">
        <v>120</v>
      </c>
      <c r="O95" s="492">
        <f t="shared" si="18"/>
        <v>25.046654946674504</v>
      </c>
      <c r="P95" s="969">
        <f t="shared" si="19"/>
        <v>25.046654946674504</v>
      </c>
      <c r="Q95" s="491"/>
      <c r="R95" s="491"/>
      <c r="S95" s="491"/>
      <c r="T95" s="491"/>
      <c r="V95" s="492"/>
      <c r="W95" s="492"/>
      <c r="X95" s="492"/>
      <c r="Y95" s="492"/>
    </row>
    <row r="96" spans="2:25">
      <c r="B96" s="490">
        <v>3.9</v>
      </c>
      <c r="C96" s="506">
        <v>902.3</v>
      </c>
      <c r="D96" s="506">
        <v>32.4</v>
      </c>
      <c r="E96" s="492">
        <f t="shared" si="20"/>
        <v>6.7625968356021158</v>
      </c>
      <c r="F96" s="969">
        <f t="shared" si="21"/>
        <v>6.7625968356021158</v>
      </c>
      <c r="H96" s="506">
        <v>807.5</v>
      </c>
      <c r="I96" s="507">
        <v>75</v>
      </c>
      <c r="J96" s="492">
        <f t="shared" si="16"/>
        <v>15.654159341671569</v>
      </c>
      <c r="K96" s="969">
        <f t="shared" si="17"/>
        <v>15.654159341671569</v>
      </c>
      <c r="M96" s="506">
        <v>641</v>
      </c>
      <c r="N96" s="507">
        <v>125</v>
      </c>
      <c r="O96" s="492">
        <f t="shared" si="18"/>
        <v>26.090265569452612</v>
      </c>
      <c r="P96" s="969">
        <f t="shared" si="19"/>
        <v>26.090265569452612</v>
      </c>
      <c r="Q96" s="491"/>
      <c r="R96" s="491"/>
      <c r="S96" s="491"/>
      <c r="T96" s="491"/>
      <c r="V96" s="490"/>
      <c r="W96" s="490"/>
      <c r="X96" s="490"/>
      <c r="Y96" s="490"/>
    </row>
    <row r="97" spans="2:25">
      <c r="B97" s="490">
        <v>4.2</v>
      </c>
      <c r="C97" s="506">
        <v>903.9</v>
      </c>
      <c r="D97" s="506">
        <v>32.6</v>
      </c>
      <c r="E97" s="492">
        <f t="shared" si="20"/>
        <v>6.8043412605132412</v>
      </c>
      <c r="F97" s="969">
        <f t="shared" si="21"/>
        <v>6.8043412605132412</v>
      </c>
      <c r="H97" s="506">
        <v>807.3</v>
      </c>
      <c r="I97" s="507">
        <v>77</v>
      </c>
      <c r="J97" s="492">
        <f t="shared" si="16"/>
        <v>16.071603590782811</v>
      </c>
      <c r="K97" s="969">
        <f t="shared" si="17"/>
        <v>16.071603590782811</v>
      </c>
      <c r="M97" s="506">
        <v>640</v>
      </c>
      <c r="N97" s="507">
        <v>127</v>
      </c>
      <c r="O97" s="492">
        <f t="shared" si="18"/>
        <v>26.507709818563857</v>
      </c>
      <c r="P97" s="969">
        <f t="shared" si="19"/>
        <v>26.507709818563857</v>
      </c>
      <c r="Q97" s="491"/>
      <c r="R97" s="491"/>
      <c r="S97" s="491"/>
      <c r="T97" s="491"/>
      <c r="V97" s="490"/>
      <c r="W97" s="490"/>
      <c r="X97" s="490"/>
      <c r="Y97" s="490"/>
    </row>
    <row r="98" spans="2:25">
      <c r="B98" s="490">
        <v>4.5</v>
      </c>
      <c r="C98" s="506">
        <v>904</v>
      </c>
      <c r="D98" s="506">
        <v>32.799999999999997</v>
      </c>
      <c r="E98" s="492">
        <f t="shared" si="20"/>
        <v>6.8460856854243657</v>
      </c>
      <c r="F98" s="969">
        <f t="shared" si="21"/>
        <v>6.8460856854243657</v>
      </c>
      <c r="H98" s="506">
        <v>807.2</v>
      </c>
      <c r="I98" s="507">
        <v>78</v>
      </c>
      <c r="J98" s="492">
        <f t="shared" si="16"/>
        <v>16.280325715338432</v>
      </c>
      <c r="K98" s="969">
        <f t="shared" si="17"/>
        <v>16.280325715338432</v>
      </c>
      <c r="M98" s="506">
        <v>639.79999999999995</v>
      </c>
      <c r="N98" s="507">
        <v>129</v>
      </c>
      <c r="O98" s="492">
        <f t="shared" si="18"/>
        <v>26.925154067675098</v>
      </c>
      <c r="P98" s="969">
        <f t="shared" si="19"/>
        <v>26.925154067675098</v>
      </c>
      <c r="Q98" s="491"/>
      <c r="R98" s="491"/>
      <c r="S98" s="491"/>
      <c r="T98" s="491"/>
      <c r="V98" s="490"/>
      <c r="W98" s="490"/>
      <c r="X98" s="490"/>
      <c r="Y98" s="490"/>
    </row>
    <row r="99" spans="2:25">
      <c r="B99" s="490">
        <v>4.8</v>
      </c>
      <c r="C99" s="506">
        <v>906.9</v>
      </c>
      <c r="D99" s="506">
        <v>32.9</v>
      </c>
      <c r="E99" s="492">
        <f t="shared" si="20"/>
        <v>6.8669578978799279</v>
      </c>
      <c r="F99" s="969">
        <f t="shared" si="21"/>
        <v>6.8669578978799279</v>
      </c>
      <c r="H99" s="506">
        <v>807.3</v>
      </c>
      <c r="I99" s="507">
        <v>78.5</v>
      </c>
      <c r="J99" s="492">
        <f t="shared" si="16"/>
        <v>16.384686777616242</v>
      </c>
      <c r="K99" s="969">
        <f t="shared" si="17"/>
        <v>16.384686777616242</v>
      </c>
      <c r="M99" s="506">
        <v>639.9</v>
      </c>
      <c r="N99" s="507">
        <v>131</v>
      </c>
      <c r="O99" s="492">
        <f t="shared" si="18"/>
        <v>27.342598316786336</v>
      </c>
      <c r="P99" s="969">
        <f t="shared" si="19"/>
        <v>27.342598316786336</v>
      </c>
      <c r="Q99" s="491"/>
      <c r="R99" s="491"/>
      <c r="S99" s="491"/>
      <c r="T99" s="491"/>
      <c r="V99" s="490"/>
      <c r="W99" s="490"/>
      <c r="X99" s="490"/>
      <c r="Y99" s="490"/>
    </row>
    <row r="100" spans="2:25">
      <c r="B100" s="490">
        <v>5.0999999999999996</v>
      </c>
      <c r="C100" s="506">
        <v>907</v>
      </c>
      <c r="D100" s="506">
        <v>33</v>
      </c>
      <c r="E100" s="492">
        <f t="shared" si="20"/>
        <v>6.8878301103354893</v>
      </c>
      <c r="F100" s="969">
        <f t="shared" si="21"/>
        <v>6.8878301103354893</v>
      </c>
      <c r="H100" s="506">
        <v>807.3</v>
      </c>
      <c r="I100" s="507">
        <v>79</v>
      </c>
      <c r="J100" s="492">
        <f t="shared" si="16"/>
        <v>16.489047839894049</v>
      </c>
      <c r="K100" s="969">
        <f t="shared" si="17"/>
        <v>16.489047839894049</v>
      </c>
      <c r="M100" s="506">
        <v>640</v>
      </c>
      <c r="N100" s="507">
        <v>132</v>
      </c>
      <c r="O100" s="492">
        <f t="shared" si="18"/>
        <v>27.551320441341957</v>
      </c>
      <c r="P100" s="969">
        <f t="shared" si="19"/>
        <v>27.551320441341957</v>
      </c>
      <c r="Q100" s="491"/>
      <c r="R100" s="491"/>
      <c r="S100" s="491"/>
      <c r="T100" s="491"/>
      <c r="V100" s="490"/>
      <c r="W100" s="490"/>
      <c r="X100" s="490"/>
      <c r="Y100" s="490"/>
    </row>
    <row r="101" spans="2:25">
      <c r="B101" s="490">
        <v>5.4</v>
      </c>
      <c r="C101" s="506">
        <v>908</v>
      </c>
      <c r="D101" s="506">
        <v>33</v>
      </c>
      <c r="E101" s="492">
        <f t="shared" si="20"/>
        <v>6.8878301103354893</v>
      </c>
      <c r="F101" s="969">
        <f t="shared" si="21"/>
        <v>6.8878301103354893</v>
      </c>
      <c r="H101" s="506">
        <v>808.1</v>
      </c>
      <c r="I101" s="507">
        <v>79.2</v>
      </c>
      <c r="J101" s="492">
        <f t="shared" si="16"/>
        <v>16.530792264805175</v>
      </c>
      <c r="K101" s="969">
        <f t="shared" si="17"/>
        <v>16.530792264805175</v>
      </c>
      <c r="M101" s="506">
        <v>640.70000000000005</v>
      </c>
      <c r="N101" s="507">
        <v>132.5</v>
      </c>
      <c r="O101" s="492">
        <f t="shared" si="18"/>
        <v>27.655681503619771</v>
      </c>
      <c r="P101" s="969">
        <f t="shared" si="19"/>
        <v>27.655681503619771</v>
      </c>
      <c r="Q101" s="491"/>
      <c r="R101" s="491"/>
      <c r="S101" s="491"/>
      <c r="T101" s="491"/>
      <c r="V101" s="490"/>
      <c r="W101" s="490"/>
      <c r="X101" s="490"/>
      <c r="Y101" s="490"/>
    </row>
    <row r="102" spans="2:25">
      <c r="B102" s="490">
        <v>5.7</v>
      </c>
      <c r="C102" s="506">
        <v>909.6</v>
      </c>
      <c r="D102" s="506">
        <v>33</v>
      </c>
      <c r="E102" s="492">
        <f t="shared" si="20"/>
        <v>6.8878301103354893</v>
      </c>
      <c r="F102" s="969">
        <f t="shared" si="21"/>
        <v>6.8878301103354893</v>
      </c>
      <c r="H102" s="506">
        <v>809</v>
      </c>
      <c r="I102" s="507">
        <v>79.400000000000006</v>
      </c>
      <c r="J102" s="492">
        <f t="shared" si="16"/>
        <v>16.572536689716301</v>
      </c>
      <c r="K102" s="969">
        <f t="shared" si="17"/>
        <v>16.572536689716301</v>
      </c>
      <c r="M102" s="506">
        <v>641.20000000000005</v>
      </c>
      <c r="N102" s="507">
        <v>133</v>
      </c>
      <c r="O102" s="492">
        <f t="shared" si="18"/>
        <v>27.760042565897578</v>
      </c>
      <c r="P102" s="969">
        <f t="shared" si="19"/>
        <v>27.760042565897578</v>
      </c>
      <c r="Q102" s="491"/>
      <c r="R102" s="491"/>
      <c r="S102" s="491"/>
      <c r="T102" s="491"/>
      <c r="V102" s="490"/>
      <c r="W102" s="490"/>
      <c r="X102" s="490"/>
      <c r="Y102" s="490"/>
    </row>
    <row r="103" spans="2:25">
      <c r="B103" s="490">
        <v>6</v>
      </c>
      <c r="C103" s="506">
        <v>910.8</v>
      </c>
      <c r="D103" s="506">
        <v>33</v>
      </c>
      <c r="E103" s="492">
        <f t="shared" si="20"/>
        <v>6.8878301103354893</v>
      </c>
      <c r="F103" s="969">
        <f t="shared" si="21"/>
        <v>6.8878301103354893</v>
      </c>
      <c r="H103" s="506">
        <v>808.9</v>
      </c>
      <c r="I103" s="507">
        <v>79.599999999999994</v>
      </c>
      <c r="J103" s="492">
        <f t="shared" si="16"/>
        <v>16.614281114627424</v>
      </c>
      <c r="K103" s="969">
        <f t="shared" si="17"/>
        <v>16.614281114627424</v>
      </c>
      <c r="M103" s="506">
        <v>642</v>
      </c>
      <c r="N103" s="507">
        <v>134</v>
      </c>
      <c r="O103" s="492">
        <f t="shared" si="18"/>
        <v>27.968764690453199</v>
      </c>
      <c r="P103" s="969">
        <f t="shared" si="19"/>
        <v>27.968764690453199</v>
      </c>
      <c r="Q103" s="491"/>
      <c r="R103" s="491"/>
      <c r="S103" s="491"/>
      <c r="T103" s="491"/>
      <c r="V103" s="490"/>
      <c r="W103" s="490"/>
      <c r="X103" s="490"/>
      <c r="Y103" s="490"/>
    </row>
    <row r="104" spans="2:25">
      <c r="B104" s="490">
        <v>6.3</v>
      </c>
      <c r="C104" s="506">
        <v>911.9</v>
      </c>
      <c r="D104" s="506">
        <v>33</v>
      </c>
      <c r="E104" s="492">
        <f t="shared" si="20"/>
        <v>6.8878301103354893</v>
      </c>
      <c r="F104" s="969">
        <f t="shared" si="21"/>
        <v>6.8878301103354893</v>
      </c>
      <c r="H104" s="506">
        <v>810.4</v>
      </c>
      <c r="I104" s="507">
        <v>79.8</v>
      </c>
      <c r="J104" s="492">
        <f t="shared" si="16"/>
        <v>16.656025539538547</v>
      </c>
      <c r="K104" s="969">
        <f t="shared" si="17"/>
        <v>16.656025539538547</v>
      </c>
      <c r="M104" s="506">
        <v>642.1</v>
      </c>
      <c r="N104" s="507">
        <v>134.19999999999999</v>
      </c>
      <c r="O104" s="492">
        <f t="shared" si="18"/>
        <v>28.010509115364325</v>
      </c>
      <c r="P104" s="969">
        <f t="shared" si="19"/>
        <v>28.010509115364325</v>
      </c>
      <c r="Q104" s="491"/>
      <c r="R104" s="491"/>
      <c r="S104" s="491"/>
      <c r="T104" s="491"/>
      <c r="V104" s="490"/>
      <c r="W104" s="490"/>
      <c r="X104" s="490"/>
      <c r="Y104" s="490"/>
    </row>
    <row r="105" spans="2:25">
      <c r="B105" s="490">
        <v>6.6</v>
      </c>
      <c r="C105" s="506">
        <v>913</v>
      </c>
      <c r="D105" s="506">
        <v>33</v>
      </c>
      <c r="E105" s="492">
        <f t="shared" si="20"/>
        <v>6.8878301103354893</v>
      </c>
      <c r="F105" s="969">
        <f t="shared" si="21"/>
        <v>6.8878301103354893</v>
      </c>
      <c r="H105" s="506">
        <v>811.1</v>
      </c>
      <c r="I105" s="507">
        <v>80</v>
      </c>
      <c r="J105" s="492">
        <f t="shared" si="16"/>
        <v>16.697769964449673</v>
      </c>
      <c r="K105" s="969">
        <f t="shared" si="17"/>
        <v>16.697769964449673</v>
      </c>
      <c r="M105" s="506">
        <v>642.79999999999995</v>
      </c>
      <c r="N105" s="507">
        <v>134.4</v>
      </c>
      <c r="O105" s="492">
        <f t="shared" si="18"/>
        <v>28.052253540275451</v>
      </c>
      <c r="P105" s="969">
        <f t="shared" si="19"/>
        <v>28.052253540275451</v>
      </c>
      <c r="Q105" s="491"/>
      <c r="R105" s="491"/>
      <c r="S105" s="491"/>
      <c r="T105" s="491"/>
      <c r="V105" s="490"/>
      <c r="W105" s="490"/>
      <c r="X105" s="490"/>
      <c r="Y105" s="490"/>
    </row>
    <row r="106" spans="2:25">
      <c r="B106" s="490">
        <v>6.9</v>
      </c>
      <c r="C106" s="506">
        <v>913.9</v>
      </c>
      <c r="D106" s="506">
        <v>33</v>
      </c>
      <c r="E106" s="492">
        <f t="shared" si="20"/>
        <v>6.8878301103354893</v>
      </c>
      <c r="F106" s="969">
        <f t="shared" si="21"/>
        <v>6.8878301103354893</v>
      </c>
      <c r="H106" s="506">
        <v>809.9</v>
      </c>
      <c r="I106" s="507">
        <v>80</v>
      </c>
      <c r="J106" s="492">
        <f t="shared" si="16"/>
        <v>16.697769964449673</v>
      </c>
      <c r="K106" s="969">
        <f t="shared" si="17"/>
        <v>16.697769964449673</v>
      </c>
      <c r="M106" s="506">
        <v>643</v>
      </c>
      <c r="N106" s="507">
        <v>134.6</v>
      </c>
      <c r="O106" s="492">
        <f t="shared" si="18"/>
        <v>28.093997965186571</v>
      </c>
      <c r="P106" s="969">
        <f t="shared" si="19"/>
        <v>28.093997965186571</v>
      </c>
      <c r="Q106" s="491"/>
      <c r="R106" s="491"/>
      <c r="S106" s="491"/>
      <c r="T106" s="491"/>
      <c r="V106" s="490"/>
      <c r="W106" s="490"/>
      <c r="X106" s="490"/>
      <c r="Y106" s="490"/>
    </row>
    <row r="107" spans="2:25">
      <c r="B107" s="490">
        <v>7.2</v>
      </c>
      <c r="C107" s="506">
        <v>914.3</v>
      </c>
      <c r="D107" s="506">
        <v>33</v>
      </c>
      <c r="E107" s="492">
        <f t="shared" si="20"/>
        <v>6.8878301103354893</v>
      </c>
      <c r="F107" s="969">
        <f t="shared" si="21"/>
        <v>6.8878301103354893</v>
      </c>
      <c r="H107" s="506">
        <v>810.6</v>
      </c>
      <c r="I107" s="507">
        <v>80</v>
      </c>
      <c r="J107" s="492">
        <f t="shared" si="16"/>
        <v>16.697769964449673</v>
      </c>
      <c r="K107" s="969">
        <f t="shared" si="17"/>
        <v>16.697769964449673</v>
      </c>
      <c r="M107" s="506">
        <v>643</v>
      </c>
      <c r="N107" s="507">
        <v>134.80000000000001</v>
      </c>
      <c r="O107" s="492">
        <f t="shared" si="18"/>
        <v>28.135742390097697</v>
      </c>
      <c r="P107" s="969">
        <f t="shared" si="19"/>
        <v>28.135742390097697</v>
      </c>
      <c r="Q107" s="491"/>
      <c r="R107" s="491"/>
      <c r="S107" s="491"/>
      <c r="T107" s="491"/>
      <c r="V107" s="490"/>
      <c r="W107" s="490"/>
      <c r="X107" s="490"/>
      <c r="Y107" s="490"/>
    </row>
    <row r="108" spans="2:25">
      <c r="B108" s="490">
        <v>7.5</v>
      </c>
      <c r="C108" s="506">
        <v>914.7</v>
      </c>
      <c r="D108" s="506">
        <v>33</v>
      </c>
      <c r="E108" s="492">
        <f t="shared" si="20"/>
        <v>6.8878301103354893</v>
      </c>
      <c r="F108" s="969">
        <f t="shared" si="21"/>
        <v>6.8878301103354893</v>
      </c>
      <c r="H108" s="506">
        <v>811.9</v>
      </c>
      <c r="I108" s="507">
        <v>80</v>
      </c>
      <c r="J108" s="492">
        <f t="shared" si="16"/>
        <v>16.697769964449673</v>
      </c>
      <c r="K108" s="969">
        <f t="shared" si="17"/>
        <v>16.697769964449673</v>
      </c>
      <c r="M108" s="506">
        <v>643</v>
      </c>
      <c r="N108" s="507">
        <v>134.9</v>
      </c>
      <c r="O108" s="492">
        <f t="shared" si="18"/>
        <v>28.156614602553258</v>
      </c>
      <c r="P108" s="969">
        <f t="shared" si="19"/>
        <v>28.156614602553258</v>
      </c>
      <c r="Q108" s="491"/>
      <c r="R108" s="491"/>
      <c r="S108" s="491"/>
      <c r="T108" s="491"/>
      <c r="V108" s="490"/>
      <c r="W108" s="490"/>
      <c r="X108" s="490"/>
      <c r="Y108" s="490"/>
    </row>
    <row r="109" spans="2:25">
      <c r="B109" s="490">
        <v>7.8</v>
      </c>
      <c r="C109" s="506">
        <v>914.9</v>
      </c>
      <c r="D109" s="506">
        <v>33</v>
      </c>
      <c r="E109" s="492">
        <f t="shared" si="20"/>
        <v>6.8878301103354893</v>
      </c>
      <c r="F109" s="969">
        <f t="shared" si="21"/>
        <v>6.8878301103354893</v>
      </c>
      <c r="H109" s="506">
        <v>812.2</v>
      </c>
      <c r="I109" s="507">
        <v>80</v>
      </c>
      <c r="J109" s="492">
        <f t="shared" si="16"/>
        <v>16.697769964449673</v>
      </c>
      <c r="K109" s="969">
        <f t="shared" si="17"/>
        <v>16.697769964449673</v>
      </c>
      <c r="M109" s="506">
        <v>643</v>
      </c>
      <c r="N109" s="507">
        <v>135</v>
      </c>
      <c r="O109" s="492">
        <f t="shared" si="18"/>
        <v>28.177486815008823</v>
      </c>
      <c r="P109" s="969">
        <f t="shared" si="19"/>
        <v>28.177486815008823</v>
      </c>
      <c r="Q109" s="491"/>
      <c r="R109" s="491"/>
      <c r="S109" s="491"/>
      <c r="T109" s="491"/>
      <c r="V109" s="490"/>
      <c r="W109" s="490"/>
      <c r="X109" s="490"/>
      <c r="Y109" s="490"/>
    </row>
    <row r="110" spans="2:25">
      <c r="B110" s="490">
        <v>8.1</v>
      </c>
      <c r="C110" s="506">
        <v>915</v>
      </c>
      <c r="D110" s="506">
        <v>33</v>
      </c>
      <c r="E110" s="492">
        <f t="shared" si="20"/>
        <v>6.8878301103354893</v>
      </c>
      <c r="F110" s="969">
        <f t="shared" si="21"/>
        <v>6.8878301103354893</v>
      </c>
      <c r="H110" s="506">
        <v>813</v>
      </c>
      <c r="I110" s="507">
        <v>80</v>
      </c>
      <c r="J110" s="492">
        <f t="shared" si="16"/>
        <v>16.697769964449673</v>
      </c>
      <c r="K110" s="969">
        <f t="shared" si="17"/>
        <v>16.697769964449673</v>
      </c>
      <c r="M110" s="506">
        <v>643</v>
      </c>
      <c r="N110" s="507">
        <v>135</v>
      </c>
      <c r="O110" s="492">
        <f t="shared" si="18"/>
        <v>28.177486815008823</v>
      </c>
      <c r="P110" s="969">
        <f t="shared" si="19"/>
        <v>28.177486815008823</v>
      </c>
      <c r="Q110" s="491"/>
      <c r="R110" s="491"/>
      <c r="S110" s="491"/>
      <c r="T110" s="491"/>
      <c r="V110" s="490"/>
      <c r="W110" s="490"/>
      <c r="X110" s="490"/>
      <c r="Y110" s="490"/>
    </row>
    <row r="111" spans="2:25">
      <c r="B111" s="490">
        <v>8.4</v>
      </c>
      <c r="C111" s="506">
        <v>915.1</v>
      </c>
      <c r="D111" s="506">
        <v>50</v>
      </c>
      <c r="E111" s="492">
        <f t="shared" si="20"/>
        <v>10.436106227781044</v>
      </c>
      <c r="F111" s="969">
        <f t="shared" si="21"/>
        <v>10.436106227781044</v>
      </c>
      <c r="H111" s="506">
        <v>813.2</v>
      </c>
      <c r="I111" s="507">
        <v>80</v>
      </c>
      <c r="J111" s="492">
        <f t="shared" si="16"/>
        <v>16.697769964449673</v>
      </c>
      <c r="K111" s="969">
        <f t="shared" si="17"/>
        <v>16.697769964449673</v>
      </c>
      <c r="M111" s="506">
        <v>643</v>
      </c>
      <c r="N111" s="507">
        <v>135</v>
      </c>
      <c r="O111" s="492">
        <f t="shared" si="18"/>
        <v>28.177486815008823</v>
      </c>
      <c r="P111" s="969">
        <f t="shared" si="19"/>
        <v>28.177486815008823</v>
      </c>
      <c r="Q111" s="491"/>
      <c r="R111" s="491"/>
      <c r="S111" s="491"/>
      <c r="T111" s="491"/>
      <c r="V111" s="490"/>
      <c r="W111" s="490"/>
      <c r="X111" s="490"/>
      <c r="Y111" s="490"/>
    </row>
    <row r="113" spans="1:16">
      <c r="A113" t="s">
        <v>492</v>
      </c>
    </row>
    <row r="115" spans="1:16">
      <c r="B115" t="s">
        <v>493</v>
      </c>
      <c r="D115">
        <v>1</v>
      </c>
      <c r="E115">
        <v>2</v>
      </c>
      <c r="F115">
        <v>3</v>
      </c>
    </row>
    <row r="116" spans="1:16">
      <c r="B116" t="s">
        <v>494</v>
      </c>
      <c r="D116" s="42">
        <f>E75</f>
        <v>17.694076825178101</v>
      </c>
      <c r="E116" s="42">
        <f>F75</f>
        <v>35.388153650356202</v>
      </c>
      <c r="F116" s="42">
        <f>G75</f>
        <v>70.776307300712404</v>
      </c>
    </row>
    <row r="117" spans="1:16">
      <c r="B117" t="s">
        <v>495</v>
      </c>
      <c r="D117" s="42">
        <f>MAX(E83:E111)</f>
        <v>10.436106227781044</v>
      </c>
      <c r="E117" s="42">
        <f>MAX(J83:J111)</f>
        <v>16.697769964449673</v>
      </c>
      <c r="F117" s="42">
        <f>MAX(O83:O111)</f>
        <v>28.177486815008823</v>
      </c>
    </row>
    <row r="118" spans="1:16">
      <c r="D118" s="972">
        <f>IF($D$7="",NA(),D116)</f>
        <v>17.694076825178101</v>
      </c>
      <c r="E118" s="972">
        <f t="shared" ref="E118:F118" si="22">IF($D$7="",NA(),E116)</f>
        <v>35.388153650356202</v>
      </c>
      <c r="F118" s="972">
        <f t="shared" si="22"/>
        <v>70.776307300712404</v>
      </c>
    </row>
    <row r="119" spans="1:16">
      <c r="P119" t="s">
        <v>1465</v>
      </c>
    </row>
    <row r="120" spans="1:16">
      <c r="B120" t="s">
        <v>505</v>
      </c>
      <c r="P120" s="42">
        <f>D116</f>
        <v>17.694076825178101</v>
      </c>
    </row>
    <row r="121" spans="1:16" ht="17.100000000000001" customHeight="1">
      <c r="H121" s="514"/>
      <c r="P121" s="42">
        <f>E116</f>
        <v>35.388153650356202</v>
      </c>
    </row>
    <row r="122" spans="1:16">
      <c r="C122" t="s">
        <v>501</v>
      </c>
      <c r="D122">
        <f>INTERCEPT(D117:F117,D116:F116)</f>
        <v>4.6962478025014676</v>
      </c>
      <c r="H122" s="514"/>
      <c r="P122" s="42">
        <f>F116</f>
        <v>70.776307300712404</v>
      </c>
    </row>
    <row r="123" spans="1:16">
      <c r="C123" t="s">
        <v>504</v>
      </c>
      <c r="D123">
        <f>SLOPE(D117:F117,D116:F116)</f>
        <v>0.33282017000882685</v>
      </c>
    </row>
    <row r="125" spans="1:16">
      <c r="C125" t="s">
        <v>502</v>
      </c>
      <c r="D125" t="s">
        <v>503</v>
      </c>
      <c r="P125" t="str">
        <f>"σₙ ="&amp;TEXT(P120,"0")&amp;" kPa"</f>
        <v>σₙ =18 kPa</v>
      </c>
    </row>
    <row r="126" spans="1:16">
      <c r="C126">
        <v>0</v>
      </c>
      <c r="D126">
        <f>$D$122+($D$123*C126)</f>
        <v>4.6962478025014676</v>
      </c>
      <c r="E126" s="969">
        <f>IF($D$7="",NA(),D126)</f>
        <v>4.6962478025014676</v>
      </c>
      <c r="P126" t="str">
        <f t="shared" ref="P126:P127" si="23">"σₙ ="&amp;TEXT(P121,"0")&amp;" kPa"</f>
        <v>σₙ =35 kPa</v>
      </c>
    </row>
    <row r="127" spans="1:16">
      <c r="C127">
        <v>50</v>
      </c>
      <c r="D127">
        <f>$D$122+($D$123*C127)</f>
        <v>21.337256302942809</v>
      </c>
      <c r="E127" s="969">
        <f>IF($D$7="",NA(),D127)</f>
        <v>21.337256302942809</v>
      </c>
      <c r="P127" t="str">
        <f t="shared" si="23"/>
        <v>σₙ =71 kPa</v>
      </c>
    </row>
    <row r="128" spans="1:16">
      <c r="B128" s="335"/>
      <c r="C128" s="335">
        <v>100</v>
      </c>
      <c r="D128">
        <f>$D$122+($D$123*C128)</f>
        <v>37.97826480338415</v>
      </c>
      <c r="E128">
        <f>D128</f>
        <v>37.97826480338415</v>
      </c>
    </row>
    <row r="129" spans="2:7">
      <c r="B129" s="335"/>
      <c r="C129" s="335"/>
    </row>
    <row r="130" spans="2:7">
      <c r="B130" t="s">
        <v>496</v>
      </c>
    </row>
    <row r="131" spans="2:7">
      <c r="B131" s="512" t="s">
        <v>263</v>
      </c>
      <c r="C131" s="512"/>
      <c r="D131" s="509" t="s">
        <v>497</v>
      </c>
      <c r="E131" s="513">
        <f>INTERCEPT(D117:F117,D116:F116)</f>
        <v>4.6962478025014676</v>
      </c>
      <c r="F131" s="969">
        <f t="shared" ref="F131:F132" si="24">IF($D$7="","",E131)</f>
        <v>4.6962478025014676</v>
      </c>
      <c r="G131" s="510" t="s">
        <v>465</v>
      </c>
    </row>
    <row r="132" spans="2:7">
      <c r="B132" s="512" t="s">
        <v>498</v>
      </c>
      <c r="C132" s="512"/>
      <c r="D132" s="509" t="s">
        <v>499</v>
      </c>
      <c r="E132" s="513">
        <f>DEGREES(ATAN(SLOPE(D117:F117,D116:F116)))</f>
        <v>18.408482866971063</v>
      </c>
      <c r="F132" s="969">
        <f t="shared" si="24"/>
        <v>18.408482866971063</v>
      </c>
      <c r="G132" s="511" t="s">
        <v>500</v>
      </c>
    </row>
    <row r="138" spans="2:7">
      <c r="B138" t="s">
        <v>715</v>
      </c>
    </row>
    <row r="139" spans="2:7">
      <c r="B139" t="s">
        <v>900</v>
      </c>
      <c r="D139">
        <v>1</v>
      </c>
      <c r="E139">
        <v>2</v>
      </c>
      <c r="F139">
        <v>3</v>
      </c>
    </row>
    <row r="140" spans="2:7">
      <c r="B140" t="s">
        <v>913</v>
      </c>
      <c r="D140" s="970">
        <f>IF($D$7="","",D31)</f>
        <v>5.94</v>
      </c>
      <c r="E140" s="970">
        <f>IF($D$7="","",F31)</f>
        <v>5.94</v>
      </c>
      <c r="F140" s="970">
        <f>IF($D$7="","",H31)</f>
        <v>5.94</v>
      </c>
    </row>
    <row r="141" spans="2:7">
      <c r="B141" t="s">
        <v>914</v>
      </c>
      <c r="D141" s="970">
        <f t="shared" ref="D141" si="25">IF($D$7="","",D32)</f>
        <v>2.4900000000000002</v>
      </c>
      <c r="E141" s="970">
        <f t="shared" ref="E141:E143" si="26">IF($D$7="","",F32)</f>
        <v>2.4900000000000002</v>
      </c>
      <c r="F141" s="970">
        <f t="shared" ref="F141:F143" si="27">IF($D$7="","",H32)</f>
        <v>2.4900000000000002</v>
      </c>
    </row>
    <row r="142" spans="2:7">
      <c r="B142" t="s">
        <v>917</v>
      </c>
      <c r="D142" s="970">
        <f t="shared" ref="D142" si="28">IF($D$7="","",D33)</f>
        <v>27.711674638050212</v>
      </c>
      <c r="E142" s="970">
        <f t="shared" si="26"/>
        <v>27.711674638050212</v>
      </c>
      <c r="F142" s="970">
        <f t="shared" si="27"/>
        <v>27.711674638050212</v>
      </c>
    </row>
    <row r="143" spans="2:7">
      <c r="B143" t="s">
        <v>918</v>
      </c>
      <c r="D143" s="970">
        <f t="shared" ref="D143" si="29">IF($D$7="","",D34)</f>
        <v>69.002069848745037</v>
      </c>
      <c r="E143" s="970">
        <f t="shared" si="26"/>
        <v>69.002069848745037</v>
      </c>
      <c r="F143" s="970">
        <f t="shared" si="27"/>
        <v>69.002069848745037</v>
      </c>
    </row>
    <row r="144" spans="2:7">
      <c r="B144" t="s">
        <v>530</v>
      </c>
      <c r="D144" s="970">
        <f>IF($D$7="","",D38)</f>
        <v>5.5575379125780717</v>
      </c>
      <c r="E144" s="970">
        <f>IF($D$7="","",F38)</f>
        <v>5.0402334423910062</v>
      </c>
      <c r="F144" s="970">
        <f>IF($D$7="","",H38)</f>
        <v>5.285915990116492</v>
      </c>
    </row>
    <row r="145" spans="1:12">
      <c r="B145" t="s">
        <v>915</v>
      </c>
      <c r="D145" s="970">
        <f>IF($D$7="","",D39)</f>
        <v>1.7148760937082543</v>
      </c>
      <c r="E145" s="970">
        <f>IF($D$7="","",F39)</f>
        <v>1.7215425603955337</v>
      </c>
      <c r="F145" s="970">
        <f>IF($D$7="","",H39)</f>
        <v>1.7290785662159369</v>
      </c>
    </row>
    <row r="146" spans="1:12">
      <c r="B146" t="s">
        <v>720</v>
      </c>
      <c r="D146" s="970">
        <f>IF($D$7="","",D40)</f>
        <v>1.6245889470522714</v>
      </c>
      <c r="E146" s="970">
        <f>IF($D$7="","",F40)</f>
        <v>1.6389363427488084</v>
      </c>
      <c r="F146" s="970">
        <f>IF($D$7="","",H40)</f>
        <v>1.6422695760924477</v>
      </c>
    </row>
    <row r="149" spans="1:12">
      <c r="B149" s="541" t="s">
        <v>721</v>
      </c>
      <c r="C149" s="541"/>
      <c r="D149" s="541"/>
      <c r="E149" s="541"/>
      <c r="F149" s="541"/>
      <c r="H149" s="710"/>
      <c r="J149" s="710"/>
      <c r="L149" s="710"/>
    </row>
    <row r="150" spans="1:12">
      <c r="B150" s="677" t="s">
        <v>900</v>
      </c>
      <c r="C150" s="677"/>
      <c r="D150" s="677">
        <v>1</v>
      </c>
      <c r="E150" s="677">
        <v>2</v>
      </c>
      <c r="F150" s="677">
        <v>3</v>
      </c>
      <c r="H150" s="677"/>
      <c r="J150" s="677"/>
      <c r="L150" s="677"/>
    </row>
    <row r="151" spans="1:12">
      <c r="B151" s="677" t="s">
        <v>905</v>
      </c>
      <c r="C151" s="677"/>
      <c r="D151" s="970">
        <f>IF($D$7="","",E74)</f>
        <v>5</v>
      </c>
      <c r="E151" s="970">
        <f t="shared" ref="E151:F152" si="30">IF($D$7="","",F74)</f>
        <v>10</v>
      </c>
      <c r="F151" s="970">
        <f t="shared" si="30"/>
        <v>20</v>
      </c>
      <c r="H151" s="677"/>
      <c r="J151" s="677"/>
      <c r="L151" s="677"/>
    </row>
    <row r="152" spans="1:12">
      <c r="B152" s="677" t="s">
        <v>906</v>
      </c>
      <c r="C152" s="677"/>
      <c r="D152" s="970">
        <f t="shared" ref="D152" si="31">IF($D$7="","",E75)</f>
        <v>17.694076825178101</v>
      </c>
      <c r="E152" s="970">
        <f t="shared" si="30"/>
        <v>35.388153650356202</v>
      </c>
      <c r="F152" s="970">
        <f t="shared" si="30"/>
        <v>70.776307300712404</v>
      </c>
      <c r="H152" s="958"/>
      <c r="J152" s="958"/>
      <c r="L152" s="958"/>
    </row>
    <row r="153" spans="1:12">
      <c r="B153" s="677" t="s">
        <v>910</v>
      </c>
      <c r="C153" s="677"/>
      <c r="D153" s="970">
        <f>IF($D$7="","",D117)</f>
        <v>10.436106227781044</v>
      </c>
      <c r="E153" s="970">
        <f>IF($D$7="","",E117)</f>
        <v>16.697769964449673</v>
      </c>
      <c r="F153" s="970">
        <f>IF($D$7="","",F117)</f>
        <v>28.177486815008823</v>
      </c>
      <c r="H153" s="958"/>
      <c r="J153" s="958"/>
      <c r="L153" s="958"/>
    </row>
    <row r="156" spans="1:12">
      <c r="A156" s="1566" t="s">
        <v>1719</v>
      </c>
      <c r="B156" s="862"/>
      <c r="C156" s="14"/>
      <c r="D156" s="370"/>
      <c r="E156" s="370"/>
    </row>
    <row r="157" spans="1:12">
      <c r="A157" s="1570" t="s">
        <v>1782</v>
      </c>
      <c r="B157" s="862"/>
      <c r="C157" s="14"/>
      <c r="D157" s="370"/>
      <c r="E157" s="370"/>
    </row>
    <row r="158" spans="1:12">
      <c r="A158" s="1566" t="s">
        <v>1719</v>
      </c>
      <c r="B158" s="862"/>
      <c r="C158" s="14"/>
      <c r="D158" s="370"/>
      <c r="E158" s="370"/>
    </row>
    <row r="159" spans="1:12">
      <c r="A159" s="1566"/>
      <c r="B159" s="862"/>
      <c r="C159" s="14"/>
      <c r="D159" s="370"/>
      <c r="E159" s="370"/>
    </row>
    <row r="160" spans="1:12">
      <c r="B160" t="s">
        <v>1611</v>
      </c>
      <c r="C160" s="299" t="str">
        <f>F12</f>
        <v>CL</v>
      </c>
    </row>
    <row r="161" spans="1:21">
      <c r="B161" s="116"/>
      <c r="H161" s="116"/>
      <c r="N161" s="116"/>
    </row>
    <row r="162" spans="1:21">
      <c r="B162" s="116" t="s">
        <v>1793</v>
      </c>
      <c r="H162" s="116"/>
      <c r="N162" s="116"/>
    </row>
    <row r="163" spans="1:21" ht="28.5" customHeight="1">
      <c r="B163" s="1866" t="s">
        <v>124</v>
      </c>
      <c r="C163" s="1866"/>
      <c r="D163" s="1866" t="s">
        <v>1783</v>
      </c>
      <c r="E163" s="1867" t="s">
        <v>1788</v>
      </c>
      <c r="F163" s="1867"/>
      <c r="G163" s="1868" t="s">
        <v>1789</v>
      </c>
      <c r="H163" s="1868"/>
      <c r="I163" s="1868"/>
      <c r="J163" s="1868"/>
      <c r="K163" s="1868"/>
      <c r="L163" s="1868"/>
      <c r="M163" s="1868"/>
      <c r="N163" s="1868"/>
    </row>
    <row r="164" spans="1:21">
      <c r="B164" s="1866"/>
      <c r="C164" s="1866"/>
      <c r="D164" s="1866"/>
      <c r="E164" s="1581" t="s">
        <v>1598</v>
      </c>
      <c r="F164" s="1581" t="s">
        <v>1718</v>
      </c>
      <c r="G164" s="1579" t="s">
        <v>1790</v>
      </c>
      <c r="H164" s="1579" t="s">
        <v>1684</v>
      </c>
      <c r="I164" s="1580" t="s">
        <v>1794</v>
      </c>
      <c r="J164" s="1580" t="s">
        <v>438</v>
      </c>
      <c r="K164" s="1580" t="s">
        <v>1791</v>
      </c>
      <c r="L164" s="1580" t="s">
        <v>1598</v>
      </c>
      <c r="M164" s="1580" t="s">
        <v>1792</v>
      </c>
      <c r="N164" s="1580" t="s">
        <v>1718</v>
      </c>
      <c r="R164" t="s">
        <v>575</v>
      </c>
      <c r="S164" t="s">
        <v>1607</v>
      </c>
      <c r="T164" t="s">
        <v>1608</v>
      </c>
      <c r="U164" t="s">
        <v>1715</v>
      </c>
    </row>
    <row r="165" spans="1:21" ht="75.75" customHeight="1">
      <c r="B165" s="326" t="s">
        <v>1784</v>
      </c>
      <c r="C165" s="326"/>
      <c r="D165" s="1582">
        <f>E131</f>
        <v>4.6962478025014676</v>
      </c>
      <c r="E165" s="3" t="str">
        <f>IF(D165="","CHECK",
IFERROR(
IF(AND(
D165&gt;=INDEX($S$165:$S$168,MATCH(B165,$R$165:$R$168,0)),
D165&lt;=INDEX($T$165:$T$168,MATCH(B165,$R$165:$R$168,0))
),
"PASS",
"REVIEW"),
"CHECK"))</f>
        <v>PASS</v>
      </c>
      <c r="F165" s="1523" t="str">
        <f>IFERROR(
INDEX($U$165:$U$168,
MATCH(B165,$R$165:$R$168,0)),
"")</f>
        <v>ASTM D3080; Das (2016)</v>
      </c>
      <c r="G165" s="1569" t="str" cm="1">
        <f t="array" ref="G165">IFERROR(
INDEX($R$172:$R$181,
MATCH(1,
($Q$172:$Q$181=$B165)*
($U$172:$U$181&gt;=D165)*
($T$172:$T$181&lt;=D165),
0)),
"")</f>
        <v>Sangat Rendah</v>
      </c>
      <c r="H165" s="1569" cm="1">
        <f t="array" ref="H165">IFERROR(
INDEX($S$172:$S$181,
MATCH(1,
($Q$172:$Q$181=$B165)*
($U$172:$U$181&gt;=D165)*
($T$172:$T$181&lt;=D165),
0)),
"")</f>
        <v>1</v>
      </c>
      <c r="I165" s="1569" t="str" cm="1">
        <f t="array" ref="I165">IFERROR(
INDEX($Q$185:$Q$208,
MATCH(1,
($O$185:$O$208=$C$160)*
($P$185:$P$208=$B165),
0)),
"")</f>
        <v>Sedang–Tinggi</v>
      </c>
      <c r="J165" s="1569" cm="1">
        <f t="array" ref="J165">IFERROR(
INDEX($R$185:$R$208,
MATCH(1,
($O$185:$O$208=$C$160)*
($P$185:$P$208=$B165),
0)),
"")</f>
        <v>3</v>
      </c>
      <c r="K165" s="1569" cm="1">
        <f t="array" ref="K165">IFERROR(
INDEX($S$185:$S$208,
MATCH(1,
($O$185:$O$208=$C$160)*
($P$185:$P$208=$B165),
0)),
"")</f>
        <v>5</v>
      </c>
      <c r="L165" s="3" t="str">
        <f>IF(AND(H165&gt;=J165,H165&lt;=K165),"PASS","REVIEW")</f>
        <v>REVIEW</v>
      </c>
      <c r="M165" s="1569" t="str" cm="1">
        <f t="array" ref="M165">IFERROR(
INDEX($T$185:$T$208,
MATCH(1,
($O$185:$O$208=$C$160)*
($P$185:$P$208=$B165),
0)),
"")</f>
        <v>Lean Clay umumnya mempunyai kohesi sedang hingga tinggi.</v>
      </c>
      <c r="N165" s="1569" t="str" cm="1">
        <f t="array" ref="N165">IFERROR(
INDEX($U$186:$U$209,
MATCH(1,
($O$185:$O$208=$C$160)*
($P$185:$P$208=$B165),
0)),
"")</f>
        <v>Das (2016)</v>
      </c>
      <c r="R165" s="5" t="s">
        <v>1784</v>
      </c>
      <c r="S165">
        <v>0</v>
      </c>
      <c r="T165">
        <v>300</v>
      </c>
      <c r="U165" t="s">
        <v>1787</v>
      </c>
    </row>
    <row r="166" spans="1:21" ht="78.75">
      <c r="B166" s="326" t="s">
        <v>1785</v>
      </c>
      <c r="C166" s="326"/>
      <c r="D166" s="1582">
        <f>E132</f>
        <v>18.408482866971063</v>
      </c>
      <c r="E166" s="3" t="str">
        <f>IF(D166="","CHECK",
IFERROR(
IF(AND(
D166&gt;=INDEX($S$165:$S$168,MATCH(B166,$R$165:$R$168,0)),
D166&lt;=INDEX($T$165:$T$168,MATCH(B166,$R$165:$R$168,0))
),
"PASS",
"REVIEW"),
"CHECK"))</f>
        <v>PASS</v>
      </c>
      <c r="F166" s="1523" t="str">
        <f>IFERROR(
INDEX($U$165:$U$168,
MATCH(B166,$R$165:$R$168,0)),
"")</f>
        <v>ASTM D3080; Das (2016)</v>
      </c>
      <c r="G166" s="1569" t="str" cm="1">
        <f t="array" ref="G166">IFERROR(
INDEX($R$172:$R$181,
MATCH(1,
($Q$172:$Q$181=$B166)*
($U$172:$U$181&gt;=D166)*
($T$172:$T$181&lt;=D166),
0)),
"")</f>
        <v>Rendah</v>
      </c>
      <c r="H166" s="1569" cm="1">
        <f t="array" ref="H166">IFERROR(
INDEX($S$172:$S$181,
MATCH(1,
($Q$172:$Q$181=$B166)*
($U$172:$U$181&gt;=D166)*
($T$172:$T$181&lt;=D166),
0)),
"")</f>
        <v>2</v>
      </c>
      <c r="I166" s="1569" t="str" cm="1">
        <f t="array" ref="I166">IFERROR(
INDEX($Q$185:$Q$208,
MATCH(1,
($O$185:$O$208=$C$160)*
($P$185:$P$208=$B166),
0)),
"")</f>
        <v>Rendah–Sedang</v>
      </c>
      <c r="J166" s="1569" cm="1">
        <f t="array" ref="J166">IFERROR(
INDEX($R$185:$R$208,
MATCH(1,
($O$185:$O$208=$C$160)*
($P$185:$P$208=$B166),
0)),
"")</f>
        <v>2</v>
      </c>
      <c r="K166" s="1569" cm="1">
        <f t="array" ref="K166">IFERROR(
INDEX($S$185:$S$208,
MATCH(1,
($O$185:$O$208=$C$160)*
($P$185:$P$208=$B166),
0)),
"")</f>
        <v>3</v>
      </c>
      <c r="L166" s="3" t="str">
        <f>IF(AND(H166&gt;=J166,H166&lt;=K166),"PASS","REVIEW")</f>
        <v>PASS</v>
      </c>
      <c r="M166" s="1569" t="str" cm="1">
        <f t="array" ref="M166">IFERROR(
INDEX($T$185:$T$208,
MATCH(1,
($O$185:$O$208=$C$160)*
($P$185:$P$208=$B166),
0)),
"")</f>
        <v>Sudut geser Lean Clay umumnya rendah hingga sedang.</v>
      </c>
      <c r="N166" s="1569" t="str" cm="1">
        <f t="array" ref="N166">IFERROR(
INDEX($U$186:$U$209,
MATCH(1,
($O$185:$O$208=$C$160)*
($P$185:$P$208=$B166),
0)),
"")</f>
        <v>Das (2016)</v>
      </c>
      <c r="R166" s="5" t="s">
        <v>1785</v>
      </c>
      <c r="S166">
        <v>0</v>
      </c>
      <c r="T166">
        <v>50</v>
      </c>
      <c r="U166" t="s">
        <v>1787</v>
      </c>
    </row>
    <row r="170" spans="1:21">
      <c r="Q170" t="s">
        <v>1797</v>
      </c>
    </row>
    <row r="171" spans="1:21">
      <c r="A171" s="116" t="s">
        <v>1795</v>
      </c>
      <c r="Q171" t="s">
        <v>575</v>
      </c>
      <c r="R171" t="s">
        <v>1682</v>
      </c>
      <c r="S171" t="s">
        <v>1684</v>
      </c>
      <c r="T171" t="s">
        <v>1607</v>
      </c>
      <c r="U171" t="s">
        <v>1608</v>
      </c>
    </row>
    <row r="172" spans="1:21">
      <c r="A172" t="s">
        <v>1831</v>
      </c>
      <c r="D172" s="1583" t="str">
        <f>IF(COUNTIF(E165:E166,"REVIEW")&gt;0,
"REVIEW",
"PASS")</f>
        <v>PASS</v>
      </c>
      <c r="Q172" t="s">
        <v>1784</v>
      </c>
      <c r="R172" t="s">
        <v>1680</v>
      </c>
      <c r="S172">
        <v>1</v>
      </c>
      <c r="T172">
        <v>0</v>
      </c>
      <c r="U172">
        <v>5</v>
      </c>
    </row>
    <row r="173" spans="1:21">
      <c r="A173" t="s">
        <v>1832</v>
      </c>
      <c r="D173" s="1583" t="str">
        <f>IF(COUNTIF(L165:L166,"REVIEW")&gt;0,
"REVIEW",
"PASS")</f>
        <v>REVIEW</v>
      </c>
      <c r="Q173" t="s">
        <v>1784</v>
      </c>
      <c r="R173" t="s">
        <v>1670</v>
      </c>
      <c r="S173">
        <v>2</v>
      </c>
      <c r="T173">
        <v>5.0999999999999996</v>
      </c>
      <c r="U173">
        <v>20</v>
      </c>
    </row>
    <row r="174" spans="1:21">
      <c r="A174" t="s">
        <v>1605</v>
      </c>
      <c r="D174" s="1583" t="str">
        <f>IF(AND(D172="PASS",D173="PASS"),
"PASS",
IF(AND(D172="PASS",D173="REVIEW"),
"REVIEW",
IF(AND(D172="REVIEW",D173="PASS"),
"REVIEW",
"RE-ANALYZE")))</f>
        <v>REVIEW</v>
      </c>
      <c r="Q174" t="s">
        <v>1784</v>
      </c>
      <c r="R174" t="s">
        <v>1672</v>
      </c>
      <c r="S174">
        <v>3</v>
      </c>
      <c r="T174">
        <v>20.100000000000001</v>
      </c>
      <c r="U174">
        <v>50</v>
      </c>
    </row>
    <row r="175" spans="1:21">
      <c r="Q175" t="s">
        <v>1784</v>
      </c>
      <c r="R175" t="s">
        <v>338</v>
      </c>
      <c r="S175">
        <v>4</v>
      </c>
      <c r="T175">
        <v>50.1</v>
      </c>
      <c r="U175">
        <v>100</v>
      </c>
    </row>
    <row r="176" spans="1:21">
      <c r="A176" s="116" t="s">
        <v>1833</v>
      </c>
      <c r="Q176" t="s">
        <v>1784</v>
      </c>
      <c r="R176" t="s">
        <v>1681</v>
      </c>
      <c r="S176">
        <v>5</v>
      </c>
      <c r="T176">
        <v>100.1</v>
      </c>
      <c r="U176">
        <v>300</v>
      </c>
    </row>
    <row r="177" spans="2:21">
      <c r="B177" s="1907" t="str" cm="1">
        <f t="array" ref="B177">IFERROR(
INDEX($R$212:$R$215,
MATCH(1,
($O$212:$O$215=D172)*
($P$212:$P$215=D173),
0)),
"")</f>
        <v>Parameter hasil uji berada dalam rentang teoritis, namun terdapat ketidaksesuaian dengan karakteristik umum tanah. Disarankan melakukan peninjauan terhadap identifikasi contoh, kondisi spesimen, atau hasil pengujian.</v>
      </c>
      <c r="C177" s="1907"/>
      <c r="D177" s="1907"/>
      <c r="E177" s="1907"/>
      <c r="F177" s="1907"/>
      <c r="G177" s="1907"/>
      <c r="H177" s="1907"/>
      <c r="I177" s="1907"/>
      <c r="J177" s="1907"/>
      <c r="K177" s="1907"/>
      <c r="L177" s="1907"/>
      <c r="Q177" t="s">
        <v>1785</v>
      </c>
      <c r="R177" t="s">
        <v>1680</v>
      </c>
      <c r="S177">
        <v>1</v>
      </c>
      <c r="T177">
        <v>0</v>
      </c>
      <c r="U177">
        <v>10</v>
      </c>
    </row>
    <row r="178" spans="2:21">
      <c r="B178" s="1907"/>
      <c r="C178" s="1907"/>
      <c r="D178" s="1907"/>
      <c r="E178" s="1907"/>
      <c r="F178" s="1907"/>
      <c r="G178" s="1907"/>
      <c r="H178" s="1907"/>
      <c r="I178" s="1907"/>
      <c r="J178" s="1907"/>
      <c r="K178" s="1907"/>
      <c r="L178" s="1907"/>
      <c r="Q178" t="s">
        <v>1785</v>
      </c>
      <c r="R178" t="s">
        <v>1670</v>
      </c>
      <c r="S178">
        <v>2</v>
      </c>
      <c r="T178">
        <v>10.1</v>
      </c>
      <c r="U178">
        <v>20</v>
      </c>
    </row>
    <row r="179" spans="2:21">
      <c r="Q179" t="s">
        <v>1785</v>
      </c>
      <c r="R179" t="s">
        <v>1672</v>
      </c>
      <c r="S179">
        <v>3</v>
      </c>
      <c r="T179">
        <v>20.100000000000001</v>
      </c>
      <c r="U179">
        <v>30</v>
      </c>
    </row>
    <row r="180" spans="2:21">
      <c r="Q180" t="s">
        <v>1785</v>
      </c>
      <c r="R180" t="s">
        <v>338</v>
      </c>
      <c r="S180">
        <v>4</v>
      </c>
      <c r="T180">
        <v>30.1</v>
      </c>
      <c r="U180">
        <v>40</v>
      </c>
    </row>
    <row r="181" spans="2:21">
      <c r="Q181" t="s">
        <v>1785</v>
      </c>
      <c r="R181" t="s">
        <v>1681</v>
      </c>
      <c r="S181">
        <v>5</v>
      </c>
      <c r="T181">
        <v>40.1</v>
      </c>
      <c r="U181">
        <v>50</v>
      </c>
    </row>
    <row r="183" spans="2:21">
      <c r="K183" s="1578"/>
      <c r="L183" s="1578"/>
      <c r="M183" s="1578"/>
      <c r="O183" t="s">
        <v>1798</v>
      </c>
    </row>
    <row r="184" spans="2:21">
      <c r="K184" s="5"/>
      <c r="L184" s="5"/>
      <c r="M184" s="5"/>
      <c r="O184" t="s">
        <v>1611</v>
      </c>
      <c r="P184" t="s">
        <v>575</v>
      </c>
      <c r="Q184" t="s">
        <v>1683</v>
      </c>
      <c r="R184" t="s">
        <v>1607</v>
      </c>
      <c r="S184" t="s">
        <v>1608</v>
      </c>
      <c r="T184" t="s">
        <v>1685</v>
      </c>
      <c r="U184" t="s">
        <v>1715</v>
      </c>
    </row>
    <row r="185" spans="2:21">
      <c r="K185" s="5"/>
      <c r="L185" s="5"/>
      <c r="M185" s="5"/>
      <c r="O185" t="s">
        <v>1612</v>
      </c>
      <c r="P185" t="s">
        <v>1784</v>
      </c>
      <c r="Q185" t="s">
        <v>1771</v>
      </c>
      <c r="R185">
        <v>3</v>
      </c>
      <c r="S185">
        <v>5</v>
      </c>
      <c r="T185" t="s">
        <v>1799</v>
      </c>
      <c r="U185" t="s">
        <v>1716</v>
      </c>
    </row>
    <row r="186" spans="2:21">
      <c r="K186" s="5"/>
      <c r="L186" s="5"/>
      <c r="M186" s="5"/>
      <c r="O186" t="s">
        <v>1612</v>
      </c>
      <c r="P186" t="s">
        <v>1785</v>
      </c>
      <c r="Q186" t="s">
        <v>1742</v>
      </c>
      <c r="R186">
        <v>2</v>
      </c>
      <c r="S186">
        <v>3</v>
      </c>
      <c r="T186" t="s">
        <v>1800</v>
      </c>
      <c r="U186" t="s">
        <v>1716</v>
      </c>
    </row>
    <row r="187" spans="2:21">
      <c r="K187" s="5"/>
      <c r="L187" s="5"/>
      <c r="M187" s="5"/>
      <c r="O187" t="s">
        <v>1614</v>
      </c>
      <c r="P187" t="s">
        <v>1784</v>
      </c>
      <c r="Q187" t="s">
        <v>1672</v>
      </c>
      <c r="R187">
        <v>3</v>
      </c>
      <c r="S187">
        <v>4</v>
      </c>
      <c r="T187" t="s">
        <v>1801</v>
      </c>
      <c r="U187" t="s">
        <v>1716</v>
      </c>
    </row>
    <row r="188" spans="2:21">
      <c r="K188" s="5"/>
      <c r="L188" s="5"/>
      <c r="M188" s="5"/>
      <c r="O188" t="s">
        <v>1614</v>
      </c>
      <c r="P188" t="s">
        <v>1785</v>
      </c>
      <c r="Q188" t="s">
        <v>1672</v>
      </c>
      <c r="R188">
        <v>3</v>
      </c>
      <c r="S188">
        <v>4</v>
      </c>
      <c r="T188" t="s">
        <v>1802</v>
      </c>
      <c r="U188" t="s">
        <v>1716</v>
      </c>
    </row>
    <row r="189" spans="2:21">
      <c r="K189" s="5"/>
      <c r="L189" s="5"/>
      <c r="M189" s="5"/>
      <c r="O189" t="s">
        <v>1617</v>
      </c>
      <c r="P189" t="s">
        <v>1784</v>
      </c>
      <c r="Q189" t="s">
        <v>1672</v>
      </c>
      <c r="R189">
        <v>3</v>
      </c>
      <c r="S189">
        <v>4</v>
      </c>
      <c r="T189" t="s">
        <v>1803</v>
      </c>
      <c r="U189" t="s">
        <v>1716</v>
      </c>
    </row>
    <row r="190" spans="2:21">
      <c r="K190" s="5"/>
      <c r="L190" s="5"/>
      <c r="M190" s="5"/>
      <c r="O190" t="s">
        <v>1617</v>
      </c>
      <c r="P190" t="s">
        <v>1785</v>
      </c>
      <c r="Q190" t="s">
        <v>1742</v>
      </c>
      <c r="R190">
        <v>2</v>
      </c>
      <c r="S190">
        <v>3</v>
      </c>
      <c r="T190" t="s">
        <v>1804</v>
      </c>
      <c r="U190" t="s">
        <v>1716</v>
      </c>
    </row>
    <row r="191" spans="2:21">
      <c r="K191" s="5"/>
      <c r="L191" s="5"/>
      <c r="M191" s="5"/>
      <c r="O191" t="s">
        <v>1643</v>
      </c>
      <c r="P191" t="s">
        <v>1784</v>
      </c>
      <c r="Q191" t="s">
        <v>1672</v>
      </c>
      <c r="R191">
        <v>3</v>
      </c>
      <c r="S191">
        <v>4</v>
      </c>
      <c r="T191" t="s">
        <v>1805</v>
      </c>
      <c r="U191" t="s">
        <v>1716</v>
      </c>
    </row>
    <row r="192" spans="2:21">
      <c r="O192" t="s">
        <v>1643</v>
      </c>
      <c r="P192" t="s">
        <v>1785</v>
      </c>
      <c r="Q192" t="s">
        <v>1771</v>
      </c>
      <c r="R192">
        <v>3</v>
      </c>
      <c r="S192">
        <v>4</v>
      </c>
      <c r="T192" t="s">
        <v>1806</v>
      </c>
      <c r="U192" t="s">
        <v>1716</v>
      </c>
    </row>
    <row r="193" spans="15:21">
      <c r="O193" t="s">
        <v>1620</v>
      </c>
      <c r="P193" t="s">
        <v>1784</v>
      </c>
      <c r="Q193" t="s">
        <v>1680</v>
      </c>
      <c r="R193">
        <v>1</v>
      </c>
      <c r="S193">
        <v>2</v>
      </c>
      <c r="T193" t="s">
        <v>1807</v>
      </c>
      <c r="U193" t="s">
        <v>1716</v>
      </c>
    </row>
    <row r="194" spans="15:21">
      <c r="O194" t="s">
        <v>1620</v>
      </c>
      <c r="P194" t="s">
        <v>1785</v>
      </c>
      <c r="Q194" t="s">
        <v>338</v>
      </c>
      <c r="R194">
        <v>4</v>
      </c>
      <c r="S194">
        <v>5</v>
      </c>
      <c r="T194" t="s">
        <v>1808</v>
      </c>
      <c r="U194" t="s">
        <v>1716</v>
      </c>
    </row>
    <row r="195" spans="15:21">
      <c r="O195" t="s">
        <v>1621</v>
      </c>
      <c r="P195" t="s">
        <v>1784</v>
      </c>
      <c r="Q195" t="s">
        <v>1742</v>
      </c>
      <c r="R195">
        <v>2</v>
      </c>
      <c r="S195">
        <v>3</v>
      </c>
      <c r="T195" t="s">
        <v>1809</v>
      </c>
      <c r="U195" t="s">
        <v>1716</v>
      </c>
    </row>
    <row r="196" spans="15:21">
      <c r="O196" t="s">
        <v>1621</v>
      </c>
      <c r="P196" t="s">
        <v>1785</v>
      </c>
      <c r="Q196" t="s">
        <v>1672</v>
      </c>
      <c r="R196">
        <v>3</v>
      </c>
      <c r="S196">
        <v>4</v>
      </c>
      <c r="T196" t="s">
        <v>1810</v>
      </c>
      <c r="U196" t="s">
        <v>1716</v>
      </c>
    </row>
    <row r="197" spans="15:21">
      <c r="O197" t="s">
        <v>1623</v>
      </c>
      <c r="P197" t="s">
        <v>1784</v>
      </c>
      <c r="Q197" t="s">
        <v>1670</v>
      </c>
      <c r="R197">
        <v>2</v>
      </c>
      <c r="S197">
        <v>3</v>
      </c>
      <c r="T197" t="s">
        <v>1811</v>
      </c>
      <c r="U197" t="s">
        <v>1716</v>
      </c>
    </row>
    <row r="198" spans="15:21">
      <c r="O198" t="s">
        <v>1623</v>
      </c>
      <c r="P198" t="s">
        <v>1785</v>
      </c>
      <c r="Q198" t="s">
        <v>1771</v>
      </c>
      <c r="R198">
        <v>3</v>
      </c>
      <c r="S198">
        <v>4</v>
      </c>
      <c r="T198" t="s">
        <v>1812</v>
      </c>
      <c r="U198" t="s">
        <v>1716</v>
      </c>
    </row>
    <row r="199" spans="15:21">
      <c r="O199" t="s">
        <v>1649</v>
      </c>
      <c r="P199" t="s">
        <v>1784</v>
      </c>
      <c r="Q199" t="s">
        <v>1680</v>
      </c>
      <c r="R199">
        <v>1</v>
      </c>
      <c r="S199">
        <v>2</v>
      </c>
      <c r="T199" t="s">
        <v>1813</v>
      </c>
      <c r="U199" t="s">
        <v>1716</v>
      </c>
    </row>
    <row r="200" spans="15:21">
      <c r="O200" t="s">
        <v>1649</v>
      </c>
      <c r="P200" t="s">
        <v>1785</v>
      </c>
      <c r="Q200" t="s">
        <v>1681</v>
      </c>
      <c r="R200">
        <v>4</v>
      </c>
      <c r="S200">
        <v>5</v>
      </c>
      <c r="T200" t="s">
        <v>1814</v>
      </c>
      <c r="U200" t="s">
        <v>1716</v>
      </c>
    </row>
    <row r="201" spans="15:21">
      <c r="O201" t="s">
        <v>1690</v>
      </c>
      <c r="P201" t="s">
        <v>1784</v>
      </c>
      <c r="Q201" t="s">
        <v>1670</v>
      </c>
      <c r="R201">
        <v>2</v>
      </c>
      <c r="S201">
        <v>3</v>
      </c>
      <c r="T201" t="s">
        <v>1815</v>
      </c>
      <c r="U201" t="s">
        <v>1716</v>
      </c>
    </row>
    <row r="202" spans="15:21">
      <c r="O202" t="s">
        <v>1690</v>
      </c>
      <c r="P202" t="s">
        <v>1785</v>
      </c>
      <c r="Q202" t="s">
        <v>1672</v>
      </c>
      <c r="R202">
        <v>3</v>
      </c>
      <c r="S202">
        <v>4</v>
      </c>
      <c r="T202" t="s">
        <v>1796</v>
      </c>
      <c r="U202" t="s">
        <v>1716</v>
      </c>
    </row>
    <row r="203" spans="15:21">
      <c r="O203" t="s">
        <v>1626</v>
      </c>
      <c r="P203" t="s">
        <v>1784</v>
      </c>
      <c r="Q203" t="s">
        <v>1672</v>
      </c>
      <c r="R203">
        <v>3</v>
      </c>
      <c r="S203">
        <v>4</v>
      </c>
      <c r="T203" t="s">
        <v>1816</v>
      </c>
      <c r="U203" t="s">
        <v>1716</v>
      </c>
    </row>
    <row r="204" spans="15:21">
      <c r="O204" t="s">
        <v>1626</v>
      </c>
      <c r="P204" t="s">
        <v>1785</v>
      </c>
      <c r="Q204" t="s">
        <v>1742</v>
      </c>
      <c r="R204">
        <v>2</v>
      </c>
      <c r="S204">
        <v>3</v>
      </c>
      <c r="T204" t="s">
        <v>1817</v>
      </c>
      <c r="U204" t="s">
        <v>1716</v>
      </c>
    </row>
    <row r="205" spans="15:21">
      <c r="O205" t="s">
        <v>1628</v>
      </c>
      <c r="P205" t="s">
        <v>1784</v>
      </c>
      <c r="Q205" t="s">
        <v>1670</v>
      </c>
      <c r="R205">
        <v>2</v>
      </c>
      <c r="S205">
        <v>3</v>
      </c>
      <c r="T205" t="s">
        <v>1818</v>
      </c>
      <c r="U205" t="s">
        <v>1716</v>
      </c>
    </row>
    <row r="206" spans="15:21">
      <c r="O206" t="s">
        <v>1628</v>
      </c>
      <c r="P206" t="s">
        <v>1785</v>
      </c>
      <c r="Q206" t="s">
        <v>1672</v>
      </c>
      <c r="R206">
        <v>3</v>
      </c>
      <c r="S206">
        <v>4</v>
      </c>
      <c r="T206" t="s">
        <v>1819</v>
      </c>
      <c r="U206" t="s">
        <v>1716</v>
      </c>
    </row>
    <row r="207" spans="15:21">
      <c r="O207" t="s">
        <v>1630</v>
      </c>
      <c r="P207" t="s">
        <v>1784</v>
      </c>
      <c r="Q207" t="s">
        <v>1680</v>
      </c>
      <c r="R207">
        <v>1</v>
      </c>
      <c r="S207">
        <v>1</v>
      </c>
      <c r="T207" t="s">
        <v>1820</v>
      </c>
      <c r="U207" t="s">
        <v>1716</v>
      </c>
    </row>
    <row r="208" spans="15:21">
      <c r="O208" t="s">
        <v>1630</v>
      </c>
      <c r="P208" t="s">
        <v>1785</v>
      </c>
      <c r="Q208" t="s">
        <v>1681</v>
      </c>
      <c r="R208">
        <v>5</v>
      </c>
      <c r="S208">
        <v>5</v>
      </c>
      <c r="T208" t="s">
        <v>1821</v>
      </c>
      <c r="U208" t="s">
        <v>1716</v>
      </c>
    </row>
    <row r="211" spans="15:18">
      <c r="O211" t="s">
        <v>1822</v>
      </c>
      <c r="P211" t="s">
        <v>1823</v>
      </c>
      <c r="Q211" t="s">
        <v>1824</v>
      </c>
      <c r="R211" t="s">
        <v>1786</v>
      </c>
    </row>
    <row r="212" spans="15:18">
      <c r="O212" t="s">
        <v>1733</v>
      </c>
      <c r="P212" t="s">
        <v>1733</v>
      </c>
      <c r="Q212" t="s">
        <v>1825</v>
      </c>
      <c r="R212" t="s">
        <v>1826</v>
      </c>
    </row>
    <row r="213" spans="15:18">
      <c r="O213" t="s">
        <v>1733</v>
      </c>
      <c r="P213" t="s">
        <v>1735</v>
      </c>
      <c r="Q213" t="s">
        <v>1735</v>
      </c>
      <c r="R213" t="s">
        <v>1827</v>
      </c>
    </row>
    <row r="214" spans="15:18">
      <c r="O214" t="s">
        <v>1735</v>
      </c>
      <c r="P214" t="s">
        <v>1733</v>
      </c>
      <c r="Q214" t="s">
        <v>1735</v>
      </c>
      <c r="R214" t="s">
        <v>1828</v>
      </c>
    </row>
    <row r="215" spans="15:18">
      <c r="O215" t="s">
        <v>1735</v>
      </c>
      <c r="P215" t="s">
        <v>1735</v>
      </c>
      <c r="Q215" t="s">
        <v>1829</v>
      </c>
      <c r="R215" t="s">
        <v>1830</v>
      </c>
    </row>
  </sheetData>
  <mergeCells count="29">
    <mergeCell ref="C48:C49"/>
    <mergeCell ref="B48:B49"/>
    <mergeCell ref="D48:E48"/>
    <mergeCell ref="F48:G48"/>
    <mergeCell ref="H48:I48"/>
    <mergeCell ref="D30:E30"/>
    <mergeCell ref="F30:G30"/>
    <mergeCell ref="H30:I30"/>
    <mergeCell ref="H23:I23"/>
    <mergeCell ref="D49:D50"/>
    <mergeCell ref="B28:C29"/>
    <mergeCell ref="D28:E28"/>
    <mergeCell ref="F28:G28"/>
    <mergeCell ref="H28:I28"/>
    <mergeCell ref="Q23:Q24"/>
    <mergeCell ref="A11:C11"/>
    <mergeCell ref="A12:C12"/>
    <mergeCell ref="L12:N12"/>
    <mergeCell ref="A13:C13"/>
    <mergeCell ref="A7:C7"/>
    <mergeCell ref="A9:C9"/>
    <mergeCell ref="L9:N9"/>
    <mergeCell ref="A10:C10"/>
    <mergeCell ref="L10:N10"/>
    <mergeCell ref="G163:N163"/>
    <mergeCell ref="E163:F163"/>
    <mergeCell ref="B177:L178"/>
    <mergeCell ref="D163:D164"/>
    <mergeCell ref="B163:C164"/>
  </mergeCells>
  <conditionalFormatting sqref="D172:D174">
    <cfRule type="expression" dxfId="225" priority="1">
      <formula>ISNUMBER(SEARCH("RE-ANALYZE",$D172))</formula>
    </cfRule>
    <cfRule type="expression" dxfId="224" priority="2">
      <formula>ISNUMBER(SEARCH("REVIEW",$D172))</formula>
    </cfRule>
    <cfRule type="expression" dxfId="223" priority="3">
      <formula>ISNUMBER(SEARCH("CHECK",$D172))</formula>
    </cfRule>
    <cfRule type="expression" dxfId="222" priority="4">
      <formula>ISNUMBER(SEARCH("PASS",$D172))</formula>
    </cfRule>
  </conditionalFormatting>
  <conditionalFormatting sqref="E165:E166">
    <cfRule type="expression" dxfId="221" priority="11">
      <formula>ISNUMBER(SEARCH("RE-ANALYZE",$E165))</formula>
    </cfRule>
    <cfRule type="expression" dxfId="220" priority="12">
      <formula>ISNUMBER(SEARCH("REVIEW",$E165))</formula>
    </cfRule>
    <cfRule type="expression" dxfId="219" priority="13">
      <formula>ISNUMBER(SEARCH("CHECK",$E165))</formula>
    </cfRule>
    <cfRule type="expression" dxfId="218" priority="14">
      <formula>ISNUMBER(SEARCH("PASS",$E165))</formula>
    </cfRule>
  </conditionalFormatting>
  <conditionalFormatting sqref="L165:L166">
    <cfRule type="expression" dxfId="217" priority="5">
      <formula>ISNUMBER(SEARCH("RE-ANALYZE",$L165))</formula>
    </cfRule>
    <cfRule type="expression" dxfId="216" priority="6">
      <formula>ISNUMBER(SEARCH("REVIEW",$L165))</formula>
    </cfRule>
    <cfRule type="expression" dxfId="215" priority="7">
      <formula>ISNUMBER(SEARCH("CHECK",$L165))</formula>
    </cfRule>
    <cfRule type="expression" dxfId="214" priority="8">
      <formula>ISNUMBER(SEARCH("PASS",$L165))</formula>
    </cfRule>
  </conditionalFormatting>
  <dataValidations count="2">
    <dataValidation type="list" allowBlank="1" showInputMessage="1" showErrorMessage="1" sqref="P9" xr:uid="{CF883035-3BEF-49E5-AE27-D727B0F60757}">
      <formula1>"RAFLY,RIZKI,NOUFAL"</formula1>
    </dataValidation>
    <dataValidation type="list" allowBlank="1" showInputMessage="1" showErrorMessage="1" sqref="D12" xr:uid="{B8BFB1F0-8391-4657-93E1-2254B45A608E}">
      <formula1>$U$36:$U$47</formula1>
    </dataValidation>
  </dataValidations>
  <pageMargins left="0.7" right="0.7" top="0.75" bottom="0.75" header="0.3" footer="0.3"/>
  <pageSetup paperSize="8" scale="52" orientation="landscape" r:id="rId1"/>
  <rowBreaks count="2" manualBreakCount="2">
    <brk id="69" max="16383" man="1"/>
    <brk id="136" max="16383" man="1"/>
  </rowBreak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F5E7-04FE-4D62-B231-0B1037F505E8}">
  <sheetPr>
    <tabColor rgb="FFFFC000"/>
  </sheetPr>
  <dimension ref="A1:AD150"/>
  <sheetViews>
    <sheetView view="pageBreakPreview" topLeftCell="A29" zoomScale="118" zoomScaleNormal="100" zoomScaleSheetLayoutView="118" zoomScalePageLayoutView="87" workbookViewId="0">
      <selection activeCell="AA47" sqref="AA47"/>
    </sheetView>
  </sheetViews>
  <sheetFormatPr defaultColWidth="11" defaultRowHeight="15.75"/>
  <cols>
    <col min="1" max="2" width="4.875" customWidth="1"/>
    <col min="3" max="3" width="5.75" customWidth="1"/>
    <col min="4" max="8" width="4.875" customWidth="1"/>
    <col min="9" max="9" width="4.875" style="4" customWidth="1"/>
    <col min="10" max="11" width="4.875" customWidth="1"/>
    <col min="12" max="12" width="8.5" customWidth="1"/>
    <col min="13" max="13" width="1.875" customWidth="1"/>
    <col min="14" max="17" width="4.875" customWidth="1"/>
    <col min="18" max="18" width="5.625" customWidth="1"/>
    <col min="19"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IF('WS_DS-CD'!D7="","",'WS_DS-CD'!D7)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"&amp;IF('WS_DS-CD'!D9="","",'WS_DS-CD'!D9)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"&amp;IF('WS_DS-CD'!D10="","",'WS_DS-CD'!D10)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"&amp;IF('WS_DS-CD'!D11="","",'WS_DS-CD'!D11)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"&amp;IF('WS_DS-CD'!D12="","",'WS_DS-CD'!D12)</f>
        <v>:  Lempung / Clay</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"&amp;IF('WS_DS-CD'!D13="","",'WS_DS-CD'!D13)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"&amp;IF('WS_DS-CD'!O12="","",TEXT('WS_DS-CD'!O12,"dd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'WS_DS-CD'!$A$2</f>
        <v>UJI KUAT GESER LANGSUNG -TERKONSOLIDASI TERDRAINASE (CD)</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INDUK'!$BS$44</f>
        <v>2813:2008</v>
      </c>
      <c r="W26" s="1704"/>
      <c r="X26" s="1704"/>
    </row>
    <row r="27" spans="1:24">
      <c r="A27" s="1650" t="str">
        <f>'WS_DS-CD'!$A$3</f>
        <v>DIRECT SHEAR TEST- CONSOLIDATED DRAINED (CD)</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41" t="s">
        <v>715</v>
      </c>
      <c r="B29" s="673"/>
      <c r="C29" s="673"/>
      <c r="D29" s="673"/>
      <c r="E29" s="673"/>
      <c r="F29" s="673"/>
      <c r="G29" s="673"/>
      <c r="H29" s="673"/>
      <c r="I29" s="674"/>
      <c r="J29" s="673"/>
      <c r="K29" s="673"/>
      <c r="L29" s="335"/>
      <c r="M29" s="335"/>
      <c r="N29" s="541" t="s">
        <v>721</v>
      </c>
      <c r="O29" s="541"/>
      <c r="P29" s="541"/>
      <c r="Q29" s="541"/>
      <c r="R29" s="541"/>
      <c r="S29" s="541"/>
      <c r="T29" s="541"/>
      <c r="U29" s="541"/>
      <c r="V29" s="541"/>
      <c r="W29" s="541"/>
      <c r="X29" s="541"/>
    </row>
    <row r="30" spans="1:24">
      <c r="A30" s="1990" t="s">
        <v>1137</v>
      </c>
      <c r="B30" s="1991"/>
      <c r="C30" s="1991"/>
      <c r="D30" s="1991"/>
      <c r="E30" s="1992"/>
      <c r="F30" s="1987">
        <v>1</v>
      </c>
      <c r="G30" s="1987"/>
      <c r="H30" s="1816">
        <v>2</v>
      </c>
      <c r="I30" s="1816"/>
      <c r="J30" s="1816">
        <v>3</v>
      </c>
      <c r="K30" s="1816"/>
      <c r="L30" s="335"/>
      <c r="M30" s="335"/>
      <c r="N30" s="1960" t="s">
        <v>1129</v>
      </c>
      <c r="O30" s="1960"/>
      <c r="P30" s="1960"/>
      <c r="Q30" s="1960"/>
      <c r="R30" s="1960"/>
      <c r="S30" s="1987">
        <v>1</v>
      </c>
      <c r="T30" s="1987"/>
      <c r="U30" s="1987">
        <v>2</v>
      </c>
      <c r="V30" s="1987"/>
      <c r="W30" s="1987">
        <v>3</v>
      </c>
      <c r="X30" s="1987"/>
    </row>
    <row r="31" spans="1:24">
      <c r="A31" s="1751" t="s">
        <v>1131</v>
      </c>
      <c r="B31" s="1988"/>
      <c r="C31" s="1988"/>
      <c r="D31" s="1988"/>
      <c r="E31" s="1989"/>
      <c r="F31" s="1817">
        <f>'WS_DS-CD'!D140</f>
        <v>5.94</v>
      </c>
      <c r="G31" s="1817"/>
      <c r="H31" s="1817">
        <f>'WS_DS-CD'!E140</f>
        <v>5.94</v>
      </c>
      <c r="I31" s="1817"/>
      <c r="J31" s="1817">
        <f>'WS_DS-CD'!F140</f>
        <v>5.94</v>
      </c>
      <c r="K31" s="1817"/>
      <c r="L31" s="335"/>
      <c r="M31" s="335"/>
      <c r="N31" s="1960" t="s">
        <v>1469</v>
      </c>
      <c r="O31" s="1960"/>
      <c r="P31" s="1960"/>
      <c r="Q31" s="1960"/>
      <c r="R31" s="1960"/>
      <c r="S31" s="1817">
        <f>'WS_DS-CD'!D151</f>
        <v>5</v>
      </c>
      <c r="T31" s="1987"/>
      <c r="U31" s="1817">
        <f>'WS_DS-CD'!E151</f>
        <v>10</v>
      </c>
      <c r="V31" s="1987"/>
      <c r="W31" s="1817">
        <f>'WS_DS-CD'!F151</f>
        <v>20</v>
      </c>
      <c r="X31" s="1987"/>
    </row>
    <row r="32" spans="1:24">
      <c r="A32" s="1751" t="s">
        <v>1130</v>
      </c>
      <c r="B32" s="1752"/>
      <c r="C32" s="1752"/>
      <c r="D32" s="1752"/>
      <c r="E32" s="1753"/>
      <c r="F32" s="1817">
        <f>'WS_DS-CD'!D141</f>
        <v>2.4900000000000002</v>
      </c>
      <c r="G32" s="1817"/>
      <c r="H32" s="1817">
        <f>'WS_DS-CD'!E141</f>
        <v>2.4900000000000002</v>
      </c>
      <c r="I32" s="1817"/>
      <c r="J32" s="1817">
        <f>'WS_DS-CD'!F141</f>
        <v>2.4900000000000002</v>
      </c>
      <c r="K32" s="1817"/>
      <c r="L32" s="335"/>
      <c r="M32" s="335"/>
      <c r="N32" s="1961" t="s">
        <v>1466</v>
      </c>
      <c r="O32" s="1961"/>
      <c r="P32" s="1961"/>
      <c r="Q32" s="1961"/>
      <c r="R32" s="1961"/>
      <c r="S32" s="1983">
        <f>'WS_DS-CD'!D152</f>
        <v>17.694076825178101</v>
      </c>
      <c r="T32" s="1984"/>
      <c r="U32" s="1983">
        <f>'WS_DS-CD'!E152</f>
        <v>35.388153650356202</v>
      </c>
      <c r="V32" s="1984"/>
      <c r="W32" s="1983">
        <f>'WS_DS-CD'!F152</f>
        <v>70.776307300712404</v>
      </c>
      <c r="X32" s="1984"/>
    </row>
    <row r="33" spans="1:30">
      <c r="A33" s="1751" t="s">
        <v>1132</v>
      </c>
      <c r="B33" s="1752"/>
      <c r="C33" s="1752"/>
      <c r="D33" s="1752"/>
      <c r="E33" s="1753"/>
      <c r="F33" s="1817">
        <f>'WS_DS-CD'!D142</f>
        <v>27.711674638050212</v>
      </c>
      <c r="G33" s="1817"/>
      <c r="H33" s="1817">
        <f>'WS_DS-CD'!E142</f>
        <v>27.711674638050212</v>
      </c>
      <c r="I33" s="1817"/>
      <c r="J33" s="1817">
        <f>'WS_DS-CD'!F142</f>
        <v>27.711674638050212</v>
      </c>
      <c r="K33" s="1817"/>
      <c r="L33" s="335"/>
      <c r="M33" s="335"/>
      <c r="N33" s="1961"/>
      <c r="O33" s="1961"/>
      <c r="P33" s="1961"/>
      <c r="Q33" s="1961"/>
      <c r="R33" s="1961"/>
      <c r="S33" s="1985"/>
      <c r="T33" s="1986"/>
      <c r="U33" s="1985"/>
      <c r="V33" s="1986"/>
      <c r="W33" s="1985"/>
      <c r="X33" s="1986"/>
    </row>
    <row r="34" spans="1:30">
      <c r="A34" s="1751" t="s">
        <v>1133</v>
      </c>
      <c r="B34" s="1752"/>
      <c r="C34" s="1752"/>
      <c r="D34" s="1752"/>
      <c r="E34" s="1753"/>
      <c r="F34" s="1817">
        <f>'WS_DS-CD'!D143</f>
        <v>69.002069848745037</v>
      </c>
      <c r="G34" s="1817"/>
      <c r="H34" s="1817">
        <f>'WS_DS-CD'!E143</f>
        <v>69.002069848745037</v>
      </c>
      <c r="I34" s="1817"/>
      <c r="J34" s="1817">
        <f>'WS_DS-CD'!F143</f>
        <v>69.002069848745037</v>
      </c>
      <c r="K34" s="1817"/>
      <c r="L34" s="335"/>
      <c r="M34" s="335"/>
      <c r="N34" s="1961" t="s">
        <v>1467</v>
      </c>
      <c r="O34" s="1961"/>
      <c r="P34" s="1961"/>
      <c r="Q34" s="1961"/>
      <c r="R34" s="1961"/>
      <c r="S34" s="1983">
        <f>'WS_DS-CD'!D153</f>
        <v>10.436106227781044</v>
      </c>
      <c r="T34" s="1984"/>
      <c r="U34" s="1983">
        <f>'WS_DS-CD'!E153</f>
        <v>16.697769964449673</v>
      </c>
      <c r="V34" s="1984"/>
      <c r="W34" s="1983">
        <f>'WS_DS-CD'!F153</f>
        <v>28.177486815008823</v>
      </c>
      <c r="X34" s="1984"/>
    </row>
    <row r="35" spans="1:30">
      <c r="A35" s="1751" t="s">
        <v>1123</v>
      </c>
      <c r="B35" s="1752"/>
      <c r="C35" s="1752"/>
      <c r="D35" s="1752"/>
      <c r="E35" s="1753"/>
      <c r="F35" s="1817">
        <f>'WS_DS-CD'!D144</f>
        <v>5.5575379125780717</v>
      </c>
      <c r="G35" s="1817"/>
      <c r="H35" s="1817">
        <f>'WS_DS-CD'!E144</f>
        <v>5.0402334423910062</v>
      </c>
      <c r="I35" s="1817"/>
      <c r="J35" s="1817">
        <f>'WS_DS-CD'!F144</f>
        <v>5.285915990116492</v>
      </c>
      <c r="K35" s="1817"/>
      <c r="L35" s="335"/>
      <c r="M35" s="335"/>
      <c r="N35" s="1961"/>
      <c r="O35" s="1961"/>
      <c r="P35" s="1961"/>
      <c r="Q35" s="1961"/>
      <c r="R35" s="1961"/>
      <c r="S35" s="1985"/>
      <c r="T35" s="1986"/>
      <c r="U35" s="1985"/>
      <c r="V35" s="1986"/>
      <c r="W35" s="1985"/>
      <c r="X35" s="1986"/>
    </row>
    <row r="36" spans="1:30">
      <c r="A36" s="1751" t="s">
        <v>1134</v>
      </c>
      <c r="B36" s="1752"/>
      <c r="C36" s="1752"/>
      <c r="D36" s="1752"/>
      <c r="E36" s="1753"/>
      <c r="F36" s="1817">
        <f>'WS_DS-CD'!D145</f>
        <v>1.7148760937082543</v>
      </c>
      <c r="G36" s="1817"/>
      <c r="H36" s="1817">
        <f>'WS_DS-CD'!E145</f>
        <v>1.7215425603955337</v>
      </c>
      <c r="I36" s="1817"/>
      <c r="J36" s="1817">
        <f>'WS_DS-CD'!F145</f>
        <v>1.7290785662159369</v>
      </c>
      <c r="K36" s="1817"/>
      <c r="L36" s="335"/>
      <c r="M36" s="335"/>
      <c r="O36" s="335"/>
      <c r="P36" s="335"/>
      <c r="Q36" s="335"/>
      <c r="R36" s="335"/>
      <c r="S36" s="335"/>
      <c r="T36" s="335"/>
      <c r="U36" s="335"/>
      <c r="V36" s="335"/>
      <c r="W36" s="335"/>
      <c r="X36" s="335"/>
    </row>
    <row r="37" spans="1:30">
      <c r="A37" s="1751" t="s">
        <v>1135</v>
      </c>
      <c r="B37" s="1752"/>
      <c r="C37" s="1752"/>
      <c r="D37" s="1752"/>
      <c r="E37" s="1753"/>
      <c r="F37" s="1817">
        <f>'WS_DS-CD'!D146</f>
        <v>1.6245889470522714</v>
      </c>
      <c r="G37" s="1817"/>
      <c r="H37" s="1817">
        <f>'WS_DS-CD'!E146</f>
        <v>1.6389363427488084</v>
      </c>
      <c r="I37" s="1817"/>
      <c r="J37" s="1817">
        <f>'WS_DS-CD'!F146</f>
        <v>1.6422695760924477</v>
      </c>
      <c r="K37" s="1817"/>
      <c r="AB37" s="4"/>
    </row>
    <row r="38" spans="1:30">
      <c r="N38" s="539"/>
      <c r="AB38" s="4"/>
    </row>
    <row r="39" spans="1:30">
      <c r="A39" s="541" t="s">
        <v>184</v>
      </c>
      <c r="B39" s="541"/>
      <c r="C39" s="541"/>
      <c r="D39" s="541"/>
      <c r="E39" s="541"/>
      <c r="F39" s="541"/>
      <c r="G39" s="541"/>
      <c r="H39" s="541"/>
      <c r="I39" s="859"/>
      <c r="J39" s="541"/>
      <c r="K39" s="541"/>
      <c r="L39" s="541"/>
      <c r="M39" s="541"/>
      <c r="N39" s="541"/>
      <c r="O39" s="541"/>
      <c r="P39" s="541"/>
      <c r="Q39" s="541"/>
      <c r="R39" s="541"/>
      <c r="S39" s="541"/>
      <c r="T39" s="541"/>
      <c r="U39" s="541"/>
      <c r="V39" s="541"/>
      <c r="W39" s="541"/>
      <c r="X39" s="541"/>
      <c r="AB39" s="4"/>
    </row>
    <row r="40" spans="1:30">
      <c r="A40" s="540" t="s">
        <v>1445</v>
      </c>
      <c r="B40" s="326"/>
      <c r="C40" s="326"/>
      <c r="D40" s="326"/>
      <c r="E40" s="326"/>
      <c r="F40" s="326"/>
      <c r="G40" s="326"/>
      <c r="H40" s="326"/>
      <c r="I40" s="638"/>
      <c r="J40" s="326"/>
      <c r="K40" s="326"/>
      <c r="L40" s="326"/>
      <c r="M40" s="326"/>
      <c r="N40" s="540" t="s">
        <v>1458</v>
      </c>
      <c r="O40" s="326"/>
      <c r="P40" s="326"/>
      <c r="Q40" s="326"/>
      <c r="R40" s="326"/>
      <c r="S40" s="326"/>
      <c r="T40" s="326"/>
      <c r="U40" s="326"/>
      <c r="V40" s="326"/>
      <c r="W40" s="326"/>
      <c r="X40" s="326"/>
      <c r="AA40" s="1210"/>
      <c r="AB40" s="4"/>
    </row>
    <row r="41" spans="1:30">
      <c r="A41" s="672" t="s">
        <v>1446</v>
      </c>
      <c r="B41" s="339"/>
      <c r="C41" s="339"/>
      <c r="D41" s="339"/>
      <c r="E41" s="339"/>
      <c r="F41" s="339"/>
      <c r="G41" s="326"/>
      <c r="H41" s="326"/>
      <c r="I41" s="638"/>
      <c r="J41" s="326"/>
      <c r="K41" s="326"/>
      <c r="L41" s="326"/>
      <c r="M41" s="326"/>
      <c r="N41" s="672" t="s">
        <v>1459</v>
      </c>
      <c r="O41" s="672"/>
      <c r="P41" s="672"/>
      <c r="Q41" s="672"/>
      <c r="R41" s="672"/>
      <c r="S41" s="672"/>
      <c r="T41" s="672"/>
      <c r="U41" s="672"/>
      <c r="V41" s="672"/>
      <c r="W41" s="13"/>
      <c r="X41" s="13"/>
    </row>
    <row r="45" spans="1:30">
      <c r="AA45" s="335"/>
      <c r="AB45" s="1312" t="str">
        <f>"LHU No.            : "&amp; IF('DATA INDUK'!$H$17="","",'DATA INDUK'!$H$17)</f>
        <v>LHU No.            : 23/MGS/53/II/2026</v>
      </c>
      <c r="AD45" s="803"/>
    </row>
    <row r="46" spans="1:30">
      <c r="AA46" s="335"/>
      <c r="AB46" s="338" t="str">
        <f>"LAB ID.         : "&amp;'Template LHU_CBRsoaked'!$N$13&amp;""</f>
        <v>LAB ID.         : 26-001-DS-001</v>
      </c>
      <c r="AD46" s="803"/>
    </row>
    <row r="47" spans="1:30">
      <c r="AA47" s="335" t="s">
        <v>1457</v>
      </c>
      <c r="AB47" s="338" t="str">
        <f>"TEST TYPE   : "&amp;AA47&amp;""</f>
        <v>TEST TYPE   : Direct Shear (CD)</v>
      </c>
    </row>
    <row r="48" spans="1:30">
      <c r="AA48" s="1310"/>
      <c r="AB48" s="338" t="str">
        <f>"DATE            : "&amp;TEXT('DATA INDUK'!$H$19,"yyyy-mm-dd")</f>
        <v>DATE            : 2026-01-29</v>
      </c>
    </row>
    <row r="54" spans="3:24">
      <c r="N54" s="859" t="s">
        <v>1308</v>
      </c>
      <c r="O54" s="679"/>
      <c r="P54" s="679"/>
      <c r="Q54" s="679"/>
      <c r="R54" s="679"/>
      <c r="S54" s="679"/>
      <c r="T54" s="679"/>
      <c r="U54" s="679"/>
      <c r="V54" s="679"/>
      <c r="W54" s="679"/>
      <c r="X54" s="679"/>
    </row>
    <row r="55" spans="3:24">
      <c r="N55" s="1981" t="s">
        <v>1460</v>
      </c>
      <c r="O55" s="1981"/>
      <c r="P55" s="1981"/>
      <c r="Q55" s="1981"/>
      <c r="R55" s="1981" t="s">
        <v>1104</v>
      </c>
      <c r="S55" s="1981"/>
      <c r="V55" s="326"/>
      <c r="W55" s="326"/>
      <c r="X55" s="326"/>
    </row>
    <row r="56" spans="3:24">
      <c r="M56" s="784"/>
      <c r="N56" s="1978" t="s">
        <v>920</v>
      </c>
      <c r="O56" s="1979"/>
      <c r="P56" s="1979"/>
      <c r="Q56" s="1980"/>
      <c r="R56" s="1982">
        <f>'WS_DS-CD'!F131</f>
        <v>4.6962478025014676</v>
      </c>
      <c r="S56" s="1982"/>
      <c r="T56" s="973"/>
      <c r="U56" s="973"/>
      <c r="V56" s="973"/>
      <c r="W56" s="326"/>
      <c r="X56" s="326"/>
    </row>
    <row r="57" spans="3:24">
      <c r="M57" s="784"/>
      <c r="N57" s="1981" t="s">
        <v>1461</v>
      </c>
      <c r="O57" s="1981"/>
      <c r="P57" s="1981"/>
      <c r="Q57" s="1981"/>
      <c r="R57" s="1982">
        <f>'WS_DS-CD'!F132</f>
        <v>18.408482866971063</v>
      </c>
      <c r="S57" s="1982"/>
      <c r="T57" s="803"/>
      <c r="U57" s="576"/>
      <c r="V57" s="576"/>
      <c r="W57" s="326"/>
      <c r="X57" s="326"/>
    </row>
    <row r="58" spans="3:24">
      <c r="T58" s="803"/>
      <c r="U58" s="974"/>
      <c r="V58" s="974"/>
    </row>
    <row r="59" spans="3:24">
      <c r="T59" s="20" t="s">
        <v>1537</v>
      </c>
    </row>
    <row r="60" spans="3:24">
      <c r="C60" s="1768" t="s">
        <v>623</v>
      </c>
      <c r="D60" s="1769"/>
      <c r="E60" s="1769"/>
      <c r="F60" s="1769"/>
      <c r="G60" s="1770"/>
      <c r="H60" s="1768" t="s">
        <v>292</v>
      </c>
      <c r="I60" s="1769"/>
      <c r="J60" s="1769"/>
      <c r="K60" s="1769"/>
      <c r="L60" s="1769"/>
      <c r="M60" s="1768" t="s">
        <v>294</v>
      </c>
      <c r="N60" s="1769"/>
      <c r="O60" s="1769"/>
      <c r="P60" s="1769"/>
      <c r="Q60" s="1769"/>
      <c r="R60" s="1770"/>
      <c r="T60" s="328"/>
      <c r="U60" s="329"/>
      <c r="V60" s="329"/>
      <c r="W60" s="330"/>
    </row>
    <row r="61" spans="3:24" ht="15.95" customHeight="1">
      <c r="C61" s="1771" t="s">
        <v>624</v>
      </c>
      <c r="D61" s="1646"/>
      <c r="E61" s="1646"/>
      <c r="F61" s="1646"/>
      <c r="G61" s="1772"/>
      <c r="H61" s="1773" t="s">
        <v>293</v>
      </c>
      <c r="I61" s="1652"/>
      <c r="J61" s="1652"/>
      <c r="K61" s="1652"/>
      <c r="L61" s="1652"/>
      <c r="M61" s="1773" t="s">
        <v>295</v>
      </c>
      <c r="N61" s="1652"/>
      <c r="O61" s="1652"/>
      <c r="P61" s="1652"/>
      <c r="Q61" s="1652"/>
      <c r="R61" s="1774"/>
      <c r="T61" s="357"/>
      <c r="W61" s="331"/>
    </row>
    <row r="62" spans="3:24" ht="15.95" customHeight="1">
      <c r="C62" s="357"/>
      <c r="D62" s="359"/>
      <c r="E62" s="359"/>
      <c r="F62" s="359"/>
      <c r="G62" s="360"/>
      <c r="H62" s="357"/>
      <c r="I62"/>
      <c r="K62" s="4"/>
      <c r="M62" s="357"/>
      <c r="R62" s="331"/>
      <c r="T62" s="357"/>
      <c r="W62" s="331"/>
    </row>
    <row r="63" spans="3:24">
      <c r="C63" s="357"/>
      <c r="G63" s="331"/>
      <c r="H63" s="357"/>
      <c r="I63"/>
      <c r="K63" s="4"/>
      <c r="M63" s="357"/>
      <c r="R63" s="331"/>
      <c r="T63" s="357"/>
      <c r="W63" s="331"/>
    </row>
    <row r="64" spans="3:24">
      <c r="C64" s="357"/>
      <c r="G64" s="331"/>
      <c r="H64" s="357"/>
      <c r="I64"/>
      <c r="K64" s="4"/>
      <c r="M64" s="357"/>
      <c r="R64" s="331"/>
      <c r="T64" s="357"/>
      <c r="W64" s="331"/>
    </row>
    <row r="65" spans="1:24">
      <c r="C65" s="1777" t="str">
        <f>'WS_DS-CD'!O9</f>
        <v>NOUFAL</v>
      </c>
      <c r="D65" s="1632"/>
      <c r="E65" s="1632"/>
      <c r="F65" s="1632"/>
      <c r="G65" s="1778"/>
      <c r="H65" s="1777" t="str">
        <f>'WS_DS-CD'!O10</f>
        <v>NOUFAL</v>
      </c>
      <c r="I65" s="1632"/>
      <c r="J65" s="1632"/>
      <c r="K65" s="1632"/>
      <c r="L65" s="1632"/>
      <c r="M65" s="1777" t="str">
        <f>'WS_DS-CD'!O11</f>
        <v>A.SUMARTADJI</v>
      </c>
      <c r="N65" s="1632"/>
      <c r="O65" s="1632"/>
      <c r="P65" s="1632"/>
      <c r="Q65" s="1632"/>
      <c r="R65" s="1778"/>
      <c r="T65" s="357"/>
      <c r="W65" s="331"/>
    </row>
    <row r="66" spans="1:24" s="15" customFormat="1" ht="12">
      <c r="C66" s="1779" t="s">
        <v>299</v>
      </c>
      <c r="D66" s="1685"/>
      <c r="E66" s="1685"/>
      <c r="F66" s="1685"/>
      <c r="G66" s="1780"/>
      <c r="H66" s="1779" t="s">
        <v>305</v>
      </c>
      <c r="I66" s="1685"/>
      <c r="J66" s="1685"/>
      <c r="K66" s="1685"/>
      <c r="L66" s="1685"/>
      <c r="M66" s="1779" t="s">
        <v>298</v>
      </c>
      <c r="N66" s="1685"/>
      <c r="O66" s="1685"/>
      <c r="P66" s="1685"/>
      <c r="Q66" s="1685"/>
      <c r="R66" s="1780"/>
      <c r="S66" s="364"/>
      <c r="T66" s="366"/>
      <c r="U66" s="364"/>
      <c r="V66" s="364"/>
      <c r="W66" s="365"/>
      <c r="X66" s="364"/>
    </row>
    <row r="67" spans="1:24" ht="15.95" customHeight="1">
      <c r="C67" s="1783" t="s">
        <v>291</v>
      </c>
      <c r="D67" s="1784"/>
      <c r="E67" s="1775">
        <f>IF('DATA INDUK'!$H$19="","",'DATA INDUK'!$H$19-1)</f>
        <v>46050</v>
      </c>
      <c r="F67" s="1775"/>
      <c r="G67" s="1776"/>
      <c r="H67" s="1783" t="s">
        <v>291</v>
      </c>
      <c r="I67" s="1784"/>
      <c r="J67" s="1775">
        <f>IF('DATA INDUK'!$H$19="","",'DATA INDUK'!$H$19-1)</f>
        <v>46050</v>
      </c>
      <c r="K67" s="1775"/>
      <c r="L67" s="1776"/>
      <c r="M67" s="1783" t="s">
        <v>291</v>
      </c>
      <c r="N67" s="1784"/>
      <c r="O67" s="1784"/>
      <c r="P67" s="1775">
        <f>IF('DATA INDUK'!$H$19="","",'DATA INDUK'!$H$19-1)</f>
        <v>46050</v>
      </c>
      <c r="Q67" s="1775"/>
      <c r="R67" s="1776"/>
      <c r="T67" s="332"/>
      <c r="U67" s="333"/>
      <c r="V67" s="333"/>
      <c r="W67" s="334"/>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1002" t="str">
        <f>'DATA INDUK'!$BT$44</f>
        <v>23-MINEARTH-RM-LHU-DS-CD-R0</v>
      </c>
    </row>
    <row r="75" spans="1:24">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c r="A78" s="892"/>
      <c r="B78" s="361"/>
      <c r="C78" s="361"/>
      <c r="D78" s="361"/>
      <c r="E78" s="361"/>
      <c r="F78" s="361"/>
      <c r="G78" s="361"/>
      <c r="H78" s="336"/>
      <c r="I78" s="891"/>
      <c r="J78" s="336"/>
      <c r="K78" s="892"/>
      <c r="L78" s="336"/>
      <c r="M78" s="336"/>
      <c r="N78" s="336"/>
      <c r="O78" s="336"/>
      <c r="P78" s="892"/>
      <c r="Q78" s="336"/>
      <c r="R78" s="892"/>
      <c r="S78" s="892"/>
      <c r="T78" s="336"/>
      <c r="U78" s="336"/>
      <c r="V78" s="336"/>
      <c r="W78" s="336"/>
      <c r="X78" s="336"/>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2"</f>
        <v>:  2 dari 2</v>
      </c>
      <c r="X85" s="1635"/>
    </row>
    <row r="86" spans="1:24" ht="8.1" customHeight="1"/>
    <row r="87" spans="1:24" ht="21" customHeight="1">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138" spans="1:24">
      <c r="H138" s="686"/>
      <c r="I138" s="687"/>
      <c r="J138" s="686"/>
      <c r="K138" s="686"/>
      <c r="L138" s="686"/>
      <c r="M138" s="686"/>
      <c r="N138" s="686"/>
      <c r="O138" s="686"/>
      <c r="P138" s="686"/>
      <c r="Q138" s="686"/>
      <c r="R138" s="686"/>
      <c r="S138" s="686"/>
      <c r="U138" s="20" t="s">
        <v>1537</v>
      </c>
      <c r="V138" s="686"/>
      <c r="W138" s="686"/>
      <c r="X138" s="686"/>
    </row>
    <row r="139" spans="1:24">
      <c r="A139" s="700" t="s">
        <v>297</v>
      </c>
      <c r="B139" s="338"/>
      <c r="C139" s="338"/>
      <c r="D139" s="4"/>
      <c r="E139" s="4"/>
      <c r="F139" s="4"/>
      <c r="G139" s="690"/>
      <c r="H139" s="1798" t="s">
        <v>623</v>
      </c>
      <c r="I139" s="1798"/>
      <c r="J139" s="1798"/>
      <c r="K139" s="1799"/>
      <c r="L139" s="1800" t="s">
        <v>292</v>
      </c>
      <c r="M139" s="1800"/>
      <c r="N139" s="1800"/>
      <c r="O139" s="1801"/>
      <c r="P139" s="1802" t="s">
        <v>294</v>
      </c>
      <c r="Q139" s="1798"/>
      <c r="R139" s="1798"/>
      <c r="S139" s="1799"/>
      <c r="U139" s="698"/>
      <c r="V139" s="688"/>
      <c r="W139" s="688"/>
      <c r="X139" s="694"/>
    </row>
    <row r="140" spans="1:24" ht="15.95" customHeight="1">
      <c r="G140" s="691"/>
      <c r="H140" s="1675" t="s">
        <v>624</v>
      </c>
      <c r="I140" s="1675"/>
      <c r="J140" s="1675"/>
      <c r="K140" s="1785"/>
      <c r="L140" s="1675" t="s">
        <v>293</v>
      </c>
      <c r="M140" s="1675"/>
      <c r="N140" s="1675"/>
      <c r="O140" s="1785"/>
      <c r="P140" s="1794" t="s">
        <v>295</v>
      </c>
      <c r="Q140" s="1675"/>
      <c r="R140" s="1675"/>
      <c r="S140" s="1785"/>
      <c r="U140" s="697"/>
      <c r="X140" s="691"/>
    </row>
    <row r="141" spans="1:24">
      <c r="G141" s="691"/>
      <c r="H141" s="1665" t="str">
        <f>C65</f>
        <v>NOUFAL</v>
      </c>
      <c r="I141" s="1665"/>
      <c r="J141" s="1665"/>
      <c r="K141" s="1796"/>
      <c r="O141" s="690"/>
      <c r="P141" s="697"/>
      <c r="S141" s="691"/>
      <c r="U141" s="697"/>
      <c r="X141" s="691"/>
    </row>
    <row r="142" spans="1:24">
      <c r="G142" s="691"/>
      <c r="H142" s="1665"/>
      <c r="I142" s="1665"/>
      <c r="J142" s="1665"/>
      <c r="K142" s="1796"/>
      <c r="O142" s="690"/>
      <c r="P142" s="697"/>
      <c r="S142" s="691"/>
      <c r="U142" s="697"/>
      <c r="X142" s="691"/>
    </row>
    <row r="143" spans="1:24">
      <c r="G143" s="691"/>
      <c r="H143" s="1665"/>
      <c r="I143" s="1665"/>
      <c r="J143" s="1665"/>
      <c r="K143" s="1796"/>
      <c r="O143" s="690"/>
      <c r="P143" s="697"/>
      <c r="S143" s="691"/>
      <c r="U143" s="697"/>
      <c r="X143" s="691"/>
    </row>
    <row r="144" spans="1:24">
      <c r="G144" s="691"/>
      <c r="H144" s="1665"/>
      <c r="I144" s="1665"/>
      <c r="J144" s="1665"/>
      <c r="K144" s="1796"/>
      <c r="L144" s="1665" t="str">
        <f>H65</f>
        <v>NOUFAL</v>
      </c>
      <c r="M144" s="1665"/>
      <c r="N144" s="1665"/>
      <c r="O144" s="1796"/>
      <c r="P144" s="1797" t="str">
        <f>M65</f>
        <v>A.SUMARTADJI</v>
      </c>
      <c r="Q144" s="1665"/>
      <c r="R144" s="1665"/>
      <c r="S144" s="1796"/>
      <c r="U144" s="697"/>
      <c r="X144" s="691"/>
    </row>
    <row r="145" spans="1:27">
      <c r="G145" s="691"/>
      <c r="H145" s="1668" t="str">
        <f>C66</f>
        <v>Teknisi/Analis</v>
      </c>
      <c r="I145" s="1668"/>
      <c r="J145" s="1668"/>
      <c r="K145" s="1755"/>
      <c r="L145" s="1668" t="str">
        <f>H66</f>
        <v>Koordinator Teknis</v>
      </c>
      <c r="M145" s="1668"/>
      <c r="N145" s="1668"/>
      <c r="O145" s="1755"/>
      <c r="P145" s="1754" t="str">
        <f>M66</f>
        <v>Kepala Laboratorium</v>
      </c>
      <c r="Q145" s="1668"/>
      <c r="R145" s="1668"/>
      <c r="S145" s="1755"/>
      <c r="U145" s="699"/>
      <c r="V145" s="358"/>
      <c r="W145" s="358"/>
      <c r="X145" s="695"/>
      <c r="Y145" s="358"/>
      <c r="Z145" s="358"/>
      <c r="AA145" s="358"/>
    </row>
    <row r="146" spans="1:27" ht="15.95" customHeight="1">
      <c r="G146" s="691"/>
      <c r="H146" s="1880" t="s">
        <v>291</v>
      </c>
      <c r="I146" s="1880"/>
      <c r="J146" s="1804">
        <f>E67</f>
        <v>46050</v>
      </c>
      <c r="K146" s="1805"/>
      <c r="L146" s="1883" t="s">
        <v>300</v>
      </c>
      <c r="M146" s="1883"/>
      <c r="N146" s="1807">
        <f>J67</f>
        <v>46050</v>
      </c>
      <c r="O146" s="1808"/>
      <c r="P146" s="1884" t="s">
        <v>301</v>
      </c>
      <c r="Q146" s="1885"/>
      <c r="R146" s="1792">
        <f>P67</f>
        <v>46050</v>
      </c>
      <c r="S146" s="1793"/>
      <c r="U146" s="692"/>
      <c r="V146" s="693"/>
      <c r="W146" s="693"/>
      <c r="X146" s="696"/>
    </row>
    <row r="147" spans="1:27" ht="8.1" customHeight="1">
      <c r="H147" s="688"/>
      <c r="I147" s="689"/>
      <c r="J147" s="688"/>
      <c r="K147" s="688"/>
      <c r="L147" s="688"/>
      <c r="M147" s="688"/>
      <c r="N147" s="688"/>
      <c r="O147" s="688"/>
      <c r="P147" s="688"/>
      <c r="Q147" s="688"/>
      <c r="R147" s="688"/>
      <c r="S147" s="688"/>
    </row>
    <row r="148" spans="1:27" ht="18" customHeight="1">
      <c r="B148" s="356"/>
      <c r="C148" s="356"/>
      <c r="D148" s="356"/>
      <c r="E148" s="356"/>
      <c r="T148" s="684" t="str">
        <f>$T$74</f>
        <v>23-MINEARTH-RM-LHU-DS-CD-R0</v>
      </c>
      <c r="U148" s="367"/>
      <c r="V148" s="367"/>
      <c r="W148" s="367"/>
      <c r="X148" s="367"/>
    </row>
    <row r="149" spans="1:27" ht="18" customHeight="1">
      <c r="A149" s="362"/>
      <c r="B149" s="362"/>
      <c r="C149" s="362"/>
      <c r="D149" s="362"/>
      <c r="E149" s="362"/>
    </row>
    <row r="150" spans="1:27" ht="8.1" customHeight="1"/>
  </sheetData>
  <mergeCells count="138">
    <mergeCell ref="A13:D13"/>
    <mergeCell ref="E13:L13"/>
    <mergeCell ref="A14:D14"/>
    <mergeCell ref="E14:L14"/>
    <mergeCell ref="N13:R13"/>
    <mergeCell ref="S13:X13"/>
    <mergeCell ref="N14:R14"/>
    <mergeCell ref="S14:X14"/>
    <mergeCell ref="N15:R16"/>
    <mergeCell ref="S15:X16"/>
    <mergeCell ref="A9:L9"/>
    <mergeCell ref="A12:L12"/>
    <mergeCell ref="N12:X12"/>
    <mergeCell ref="F1:T1"/>
    <mergeCell ref="F2:T2"/>
    <mergeCell ref="F3:T3"/>
    <mergeCell ref="A6:D6"/>
    <mergeCell ref="A7:D7"/>
    <mergeCell ref="M7:Q7"/>
    <mergeCell ref="T7:V7"/>
    <mergeCell ref="W7:X7"/>
    <mergeCell ref="A26:T26"/>
    <mergeCell ref="U26:U27"/>
    <mergeCell ref="V26:X27"/>
    <mergeCell ref="A27:T27"/>
    <mergeCell ref="A17:L17"/>
    <mergeCell ref="A19:D20"/>
    <mergeCell ref="E19:L20"/>
    <mergeCell ref="A21:D22"/>
    <mergeCell ref="E21:L22"/>
    <mergeCell ref="N22:R23"/>
    <mergeCell ref="S22:X23"/>
    <mergeCell ref="N17:R17"/>
    <mergeCell ref="S17:X17"/>
    <mergeCell ref="N18:R19"/>
    <mergeCell ref="S18:X19"/>
    <mergeCell ref="N20:R21"/>
    <mergeCell ref="S20:X21"/>
    <mergeCell ref="U30:V30"/>
    <mergeCell ref="W30:X30"/>
    <mergeCell ref="A31:E31"/>
    <mergeCell ref="F31:G31"/>
    <mergeCell ref="H31:I31"/>
    <mergeCell ref="J31:K31"/>
    <mergeCell ref="N31:R31"/>
    <mergeCell ref="S31:T31"/>
    <mergeCell ref="U31:V31"/>
    <mergeCell ref="W31:X31"/>
    <mergeCell ref="A30:E30"/>
    <mergeCell ref="F30:G30"/>
    <mergeCell ref="H30:I30"/>
    <mergeCell ref="J30:K30"/>
    <mergeCell ref="N30:R30"/>
    <mergeCell ref="S30:T30"/>
    <mergeCell ref="U32:V33"/>
    <mergeCell ref="W32:X33"/>
    <mergeCell ref="A33:E33"/>
    <mergeCell ref="F33:G33"/>
    <mergeCell ref="H33:I33"/>
    <mergeCell ref="J33:K33"/>
    <mergeCell ref="A32:E32"/>
    <mergeCell ref="F32:G32"/>
    <mergeCell ref="H32:I32"/>
    <mergeCell ref="J32:K32"/>
    <mergeCell ref="N32:R33"/>
    <mergeCell ref="S32:T33"/>
    <mergeCell ref="W34:X35"/>
    <mergeCell ref="A35:E35"/>
    <mergeCell ref="F35:G35"/>
    <mergeCell ref="H35:I35"/>
    <mergeCell ref="J35:K35"/>
    <mergeCell ref="A34:E34"/>
    <mergeCell ref="F34:G34"/>
    <mergeCell ref="H34:I34"/>
    <mergeCell ref="J34:K34"/>
    <mergeCell ref="N34:R35"/>
    <mergeCell ref="S34:T35"/>
    <mergeCell ref="A36:E36"/>
    <mergeCell ref="F36:G36"/>
    <mergeCell ref="H36:I36"/>
    <mergeCell ref="J36:K36"/>
    <mergeCell ref="A37:E37"/>
    <mergeCell ref="F37:G37"/>
    <mergeCell ref="H37:I37"/>
    <mergeCell ref="J37:K37"/>
    <mergeCell ref="U34:V35"/>
    <mergeCell ref="M65:R65"/>
    <mergeCell ref="N55:Q55"/>
    <mergeCell ref="R55:S55"/>
    <mergeCell ref="R56:S56"/>
    <mergeCell ref="N57:Q57"/>
    <mergeCell ref="R57:S57"/>
    <mergeCell ref="C60:G60"/>
    <mergeCell ref="H60:L60"/>
    <mergeCell ref="M60:R60"/>
    <mergeCell ref="H140:K140"/>
    <mergeCell ref="L140:O140"/>
    <mergeCell ref="P140:S140"/>
    <mergeCell ref="H141:K144"/>
    <mergeCell ref="L144:O144"/>
    <mergeCell ref="P144:S144"/>
    <mergeCell ref="A87:X87"/>
    <mergeCell ref="H139:K139"/>
    <mergeCell ref="L139:O139"/>
    <mergeCell ref="P139:S139"/>
    <mergeCell ref="H145:K145"/>
    <mergeCell ref="L145:O145"/>
    <mergeCell ref="P145:S145"/>
    <mergeCell ref="H146:I146"/>
    <mergeCell ref="J146:K146"/>
    <mergeCell ref="L146:M146"/>
    <mergeCell ref="N146:O146"/>
    <mergeCell ref="P146:Q146"/>
    <mergeCell ref="R146:S146"/>
    <mergeCell ref="A84:D84"/>
    <mergeCell ref="A85:D85"/>
    <mergeCell ref="M85:Q85"/>
    <mergeCell ref="T85:V85"/>
    <mergeCell ref="W85:X85"/>
    <mergeCell ref="N56:Q56"/>
    <mergeCell ref="A69:C73"/>
    <mergeCell ref="F79:T79"/>
    <mergeCell ref="F80:T80"/>
    <mergeCell ref="F81:T81"/>
    <mergeCell ref="C66:G66"/>
    <mergeCell ref="H66:L66"/>
    <mergeCell ref="M66:R66"/>
    <mergeCell ref="C67:D67"/>
    <mergeCell ref="E67:G67"/>
    <mergeCell ref="H67:I67"/>
    <mergeCell ref="J67:L67"/>
    <mergeCell ref="M67:O67"/>
    <mergeCell ref="P67:R67"/>
    <mergeCell ref="C61:G61"/>
    <mergeCell ref="H61:L61"/>
    <mergeCell ref="M61:R61"/>
    <mergeCell ref="C65:G65"/>
    <mergeCell ref="H65:L65"/>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20F4-F217-844B-8D97-22C7AA1B6DF0}">
  <sheetPr>
    <tabColor theme="7" tint="0.79998168889431442"/>
  </sheetPr>
  <dimension ref="A1:GO588"/>
  <sheetViews>
    <sheetView topLeftCell="A153" zoomScale="73" zoomScaleNormal="73" zoomScaleSheetLayoutView="141" workbookViewId="0">
      <selection activeCell="L127" sqref="L127"/>
    </sheetView>
  </sheetViews>
  <sheetFormatPr defaultColWidth="10.875" defaultRowHeight="12.75"/>
  <cols>
    <col min="1" max="2" width="10.875" style="335"/>
    <col min="3" max="3" width="13.625" style="335" bestFit="1" customWidth="1"/>
    <col min="4" max="4" width="10.875" style="335"/>
    <col min="5" max="5" width="13.625" style="335" bestFit="1" customWidth="1"/>
    <col min="6" max="16384" width="10.875" style="335"/>
  </cols>
  <sheetData>
    <row r="1" spans="1:197" ht="24.95" customHeight="1">
      <c r="A1" s="1995" t="s">
        <v>701</v>
      </c>
      <c r="B1" s="1995"/>
      <c r="C1" s="1995"/>
      <c r="D1" s="1995"/>
      <c r="E1" s="1995"/>
      <c r="F1" s="1995"/>
      <c r="G1" s="1995"/>
      <c r="H1" s="1995"/>
      <c r="I1" s="1995"/>
      <c r="J1" s="1995"/>
      <c r="K1" s="1995"/>
      <c r="L1" s="1995"/>
      <c r="M1" s="1995"/>
      <c r="N1" s="1995"/>
      <c r="O1" s="1995"/>
      <c r="P1" s="1995"/>
      <c r="Q1" s="1995"/>
      <c r="R1" s="1995"/>
      <c r="S1" s="1995"/>
      <c r="T1" s="1995"/>
      <c r="U1" s="1995"/>
      <c r="V1" s="576"/>
      <c r="W1" s="576"/>
      <c r="X1" s="576"/>
      <c r="Y1" s="576"/>
      <c r="Z1" s="576"/>
      <c r="AA1" s="576"/>
      <c r="AB1" s="576"/>
      <c r="AC1" s="576"/>
      <c r="AD1" s="576"/>
      <c r="AE1" s="576"/>
      <c r="AF1" s="576"/>
      <c r="AG1" s="576"/>
      <c r="AH1" s="576"/>
      <c r="AI1" s="576"/>
      <c r="AJ1" s="576"/>
      <c r="AK1" s="576"/>
      <c r="AL1" s="576"/>
      <c r="AM1" s="576"/>
      <c r="AN1" s="576"/>
      <c r="AO1" s="576"/>
      <c r="AP1" s="576"/>
      <c r="AQ1" s="576"/>
      <c r="AR1" s="576"/>
      <c r="AS1" s="576"/>
      <c r="AT1" s="576"/>
      <c r="AU1" s="576"/>
      <c r="AV1" s="576"/>
      <c r="AW1" s="576"/>
      <c r="AX1" s="576"/>
      <c r="AY1" s="576"/>
      <c r="AZ1" s="576"/>
      <c r="BA1" s="576"/>
      <c r="BB1" s="576"/>
      <c r="BC1" s="576"/>
      <c r="BD1" s="576"/>
      <c r="BE1" s="576"/>
      <c r="BF1" s="576"/>
      <c r="BG1" s="576"/>
      <c r="BH1" s="576"/>
      <c r="BI1" s="576"/>
      <c r="BJ1" s="576"/>
      <c r="BK1" s="576"/>
      <c r="BL1" s="576"/>
      <c r="BM1" s="576"/>
      <c r="BN1" s="576"/>
      <c r="BO1" s="576"/>
      <c r="BP1" s="576"/>
      <c r="BQ1" s="576"/>
      <c r="BR1" s="576"/>
      <c r="BS1" s="576"/>
      <c r="BT1" s="576"/>
      <c r="BU1" s="576"/>
      <c r="BV1" s="576"/>
      <c r="BW1" s="576"/>
      <c r="BX1" s="576"/>
      <c r="BY1" s="576"/>
      <c r="BZ1" s="576"/>
      <c r="CA1" s="576"/>
      <c r="CB1" s="576"/>
      <c r="CC1" s="576"/>
      <c r="CD1" s="576"/>
      <c r="CE1" s="576"/>
      <c r="CF1" s="576"/>
      <c r="CG1" s="576"/>
      <c r="CH1" s="576"/>
      <c r="CI1" s="576"/>
      <c r="CJ1" s="576"/>
      <c r="CK1" s="576"/>
      <c r="CL1" s="576"/>
      <c r="CM1" s="576"/>
      <c r="CN1" s="576"/>
      <c r="CO1" s="576"/>
      <c r="CP1" s="576"/>
      <c r="CQ1" s="576"/>
      <c r="CR1" s="576"/>
      <c r="CS1" s="576"/>
      <c r="CT1" s="576"/>
      <c r="CU1" s="576"/>
      <c r="CV1" s="576"/>
      <c r="CW1" s="576"/>
      <c r="CX1" s="576"/>
      <c r="CY1" s="576"/>
      <c r="CZ1" s="576"/>
      <c r="DA1" s="576"/>
      <c r="DB1" s="576"/>
      <c r="DC1" s="576"/>
      <c r="DD1" s="576"/>
      <c r="DE1" s="576"/>
      <c r="DF1" s="576"/>
      <c r="DG1" s="576"/>
      <c r="DH1" s="576"/>
      <c r="DI1" s="576"/>
      <c r="DJ1" s="576"/>
      <c r="DK1" s="576"/>
      <c r="DL1" s="576"/>
      <c r="DM1" s="576"/>
      <c r="DN1" s="576"/>
      <c r="DO1" s="576"/>
      <c r="DP1" s="576"/>
      <c r="DQ1" s="576"/>
      <c r="DR1" s="576"/>
      <c r="DS1" s="576"/>
      <c r="DT1" s="576"/>
      <c r="DU1" s="576"/>
      <c r="DV1" s="576"/>
      <c r="DW1" s="576"/>
      <c r="DX1" s="576"/>
      <c r="DY1" s="576"/>
      <c r="DZ1" s="576"/>
      <c r="EA1" s="576"/>
      <c r="EB1" s="576"/>
      <c r="EC1" s="576"/>
      <c r="ED1" s="576"/>
      <c r="EE1" s="576"/>
      <c r="EF1" s="576"/>
      <c r="EG1" s="576"/>
      <c r="EH1" s="576"/>
      <c r="EI1" s="576"/>
      <c r="EJ1" s="576"/>
      <c r="EK1" s="576"/>
      <c r="EL1" s="576"/>
      <c r="EM1" s="576"/>
      <c r="EN1" s="576"/>
      <c r="EO1" s="576"/>
      <c r="EP1" s="576"/>
      <c r="EQ1" s="576"/>
      <c r="ER1" s="576"/>
      <c r="ES1" s="576"/>
      <c r="ET1" s="576"/>
      <c r="EU1" s="576"/>
      <c r="EV1" s="576"/>
      <c r="EW1" s="576"/>
      <c r="EX1" s="576"/>
      <c r="EY1" s="576"/>
      <c r="EZ1" s="576"/>
      <c r="FA1" s="576"/>
      <c r="FB1" s="576"/>
      <c r="FC1" s="576"/>
      <c r="FD1" s="576"/>
      <c r="FE1" s="576"/>
      <c r="FF1" s="576"/>
      <c r="FG1" s="576"/>
      <c r="FH1" s="576"/>
      <c r="FI1" s="576"/>
      <c r="FJ1" s="576"/>
      <c r="FK1" s="576"/>
      <c r="FL1" s="576"/>
      <c r="FM1" s="576"/>
      <c r="FN1" s="576"/>
      <c r="FO1" s="576"/>
      <c r="FP1" s="576"/>
      <c r="FQ1" s="576"/>
      <c r="FR1" s="576"/>
      <c r="FS1" s="576"/>
      <c r="FT1" s="576"/>
      <c r="FU1" s="576"/>
      <c r="FV1" s="576"/>
      <c r="FW1" s="576"/>
      <c r="FX1" s="576"/>
      <c r="FY1" s="576"/>
      <c r="FZ1" s="576"/>
      <c r="GA1" s="576"/>
      <c r="GB1" s="576"/>
      <c r="GC1" s="576"/>
      <c r="GD1" s="576"/>
      <c r="GE1" s="576"/>
      <c r="GF1" s="576"/>
      <c r="GG1" s="576"/>
      <c r="GH1" s="576"/>
      <c r="GI1" s="576"/>
      <c r="GJ1" s="576"/>
      <c r="GK1" s="576"/>
      <c r="GL1" s="576"/>
      <c r="GM1" s="576"/>
      <c r="GN1" s="576"/>
      <c r="GO1" s="576"/>
    </row>
    <row r="2" spans="1:197" ht="35.1" customHeight="1">
      <c r="A2" s="663" t="s">
        <v>711</v>
      </c>
      <c r="B2" s="663"/>
      <c r="C2" s="663"/>
      <c r="D2" s="663"/>
      <c r="E2" s="663"/>
      <c r="F2" s="663"/>
      <c r="G2" s="663"/>
      <c r="H2" s="663"/>
      <c r="I2" s="663"/>
      <c r="J2" s="663"/>
      <c r="K2" s="663"/>
      <c r="L2" s="663"/>
      <c r="M2" s="663"/>
      <c r="N2" s="663"/>
      <c r="O2" s="663"/>
      <c r="P2" s="663"/>
      <c r="Q2" s="663"/>
      <c r="R2" s="663"/>
      <c r="S2" s="663"/>
      <c r="T2" s="663"/>
      <c r="U2" s="663"/>
    </row>
    <row r="3" spans="1:197" ht="35.1" customHeight="1">
      <c r="A3" s="664" t="s">
        <v>710</v>
      </c>
      <c r="B3" s="662"/>
      <c r="C3" s="662"/>
      <c r="D3" s="662"/>
      <c r="E3" s="662"/>
      <c r="F3" s="662"/>
      <c r="G3" s="662"/>
      <c r="H3" s="662"/>
      <c r="I3" s="662"/>
      <c r="J3" s="662"/>
      <c r="K3" s="662"/>
      <c r="L3" s="662"/>
      <c r="M3" s="662"/>
      <c r="N3" s="662"/>
      <c r="O3" s="662"/>
      <c r="P3" s="662"/>
      <c r="Q3" s="662"/>
      <c r="R3" s="662"/>
      <c r="S3" s="662"/>
      <c r="T3" s="662"/>
      <c r="U3" s="662"/>
    </row>
    <row r="4" spans="1:197" ht="8.1" customHeight="1">
      <c r="A4" s="616"/>
      <c r="B4" s="616"/>
      <c r="C4" s="616"/>
      <c r="D4" s="616"/>
      <c r="E4" s="616"/>
      <c r="F4" s="616"/>
      <c r="G4" s="616"/>
      <c r="H4" s="616"/>
      <c r="I4" s="616"/>
      <c r="J4" s="616"/>
      <c r="K4" s="616"/>
      <c r="L4" s="616"/>
      <c r="M4" s="616"/>
      <c r="N4" s="616"/>
      <c r="O4" s="616"/>
      <c r="P4" s="616"/>
      <c r="Q4" s="616"/>
      <c r="R4" s="616"/>
      <c r="S4" s="616"/>
      <c r="T4" s="616"/>
      <c r="U4" s="616"/>
    </row>
    <row r="5" spans="1:197" ht="17.100000000000001" customHeight="1">
      <c r="A5" s="335" t="s">
        <v>718</v>
      </c>
    </row>
    <row r="6" spans="1:197" ht="17.100000000000001" customHeight="1"/>
    <row r="7" spans="1:197" ht="33" customHeight="1">
      <c r="A7" s="1963" t="s">
        <v>767</v>
      </c>
      <c r="B7" s="1963"/>
      <c r="C7" s="1963"/>
      <c r="D7" s="665" t="str">
        <f>IFERROR(INDEX('DATA INDUK'!$H$27:$H$152,MATCH(ROW(D1),'DATA INDUK'!$AY$27:$AY$152,0)),"")</f>
        <v>26-001-DS-001</v>
      </c>
      <c r="E7" s="592"/>
      <c r="F7" s="592"/>
      <c r="G7" s="592"/>
      <c r="H7" s="549"/>
      <c r="I7" s="549"/>
      <c r="J7" s="549"/>
      <c r="K7" s="549"/>
      <c r="M7" s="549"/>
    </row>
    <row r="8" spans="1:197" ht="27.95" customHeight="1">
      <c r="A8" s="591"/>
      <c r="B8" s="591"/>
      <c r="C8" s="591"/>
      <c r="D8" s="650" t="str">
        <f>IFERROR(INDEX('DATA INDUK'!$H$27:$H$38,MATCH(ROW(D2),'DATA INDUK'!$Z$27:$Z$38,0)),"")</f>
        <v/>
      </c>
      <c r="E8" s="549"/>
      <c r="F8" s="549"/>
      <c r="G8" s="549"/>
      <c r="H8" s="549"/>
      <c r="I8" s="549"/>
      <c r="J8" s="549"/>
      <c r="K8" s="549"/>
      <c r="M8" s="549"/>
      <c r="O8" s="15"/>
      <c r="P8" s="15"/>
      <c r="Q8" s="15"/>
      <c r="R8" s="15"/>
      <c r="S8" s="15"/>
      <c r="T8" s="15"/>
    </row>
    <row r="9" spans="1:197" ht="33.950000000000003" customHeight="1">
      <c r="A9" s="1996" t="s">
        <v>1887</v>
      </c>
      <c r="B9" s="1996"/>
      <c r="C9" s="1996"/>
      <c r="D9" s="1575" t="e" cm="1">
        <f t="array" ref="D9">IF(
INDEX('DATA INDUK'!$I$28:$I$151,
MATCH($D$7,'DATA INDUK'!$H$28:$H$151,0))="",
$D$7,
_xlfn.TEXTJOIN(CHAR(10),TRUE,
_xlfn._xlws.FILTER('DATA INDUK'!$C$28:$C$151,
'DATA INDUK'!$I$28:$I$151=
INDEX('DATA INDUK'!$I$28:$I$151,
MATCH($D$7,'DATA INDUK'!$H$28:$H$151,0))
))
)</f>
        <v>#N/A</v>
      </c>
      <c r="E9" s="549"/>
      <c r="F9" s="549"/>
      <c r="G9" s="549"/>
      <c r="I9" s="549"/>
      <c r="J9" s="549"/>
      <c r="K9" s="549"/>
      <c r="L9" s="1994" t="s">
        <v>703</v>
      </c>
      <c r="M9" s="1994"/>
      <c r="N9" s="1994"/>
      <c r="O9" s="15" t="str">
        <f>IF($D$7="","",P9)</f>
        <v>RAFLY</v>
      </c>
      <c r="P9" s="1574" t="s">
        <v>1054</v>
      </c>
      <c r="Q9" s="15"/>
      <c r="R9" s="15"/>
      <c r="S9" s="15"/>
      <c r="T9" s="15" t="str">
        <f>"TTD_"&amp;O9&amp;""</f>
        <v>TTD_RAFLY</v>
      </c>
    </row>
    <row r="10" spans="1:197" ht="32.1" customHeight="1">
      <c r="A10" s="1994" t="s">
        <v>706</v>
      </c>
      <c r="B10" s="1994"/>
      <c r="C10" s="1994"/>
      <c r="D10" s="1997"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997"/>
      <c r="F10" s="1997"/>
      <c r="G10" s="549"/>
      <c r="I10" s="549"/>
      <c r="J10" s="549"/>
      <c r="K10" s="549"/>
      <c r="L10" s="1994" t="s">
        <v>704</v>
      </c>
      <c r="M10" s="1994"/>
      <c r="N10" s="1994"/>
      <c r="O10" s="15" t="str">
        <f t="shared" ref="O10:O11" si="0">IF($D$7="","",P10)</f>
        <v>NOUFAL</v>
      </c>
      <c r="P10" s="588" t="s">
        <v>1051</v>
      </c>
      <c r="Q10" s="15"/>
      <c r="R10" s="15"/>
      <c r="S10" s="15"/>
      <c r="T10" s="15" t="str">
        <f>IF(O9=O10,"TTD_","TTD_"&amp;O10&amp;"")</f>
        <v>TTD_NOUFAL</v>
      </c>
    </row>
    <row r="11" spans="1:197" ht="32.1" customHeight="1">
      <c r="A11" s="1994" t="s">
        <v>707</v>
      </c>
      <c r="B11" s="1994"/>
      <c r="C11" s="1994"/>
      <c r="D11" s="591" t="str">
        <f>IFERROR(INDEX('DATA INDUK'!$D$27:$D$152,MATCH(ROW(D1),'DATA INDUK'!$AY$27:$AY$152,0)),"")</f>
        <v>Disturbed Sample</v>
      </c>
      <c r="E11" s="549"/>
      <c r="F11" s="549"/>
      <c r="G11" s="549"/>
      <c r="H11" s="335" t="s">
        <v>1659</v>
      </c>
      <c r="I11" s="549"/>
      <c r="J11" s="549"/>
      <c r="K11" s="549"/>
      <c r="L11" s="576" t="s">
        <v>716</v>
      </c>
      <c r="O11" s="15" t="str">
        <f t="shared" si="0"/>
        <v>A.SUMARTADJI</v>
      </c>
      <c r="P11" s="588" t="s">
        <v>766</v>
      </c>
      <c r="Q11" s="15"/>
      <c r="R11" s="15"/>
      <c r="S11" s="15"/>
      <c r="T11" s="15" t="str">
        <f>"TTD_"&amp;O11&amp;""</f>
        <v>TTD_A.SUMARTADJI</v>
      </c>
    </row>
    <row r="12" spans="1:197" ht="32.1" customHeight="1">
      <c r="A12" s="1994" t="s">
        <v>708</v>
      </c>
      <c r="B12" s="1994"/>
      <c r="C12" s="1994"/>
      <c r="D12" s="1576" t="s">
        <v>1197</v>
      </c>
      <c r="E12" s="549"/>
      <c r="F12" s="549"/>
      <c r="G12" s="549"/>
      <c r="H12" s="13" t="str">
        <f>IFERROR(INDEX($AE$21:$AE$32,
MATCH(D12,$AH$21:$AH$32,0)),
"CHECK DESKRIPSI")</f>
        <v>SLT</v>
      </c>
      <c r="I12" s="549"/>
      <c r="J12" s="549"/>
      <c r="K12" s="549"/>
      <c r="L12" s="1994" t="s">
        <v>705</v>
      </c>
      <c r="M12" s="1994"/>
      <c r="N12" s="1994"/>
      <c r="O12" s="671">
        <v>46137</v>
      </c>
    </row>
    <row r="13" spans="1:197" ht="32.1" customHeight="1">
      <c r="A13" s="1994" t="s">
        <v>709</v>
      </c>
      <c r="B13" s="1994"/>
      <c r="C13" s="1994"/>
      <c r="D13" s="591"/>
      <c r="E13" s="549"/>
      <c r="F13" s="549"/>
      <c r="G13" s="549"/>
      <c r="H13" s="549"/>
      <c r="I13" s="549"/>
      <c r="J13" s="549"/>
      <c r="K13" s="549"/>
      <c r="L13" s="549"/>
      <c r="M13" s="549"/>
    </row>
    <row r="14" spans="1:197" ht="17.100000000000001" customHeight="1" thickBot="1">
      <c r="A14" s="667"/>
      <c r="B14" s="667"/>
      <c r="C14" s="667"/>
      <c r="D14" s="666" t="str">
        <f>IFERROR(INDEX('DATA INDUK'!$H$27:$H$38,MATCH(ROW(D9),'DATA INDUK'!$Z$27:$Z$38,0)),"")</f>
        <v/>
      </c>
      <c r="E14" s="666"/>
      <c r="F14" s="666"/>
      <c r="G14" s="666"/>
      <c r="H14" s="666"/>
      <c r="I14" s="666"/>
      <c r="J14" s="666"/>
      <c r="K14" s="666"/>
      <c r="L14" s="666"/>
      <c r="M14" s="666"/>
      <c r="N14" s="668"/>
      <c r="O14" s="668"/>
      <c r="P14" s="668"/>
      <c r="Q14" s="668"/>
      <c r="R14" s="668"/>
      <c r="S14" s="668"/>
      <c r="T14" s="668"/>
      <c r="U14" s="668"/>
    </row>
    <row r="15" spans="1:197" ht="17.100000000000001" customHeight="1">
      <c r="C15" s="591"/>
      <c r="D15" s="650" t="str">
        <f>IFERROR(INDEX('DATA INDUK'!$H$27:$H$38,MATCH(ROW(D10),'DATA INDUK'!$Z$27:$Z$38,0)),"")</f>
        <v/>
      </c>
      <c r="E15" s="549"/>
      <c r="F15" s="549"/>
      <c r="G15" s="549"/>
      <c r="H15" s="549"/>
      <c r="I15" s="549"/>
      <c r="J15" s="549"/>
      <c r="K15" s="549"/>
      <c r="L15" s="549"/>
      <c r="M15" s="549"/>
    </row>
    <row r="16" spans="1:197" ht="17.100000000000001" customHeight="1">
      <c r="J16" s="335" t="s">
        <v>630</v>
      </c>
    </row>
    <row r="17" spans="3:36" ht="17.100000000000001" customHeight="1">
      <c r="J17" s="335" t="s">
        <v>126</v>
      </c>
      <c r="L17" s="2">
        <f>F28</f>
        <v>27.711674638050212</v>
      </c>
      <c r="M17" s="2">
        <f>G28</f>
        <v>27.711674638050212</v>
      </c>
      <c r="N17" s="2">
        <f>H28</f>
        <v>27.711674638050212</v>
      </c>
    </row>
    <row r="18" spans="3:36" ht="17.100000000000001" customHeight="1">
      <c r="C18" s="579" t="s">
        <v>629</v>
      </c>
      <c r="D18" s="579"/>
      <c r="E18" s="579"/>
      <c r="F18" s="579"/>
      <c r="G18" s="579"/>
      <c r="H18" s="579"/>
      <c r="J18" s="335" t="s">
        <v>553</v>
      </c>
      <c r="K18" s="335" t="s">
        <v>204</v>
      </c>
      <c r="L18" s="335">
        <v>0.40670000000000001</v>
      </c>
    </row>
    <row r="19" spans="3:36" ht="17.100000000000001" customHeight="1">
      <c r="J19" s="335" t="s">
        <v>1472</v>
      </c>
      <c r="L19" s="1338">
        <v>10</v>
      </c>
      <c r="M19" s="1338">
        <v>20</v>
      </c>
      <c r="N19" s="1338">
        <v>40</v>
      </c>
      <c r="W19" s="661" t="s">
        <v>625</v>
      </c>
      <c r="X19" s="661"/>
      <c r="Y19" s="661"/>
      <c r="Z19" s="661"/>
      <c r="AA19" s="661"/>
      <c r="AB19" s="661"/>
      <c r="AE19" s="370" t="s">
        <v>1641</v>
      </c>
      <c r="AF19" s="370"/>
      <c r="AG19" s="370"/>
      <c r="AH19" s="370"/>
      <c r="AI19" s="370"/>
      <c r="AJ19" s="1133"/>
    </row>
    <row r="20" spans="3:36" ht="17.100000000000001" customHeight="1">
      <c r="C20" s="2000" t="s">
        <v>627</v>
      </c>
      <c r="D20" s="2000"/>
      <c r="E20" s="2000" t="s">
        <v>626</v>
      </c>
      <c r="F20" s="1999" t="s">
        <v>493</v>
      </c>
      <c r="G20" s="1999"/>
      <c r="H20" s="1999"/>
      <c r="J20" s="335" t="s">
        <v>661</v>
      </c>
      <c r="L20" s="335">
        <f>L19/L17*98.0665</f>
        <v>35.388153650356202</v>
      </c>
      <c r="M20" s="335">
        <f>M19/M17*98.0665</f>
        <v>70.776307300712404</v>
      </c>
      <c r="N20" s="335">
        <f>N19/N17*98.0665</f>
        <v>141.55261460142481</v>
      </c>
      <c r="AE20" s="370" t="s">
        <v>1611</v>
      </c>
      <c r="AF20" s="370" t="s">
        <v>1642</v>
      </c>
      <c r="AG20" s="370" t="s">
        <v>1632</v>
      </c>
      <c r="AH20" s="370" t="s">
        <v>1633</v>
      </c>
      <c r="AI20" s="370"/>
      <c r="AJ20" s="1133"/>
    </row>
    <row r="21" spans="3:36" ht="17.100000000000001" customHeight="1">
      <c r="C21" s="2000"/>
      <c r="D21" s="2000"/>
      <c r="E21" s="2000"/>
      <c r="F21" s="583">
        <v>1</v>
      </c>
      <c r="G21" s="585">
        <v>2</v>
      </c>
      <c r="H21" s="586">
        <v>3</v>
      </c>
      <c r="W21" s="335" t="s">
        <v>440</v>
      </c>
      <c r="X21" s="335" t="s">
        <v>125</v>
      </c>
      <c r="Y21" s="335" t="s">
        <v>44</v>
      </c>
      <c r="Z21" s="335" t="s">
        <v>441</v>
      </c>
      <c r="AA21" s="335" t="s">
        <v>126</v>
      </c>
      <c r="AB21" s="335" t="s">
        <v>127</v>
      </c>
      <c r="AE21" s="370" t="s">
        <v>1612</v>
      </c>
      <c r="AF21" s="370" t="s">
        <v>1613</v>
      </c>
      <c r="AG21" s="370" t="s">
        <v>1610</v>
      </c>
      <c r="AH21" s="370" t="s">
        <v>1510</v>
      </c>
      <c r="AI21" s="370"/>
      <c r="AJ21" s="1568"/>
    </row>
    <row r="22" spans="3:36" ht="17.100000000000001" customHeight="1">
      <c r="C22" s="1993" t="s">
        <v>440</v>
      </c>
      <c r="D22" s="1993"/>
      <c r="E22" s="15"/>
      <c r="F22" s="15">
        <v>1</v>
      </c>
      <c r="G22" s="15">
        <v>1</v>
      </c>
      <c r="H22" s="15">
        <v>1</v>
      </c>
      <c r="X22" s="335" t="s">
        <v>442</v>
      </c>
      <c r="Y22" s="335" t="s">
        <v>442</v>
      </c>
      <c r="Z22" s="335" t="s">
        <v>443</v>
      </c>
      <c r="AA22" s="335" t="s">
        <v>560</v>
      </c>
      <c r="AB22" s="335" t="s">
        <v>561</v>
      </c>
      <c r="AE22" s="370" t="s">
        <v>1614</v>
      </c>
      <c r="AF22" s="370" t="s">
        <v>1615</v>
      </c>
      <c r="AG22" s="370" t="s">
        <v>1634</v>
      </c>
      <c r="AH22" s="370" t="s">
        <v>1635</v>
      </c>
      <c r="AI22" s="370"/>
      <c r="AJ22" s="1568"/>
    </row>
    <row r="23" spans="3:36" ht="17.100000000000001" customHeight="1">
      <c r="C23" s="1993" t="s">
        <v>533</v>
      </c>
      <c r="D23" s="1993"/>
      <c r="E23" s="15" t="s">
        <v>112</v>
      </c>
      <c r="F23" s="588">
        <v>188.84899999999999</v>
      </c>
      <c r="G23" s="588">
        <v>186.387</v>
      </c>
      <c r="H23" s="588">
        <v>187.61600000000001</v>
      </c>
      <c r="J23" s="340" t="s">
        <v>493</v>
      </c>
      <c r="K23" s="2003">
        <v>1</v>
      </c>
      <c r="L23" s="2003"/>
      <c r="O23" s="955">
        <v>2</v>
      </c>
      <c r="P23" s="955"/>
      <c r="S23" s="956">
        <v>3</v>
      </c>
      <c r="T23" s="956"/>
      <c r="W23" s="335">
        <v>1</v>
      </c>
      <c r="X23" s="335">
        <v>5.94</v>
      </c>
      <c r="Y23" s="335">
        <v>2.4900000000000002</v>
      </c>
      <c r="Z23" s="335">
        <v>63.16</v>
      </c>
      <c r="AA23" s="335">
        <f>IF(X23="","",PI()*X23^2/4)</f>
        <v>27.711674638050212</v>
      </c>
      <c r="AB23" s="335">
        <f>IF(OR(X23="",Y23=""),"",AA23*Y23)</f>
        <v>69.002069848745037</v>
      </c>
      <c r="AE23" s="370" t="s">
        <v>1617</v>
      </c>
      <c r="AF23" s="370" t="s">
        <v>1618</v>
      </c>
      <c r="AG23" s="370" t="s">
        <v>1636</v>
      </c>
      <c r="AH23" s="370" t="s">
        <v>1637</v>
      </c>
      <c r="AI23" s="370"/>
      <c r="AJ23" s="1568"/>
    </row>
    <row r="24" spans="3:36" ht="17.100000000000001" customHeight="1">
      <c r="C24" s="1993" t="s">
        <v>534</v>
      </c>
      <c r="D24" s="1993"/>
      <c r="E24" s="15" t="s">
        <v>112</v>
      </c>
      <c r="F24" s="15">
        <f>VLOOKUP(F22,$W$21:$AB$23,4,0)</f>
        <v>63.16</v>
      </c>
      <c r="G24" s="15">
        <f>VLOOKUP(G22,$W$21:$AB$23,4,0)</f>
        <v>63.16</v>
      </c>
      <c r="H24" s="15">
        <f>VLOOKUP(H22,$W$21:$AB$23,4,0)</f>
        <v>63.16</v>
      </c>
      <c r="J24" s="335" t="s">
        <v>551</v>
      </c>
      <c r="K24" s="2001" t="s">
        <v>552</v>
      </c>
      <c r="L24" s="2001" t="s">
        <v>1473</v>
      </c>
      <c r="O24" s="2002" t="s">
        <v>552</v>
      </c>
      <c r="P24" s="857" t="s">
        <v>1474</v>
      </c>
      <c r="S24" s="858" t="s">
        <v>552</v>
      </c>
      <c r="T24" s="857" t="s">
        <v>783</v>
      </c>
      <c r="AE24" s="370" t="s">
        <v>1643</v>
      </c>
      <c r="AF24" s="370" t="s">
        <v>1644</v>
      </c>
      <c r="AG24" s="370" t="s">
        <v>1645</v>
      </c>
      <c r="AH24" s="370" t="s">
        <v>1646</v>
      </c>
      <c r="AI24" s="370"/>
      <c r="AJ24" s="1568"/>
    </row>
    <row r="25" spans="3:36" ht="17.100000000000001" customHeight="1">
      <c r="C25" s="1993" t="s">
        <v>535</v>
      </c>
      <c r="D25" s="1993"/>
      <c r="E25" s="15" t="s">
        <v>45</v>
      </c>
      <c r="F25" s="15">
        <f>VLOOKUP(F22,$W$21:$AB$23,3,0)</f>
        <v>2.4900000000000002</v>
      </c>
      <c r="G25" s="15">
        <f>VLOOKUP(G22,$W$21:$AB$23,3,0)</f>
        <v>2.4900000000000002</v>
      </c>
      <c r="H25" s="15">
        <f>VLOOKUP(H22,$W$21:$AB$23,3,0)</f>
        <v>2.4900000000000002</v>
      </c>
      <c r="J25" s="335" t="s">
        <v>244</v>
      </c>
      <c r="K25" s="2001"/>
      <c r="L25" s="2001"/>
      <c r="O25" s="2002"/>
      <c r="P25" s="857"/>
      <c r="S25" s="858"/>
      <c r="T25" s="857"/>
      <c r="AE25" s="370" t="s">
        <v>1620</v>
      </c>
      <c r="AF25" s="370" t="s">
        <v>1616</v>
      </c>
      <c r="AG25" s="370" t="s">
        <v>509</v>
      </c>
      <c r="AH25" s="370" t="s">
        <v>1638</v>
      </c>
      <c r="AI25" s="370"/>
      <c r="AJ25" s="1568"/>
    </row>
    <row r="26" spans="3:36" ht="17.100000000000001" customHeight="1">
      <c r="C26" s="1993" t="s">
        <v>536</v>
      </c>
      <c r="D26" s="1993"/>
      <c r="E26" s="15" t="s">
        <v>45</v>
      </c>
      <c r="F26" s="588"/>
      <c r="G26" s="588"/>
      <c r="H26" s="588"/>
      <c r="J26" s="2">
        <v>0</v>
      </c>
      <c r="K26" s="580">
        <v>0</v>
      </c>
      <c r="L26" s="2">
        <f>((K26*$L$18)/$L$17)*98.0665</f>
        <v>0</v>
      </c>
      <c r="M26" s="879">
        <f>IF($D$7="",NA(),L26)</f>
        <v>0</v>
      </c>
      <c r="O26" s="580">
        <v>0</v>
      </c>
      <c r="P26" s="2">
        <f>O26*$L$18/$M$17*98.0665</f>
        <v>0</v>
      </c>
      <c r="Q26" s="879">
        <f t="shared" ref="Q26:Q50" si="1">IF($D$7="",NA(),P26)</f>
        <v>0</v>
      </c>
      <c r="S26" s="580">
        <v>0</v>
      </c>
      <c r="T26" s="2">
        <f>S26*$L$18/$L$17*98.0665</f>
        <v>0</v>
      </c>
      <c r="U26" s="879">
        <f t="shared" ref="U26:U50" si="2">IF($D$7="",NA(),T26)</f>
        <v>0</v>
      </c>
      <c r="AE26" s="370" t="s">
        <v>1621</v>
      </c>
      <c r="AF26" s="370" t="s">
        <v>1622</v>
      </c>
      <c r="AG26" s="370" t="s">
        <v>1639</v>
      </c>
      <c r="AH26" s="370" t="s">
        <v>1640</v>
      </c>
      <c r="AI26" s="370"/>
      <c r="AJ26" s="1568"/>
    </row>
    <row r="27" spans="3:36" ht="17.100000000000001" customHeight="1">
      <c r="C27" s="1993" t="s">
        <v>537</v>
      </c>
      <c r="D27" s="1993"/>
      <c r="E27" s="15" t="s">
        <v>45</v>
      </c>
      <c r="F27" s="15">
        <f>VLOOKUP(F22,$W$21:$AB$23,2,0)</f>
        <v>5.94</v>
      </c>
      <c r="G27" s="15">
        <f>VLOOKUP(G22,$W$21:$AB$23,2,0)</f>
        <v>5.94</v>
      </c>
      <c r="H27" s="15">
        <f>VLOOKUP(H22,$W$21:$AB$23,2,0)</f>
        <v>5.94</v>
      </c>
      <c r="J27" s="2">
        <v>0.2</v>
      </c>
      <c r="K27" s="580">
        <v>8</v>
      </c>
      <c r="L27" s="2">
        <f t="shared" ref="L27:L50" si="3">((K27*$L$18)/$L$17)*98.0665</f>
        <v>11.513889671679895</v>
      </c>
      <c r="M27" s="879">
        <f t="shared" ref="M27:M50" si="4">IF($D$7="",NA(),L27)</f>
        <v>11.513889671679895</v>
      </c>
      <c r="O27" s="580">
        <v>14</v>
      </c>
      <c r="P27" s="2">
        <f t="shared" ref="P27:P57" si="5">O27*$L$18/$M$17*98.0665</f>
        <v>20.149306925439816</v>
      </c>
      <c r="Q27" s="879">
        <f t="shared" si="1"/>
        <v>20.149306925439816</v>
      </c>
      <c r="S27" s="580">
        <v>11.8</v>
      </c>
      <c r="T27" s="2">
        <f t="shared" ref="T27:T50" si="6">S27*$L$18/$L$17*98.0665</f>
        <v>16.982987265727846</v>
      </c>
      <c r="U27" s="879">
        <f t="shared" si="2"/>
        <v>16.982987265727846</v>
      </c>
      <c r="AE27" s="370" t="s">
        <v>1623</v>
      </c>
      <c r="AF27" s="370" t="s">
        <v>1624</v>
      </c>
      <c r="AG27" s="370" t="s">
        <v>1647</v>
      </c>
      <c r="AH27" s="370" t="s">
        <v>1648</v>
      </c>
      <c r="AI27" s="370"/>
      <c r="AJ27" s="1568"/>
    </row>
    <row r="28" spans="3:36" ht="17.100000000000001" customHeight="1">
      <c r="C28" s="1993" t="s">
        <v>126</v>
      </c>
      <c r="D28" s="1993"/>
      <c r="E28" s="15" t="s">
        <v>121</v>
      </c>
      <c r="F28" s="589">
        <f>VLOOKUP(F22,$W$21:$AB$23,5,0)</f>
        <v>27.711674638050212</v>
      </c>
      <c r="G28" s="589">
        <f>VLOOKUP(G22,$W$21:$AB$23,5,0)</f>
        <v>27.711674638050212</v>
      </c>
      <c r="H28" s="589">
        <f>VLOOKUP(H22,$W$21:$AB$23,5,0)</f>
        <v>27.711674638050212</v>
      </c>
      <c r="J28" s="2">
        <v>0.4</v>
      </c>
      <c r="K28" s="580">
        <v>13</v>
      </c>
      <c r="L28" s="2">
        <f t="shared" si="3"/>
        <v>18.710070716479827</v>
      </c>
      <c r="M28" s="879">
        <f t="shared" si="4"/>
        <v>18.710070716479827</v>
      </c>
      <c r="O28" s="580">
        <v>18</v>
      </c>
      <c r="P28" s="2">
        <f t="shared" si="5"/>
        <v>25.906251761279766</v>
      </c>
      <c r="Q28" s="879">
        <f t="shared" si="1"/>
        <v>25.906251761279766</v>
      </c>
      <c r="S28" s="580">
        <v>15.6</v>
      </c>
      <c r="T28" s="2">
        <f t="shared" si="6"/>
        <v>22.452084859775795</v>
      </c>
      <c r="U28" s="879">
        <f t="shared" si="2"/>
        <v>22.452084859775795</v>
      </c>
      <c r="W28" s="335" t="s">
        <v>549</v>
      </c>
      <c r="X28" s="335" t="s">
        <v>30</v>
      </c>
      <c r="AE28" s="370" t="s">
        <v>1649</v>
      </c>
      <c r="AF28" s="370" t="s">
        <v>1650</v>
      </c>
      <c r="AG28" s="370" t="s">
        <v>1651</v>
      </c>
      <c r="AH28" s="370" t="s">
        <v>1652</v>
      </c>
      <c r="AI28" s="370"/>
      <c r="AJ28" s="1568"/>
    </row>
    <row r="29" spans="3:36" ht="17.100000000000001" customHeight="1">
      <c r="C29" s="1993" t="s">
        <v>538</v>
      </c>
      <c r="D29" s="1993"/>
      <c r="E29" s="15" t="s">
        <v>104</v>
      </c>
      <c r="F29" s="589">
        <f>VLOOKUP(F22,$W$21:$AB$23,6,0)</f>
        <v>69.002069848745037</v>
      </c>
      <c r="G29" s="589">
        <f>VLOOKUP(G22,$W$21:$AB$23,6,0)</f>
        <v>69.002069848745037</v>
      </c>
      <c r="H29" s="589">
        <f>VLOOKUP(H22,$W$21:$AB$23,6,0)</f>
        <v>69.002069848745037</v>
      </c>
      <c r="J29" s="2">
        <v>0.60000000000000009</v>
      </c>
      <c r="K29" s="580">
        <v>16</v>
      </c>
      <c r="L29" s="2">
        <f t="shared" si="3"/>
        <v>23.027779343359789</v>
      </c>
      <c r="M29" s="879">
        <f t="shared" si="4"/>
        <v>23.027779343359789</v>
      </c>
      <c r="O29" s="580">
        <v>22</v>
      </c>
      <c r="P29" s="2">
        <f t="shared" si="5"/>
        <v>31.663196597119708</v>
      </c>
      <c r="Q29" s="879">
        <f t="shared" si="1"/>
        <v>31.663196597119708</v>
      </c>
      <c r="S29" s="580">
        <v>20</v>
      </c>
      <c r="T29" s="2">
        <f t="shared" si="6"/>
        <v>28.784724179199738</v>
      </c>
      <c r="U29" s="879">
        <f t="shared" si="2"/>
        <v>28.784724179199738</v>
      </c>
      <c r="W29" s="335" t="s">
        <v>185</v>
      </c>
      <c r="X29" s="335">
        <v>9.6329999999999991</v>
      </c>
      <c r="AE29" s="370" t="s">
        <v>1690</v>
      </c>
      <c r="AF29" s="370" t="s">
        <v>1619</v>
      </c>
      <c r="AG29" s="370" t="s">
        <v>510</v>
      </c>
      <c r="AH29" s="370" t="s">
        <v>1197</v>
      </c>
      <c r="AI29" s="370"/>
      <c r="AJ29" s="1568"/>
    </row>
    <row r="30" spans="3:36" ht="17.100000000000001" customHeight="1">
      <c r="C30" s="15"/>
      <c r="D30" s="15"/>
      <c r="E30" s="15"/>
      <c r="F30" s="15"/>
      <c r="G30" s="15"/>
      <c r="H30" s="15"/>
      <c r="J30" s="2">
        <v>0.8</v>
      </c>
      <c r="K30" s="580">
        <v>19</v>
      </c>
      <c r="L30" s="2">
        <f t="shared" si="3"/>
        <v>27.345487970239752</v>
      </c>
      <c r="M30" s="879">
        <f t="shared" si="4"/>
        <v>27.345487970239752</v>
      </c>
      <c r="O30" s="580">
        <v>24</v>
      </c>
      <c r="P30" s="2">
        <f t="shared" si="5"/>
        <v>34.541669015039687</v>
      </c>
      <c r="Q30" s="879">
        <f t="shared" si="1"/>
        <v>34.541669015039687</v>
      </c>
      <c r="S30" s="580">
        <v>25.1</v>
      </c>
      <c r="T30" s="2">
        <f t="shared" si="6"/>
        <v>36.124828844895674</v>
      </c>
      <c r="U30" s="879">
        <f t="shared" si="2"/>
        <v>36.124828844895674</v>
      </c>
      <c r="W30" s="335" t="s">
        <v>237</v>
      </c>
      <c r="X30" s="335">
        <v>9.6929999999999996</v>
      </c>
      <c r="AE30" s="370" t="s">
        <v>1626</v>
      </c>
      <c r="AF30" s="370" t="s">
        <v>1627</v>
      </c>
      <c r="AG30" s="370" t="s">
        <v>1653</v>
      </c>
      <c r="AH30" s="370" t="s">
        <v>1654</v>
      </c>
      <c r="AI30" s="370"/>
      <c r="AJ30" s="1568"/>
    </row>
    <row r="31" spans="3:36" ht="17.100000000000001" customHeight="1">
      <c r="C31" s="1993" t="s">
        <v>539</v>
      </c>
      <c r="D31" s="1993"/>
      <c r="E31" s="15" t="s">
        <v>319</v>
      </c>
      <c r="F31" s="15">
        <f>F23-F24</f>
        <v>125.68899999999999</v>
      </c>
      <c r="G31" s="15">
        <f>G23-G24</f>
        <v>123.227</v>
      </c>
      <c r="H31" s="15">
        <f>H23-H24</f>
        <v>124.45600000000002</v>
      </c>
      <c r="J31" s="2">
        <v>1</v>
      </c>
      <c r="K31" s="580">
        <v>22</v>
      </c>
      <c r="L31" s="2">
        <f t="shared" si="3"/>
        <v>31.663196597119708</v>
      </c>
      <c r="M31" s="879">
        <f t="shared" si="4"/>
        <v>31.663196597119708</v>
      </c>
      <c r="O31" s="580">
        <v>26</v>
      </c>
      <c r="P31" s="2">
        <f t="shared" si="5"/>
        <v>37.420141432959653</v>
      </c>
      <c r="Q31" s="879">
        <f t="shared" si="1"/>
        <v>37.420141432959653</v>
      </c>
      <c r="S31" s="580">
        <v>27.8</v>
      </c>
      <c r="T31" s="2">
        <f t="shared" si="6"/>
        <v>40.010766609087632</v>
      </c>
      <c r="U31" s="879">
        <f t="shared" si="2"/>
        <v>40.010766609087632</v>
      </c>
      <c r="W31" s="335" t="s">
        <v>249</v>
      </c>
      <c r="X31" s="335">
        <v>9.8000000000000007</v>
      </c>
      <c r="AE31" s="370" t="s">
        <v>1628</v>
      </c>
      <c r="AF31" s="370" t="s">
        <v>1629</v>
      </c>
      <c r="AG31" s="370" t="s">
        <v>1655</v>
      </c>
      <c r="AH31" s="370" t="s">
        <v>1656</v>
      </c>
      <c r="AI31" s="370"/>
      <c r="AJ31" s="1568"/>
    </row>
    <row r="32" spans="3:36" ht="17.100000000000001" customHeight="1">
      <c r="C32" s="1993" t="s">
        <v>540</v>
      </c>
      <c r="D32" s="1993"/>
      <c r="E32" s="15" t="s">
        <v>319</v>
      </c>
      <c r="F32" s="15">
        <f>AVERAGE(F31:H31)</f>
        <v>124.45733333333334</v>
      </c>
      <c r="G32" s="15"/>
      <c r="H32" s="15"/>
      <c r="J32" s="2">
        <v>1.2</v>
      </c>
      <c r="K32" s="580">
        <v>24</v>
      </c>
      <c r="L32" s="2">
        <f t="shared" si="3"/>
        <v>34.541669015039687</v>
      </c>
      <c r="M32" s="879">
        <f t="shared" si="4"/>
        <v>34.541669015039687</v>
      </c>
      <c r="O32" s="580">
        <v>27</v>
      </c>
      <c r="P32" s="2">
        <f t="shared" si="5"/>
        <v>38.859377641919643</v>
      </c>
      <c r="Q32" s="879">
        <f t="shared" si="1"/>
        <v>38.859377641919643</v>
      </c>
      <c r="S32" s="580">
        <v>30.3</v>
      </c>
      <c r="T32" s="2">
        <f t="shared" si="6"/>
        <v>43.608857131487603</v>
      </c>
      <c r="U32" s="879">
        <f t="shared" si="2"/>
        <v>43.608857131487603</v>
      </c>
      <c r="W32" s="335" t="s">
        <v>250</v>
      </c>
      <c r="X32" s="335">
        <v>9.7569999999999997</v>
      </c>
      <c r="AE32" s="370" t="s">
        <v>1630</v>
      </c>
      <c r="AF32" s="370" t="s">
        <v>1631</v>
      </c>
      <c r="AG32" s="370" t="s">
        <v>1657</v>
      </c>
      <c r="AH32" s="370" t="s">
        <v>1658</v>
      </c>
      <c r="AI32" s="370"/>
      <c r="AJ32"/>
    </row>
    <row r="33" spans="3:28" ht="17.100000000000001" customHeight="1">
      <c r="C33" s="1993" t="s">
        <v>541</v>
      </c>
      <c r="D33" s="1993"/>
      <c r="E33" s="15" t="s">
        <v>123</v>
      </c>
      <c r="F33" s="15">
        <f>F31/F29</f>
        <v>1.8215250683858426</v>
      </c>
      <c r="G33" s="15">
        <f>G31/G29</f>
        <v>1.7858449792900115</v>
      </c>
      <c r="H33" s="15">
        <f>H31/H29</f>
        <v>1.8036560392001566</v>
      </c>
      <c r="J33" s="2">
        <v>1.4</v>
      </c>
      <c r="K33" s="580">
        <v>25</v>
      </c>
      <c r="L33" s="2">
        <f t="shared" si="3"/>
        <v>35.98090522399967</v>
      </c>
      <c r="M33" s="879">
        <f t="shared" si="4"/>
        <v>35.98090522399967</v>
      </c>
      <c r="O33" s="580">
        <v>28</v>
      </c>
      <c r="P33" s="2">
        <f t="shared" si="5"/>
        <v>40.298613850879633</v>
      </c>
      <c r="Q33" s="879">
        <f t="shared" si="1"/>
        <v>40.298613850879633</v>
      </c>
      <c r="S33" s="580">
        <v>33.4</v>
      </c>
      <c r="T33" s="2">
        <f t="shared" si="6"/>
        <v>48.070489379263556</v>
      </c>
      <c r="U33" s="879">
        <f t="shared" si="2"/>
        <v>48.070489379263556</v>
      </c>
      <c r="W33" s="335" t="s">
        <v>251</v>
      </c>
      <c r="X33" s="335">
        <v>9.6679999999999993</v>
      </c>
    </row>
    <row r="34" spans="3:28" ht="17.100000000000001" customHeight="1">
      <c r="J34" s="2">
        <v>1.5999999999999999</v>
      </c>
      <c r="K34" s="580">
        <v>26</v>
      </c>
      <c r="L34" s="2">
        <f t="shared" si="3"/>
        <v>37.420141432959653</v>
      </c>
      <c r="M34" s="879">
        <f t="shared" si="4"/>
        <v>37.420141432959653</v>
      </c>
      <c r="O34" s="580">
        <v>29</v>
      </c>
      <c r="P34" s="2">
        <f t="shared" si="5"/>
        <v>41.737850059839616</v>
      </c>
      <c r="Q34" s="879">
        <f t="shared" si="1"/>
        <v>41.737850059839616</v>
      </c>
      <c r="S34" s="580">
        <v>35.799999999999997</v>
      </c>
      <c r="T34" s="2">
        <f t="shared" si="6"/>
        <v>51.524656280767516</v>
      </c>
      <c r="U34" s="879">
        <f t="shared" si="2"/>
        <v>51.524656280767516</v>
      </c>
      <c r="W34" s="335" t="s">
        <v>550</v>
      </c>
      <c r="X34" s="335">
        <v>9.5749999999999993</v>
      </c>
    </row>
    <row r="35" spans="3:28" ht="17.100000000000001" customHeight="1">
      <c r="C35" s="578" t="s">
        <v>27</v>
      </c>
      <c r="D35" s="578"/>
      <c r="E35" s="578"/>
      <c r="F35" s="578"/>
      <c r="G35" s="578"/>
      <c r="H35" s="578"/>
      <c r="J35" s="2">
        <v>1.7999999999999998</v>
      </c>
      <c r="K35" s="580">
        <v>26</v>
      </c>
      <c r="L35" s="2">
        <f t="shared" si="3"/>
        <v>37.420141432959653</v>
      </c>
      <c r="M35" s="879">
        <f t="shared" si="4"/>
        <v>37.420141432959653</v>
      </c>
      <c r="O35" s="580">
        <v>30</v>
      </c>
      <c r="P35" s="2">
        <f t="shared" si="5"/>
        <v>43.177086268799606</v>
      </c>
      <c r="Q35" s="879">
        <f t="shared" si="1"/>
        <v>43.177086268799606</v>
      </c>
      <c r="S35" s="580">
        <v>38</v>
      </c>
      <c r="T35" s="2">
        <f t="shared" si="6"/>
        <v>54.690975940479504</v>
      </c>
      <c r="U35" s="879">
        <f t="shared" si="2"/>
        <v>54.690975940479504</v>
      </c>
      <c r="W35" s="335" t="s">
        <v>238</v>
      </c>
      <c r="X35" s="335">
        <v>9.7479999999999993</v>
      </c>
    </row>
    <row r="36" spans="3:28" ht="17.100000000000001" customHeight="1">
      <c r="J36" s="2">
        <v>1.9999999999999998</v>
      </c>
      <c r="K36" s="580">
        <v>26</v>
      </c>
      <c r="L36" s="2">
        <f t="shared" si="3"/>
        <v>37.420141432959653</v>
      </c>
      <c r="M36" s="879">
        <f t="shared" si="4"/>
        <v>37.420141432959653</v>
      </c>
      <c r="O36" s="580">
        <v>31</v>
      </c>
      <c r="P36" s="2">
        <f t="shared" si="5"/>
        <v>44.616322477759589</v>
      </c>
      <c r="Q36" s="879">
        <f t="shared" si="1"/>
        <v>44.616322477759589</v>
      </c>
      <c r="S36" s="580">
        <v>39.1</v>
      </c>
      <c r="T36" s="2">
        <f t="shared" si="6"/>
        <v>56.274135770335491</v>
      </c>
      <c r="U36" s="879">
        <f t="shared" si="2"/>
        <v>56.274135770335491</v>
      </c>
      <c r="W36" s="335" t="s">
        <v>186</v>
      </c>
      <c r="X36" s="335">
        <v>9.4309999999999992</v>
      </c>
      <c r="AB36" s="335" t="str">
        <f>IF(Y36="","",PI()*Y36^2/4)</f>
        <v/>
      </c>
    </row>
    <row r="37" spans="3:28" ht="17.100000000000001" customHeight="1">
      <c r="C37" s="2000" t="s">
        <v>124</v>
      </c>
      <c r="D37" s="2000"/>
      <c r="E37" s="1999" t="s">
        <v>626</v>
      </c>
      <c r="F37" s="1999" t="s">
        <v>493</v>
      </c>
      <c r="G37" s="1999"/>
      <c r="H37" s="1999"/>
      <c r="J37" s="2">
        <v>2.1999999999999997</v>
      </c>
      <c r="K37" s="580">
        <v>26</v>
      </c>
      <c r="L37" s="2">
        <f t="shared" si="3"/>
        <v>37.420141432959653</v>
      </c>
      <c r="M37" s="879">
        <f t="shared" si="4"/>
        <v>37.420141432959653</v>
      </c>
      <c r="O37" s="580">
        <v>32</v>
      </c>
      <c r="P37" s="2">
        <f t="shared" si="5"/>
        <v>46.055558686719579</v>
      </c>
      <c r="Q37" s="879">
        <f t="shared" si="1"/>
        <v>46.055558686719579</v>
      </c>
      <c r="S37" s="580">
        <v>41</v>
      </c>
      <c r="T37" s="2">
        <f t="shared" si="6"/>
        <v>59.00868456735946</v>
      </c>
      <c r="U37" s="879">
        <f t="shared" si="2"/>
        <v>59.00868456735946</v>
      </c>
      <c r="W37" s="335" t="s">
        <v>252</v>
      </c>
      <c r="X37" s="335">
        <v>9.4459999999999997</v>
      </c>
    </row>
    <row r="38" spans="3:28" ht="17.100000000000001" customHeight="1">
      <c r="C38" s="2000"/>
      <c r="D38" s="2000"/>
      <c r="E38" s="1999"/>
      <c r="F38" s="584">
        <v>1</v>
      </c>
      <c r="G38" s="587">
        <v>2</v>
      </c>
      <c r="H38" s="586">
        <v>3</v>
      </c>
      <c r="J38" s="2">
        <v>2.4</v>
      </c>
      <c r="K38" s="580">
        <v>26</v>
      </c>
      <c r="L38" s="2">
        <f t="shared" si="3"/>
        <v>37.420141432959653</v>
      </c>
      <c r="M38" s="879">
        <f t="shared" si="4"/>
        <v>37.420141432959653</v>
      </c>
      <c r="O38" s="580">
        <v>34</v>
      </c>
      <c r="P38" s="2">
        <f t="shared" si="5"/>
        <v>48.934031104639551</v>
      </c>
      <c r="Q38" s="879">
        <f t="shared" si="1"/>
        <v>48.934031104639551</v>
      </c>
      <c r="S38" s="580">
        <v>42.1</v>
      </c>
      <c r="T38" s="2">
        <f t="shared" si="6"/>
        <v>60.591844397215446</v>
      </c>
      <c r="U38" s="879">
        <f t="shared" si="2"/>
        <v>60.591844397215446</v>
      </c>
      <c r="W38" s="335" t="s">
        <v>253</v>
      </c>
      <c r="X38" s="335">
        <v>9.5779999999999994</v>
      </c>
    </row>
    <row r="39" spans="3:28" ht="17.100000000000001" customHeight="1">
      <c r="C39" s="335" t="s">
        <v>628</v>
      </c>
      <c r="F39" s="542" t="s">
        <v>186</v>
      </c>
      <c r="G39" s="542" t="s">
        <v>187</v>
      </c>
      <c r="H39" s="542" t="s">
        <v>187</v>
      </c>
      <c r="J39" s="2">
        <v>2.6</v>
      </c>
      <c r="K39" s="580">
        <v>26</v>
      </c>
      <c r="L39" s="2">
        <f t="shared" si="3"/>
        <v>37.420141432959653</v>
      </c>
      <c r="M39" s="879">
        <f t="shared" si="4"/>
        <v>37.420141432959653</v>
      </c>
      <c r="O39" s="580">
        <v>34</v>
      </c>
      <c r="P39" s="2">
        <f t="shared" si="5"/>
        <v>48.934031104639551</v>
      </c>
      <c r="Q39" s="879">
        <f t="shared" si="1"/>
        <v>48.934031104639551</v>
      </c>
      <c r="S39" s="580">
        <v>43.98</v>
      </c>
      <c r="T39" s="2">
        <f t="shared" si="6"/>
        <v>63.297608470060212</v>
      </c>
      <c r="U39" s="879">
        <f t="shared" si="2"/>
        <v>63.297608470060212</v>
      </c>
      <c r="W39" s="335" t="s">
        <v>187</v>
      </c>
      <c r="X39" s="335">
        <v>9.5579999999999998</v>
      </c>
    </row>
    <row r="40" spans="3:28" ht="17.100000000000001" customHeight="1">
      <c r="C40" s="335" t="s">
        <v>542</v>
      </c>
      <c r="E40" s="335" t="s">
        <v>112</v>
      </c>
      <c r="F40" s="582">
        <v>147.553</v>
      </c>
      <c r="G40" s="582">
        <v>146.93100000000001</v>
      </c>
      <c r="H40" s="582">
        <v>147.511</v>
      </c>
      <c r="J40" s="2">
        <v>2.8000000000000003</v>
      </c>
      <c r="K40" s="580">
        <v>26</v>
      </c>
      <c r="L40" s="2">
        <f t="shared" si="3"/>
        <v>37.420141432959653</v>
      </c>
      <c r="M40" s="879">
        <f t="shared" si="4"/>
        <v>37.420141432959653</v>
      </c>
      <c r="O40" s="580">
        <v>34</v>
      </c>
      <c r="P40" s="2">
        <f t="shared" si="5"/>
        <v>48.934031104639551</v>
      </c>
      <c r="Q40" s="879">
        <f t="shared" si="1"/>
        <v>48.934031104639551</v>
      </c>
      <c r="S40" s="580">
        <v>45</v>
      </c>
      <c r="T40" s="2">
        <f t="shared" si="6"/>
        <v>64.765629403199412</v>
      </c>
      <c r="U40" s="879">
        <f t="shared" si="2"/>
        <v>64.765629403199412</v>
      </c>
      <c r="W40" s="335" t="s">
        <v>365</v>
      </c>
      <c r="X40" s="335">
        <v>9.7040000000000006</v>
      </c>
    </row>
    <row r="41" spans="3:28" ht="17.100000000000001" customHeight="1">
      <c r="C41" s="335" t="s">
        <v>543</v>
      </c>
      <c r="E41" s="335" t="s">
        <v>112</v>
      </c>
      <c r="F41" s="582">
        <v>129.631</v>
      </c>
      <c r="G41" s="582">
        <v>127.79300000000001</v>
      </c>
      <c r="H41" s="582">
        <v>129.05699999999999</v>
      </c>
      <c r="J41" s="2">
        <v>3.0000000000000004</v>
      </c>
      <c r="K41" s="580">
        <v>26</v>
      </c>
      <c r="L41" s="2">
        <f t="shared" si="3"/>
        <v>37.420141432959653</v>
      </c>
      <c r="M41" s="879">
        <f t="shared" si="4"/>
        <v>37.420141432959653</v>
      </c>
      <c r="O41" s="580">
        <v>34</v>
      </c>
      <c r="P41" s="2">
        <f t="shared" si="5"/>
        <v>48.934031104639551</v>
      </c>
      <c r="Q41" s="879">
        <f t="shared" si="1"/>
        <v>48.934031104639551</v>
      </c>
      <c r="S41" s="580">
        <v>46</v>
      </c>
      <c r="T41" s="2">
        <f t="shared" si="6"/>
        <v>66.204865612159409</v>
      </c>
      <c r="U41" s="879">
        <f t="shared" si="2"/>
        <v>66.204865612159409</v>
      </c>
    </row>
    <row r="42" spans="3:28" ht="17.100000000000001" customHeight="1">
      <c r="C42" s="335" t="s">
        <v>544</v>
      </c>
      <c r="E42" s="335" t="s">
        <v>112</v>
      </c>
      <c r="F42" s="582">
        <f>F40-F41</f>
        <v>17.921999999999997</v>
      </c>
      <c r="G42" s="582">
        <f>G40-G41</f>
        <v>19.138000000000005</v>
      </c>
      <c r="H42" s="582">
        <f>H40-H41</f>
        <v>18.454000000000008</v>
      </c>
      <c r="J42" s="2">
        <v>3.2000000000000006</v>
      </c>
      <c r="K42" s="580">
        <v>26</v>
      </c>
      <c r="L42" s="2">
        <f t="shared" si="3"/>
        <v>37.420141432959653</v>
      </c>
      <c r="M42" s="879">
        <f t="shared" si="4"/>
        <v>37.420141432959653</v>
      </c>
      <c r="O42" s="580">
        <v>34</v>
      </c>
      <c r="P42" s="2">
        <f t="shared" si="5"/>
        <v>48.934031104639551</v>
      </c>
      <c r="Q42" s="879">
        <f t="shared" si="1"/>
        <v>48.934031104639551</v>
      </c>
      <c r="S42" s="580">
        <v>46.5</v>
      </c>
      <c r="T42" s="2">
        <f t="shared" si="6"/>
        <v>66.924483716639401</v>
      </c>
      <c r="U42" s="879">
        <f t="shared" si="2"/>
        <v>66.924483716639401</v>
      </c>
    </row>
    <row r="43" spans="3:28" ht="17.100000000000001" customHeight="1">
      <c r="C43" s="335" t="s">
        <v>545</v>
      </c>
      <c r="E43" s="335" t="s">
        <v>112</v>
      </c>
      <c r="F43" s="582">
        <f>VLOOKUP(F39,$W$28:$X$40,2,0)</f>
        <v>9.4309999999999992</v>
      </c>
      <c r="G43" s="582">
        <f>VLOOKUP(G39,$W$28:$X$40,2,0)</f>
        <v>9.5579999999999998</v>
      </c>
      <c r="H43" s="582">
        <f>VLOOKUP(H39,$W$28:$X$40,2,0)</f>
        <v>9.5579999999999998</v>
      </c>
      <c r="J43" s="2">
        <v>3.4000000000000008</v>
      </c>
      <c r="K43" s="580">
        <v>26</v>
      </c>
      <c r="L43" s="2">
        <f t="shared" si="3"/>
        <v>37.420141432959653</v>
      </c>
      <c r="M43" s="879">
        <f t="shared" si="4"/>
        <v>37.420141432959653</v>
      </c>
      <c r="O43" s="580">
        <v>34</v>
      </c>
      <c r="P43" s="2">
        <f t="shared" si="5"/>
        <v>48.934031104639551</v>
      </c>
      <c r="Q43" s="879">
        <f t="shared" si="1"/>
        <v>48.934031104639551</v>
      </c>
      <c r="S43" s="580">
        <v>47</v>
      </c>
      <c r="T43" s="2">
        <f t="shared" si="6"/>
        <v>67.644101821119378</v>
      </c>
      <c r="U43" s="879">
        <f t="shared" si="2"/>
        <v>67.644101821119378</v>
      </c>
    </row>
    <row r="44" spans="3:28" ht="17.100000000000001" customHeight="1">
      <c r="C44" s="335" t="s">
        <v>546</v>
      </c>
      <c r="E44" s="335" t="s">
        <v>112</v>
      </c>
      <c r="F44" s="582">
        <f>F41-F43</f>
        <v>120.2</v>
      </c>
      <c r="G44" s="582">
        <f>G41-G43</f>
        <v>118.23500000000001</v>
      </c>
      <c r="H44" s="582">
        <f>H41-H43</f>
        <v>119.499</v>
      </c>
      <c r="J44" s="2">
        <v>3.600000000000001</v>
      </c>
      <c r="K44" s="580">
        <v>26</v>
      </c>
      <c r="L44" s="2">
        <f t="shared" si="3"/>
        <v>37.420141432959653</v>
      </c>
      <c r="M44" s="879">
        <f t="shared" si="4"/>
        <v>37.420141432959653</v>
      </c>
      <c r="O44" s="580">
        <v>34</v>
      </c>
      <c r="P44" s="2">
        <f t="shared" si="5"/>
        <v>48.934031104639551</v>
      </c>
      <c r="Q44" s="879">
        <f t="shared" si="1"/>
        <v>48.934031104639551</v>
      </c>
      <c r="S44" s="580">
        <v>47.2</v>
      </c>
      <c r="T44" s="2">
        <f t="shared" si="6"/>
        <v>67.931949062911386</v>
      </c>
      <c r="U44" s="879">
        <f t="shared" si="2"/>
        <v>67.931949062911386</v>
      </c>
    </row>
    <row r="45" spans="3:28" ht="17.100000000000001" customHeight="1">
      <c r="C45" s="335" t="s">
        <v>33</v>
      </c>
      <c r="E45" s="335" t="s">
        <v>34</v>
      </c>
      <c r="F45" s="582">
        <f>F42/F44*100</f>
        <v>14.910149750415972</v>
      </c>
      <c r="G45" s="582">
        <f>G42/G44*100</f>
        <v>16.186408423901554</v>
      </c>
      <c r="H45" s="582">
        <f>H42/H44*100</f>
        <v>15.442807052778692</v>
      </c>
      <c r="J45" s="2">
        <v>3.8000000000000012</v>
      </c>
      <c r="K45" s="580">
        <v>26</v>
      </c>
      <c r="L45" s="2">
        <f t="shared" si="3"/>
        <v>37.420141432959653</v>
      </c>
      <c r="M45" s="879">
        <f t="shared" si="4"/>
        <v>37.420141432959653</v>
      </c>
      <c r="O45" s="580">
        <v>34</v>
      </c>
      <c r="P45" s="2">
        <f t="shared" si="5"/>
        <v>48.934031104639551</v>
      </c>
      <c r="Q45" s="879">
        <f t="shared" si="1"/>
        <v>48.934031104639551</v>
      </c>
      <c r="S45" s="580">
        <v>47.3</v>
      </c>
      <c r="T45" s="2">
        <f t="shared" si="6"/>
        <v>68.075872683807361</v>
      </c>
      <c r="U45" s="879">
        <f t="shared" si="2"/>
        <v>68.075872683807361</v>
      </c>
    </row>
    <row r="46" spans="3:28" ht="17.100000000000001" customHeight="1">
      <c r="C46" s="335" t="s">
        <v>547</v>
      </c>
      <c r="E46" s="335" t="s">
        <v>34</v>
      </c>
      <c r="F46" s="582">
        <f>AVERAGE(F45:H45)</f>
        <v>15.513121742365406</v>
      </c>
      <c r="G46" s="582"/>
      <c r="H46" s="582"/>
      <c r="J46" s="2">
        <v>4.0000000000000009</v>
      </c>
      <c r="K46" s="580">
        <v>26</v>
      </c>
      <c r="L46" s="2">
        <f t="shared" si="3"/>
        <v>37.420141432959653</v>
      </c>
      <c r="M46" s="879">
        <f t="shared" si="4"/>
        <v>37.420141432959653</v>
      </c>
      <c r="O46" s="580">
        <v>34</v>
      </c>
      <c r="P46" s="2">
        <f t="shared" si="5"/>
        <v>48.934031104639551</v>
      </c>
      <c r="Q46" s="879">
        <f t="shared" si="1"/>
        <v>48.934031104639551</v>
      </c>
      <c r="S46" s="580">
        <v>47.5</v>
      </c>
      <c r="T46" s="2">
        <f t="shared" si="6"/>
        <v>68.363719925599369</v>
      </c>
      <c r="U46" s="879">
        <f t="shared" si="2"/>
        <v>68.363719925599369</v>
      </c>
    </row>
    <row r="47" spans="3:28" ht="17.100000000000001" customHeight="1">
      <c r="C47" s="335" t="s">
        <v>548</v>
      </c>
      <c r="E47" s="335" t="s">
        <v>319</v>
      </c>
      <c r="F47" s="582">
        <f>F44/F29</f>
        <v>1.7419767300239344</v>
      </c>
      <c r="G47" s="582">
        <f>G44/G29</f>
        <v>1.7134993234141425</v>
      </c>
      <c r="H47" s="582">
        <f>H44/H29</f>
        <v>1.7318176144852757</v>
      </c>
      <c r="J47" s="2">
        <v>4.2000000000000011</v>
      </c>
      <c r="K47" s="580">
        <v>26</v>
      </c>
      <c r="L47" s="2">
        <f t="shared" si="3"/>
        <v>37.420141432959653</v>
      </c>
      <c r="M47" s="879">
        <f t="shared" si="4"/>
        <v>37.420141432959653</v>
      </c>
      <c r="O47" s="580">
        <v>34</v>
      </c>
      <c r="P47" s="2">
        <f t="shared" si="5"/>
        <v>48.934031104639551</v>
      </c>
      <c r="Q47" s="879">
        <f t="shared" si="1"/>
        <v>48.934031104639551</v>
      </c>
      <c r="S47" s="580">
        <v>47.7</v>
      </c>
      <c r="T47" s="2">
        <f t="shared" si="6"/>
        <v>68.651567167391377</v>
      </c>
      <c r="U47" s="879">
        <f t="shared" si="2"/>
        <v>68.651567167391377</v>
      </c>
    </row>
    <row r="48" spans="3:28" ht="17.100000000000001" customHeight="1">
      <c r="J48" s="2">
        <v>4.4000000000000012</v>
      </c>
      <c r="K48" s="580">
        <v>26</v>
      </c>
      <c r="L48" s="2">
        <f t="shared" si="3"/>
        <v>37.420141432959653</v>
      </c>
      <c r="M48" s="879">
        <f t="shared" si="4"/>
        <v>37.420141432959653</v>
      </c>
      <c r="O48" s="580">
        <v>34</v>
      </c>
      <c r="P48" s="2">
        <f t="shared" si="5"/>
        <v>48.934031104639551</v>
      </c>
      <c r="Q48" s="879">
        <f t="shared" si="1"/>
        <v>48.934031104639551</v>
      </c>
      <c r="S48" s="580">
        <v>48</v>
      </c>
      <c r="T48" s="2">
        <f t="shared" si="6"/>
        <v>69.083338030079375</v>
      </c>
      <c r="U48" s="879">
        <f t="shared" si="2"/>
        <v>69.083338030079375</v>
      </c>
    </row>
    <row r="49" spans="2:21" ht="17.100000000000001" customHeight="1">
      <c r="J49" s="2">
        <v>4.6000000000000014</v>
      </c>
      <c r="K49" s="580">
        <v>26</v>
      </c>
      <c r="L49" s="2">
        <f t="shared" si="3"/>
        <v>37.420141432959653</v>
      </c>
      <c r="M49" s="879">
        <f t="shared" si="4"/>
        <v>37.420141432959653</v>
      </c>
      <c r="O49" s="580">
        <v>35</v>
      </c>
      <c r="P49" s="2">
        <f t="shared" si="5"/>
        <v>50.373267313599534</v>
      </c>
      <c r="Q49" s="879">
        <f t="shared" si="1"/>
        <v>50.373267313599534</v>
      </c>
      <c r="S49" s="580">
        <v>55</v>
      </c>
      <c r="T49" s="2">
        <f t="shared" si="6"/>
        <v>79.157991492799269</v>
      </c>
      <c r="U49" s="879">
        <f t="shared" si="2"/>
        <v>79.157991492799269</v>
      </c>
    </row>
    <row r="50" spans="2:21" ht="17.100000000000001" customHeight="1">
      <c r="J50" s="2">
        <v>4.8000000000000016</v>
      </c>
      <c r="K50" s="580">
        <v>26</v>
      </c>
      <c r="L50" s="2">
        <f t="shared" si="3"/>
        <v>37.420141432959653</v>
      </c>
      <c r="M50" s="879">
        <f t="shared" si="4"/>
        <v>37.420141432959653</v>
      </c>
      <c r="O50" s="580">
        <v>35.5</v>
      </c>
      <c r="P50" s="2">
        <f t="shared" si="5"/>
        <v>51.09288541807954</v>
      </c>
      <c r="Q50" s="879">
        <f t="shared" si="1"/>
        <v>51.09288541807954</v>
      </c>
      <c r="S50" s="580">
        <v>55</v>
      </c>
      <c r="T50" s="2">
        <f t="shared" si="6"/>
        <v>79.157991492799269</v>
      </c>
      <c r="U50" s="879">
        <f t="shared" si="2"/>
        <v>79.157991492799269</v>
      </c>
    </row>
    <row r="51" spans="2:21" ht="17.100000000000001" customHeight="1">
      <c r="J51" s="2">
        <v>5.0000000000000018</v>
      </c>
      <c r="K51" s="580"/>
      <c r="L51" s="2"/>
      <c r="M51" s="879"/>
      <c r="O51" s="580"/>
      <c r="P51" s="2">
        <f t="shared" si="5"/>
        <v>0</v>
      </c>
      <c r="Q51" s="879"/>
      <c r="S51" s="580"/>
      <c r="T51" s="2"/>
      <c r="U51" s="879"/>
    </row>
    <row r="52" spans="2:21" ht="17.100000000000001" customHeight="1">
      <c r="B52" s="335" t="s">
        <v>554</v>
      </c>
      <c r="D52" s="581">
        <f>MAX(L26:L58)</f>
        <v>37.420141432959653</v>
      </c>
      <c r="E52" s="581">
        <f>MAX(P26:P58)</f>
        <v>51.09288541807954</v>
      </c>
      <c r="F52" s="581">
        <f>MAX(T26:T58)</f>
        <v>79.157991492799269</v>
      </c>
      <c r="J52" s="2">
        <v>5.200000000000002</v>
      </c>
      <c r="K52" s="580"/>
      <c r="L52" s="2"/>
      <c r="M52" s="879"/>
      <c r="O52" s="580"/>
      <c r="P52" s="2">
        <f t="shared" si="5"/>
        <v>0</v>
      </c>
      <c r="Q52" s="879"/>
      <c r="S52" s="580"/>
      <c r="T52" s="2"/>
      <c r="U52" s="879"/>
    </row>
    <row r="53" spans="2:21" ht="17.100000000000001" customHeight="1">
      <c r="B53" s="335" t="s">
        <v>448</v>
      </c>
      <c r="C53" s="335" t="s">
        <v>722</v>
      </c>
      <c r="D53" s="581">
        <f>L20</f>
        <v>35.388153650356202</v>
      </c>
      <c r="E53" s="581">
        <f>M20</f>
        <v>70.776307300712404</v>
      </c>
      <c r="F53" s="581">
        <f>N20</f>
        <v>141.55261460142481</v>
      </c>
      <c r="J53" s="2">
        <v>5.4000000000000021</v>
      </c>
      <c r="K53" s="580"/>
      <c r="L53" s="2"/>
      <c r="M53" s="879"/>
      <c r="O53" s="580"/>
      <c r="P53" s="2">
        <f t="shared" si="5"/>
        <v>0</v>
      </c>
      <c r="Q53" s="879"/>
      <c r="S53" s="580"/>
      <c r="T53" s="2"/>
      <c r="U53" s="879"/>
    </row>
    <row r="54" spans="2:21" ht="17.100000000000001" customHeight="1">
      <c r="D54" s="963">
        <f>IF($D$7="",NA(),D53)</f>
        <v>35.388153650356202</v>
      </c>
      <c r="E54" s="963">
        <f t="shared" ref="E54:F54" si="7">IF($D$7="",NA(),E53)</f>
        <v>70.776307300712404</v>
      </c>
      <c r="F54" s="963">
        <f t="shared" si="7"/>
        <v>141.55261460142481</v>
      </c>
      <c r="J54" s="2">
        <v>5.6000000000000023</v>
      </c>
      <c r="K54" s="580"/>
      <c r="L54" s="2"/>
      <c r="M54" s="879"/>
      <c r="O54" s="580"/>
      <c r="P54" s="2">
        <f t="shared" si="5"/>
        <v>0</v>
      </c>
      <c r="Q54" s="879"/>
      <c r="S54" s="580"/>
      <c r="T54" s="2"/>
      <c r="U54" s="879"/>
    </row>
    <row r="55" spans="2:21" ht="17.100000000000001" customHeight="1">
      <c r="B55" s="335" t="s">
        <v>555</v>
      </c>
      <c r="D55" s="581">
        <f>D53*TAN(RADIANS($E$59))+$E$58</f>
        <v>37.317338846605381</v>
      </c>
      <c r="E55" s="581">
        <f>E53*TAN(RADIANS($E$59))+$E$58</f>
        <v>51.247089297610962</v>
      </c>
      <c r="F55" s="581">
        <f>F53*TAN(RADIANS($E$59))+$E$58</f>
        <v>79.106590199622133</v>
      </c>
      <c r="J55" s="2">
        <v>5.8000000000000025</v>
      </c>
      <c r="K55" s="580"/>
      <c r="L55" s="2"/>
      <c r="M55" s="879"/>
      <c r="O55" s="580"/>
      <c r="P55" s="2">
        <f t="shared" si="5"/>
        <v>0</v>
      </c>
      <c r="Q55" s="879"/>
      <c r="S55" s="580"/>
      <c r="T55" s="2"/>
      <c r="U55" s="879"/>
    </row>
    <row r="56" spans="2:21" ht="17.100000000000001" customHeight="1">
      <c r="J56" s="2">
        <v>6.0000000000000027</v>
      </c>
      <c r="K56" s="580"/>
      <c r="L56" s="2"/>
      <c r="M56" s="879"/>
      <c r="O56" s="580"/>
      <c r="P56" s="2">
        <f t="shared" si="5"/>
        <v>0</v>
      </c>
      <c r="Q56" s="879"/>
      <c r="S56" s="580"/>
      <c r="T56" s="2"/>
      <c r="U56" s="879"/>
    </row>
    <row r="57" spans="2:21" ht="17.100000000000001" customHeight="1">
      <c r="J57" s="2">
        <v>6.2000000000000028</v>
      </c>
      <c r="K57" s="580"/>
      <c r="L57" s="2"/>
      <c r="M57" s="879"/>
      <c r="O57" s="580"/>
      <c r="P57" s="2">
        <f t="shared" si="5"/>
        <v>0</v>
      </c>
      <c r="Q57" s="879"/>
      <c r="S57" s="580"/>
      <c r="T57" s="2"/>
      <c r="U57" s="879"/>
    </row>
    <row r="58" spans="2:21" ht="17.100000000000001" customHeight="1">
      <c r="B58" s="335" t="s">
        <v>263</v>
      </c>
      <c r="D58" s="335" t="s">
        <v>497</v>
      </c>
      <c r="E58" s="675">
        <f>INTERCEPT(D52:F52,D53:F53)</f>
        <v>23.387588395599792</v>
      </c>
      <c r="F58" s="962">
        <f>IF($D$7="","",E58)</f>
        <v>23.387588395599792</v>
      </c>
      <c r="G58" s="335" t="s">
        <v>465</v>
      </c>
      <c r="J58" s="2">
        <v>6.400000000000003</v>
      </c>
      <c r="K58" s="580"/>
      <c r="L58" s="2"/>
      <c r="M58" s="879"/>
      <c r="N58" s="580"/>
      <c r="O58" s="2"/>
      <c r="P58" s="580"/>
      <c r="Q58" s="957"/>
      <c r="U58" s="879"/>
    </row>
    <row r="59" spans="2:21" ht="17.100000000000001" customHeight="1">
      <c r="B59" s="335" t="s">
        <v>498</v>
      </c>
      <c r="D59" s="335" t="s">
        <v>499</v>
      </c>
      <c r="E59" s="675">
        <f>DEGREES(ATAN(SLOPE(D52:F52,D53:F53)))</f>
        <v>21.485963160010922</v>
      </c>
      <c r="F59" s="962">
        <f>IF($D$7="","",E59)</f>
        <v>21.485963160010922</v>
      </c>
      <c r="G59" s="335" t="s">
        <v>500</v>
      </c>
    </row>
    <row r="60" spans="2:21" ht="17.100000000000001" customHeight="1"/>
    <row r="61" spans="2:21" ht="17.100000000000001" customHeight="1">
      <c r="I61" s="335" t="s">
        <v>631</v>
      </c>
    </row>
    <row r="62" spans="2:21" ht="17.100000000000001" customHeight="1"/>
    <row r="63" spans="2:21" ht="17.100000000000001" customHeight="1">
      <c r="I63" s="335" t="s">
        <v>505</v>
      </c>
    </row>
    <row r="64" spans="2:21" ht="17.100000000000001" customHeight="1"/>
    <row r="65" spans="2:12" ht="17.100000000000001" customHeight="1">
      <c r="I65" s="335" t="s">
        <v>558</v>
      </c>
      <c r="J65" s="577">
        <f>E58</f>
        <v>23.387588395599792</v>
      </c>
    </row>
    <row r="66" spans="2:12" ht="17.100000000000001" customHeight="1">
      <c r="I66" s="335" t="s">
        <v>504</v>
      </c>
      <c r="J66" s="335">
        <f>SLOPE(D52:F52,D53:F53)</f>
        <v>0.39362749999999996</v>
      </c>
    </row>
    <row r="67" spans="2:12" ht="17.100000000000001" customHeight="1"/>
    <row r="68" spans="2:12" ht="17.100000000000001" customHeight="1">
      <c r="I68" s="335" t="s">
        <v>502</v>
      </c>
      <c r="J68" s="335" t="s">
        <v>503</v>
      </c>
    </row>
    <row r="69" spans="2:12" ht="17.100000000000001" customHeight="1">
      <c r="I69" s="335">
        <v>0</v>
      </c>
      <c r="J69" s="335">
        <f>$J$65+($J$66*I69)</f>
        <v>23.387588395599792</v>
      </c>
      <c r="K69" s="879">
        <f t="shared" ref="K69:K70" si="8">IF($D$7="",NA(),J69)</f>
        <v>23.387588395599792</v>
      </c>
    </row>
    <row r="70" spans="2:12" ht="17.100000000000001" customHeight="1">
      <c r="I70" s="335">
        <v>150</v>
      </c>
      <c r="J70" s="335">
        <f>$J$65+($J$66*I70)</f>
        <v>82.431713395599786</v>
      </c>
      <c r="K70" s="879">
        <f t="shared" si="8"/>
        <v>82.431713395599786</v>
      </c>
    </row>
    <row r="71" spans="2:12" ht="17.100000000000001" customHeight="1"/>
    <row r="72" spans="2:12" ht="17.100000000000001" customHeight="1"/>
    <row r="73" spans="2:12" ht="17.100000000000001" customHeight="1"/>
    <row r="74" spans="2:12" ht="17.100000000000001" customHeight="1"/>
    <row r="75" spans="2:12" ht="17.100000000000001" customHeight="1">
      <c r="B75" s="677" t="s">
        <v>479</v>
      </c>
      <c r="C75" s="677"/>
      <c r="D75" s="960">
        <v>1</v>
      </c>
      <c r="E75" s="961">
        <v>2</v>
      </c>
      <c r="F75" s="961">
        <v>3</v>
      </c>
      <c r="H75" s="677"/>
      <c r="J75" s="959"/>
      <c r="L75" s="959"/>
    </row>
    <row r="76" spans="2:12" ht="17.100000000000001" customHeight="1">
      <c r="B76" s="677" t="s">
        <v>726</v>
      </c>
      <c r="C76" s="677"/>
      <c r="D76" s="962">
        <f>IF($D$7="","",F27)</f>
        <v>5.94</v>
      </c>
      <c r="E76" s="962">
        <f t="shared" ref="E76:F76" si="9">IF($D$7="","",G27)</f>
        <v>5.94</v>
      </c>
      <c r="F76" s="962">
        <f t="shared" si="9"/>
        <v>5.94</v>
      </c>
      <c r="H76" s="958"/>
      <c r="J76" s="958"/>
      <c r="L76" s="958"/>
    </row>
    <row r="77" spans="2:12" ht="17.100000000000001" customHeight="1">
      <c r="B77" s="677" t="s">
        <v>727</v>
      </c>
      <c r="C77" s="677"/>
      <c r="D77" s="962">
        <f>IF($D$7="","",F25)</f>
        <v>2.4900000000000002</v>
      </c>
      <c r="E77" s="962">
        <f>IF($D$7="","",G25)</f>
        <v>2.4900000000000002</v>
      </c>
      <c r="F77" s="962">
        <f>IF($D$7="","",H25)</f>
        <v>2.4900000000000002</v>
      </c>
      <c r="H77" s="958"/>
      <c r="J77" s="958"/>
      <c r="L77" s="958"/>
    </row>
    <row r="78" spans="2:12" ht="17.100000000000001" customHeight="1">
      <c r="B78" s="677" t="s">
        <v>728</v>
      </c>
      <c r="C78" s="677"/>
      <c r="D78" s="962">
        <f t="shared" ref="D78:F79" si="10">IF($D$7="","",F28)</f>
        <v>27.711674638050212</v>
      </c>
      <c r="E78" s="962">
        <f t="shared" si="10"/>
        <v>27.711674638050212</v>
      </c>
      <c r="F78" s="962">
        <f t="shared" si="10"/>
        <v>27.711674638050212</v>
      </c>
      <c r="H78" s="958"/>
      <c r="J78" s="958"/>
      <c r="L78" s="958"/>
    </row>
    <row r="79" spans="2:12" ht="17.100000000000001" customHeight="1">
      <c r="B79" s="677" t="s">
        <v>729</v>
      </c>
      <c r="C79" s="677"/>
      <c r="D79" s="962">
        <f t="shared" si="10"/>
        <v>69.002069848745037</v>
      </c>
      <c r="E79" s="962">
        <f t="shared" si="10"/>
        <v>69.002069848745037</v>
      </c>
      <c r="F79" s="962">
        <f t="shared" si="10"/>
        <v>69.002069848745037</v>
      </c>
      <c r="H79" s="958"/>
      <c r="J79" s="958"/>
      <c r="L79" s="958"/>
    </row>
    <row r="80" spans="2:12" ht="17.100000000000001" customHeight="1">
      <c r="B80" s="677" t="s">
        <v>530</v>
      </c>
      <c r="C80" s="677"/>
      <c r="D80" s="962">
        <f>IF($D$7="","",F45)</f>
        <v>14.910149750415972</v>
      </c>
      <c r="E80" s="962">
        <f>IF($D$7="","",G45)</f>
        <v>16.186408423901554</v>
      </c>
      <c r="F80" s="962">
        <f>IF($D$7="","",H45)</f>
        <v>15.442807052778692</v>
      </c>
      <c r="H80" s="958"/>
      <c r="J80" s="958"/>
      <c r="L80" s="958"/>
    </row>
    <row r="81" spans="2:12" ht="17.100000000000001" customHeight="1">
      <c r="B81" s="677" t="s">
        <v>719</v>
      </c>
      <c r="C81" s="677"/>
      <c r="D81" s="962">
        <f>IF($D$7="","",F33)</f>
        <v>1.8215250683858426</v>
      </c>
      <c r="E81" s="962">
        <f>IF($D$7="","",G33)</f>
        <v>1.7858449792900115</v>
      </c>
      <c r="F81" s="962">
        <f>IF($D$7="","",H33)</f>
        <v>1.8036560392001566</v>
      </c>
      <c r="H81" s="958"/>
      <c r="J81" s="958" t="s">
        <v>1468</v>
      </c>
      <c r="L81" s="958"/>
    </row>
    <row r="82" spans="2:12" ht="17.100000000000001" customHeight="1">
      <c r="B82" s="677" t="s">
        <v>720</v>
      </c>
      <c r="C82" s="678"/>
      <c r="D82" s="962">
        <f>IF($D$7="","",F47)</f>
        <v>1.7419767300239344</v>
      </c>
      <c r="E82" s="962">
        <f>IF($D$7="","",G47)</f>
        <v>1.7134993234141425</v>
      </c>
      <c r="F82" s="962">
        <f>IF($D$7="","",H47)</f>
        <v>1.7318176144852757</v>
      </c>
      <c r="H82" s="958"/>
      <c r="J82" s="958">
        <f>D53</f>
        <v>35.388153650356202</v>
      </c>
      <c r="L82" s="958"/>
    </row>
    <row r="83" spans="2:12" ht="17.100000000000001" customHeight="1">
      <c r="J83" s="1337">
        <f>E53</f>
        <v>70.776307300712404</v>
      </c>
    </row>
    <row r="84" spans="2:12" ht="17.100000000000001" customHeight="1">
      <c r="J84" s="1337">
        <f>F53</f>
        <v>141.55261460142481</v>
      </c>
    </row>
    <row r="85" spans="2:12" ht="17.100000000000001" customHeight="1">
      <c r="B85" s="677" t="s">
        <v>58</v>
      </c>
      <c r="C85" s="677"/>
      <c r="D85" s="962">
        <f t="shared" ref="D85:F86" si="11">IF($D$7="","",L19)</f>
        <v>10</v>
      </c>
      <c r="E85" s="962">
        <f t="shared" si="11"/>
        <v>20</v>
      </c>
      <c r="F85" s="962">
        <f t="shared" si="11"/>
        <v>40</v>
      </c>
      <c r="H85" s="964"/>
      <c r="J85" s="964"/>
      <c r="L85" s="964"/>
    </row>
    <row r="86" spans="2:12" ht="17.100000000000001" customHeight="1">
      <c r="B86" s="677" t="s">
        <v>724</v>
      </c>
      <c r="C86" s="677"/>
      <c r="D86" s="962">
        <f t="shared" si="11"/>
        <v>35.388153650356202</v>
      </c>
      <c r="E86" s="962">
        <f t="shared" si="11"/>
        <v>70.776307300712404</v>
      </c>
      <c r="F86" s="962">
        <f t="shared" si="11"/>
        <v>141.55261460142481</v>
      </c>
      <c r="H86" s="958"/>
      <c r="J86" s="958"/>
      <c r="L86" s="958"/>
    </row>
    <row r="87" spans="2:12" ht="17.100000000000001" customHeight="1">
      <c r="B87" s="677" t="s">
        <v>725</v>
      </c>
      <c r="C87" s="677"/>
      <c r="D87" s="962">
        <f>IF($D$7="","",D52)</f>
        <v>37.420141432959653</v>
      </c>
      <c r="E87" s="962">
        <f>IF($D$7="","",E52)</f>
        <v>51.09288541807954</v>
      </c>
      <c r="F87" s="962">
        <f>IF($D$7="","",F52)</f>
        <v>79.157991492799269</v>
      </c>
      <c r="H87" s="958"/>
      <c r="J87" s="958" t="s">
        <v>821</v>
      </c>
      <c r="L87" s="958"/>
    </row>
    <row r="88" spans="2:12" ht="17.100000000000001" customHeight="1">
      <c r="J88" t="str">
        <f>"σₙ ="&amp;TEXT(J82,"0")&amp;" kPa"</f>
        <v>σₙ =35 kPa</v>
      </c>
    </row>
    <row r="89" spans="2:12" ht="17.100000000000001" customHeight="1">
      <c r="J89" t="str">
        <f t="shared" ref="J89:J90" si="12">"σₙ ="&amp;TEXT(J83,"0")&amp;" kPa"</f>
        <v>σₙ =71 kPa</v>
      </c>
    </row>
    <row r="90" spans="2:12" ht="17.100000000000001" customHeight="1">
      <c r="J90" t="str">
        <f t="shared" si="12"/>
        <v>σₙ =142 kPa</v>
      </c>
    </row>
    <row r="91" spans="2:12" ht="17.100000000000001" customHeight="1"/>
    <row r="92" spans="2:12" ht="17.100000000000001" customHeight="1"/>
    <row r="93" spans="2:12" ht="17.100000000000001" customHeight="1"/>
    <row r="94" spans="2:12" ht="17.100000000000001" customHeight="1"/>
    <row r="95" spans="2:12" ht="17.100000000000001" customHeight="1"/>
    <row r="96" spans="2:12" ht="17.100000000000001" customHeight="1"/>
    <row r="97" spans="1:21" ht="17.100000000000001" customHeight="1"/>
    <row r="98" spans="1:21" ht="17.100000000000001" customHeight="1"/>
    <row r="99" spans="1:21" ht="17.100000000000001" customHeight="1"/>
    <row r="100" spans="1:21" ht="17.100000000000001" customHeight="1"/>
    <row r="101" spans="1:21" ht="17.100000000000001" customHeight="1"/>
    <row r="102" spans="1:21" ht="17.100000000000001" customHeight="1"/>
    <row r="103" spans="1:21" ht="17.100000000000001" customHeight="1"/>
    <row r="104" spans="1:21" ht="17.100000000000001" customHeight="1"/>
    <row r="105" spans="1:21" ht="17.100000000000001" customHeight="1"/>
    <row r="106" spans="1:21" ht="17.100000000000001" customHeight="1"/>
    <row r="107" spans="1:21" ht="17.100000000000001" customHeight="1"/>
    <row r="108" spans="1:21" ht="17.100000000000001" customHeight="1"/>
    <row r="109" spans="1:21" ht="17.100000000000001" customHeight="1"/>
    <row r="110" spans="1:21" ht="17.100000000000001" customHeight="1"/>
    <row r="111" spans="1:21" ht="17.100000000000001" customHeight="1">
      <c r="A111" s="1998" t="s">
        <v>632</v>
      </c>
      <c r="B111" s="1998"/>
      <c r="C111" s="1998"/>
      <c r="D111" s="1998"/>
      <c r="E111" s="1998"/>
      <c r="F111" s="1998"/>
      <c r="G111" s="1998"/>
      <c r="H111" s="1998"/>
      <c r="I111" s="1998"/>
      <c r="J111" s="1998"/>
      <c r="K111" s="1998"/>
      <c r="L111" s="1998"/>
      <c r="M111" s="1998"/>
      <c r="N111" s="1998"/>
      <c r="O111" s="1998"/>
      <c r="P111" s="1998"/>
      <c r="Q111" s="1998"/>
      <c r="R111" s="1998"/>
      <c r="S111" s="1998"/>
      <c r="T111" s="1998"/>
      <c r="U111" s="1998"/>
    </row>
    <row r="112" spans="1:21" ht="17.100000000000001"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4" ht="17.100000000000001" customHeight="1">
      <c r="A113" s="10"/>
      <c r="B113" s="10"/>
      <c r="C113" s="10"/>
      <c r="D113" s="10"/>
      <c r="E113" s="10"/>
      <c r="F113" s="10"/>
      <c r="G113" s="10"/>
      <c r="H113" s="10"/>
      <c r="I113" s="10"/>
      <c r="J113" s="10"/>
      <c r="K113" s="10"/>
      <c r="L113" s="10"/>
      <c r="M113" s="10"/>
      <c r="N113" s="10"/>
      <c r="O113" s="10"/>
      <c r="P113" s="10"/>
      <c r="Q113" s="10"/>
      <c r="R113" s="10"/>
      <c r="S113" s="10"/>
      <c r="T113" s="10"/>
      <c r="U113" s="10"/>
    </row>
    <row r="115" spans="1:24" ht="17.100000000000001" customHeight="1">
      <c r="A115" s="876"/>
      <c r="B115" s="876"/>
      <c r="C115" s="876"/>
      <c r="D115" s="876"/>
      <c r="E115" s="876"/>
      <c r="F115" s="876"/>
      <c r="G115" s="876"/>
      <c r="H115" s="876"/>
      <c r="I115" s="876"/>
      <c r="J115" s="876"/>
      <c r="K115" s="876"/>
      <c r="L115" s="876"/>
      <c r="M115" s="876"/>
      <c r="N115" s="876"/>
      <c r="O115" s="876"/>
      <c r="P115" s="876"/>
      <c r="Q115" s="876"/>
      <c r="R115" s="876"/>
      <c r="S115" s="876"/>
      <c r="T115" s="876"/>
      <c r="U115" s="876"/>
    </row>
    <row r="116" spans="1:24" ht="17.100000000000001" customHeight="1"/>
    <row r="117" spans="1:24" ht="17.100000000000001" customHeight="1">
      <c r="A117" s="1566" t="s">
        <v>1719</v>
      </c>
      <c r="B117" s="862"/>
      <c r="C117" s="14"/>
      <c r="D117" s="370"/>
      <c r="E117" s="370"/>
      <c r="F117"/>
      <c r="G117"/>
      <c r="H117"/>
      <c r="I117"/>
      <c r="J117"/>
      <c r="K117"/>
      <c r="L117"/>
      <c r="M117"/>
      <c r="N117"/>
      <c r="O117"/>
      <c r="P117"/>
      <c r="Q117"/>
      <c r="R117"/>
      <c r="S117"/>
      <c r="T117"/>
      <c r="U117"/>
      <c r="V117"/>
      <c r="W117"/>
      <c r="X117"/>
    </row>
    <row r="118" spans="1:24" ht="17.100000000000001" customHeight="1">
      <c r="A118" s="1570" t="s">
        <v>1890</v>
      </c>
      <c r="B118" s="862"/>
      <c r="C118" s="14"/>
      <c r="D118" s="370"/>
      <c r="E118" s="370"/>
      <c r="F118"/>
      <c r="G118"/>
      <c r="H118"/>
      <c r="I118"/>
      <c r="J118"/>
      <c r="K118"/>
      <c r="L118"/>
      <c r="M118"/>
      <c r="N118"/>
      <c r="O118"/>
      <c r="P118"/>
      <c r="Q118"/>
      <c r="R118"/>
      <c r="S118"/>
      <c r="T118"/>
      <c r="U118"/>
      <c r="V118"/>
      <c r="W118"/>
      <c r="X118"/>
    </row>
    <row r="119" spans="1:24" ht="17.100000000000001" customHeight="1">
      <c r="A119" s="1566" t="s">
        <v>1719</v>
      </c>
      <c r="B119" s="862"/>
      <c r="C119" s="14"/>
      <c r="D119" s="370"/>
      <c r="E119" s="370"/>
      <c r="F119"/>
      <c r="G119"/>
      <c r="H119"/>
      <c r="I119"/>
      <c r="J119"/>
      <c r="K119"/>
      <c r="L119"/>
      <c r="M119"/>
      <c r="N119"/>
      <c r="O119"/>
      <c r="P119"/>
      <c r="Q119"/>
      <c r="R119"/>
      <c r="S119"/>
      <c r="T119"/>
      <c r="U119"/>
      <c r="V119"/>
      <c r="W119"/>
      <c r="X119"/>
    </row>
    <row r="120" spans="1:24" ht="17.100000000000001" customHeight="1">
      <c r="A120" s="1566"/>
      <c r="B120" s="862"/>
      <c r="C120" s="14"/>
      <c r="D120" s="370"/>
      <c r="E120" s="370"/>
      <c r="F120"/>
      <c r="G120"/>
      <c r="H120"/>
      <c r="I120"/>
      <c r="J120"/>
      <c r="K120"/>
      <c r="L120"/>
      <c r="M120"/>
      <c r="N120"/>
      <c r="O120"/>
      <c r="P120"/>
      <c r="Q120"/>
      <c r="R120"/>
      <c r="S120"/>
      <c r="T120"/>
      <c r="U120"/>
      <c r="V120"/>
      <c r="W120"/>
      <c r="X120"/>
    </row>
    <row r="121" spans="1:24" ht="17.100000000000001" customHeight="1">
      <c r="A121"/>
      <c r="B121" t="s">
        <v>1611</v>
      </c>
      <c r="C121" s="299" t="str">
        <f>H12</f>
        <v>SLT</v>
      </c>
      <c r="D121"/>
      <c r="E121"/>
      <c r="F121"/>
      <c r="G121"/>
      <c r="H121"/>
      <c r="I121"/>
      <c r="J121"/>
      <c r="K121"/>
      <c r="L121"/>
      <c r="M121"/>
      <c r="N121"/>
      <c r="O121"/>
      <c r="P121"/>
      <c r="Q121"/>
      <c r="R121"/>
      <c r="S121"/>
      <c r="T121"/>
      <c r="U121"/>
      <c r="V121"/>
      <c r="W121"/>
      <c r="X121"/>
    </row>
    <row r="122" spans="1:24" ht="17.100000000000001" customHeight="1">
      <c r="A122"/>
      <c r="B122" s="116"/>
      <c r="C122"/>
      <c r="D122"/>
      <c r="E122"/>
      <c r="F122"/>
      <c r="G122"/>
      <c r="H122" s="116"/>
      <c r="I122"/>
      <c r="J122"/>
      <c r="K122"/>
      <c r="L122"/>
      <c r="M122"/>
      <c r="N122" s="116"/>
      <c r="O122"/>
      <c r="P122"/>
      <c r="Q122"/>
      <c r="R122"/>
      <c r="S122"/>
      <c r="T122"/>
      <c r="U122"/>
      <c r="V122"/>
      <c r="W122"/>
      <c r="X122"/>
    </row>
    <row r="123" spans="1:24" ht="17.100000000000001" customHeight="1">
      <c r="A123"/>
      <c r="B123" s="116" t="s">
        <v>1793</v>
      </c>
      <c r="C123"/>
      <c r="D123"/>
      <c r="E123"/>
      <c r="F123"/>
      <c r="G123"/>
      <c r="H123" s="116"/>
      <c r="I123"/>
      <c r="J123"/>
      <c r="K123"/>
      <c r="L123"/>
      <c r="M123"/>
      <c r="N123" s="116"/>
      <c r="O123"/>
      <c r="P123"/>
      <c r="Q123"/>
      <c r="R123"/>
      <c r="S123"/>
      <c r="T123"/>
      <c r="U123"/>
      <c r="V123"/>
      <c r="W123"/>
      <c r="X123"/>
    </row>
    <row r="124" spans="1:24" ht="17.100000000000001" customHeight="1">
      <c r="A124"/>
      <c r="B124" s="1866" t="s">
        <v>124</v>
      </c>
      <c r="C124" s="1866"/>
      <c r="D124" s="1866" t="s">
        <v>1783</v>
      </c>
      <c r="E124" s="1867" t="s">
        <v>1788</v>
      </c>
      <c r="F124" s="1867"/>
      <c r="G124" s="1868" t="s">
        <v>1789</v>
      </c>
      <c r="H124" s="1868"/>
      <c r="I124" s="1868"/>
      <c r="J124" s="1868"/>
      <c r="K124" s="1868"/>
      <c r="L124" s="1868"/>
      <c r="M124" s="1868"/>
      <c r="N124" s="1868"/>
      <c r="O124"/>
      <c r="P124"/>
      <c r="Q124"/>
      <c r="R124"/>
      <c r="S124"/>
      <c r="T124"/>
      <c r="U124"/>
      <c r="V124"/>
      <c r="W124"/>
      <c r="X124"/>
    </row>
    <row r="125" spans="1:24" ht="17.100000000000001" customHeight="1">
      <c r="A125"/>
      <c r="B125" s="1866"/>
      <c r="C125" s="1866"/>
      <c r="D125" s="1866"/>
      <c r="E125" s="1581" t="s">
        <v>1598</v>
      </c>
      <c r="F125" s="1581" t="s">
        <v>1718</v>
      </c>
      <c r="G125" s="1579" t="s">
        <v>1790</v>
      </c>
      <c r="H125" s="1579" t="s">
        <v>1684</v>
      </c>
      <c r="I125" s="1580" t="s">
        <v>1794</v>
      </c>
      <c r="J125" s="1580" t="s">
        <v>438</v>
      </c>
      <c r="K125" s="1580" t="s">
        <v>1791</v>
      </c>
      <c r="L125" s="1580" t="s">
        <v>1598</v>
      </c>
      <c r="M125" s="1580" t="s">
        <v>1792</v>
      </c>
      <c r="N125" s="1580" t="s">
        <v>1718</v>
      </c>
      <c r="O125"/>
      <c r="P125"/>
      <c r="Q125"/>
      <c r="R125" t="s">
        <v>575</v>
      </c>
      <c r="S125" t="s">
        <v>1607</v>
      </c>
      <c r="T125" t="s">
        <v>1608</v>
      </c>
      <c r="U125" t="s">
        <v>1715</v>
      </c>
      <c r="V125"/>
      <c r="W125"/>
      <c r="X125"/>
    </row>
    <row r="126" spans="1:24" ht="51" customHeight="1">
      <c r="A126"/>
      <c r="B126" s="2004" t="s">
        <v>1888</v>
      </c>
      <c r="C126" s="2004"/>
      <c r="D126" s="1585">
        <f>E58</f>
        <v>23.387588395599792</v>
      </c>
      <c r="E126" s="3" t="str">
        <f>IF(D126="","CHECK",
IFERROR(
IF(AND(
D126&gt;=INDEX($S$126:$S$127,MATCH(B126,$R$126:$R$127,0)),
D126&lt;=INDEX($T$126:$T$127,MATCH(B126,$R$126:$R$127,0))
),
"PASS",
"REVIEW"),
"CHECK"))</f>
        <v>PASS</v>
      </c>
      <c r="F126" s="1586" t="str">
        <f>IFERROR(
INDEX($U$126:$U$127,
MATCH(B126,$R$126:$R$127,0)),
"")</f>
        <v>ASTM D3080; Das (2016)</v>
      </c>
      <c r="G126" s="1587" t="str" cm="1">
        <f t="array" ref="G126">IFERROR(
INDEX($R$133:$R$142,
MATCH(1,
($Q$133:$Q$142=$B126)*
($U$133:$U$142&gt;=D126)*
($T$133:$T$142&lt;=D126),
0)),
"")</f>
        <v>Sedang</v>
      </c>
      <c r="H126" s="1587" cm="1">
        <f t="array" ref="H126">IFERROR(
INDEX($S$133:$S$142,
MATCH(1,
($Q$133:$Q$142=$B126)*
($U$133:$U$142&gt;=D126)*
($T$133:$T$142&lt;=D126),
0)),
"")</f>
        <v>3</v>
      </c>
      <c r="I126" s="1587" t="str" cm="1">
        <f t="array" ref="I126">IFERROR(
INDEX($Q$146:$Q$169,
MATCH(1,
($O$146:$O$169=$C$121)*
($P$146:$P$169=$B126),
0)),
"")</f>
        <v>Rendah</v>
      </c>
      <c r="J126" s="1587" cm="1">
        <f t="array" ref="J126">IFERROR(
INDEX($R$146:$R$169,
MATCH(1,
($O$146:$O$169=$C$121)*
($P$146:$P$169=$B126),
0)),
"")</f>
        <v>2</v>
      </c>
      <c r="K126" s="1587" cm="1">
        <f t="array" ref="K126">IFERROR(
INDEX($S$146:$S$169,
MATCH(1,
($O$146:$O$169=$C$121)*
($P$146:$P$169=$B126),
0)),
"")</f>
        <v>3</v>
      </c>
      <c r="L126" s="3" t="str">
        <f>IF(AND(H126&gt;=J126,H126&lt;=K126),"PASS","REVIEW")</f>
        <v>PASS</v>
      </c>
      <c r="M126" s="1588" t="str" cm="1">
        <f t="array" ref="M126">IFERROR(
INDEX($T$146:$T$169,
MATCH(1,
($O$146:$O$169=$C$121)*
($P$146:$P$169=$B126),
0)),
"")</f>
        <v>Lanau umumnya mempunyai kohesi rendah.</v>
      </c>
      <c r="N126" s="1587" cm="1">
        <f t="array" ref="N126">IFERROR(
INDEX($S$146:$S$169,
MATCH(1,
($O$146:$O$169=$C$121)*
($P$146:$P$169=$B126),
0)),
"")</f>
        <v>3</v>
      </c>
      <c r="O126"/>
      <c r="P126"/>
      <c r="Q126"/>
      <c r="R126" s="5" t="s">
        <v>1888</v>
      </c>
      <c r="S126">
        <v>0</v>
      </c>
      <c r="T126">
        <v>300</v>
      </c>
      <c r="U126" t="s">
        <v>1787</v>
      </c>
      <c r="V126"/>
      <c r="W126"/>
      <c r="X126"/>
    </row>
    <row r="127" spans="1:24" ht="54.75" customHeight="1">
      <c r="A127"/>
      <c r="B127" s="2004" t="s">
        <v>1889</v>
      </c>
      <c r="C127" s="2004"/>
      <c r="D127" s="1585">
        <f>E59</f>
        <v>21.485963160010922</v>
      </c>
      <c r="E127" s="3" t="str">
        <f>IF(D127="","CHECK",
IFERROR(
IF(AND(
D127&gt;=INDEX($S$126:$S$127,MATCH(B127,$R$126:$R$127,0)),
D127&lt;=INDEX($T$126:$T$127,MATCH(B127,$R$126:$R$127,0))
),
"PASS",
"REVIEW"),
"CHECK"))</f>
        <v>PASS</v>
      </c>
      <c r="F127" s="1586" t="str">
        <f>IFERROR(
INDEX($U$126:$U$127,
MATCH(B127,$R$126:$R$127,0)),
"")</f>
        <v>ASTM D3080; Das (2016)</v>
      </c>
      <c r="G127" s="1587" t="str" cm="1">
        <f t="array" ref="G127">IFERROR(
INDEX($R$133:$R$142,
MATCH(1,
($Q$133:$Q$142=$B127)*
($U$133:$U$142&gt;=D127)*
($T$133:$T$142&lt;=D127),
0)),
"")</f>
        <v>Sedang</v>
      </c>
      <c r="H127" s="1587" cm="1">
        <f t="array" ref="H127">IFERROR(
INDEX($S$133:$S$142,
MATCH(1,
($Q$133:$Q$142=$B127)*
($U$133:$U$142&gt;=D127)*
($T$133:$T$142&lt;=D127),
0)),
"")</f>
        <v>3</v>
      </c>
      <c r="I127" s="1587" t="str" cm="1">
        <f t="array" ref="I127">IFERROR(
INDEX($Q$146:$Q$169,
MATCH(1,
($O$146:$O$169=$C$121)*
($P$146:$P$169=$B127),
0)),
"")</f>
        <v>Sedang</v>
      </c>
      <c r="J127" s="1587" cm="1">
        <f t="array" ref="J127">IFERROR(
INDEX($R$146:$R$169,
MATCH(1,
($O$146:$O$169=$C$121)*
($P$146:$P$169=$B127),
0)),
"")</f>
        <v>3</v>
      </c>
      <c r="K127" s="1587" cm="1">
        <f t="array" ref="K127">IFERROR(
INDEX($S$146:$S$169,
MATCH(1,
($O$146:$O$169=$C$121)*
($P$146:$P$169=$B127),
0)),
"")</f>
        <v>4</v>
      </c>
      <c r="L127" s="3" t="str">
        <f>IF(AND(H127&gt;=J127,H127&lt;=K127),"PASS","REVIEW")</f>
        <v>PASS</v>
      </c>
      <c r="M127" s="1588" t="str" cm="1">
        <f t="array" ref="M127">IFERROR(
INDEX($T$146:$T$169,
MATCH(1,
($O$146:$O$169=$C$121)*
($P$146:$P$169=$B127),
0)),
"")</f>
        <v>Sudut geser lanau umumnya sedang.</v>
      </c>
      <c r="N127" s="1587" cm="1">
        <f t="array" ref="N127">IFERROR(
INDEX($S$146:$S$169,
MATCH(1,
($O$146:$O$169=$C$121)*
($P$146:$P$169=$B127),
0)),
"")</f>
        <v>4</v>
      </c>
      <c r="O127"/>
      <c r="P127"/>
      <c r="Q127"/>
      <c r="R127" s="5" t="s">
        <v>1889</v>
      </c>
      <c r="S127">
        <v>0</v>
      </c>
      <c r="T127">
        <v>25</v>
      </c>
      <c r="U127" t="s">
        <v>1787</v>
      </c>
      <c r="V127"/>
      <c r="W127"/>
      <c r="X127"/>
    </row>
    <row r="128" spans="1:24" ht="17.100000000000001" customHeight="1">
      <c r="A128"/>
      <c r="B128"/>
      <c r="C128"/>
      <c r="D128"/>
      <c r="E128"/>
      <c r="F128"/>
      <c r="G128"/>
      <c r="H128"/>
      <c r="I128"/>
      <c r="J128"/>
      <c r="K128"/>
      <c r="L128"/>
      <c r="M128"/>
      <c r="N128"/>
      <c r="O128"/>
      <c r="P128"/>
      <c r="Q128"/>
      <c r="R128"/>
      <c r="S128"/>
      <c r="T128"/>
      <c r="U128"/>
      <c r="V128"/>
      <c r="W128"/>
      <c r="X128"/>
    </row>
    <row r="129" spans="1:24" ht="17.100000000000001" customHeight="1">
      <c r="A129"/>
      <c r="B129"/>
      <c r="C129"/>
      <c r="D129"/>
      <c r="E129"/>
      <c r="F129"/>
      <c r="G129"/>
      <c r="H129"/>
      <c r="I129"/>
      <c r="J129"/>
      <c r="K129"/>
      <c r="L129"/>
      <c r="M129"/>
      <c r="N129"/>
      <c r="O129"/>
      <c r="P129"/>
      <c r="Q129"/>
      <c r="R129"/>
      <c r="S129"/>
      <c r="T129"/>
      <c r="U129"/>
      <c r="V129"/>
      <c r="W129"/>
      <c r="X129"/>
    </row>
    <row r="130" spans="1:24" ht="17.100000000000001" customHeight="1">
      <c r="A130"/>
      <c r="B130"/>
      <c r="C130"/>
      <c r="D130"/>
      <c r="E130"/>
      <c r="F130"/>
      <c r="G130"/>
      <c r="H130"/>
      <c r="I130"/>
      <c r="J130"/>
      <c r="K130"/>
      <c r="L130"/>
      <c r="M130"/>
      <c r="N130"/>
      <c r="O130"/>
      <c r="P130"/>
      <c r="Q130"/>
      <c r="R130"/>
      <c r="S130"/>
      <c r="T130"/>
      <c r="U130"/>
      <c r="V130"/>
      <c r="W130"/>
      <c r="X130"/>
    </row>
    <row r="131" spans="1:24" ht="17.100000000000001" customHeight="1">
      <c r="A131"/>
      <c r="B131"/>
      <c r="C131"/>
      <c r="D131"/>
      <c r="E131"/>
      <c r="F131"/>
      <c r="G131"/>
      <c r="H131"/>
      <c r="I131"/>
      <c r="J131"/>
      <c r="K131"/>
      <c r="L131"/>
      <c r="M131"/>
      <c r="N131"/>
      <c r="O131"/>
      <c r="P131"/>
      <c r="Q131" t="s">
        <v>1797</v>
      </c>
      <c r="R131"/>
      <c r="S131"/>
      <c r="T131"/>
      <c r="U131"/>
      <c r="V131"/>
      <c r="W131"/>
      <c r="X131"/>
    </row>
    <row r="132" spans="1:24" ht="17.100000000000001" customHeight="1">
      <c r="A132" s="116" t="s">
        <v>1795</v>
      </c>
      <c r="B132"/>
      <c r="C132"/>
      <c r="D132"/>
      <c r="E132"/>
      <c r="F132"/>
      <c r="G132"/>
      <c r="H132"/>
      <c r="I132"/>
      <c r="J132"/>
      <c r="K132"/>
      <c r="L132"/>
      <c r="M132"/>
      <c r="N132"/>
      <c r="O132"/>
      <c r="P132"/>
      <c r="Q132" t="s">
        <v>575</v>
      </c>
      <c r="R132" t="s">
        <v>1682</v>
      </c>
      <c r="S132" t="s">
        <v>1684</v>
      </c>
      <c r="T132" t="s">
        <v>1607</v>
      </c>
      <c r="U132" t="s">
        <v>1608</v>
      </c>
      <c r="V132"/>
      <c r="W132"/>
      <c r="X132"/>
    </row>
    <row r="133" spans="1:24" ht="17.100000000000001" customHeight="1">
      <c r="A133" t="s">
        <v>1831</v>
      </c>
      <c r="B133"/>
      <c r="C133"/>
      <c r="D133" s="1583" t="str">
        <f>IF(COUNTIF(E126:E127,"REVIEW")&gt;0,
"REVIEW",
"PASS")</f>
        <v>PASS</v>
      </c>
      <c r="E133"/>
      <c r="F133"/>
      <c r="G133"/>
      <c r="H133"/>
      <c r="I133"/>
      <c r="J133"/>
      <c r="K133"/>
      <c r="L133"/>
      <c r="M133"/>
      <c r="N133"/>
      <c r="O133"/>
      <c r="P133"/>
      <c r="Q133" s="326" t="s">
        <v>1888</v>
      </c>
      <c r="R133" t="s">
        <v>1680</v>
      </c>
      <c r="S133">
        <v>1</v>
      </c>
      <c r="T133">
        <v>0</v>
      </c>
      <c r="U133">
        <v>5</v>
      </c>
      <c r="V133"/>
      <c r="W133"/>
      <c r="X133"/>
    </row>
    <row r="134" spans="1:24" ht="17.100000000000001" customHeight="1">
      <c r="A134" t="s">
        <v>1832</v>
      </c>
      <c r="B134"/>
      <c r="C134"/>
      <c r="D134" s="1583" t="str">
        <f>IF(COUNTIF(L126:L127,"REVIEW")&gt;0,
"REVIEW",
"PASS")</f>
        <v>PASS</v>
      </c>
      <c r="E134"/>
      <c r="F134"/>
      <c r="G134"/>
      <c r="H134"/>
      <c r="I134"/>
      <c r="J134"/>
      <c r="K134"/>
      <c r="L134"/>
      <c r="M134"/>
      <c r="N134"/>
      <c r="O134"/>
      <c r="P134"/>
      <c r="Q134" s="326" t="s">
        <v>1888</v>
      </c>
      <c r="R134" t="s">
        <v>1670</v>
      </c>
      <c r="S134">
        <v>2</v>
      </c>
      <c r="T134">
        <v>5.0999999999999996</v>
      </c>
      <c r="U134">
        <v>20</v>
      </c>
      <c r="V134"/>
      <c r="W134"/>
      <c r="X134"/>
    </row>
    <row r="135" spans="1:24" ht="17.100000000000001" customHeight="1">
      <c r="A135" t="s">
        <v>1605</v>
      </c>
      <c r="B135"/>
      <c r="C135"/>
      <c r="D135" s="1583" t="str">
        <f>IF(AND(D133="PASS",D134="PASS"),
"PASS",
IF(AND(D133="PASS",D134="REVIEW"),
"REVIEW",
IF(AND(D133="REVIEW",D134="PASS"),
"REVIEW",
"RE-ANALYZE")))</f>
        <v>PASS</v>
      </c>
      <c r="E135"/>
      <c r="F135"/>
      <c r="G135"/>
      <c r="H135"/>
      <c r="I135"/>
      <c r="J135"/>
      <c r="K135"/>
      <c r="L135"/>
      <c r="M135"/>
      <c r="N135"/>
      <c r="O135"/>
      <c r="P135"/>
      <c r="Q135" s="326" t="s">
        <v>1888</v>
      </c>
      <c r="R135" t="s">
        <v>1672</v>
      </c>
      <c r="S135">
        <v>3</v>
      </c>
      <c r="T135">
        <v>20.100000000000001</v>
      </c>
      <c r="U135">
        <v>50</v>
      </c>
      <c r="V135"/>
      <c r="W135"/>
      <c r="X135"/>
    </row>
    <row r="136" spans="1:24" ht="17.100000000000001" customHeight="1">
      <c r="A136"/>
      <c r="B136"/>
      <c r="C136"/>
      <c r="D136"/>
      <c r="E136"/>
      <c r="F136"/>
      <c r="G136"/>
      <c r="H136"/>
      <c r="I136"/>
      <c r="J136"/>
      <c r="K136"/>
      <c r="L136"/>
      <c r="M136"/>
      <c r="N136"/>
      <c r="O136"/>
      <c r="P136"/>
      <c r="Q136" s="326" t="s">
        <v>1888</v>
      </c>
      <c r="R136" t="s">
        <v>338</v>
      </c>
      <c r="S136">
        <v>4</v>
      </c>
      <c r="T136">
        <v>50.1</v>
      </c>
      <c r="U136">
        <v>100</v>
      </c>
      <c r="V136"/>
      <c r="W136"/>
      <c r="X136"/>
    </row>
    <row r="137" spans="1:24" ht="17.100000000000001" customHeight="1">
      <c r="A137" s="116" t="s">
        <v>1833</v>
      </c>
      <c r="B137"/>
      <c r="C137"/>
      <c r="D137"/>
      <c r="E137"/>
      <c r="F137"/>
      <c r="G137"/>
      <c r="H137"/>
      <c r="I137"/>
      <c r="J137"/>
      <c r="K137"/>
      <c r="L137"/>
      <c r="M137"/>
      <c r="N137"/>
      <c r="O137"/>
      <c r="P137"/>
      <c r="Q137" s="326" t="s">
        <v>1888</v>
      </c>
      <c r="R137" t="s">
        <v>1681</v>
      </c>
      <c r="S137">
        <v>5</v>
      </c>
      <c r="T137">
        <v>100.1</v>
      </c>
      <c r="U137">
        <v>300</v>
      </c>
      <c r="V137"/>
      <c r="W137"/>
      <c r="X137"/>
    </row>
    <row r="138" spans="1:24" ht="17.100000000000001" customHeight="1">
      <c r="A138"/>
      <c r="B138" s="1907" t="str" cm="1">
        <f t="array" ref="B138">IFERROR(
INDEX($R$173:$R$176,
MATCH(1,
($O$173:$O$176=D133)*
($P$173:$P$176=D134),
0)),
"")</f>
        <v>Parameter kuat geser total berada dalam rentang teoritis dan konsisten dengan karakteristik umum tanah berdasarkan deskripsi megaskopis. Hasil pengujian Direct Shear UU dapat diterima secara engineering.</v>
      </c>
      <c r="C138" s="1907"/>
      <c r="D138" s="1907"/>
      <c r="E138" s="1907"/>
      <c r="F138" s="1907"/>
      <c r="G138" s="1907"/>
      <c r="H138" s="1907"/>
      <c r="I138" s="1907"/>
      <c r="J138" s="1907"/>
      <c r="K138" s="1907"/>
      <c r="L138" s="1907"/>
      <c r="M138"/>
      <c r="N138"/>
      <c r="O138"/>
      <c r="P138"/>
      <c r="Q138" t="s">
        <v>1889</v>
      </c>
      <c r="R138" t="s">
        <v>1680</v>
      </c>
      <c r="S138">
        <v>1</v>
      </c>
      <c r="T138">
        <v>0</v>
      </c>
      <c r="U138">
        <v>10</v>
      </c>
      <c r="V138"/>
      <c r="W138"/>
      <c r="X138"/>
    </row>
    <row r="139" spans="1:24" ht="17.100000000000001" customHeight="1">
      <c r="A139"/>
      <c r="B139" s="1907"/>
      <c r="C139" s="1907"/>
      <c r="D139" s="1907"/>
      <c r="E139" s="1907"/>
      <c r="F139" s="1907"/>
      <c r="G139" s="1907"/>
      <c r="H139" s="1907"/>
      <c r="I139" s="1907"/>
      <c r="J139" s="1907"/>
      <c r="K139" s="1907"/>
      <c r="L139" s="1907"/>
      <c r="M139"/>
      <c r="N139"/>
      <c r="O139"/>
      <c r="P139"/>
      <c r="Q139" t="s">
        <v>1889</v>
      </c>
      <c r="R139" t="s">
        <v>1670</v>
      </c>
      <c r="S139">
        <v>2</v>
      </c>
      <c r="T139">
        <v>10.1</v>
      </c>
      <c r="U139">
        <v>20</v>
      </c>
      <c r="V139"/>
      <c r="W139"/>
      <c r="X139"/>
    </row>
    <row r="140" spans="1:24" ht="17.100000000000001" customHeight="1">
      <c r="A140"/>
      <c r="B140"/>
      <c r="C140"/>
      <c r="D140"/>
      <c r="E140"/>
      <c r="F140"/>
      <c r="G140"/>
      <c r="H140"/>
      <c r="I140"/>
      <c r="J140"/>
      <c r="K140"/>
      <c r="L140"/>
      <c r="M140"/>
      <c r="N140"/>
      <c r="O140"/>
      <c r="P140"/>
      <c r="Q140" t="s">
        <v>1889</v>
      </c>
      <c r="R140" t="s">
        <v>1672</v>
      </c>
      <c r="S140">
        <v>3</v>
      </c>
      <c r="T140">
        <v>20.100000000000001</v>
      </c>
      <c r="U140">
        <v>30</v>
      </c>
      <c r="V140"/>
      <c r="W140"/>
      <c r="X140"/>
    </row>
    <row r="141" spans="1:24" ht="17.100000000000001" customHeight="1">
      <c r="A141"/>
      <c r="B141"/>
      <c r="C141"/>
      <c r="D141"/>
      <c r="E141"/>
      <c r="F141"/>
      <c r="G141"/>
      <c r="H141"/>
      <c r="I141"/>
      <c r="J141"/>
      <c r="K141"/>
      <c r="L141"/>
      <c r="M141"/>
      <c r="N141"/>
      <c r="O141"/>
      <c r="P141"/>
      <c r="Q141" t="s">
        <v>1889</v>
      </c>
      <c r="R141" t="s">
        <v>338</v>
      </c>
      <c r="S141">
        <v>4</v>
      </c>
      <c r="T141">
        <v>30.1</v>
      </c>
      <c r="U141">
        <v>40</v>
      </c>
      <c r="V141"/>
      <c r="W141"/>
      <c r="X141"/>
    </row>
    <row r="142" spans="1:24" ht="17.100000000000001" customHeight="1">
      <c r="A142"/>
      <c r="B142"/>
      <c r="C142"/>
      <c r="D142"/>
      <c r="E142"/>
      <c r="F142"/>
      <c r="G142"/>
      <c r="H142"/>
      <c r="I142"/>
      <c r="J142"/>
      <c r="K142"/>
      <c r="L142"/>
      <c r="M142"/>
      <c r="N142"/>
      <c r="O142"/>
      <c r="P142"/>
      <c r="Q142" t="s">
        <v>1889</v>
      </c>
      <c r="R142" t="s">
        <v>1681</v>
      </c>
      <c r="S142">
        <v>5</v>
      </c>
      <c r="T142">
        <v>40.1</v>
      </c>
      <c r="U142">
        <v>50</v>
      </c>
      <c r="V142"/>
      <c r="W142"/>
      <c r="X142"/>
    </row>
    <row r="143" spans="1:24" ht="17.100000000000001" customHeight="1">
      <c r="A143"/>
      <c r="B143"/>
      <c r="C143"/>
      <c r="D143"/>
      <c r="E143"/>
      <c r="F143"/>
      <c r="G143"/>
      <c r="H143"/>
      <c r="I143"/>
      <c r="J143"/>
      <c r="K143"/>
      <c r="L143"/>
      <c r="M143"/>
      <c r="N143"/>
      <c r="O143"/>
      <c r="P143"/>
      <c r="Q143"/>
      <c r="R143"/>
      <c r="S143"/>
      <c r="T143"/>
      <c r="U143"/>
      <c r="V143"/>
      <c r="W143"/>
      <c r="X143"/>
    </row>
    <row r="144" spans="1:24" ht="17.100000000000001" customHeight="1">
      <c r="A144"/>
      <c r="B144"/>
      <c r="C144"/>
      <c r="D144"/>
      <c r="E144"/>
      <c r="F144"/>
      <c r="G144"/>
      <c r="H144"/>
      <c r="I144"/>
      <c r="J144"/>
      <c r="K144" s="1578"/>
      <c r="L144" s="1578"/>
      <c r="M144" s="1578"/>
      <c r="N144"/>
      <c r="O144" t="s">
        <v>1798</v>
      </c>
      <c r="P144"/>
      <c r="Q144"/>
      <c r="R144"/>
      <c r="S144"/>
      <c r="T144"/>
      <c r="U144"/>
      <c r="V144"/>
      <c r="W144"/>
      <c r="X144"/>
    </row>
    <row r="145" spans="1:24" ht="17.100000000000001" customHeight="1">
      <c r="A145"/>
      <c r="B145"/>
      <c r="C145"/>
      <c r="D145"/>
      <c r="E145"/>
      <c r="F145"/>
      <c r="G145"/>
      <c r="H145"/>
      <c r="I145"/>
      <c r="J145"/>
      <c r="K145" s="5"/>
      <c r="L145" s="5"/>
      <c r="M145" s="5"/>
      <c r="N145"/>
      <c r="O145" t="s">
        <v>1611</v>
      </c>
      <c r="P145" t="s">
        <v>575</v>
      </c>
      <c r="Q145" t="s">
        <v>1683</v>
      </c>
      <c r="R145" t="s">
        <v>1607</v>
      </c>
      <c r="S145" t="s">
        <v>1608</v>
      </c>
      <c r="T145" t="s">
        <v>1685</v>
      </c>
      <c r="U145" t="s">
        <v>1715</v>
      </c>
      <c r="V145"/>
      <c r="W145"/>
      <c r="X145"/>
    </row>
    <row r="146" spans="1:24" ht="17.100000000000001" customHeight="1">
      <c r="A146"/>
      <c r="B146"/>
      <c r="C146"/>
      <c r="D146"/>
      <c r="E146"/>
      <c r="F146"/>
      <c r="G146"/>
      <c r="H146"/>
      <c r="I146"/>
      <c r="J146"/>
      <c r="K146" s="5"/>
      <c r="L146" s="5"/>
      <c r="M146" s="5"/>
      <c r="N146"/>
      <c r="O146" t="s">
        <v>1612</v>
      </c>
      <c r="P146" t="s">
        <v>1888</v>
      </c>
      <c r="Q146" t="s">
        <v>1771</v>
      </c>
      <c r="R146">
        <v>3</v>
      </c>
      <c r="S146">
        <v>5</v>
      </c>
      <c r="T146" t="s">
        <v>1799</v>
      </c>
      <c r="U146" t="s">
        <v>1716</v>
      </c>
      <c r="V146"/>
      <c r="W146"/>
      <c r="X146"/>
    </row>
    <row r="147" spans="1:24" ht="17.100000000000001" customHeight="1">
      <c r="A147"/>
      <c r="B147"/>
      <c r="C147"/>
      <c r="D147"/>
      <c r="E147"/>
      <c r="F147"/>
      <c r="G147"/>
      <c r="H147"/>
      <c r="I147"/>
      <c r="J147"/>
      <c r="K147" s="5"/>
      <c r="L147" s="5"/>
      <c r="M147" s="5"/>
      <c r="N147"/>
      <c r="O147" t="s">
        <v>1612</v>
      </c>
      <c r="P147" t="s">
        <v>1889</v>
      </c>
      <c r="Q147" t="s">
        <v>1742</v>
      </c>
      <c r="R147">
        <v>2</v>
      </c>
      <c r="S147">
        <v>3</v>
      </c>
      <c r="T147" t="s">
        <v>1800</v>
      </c>
      <c r="U147" t="s">
        <v>1716</v>
      </c>
      <c r="V147"/>
      <c r="W147"/>
      <c r="X147"/>
    </row>
    <row r="148" spans="1:24" ht="17.100000000000001" customHeight="1">
      <c r="A148"/>
      <c r="B148"/>
      <c r="C148"/>
      <c r="D148"/>
      <c r="E148"/>
      <c r="F148"/>
      <c r="G148"/>
      <c r="H148"/>
      <c r="I148"/>
      <c r="J148"/>
      <c r="K148" s="5"/>
      <c r="L148" s="5"/>
      <c r="M148" s="5"/>
      <c r="N148"/>
      <c r="O148" t="s">
        <v>1614</v>
      </c>
      <c r="P148" t="s">
        <v>1888</v>
      </c>
      <c r="Q148" t="s">
        <v>1672</v>
      </c>
      <c r="R148">
        <v>3</v>
      </c>
      <c r="S148">
        <v>4</v>
      </c>
      <c r="T148" t="s">
        <v>1801</v>
      </c>
      <c r="U148" t="s">
        <v>1716</v>
      </c>
      <c r="V148"/>
      <c r="W148"/>
      <c r="X148"/>
    </row>
    <row r="149" spans="1:24" ht="17.100000000000001" customHeight="1">
      <c r="A149"/>
      <c r="B149"/>
      <c r="C149"/>
      <c r="D149"/>
      <c r="E149"/>
      <c r="F149"/>
      <c r="G149"/>
      <c r="H149"/>
      <c r="I149"/>
      <c r="J149"/>
      <c r="K149" s="5"/>
      <c r="L149" s="5"/>
      <c r="M149" s="5"/>
      <c r="N149"/>
      <c r="O149" t="s">
        <v>1614</v>
      </c>
      <c r="P149" t="s">
        <v>1889</v>
      </c>
      <c r="Q149" t="s">
        <v>1672</v>
      </c>
      <c r="R149">
        <v>3</v>
      </c>
      <c r="S149">
        <v>4</v>
      </c>
      <c r="T149" t="s">
        <v>1802</v>
      </c>
      <c r="U149" t="s">
        <v>1716</v>
      </c>
      <c r="V149"/>
      <c r="W149"/>
      <c r="X149"/>
    </row>
    <row r="150" spans="1:24" ht="17.100000000000001" customHeight="1">
      <c r="A150"/>
      <c r="B150"/>
      <c r="C150"/>
      <c r="D150"/>
      <c r="E150"/>
      <c r="F150"/>
      <c r="G150"/>
      <c r="H150"/>
      <c r="I150"/>
      <c r="J150"/>
      <c r="K150" s="5"/>
      <c r="L150" s="5"/>
      <c r="M150" s="5"/>
      <c r="N150"/>
      <c r="O150" t="s">
        <v>1617</v>
      </c>
      <c r="P150" t="s">
        <v>1888</v>
      </c>
      <c r="Q150" t="s">
        <v>1672</v>
      </c>
      <c r="R150">
        <v>3</v>
      </c>
      <c r="S150">
        <v>4</v>
      </c>
      <c r="T150" t="s">
        <v>1803</v>
      </c>
      <c r="U150" t="s">
        <v>1716</v>
      </c>
      <c r="V150"/>
      <c r="W150"/>
      <c r="X150"/>
    </row>
    <row r="151" spans="1:24" ht="17.100000000000001" customHeight="1">
      <c r="A151"/>
      <c r="B151"/>
      <c r="C151"/>
      <c r="D151"/>
      <c r="E151"/>
      <c r="F151"/>
      <c r="G151"/>
      <c r="H151"/>
      <c r="I151"/>
      <c r="J151"/>
      <c r="K151" s="5"/>
      <c r="L151" s="5"/>
      <c r="M151" s="5"/>
      <c r="N151"/>
      <c r="O151" t="s">
        <v>1617</v>
      </c>
      <c r="P151" t="s">
        <v>1889</v>
      </c>
      <c r="Q151" t="s">
        <v>1742</v>
      </c>
      <c r="R151">
        <v>2</v>
      </c>
      <c r="S151">
        <v>3</v>
      </c>
      <c r="T151" t="s">
        <v>1804</v>
      </c>
      <c r="U151" t="s">
        <v>1716</v>
      </c>
      <c r="V151"/>
      <c r="W151"/>
      <c r="X151"/>
    </row>
    <row r="152" spans="1:24" ht="17.100000000000001" customHeight="1">
      <c r="A152"/>
      <c r="B152"/>
      <c r="C152"/>
      <c r="D152"/>
      <c r="E152"/>
      <c r="F152"/>
      <c r="G152"/>
      <c r="H152"/>
      <c r="I152"/>
      <c r="J152"/>
      <c r="K152" s="5"/>
      <c r="L152" s="5"/>
      <c r="M152" s="5"/>
      <c r="N152"/>
      <c r="O152" t="s">
        <v>1643</v>
      </c>
      <c r="P152" t="s">
        <v>1888</v>
      </c>
      <c r="Q152" t="s">
        <v>1672</v>
      </c>
      <c r="R152">
        <v>3</v>
      </c>
      <c r="S152">
        <v>4</v>
      </c>
      <c r="T152" t="s">
        <v>1805</v>
      </c>
      <c r="U152" t="s">
        <v>1716</v>
      </c>
      <c r="V152"/>
      <c r="W152"/>
      <c r="X152"/>
    </row>
    <row r="153" spans="1:24" ht="17.100000000000001" customHeight="1">
      <c r="A153"/>
      <c r="B153"/>
      <c r="C153"/>
      <c r="D153"/>
      <c r="E153"/>
      <c r="F153"/>
      <c r="G153"/>
      <c r="H153"/>
      <c r="I153"/>
      <c r="J153"/>
      <c r="K153"/>
      <c r="L153"/>
      <c r="M153"/>
      <c r="N153"/>
      <c r="O153" t="s">
        <v>1643</v>
      </c>
      <c r="P153" t="s">
        <v>1889</v>
      </c>
      <c r="Q153" t="s">
        <v>1771</v>
      </c>
      <c r="R153">
        <v>3</v>
      </c>
      <c r="S153">
        <v>4</v>
      </c>
      <c r="T153" t="s">
        <v>1806</v>
      </c>
      <c r="U153" t="s">
        <v>1716</v>
      </c>
      <c r="V153"/>
      <c r="W153"/>
      <c r="X153"/>
    </row>
    <row r="154" spans="1:24" ht="17.100000000000001" customHeight="1">
      <c r="A154"/>
      <c r="B154"/>
      <c r="C154"/>
      <c r="D154"/>
      <c r="E154"/>
      <c r="F154"/>
      <c r="G154"/>
      <c r="H154"/>
      <c r="I154"/>
      <c r="J154"/>
      <c r="K154"/>
      <c r="L154"/>
      <c r="M154"/>
      <c r="N154"/>
      <c r="O154" t="s">
        <v>1620</v>
      </c>
      <c r="P154" t="s">
        <v>1888</v>
      </c>
      <c r="Q154" t="s">
        <v>1680</v>
      </c>
      <c r="R154">
        <v>1</v>
      </c>
      <c r="S154">
        <v>2</v>
      </c>
      <c r="T154" t="s">
        <v>1807</v>
      </c>
      <c r="U154" t="s">
        <v>1716</v>
      </c>
      <c r="V154"/>
      <c r="W154"/>
      <c r="X154"/>
    </row>
    <row r="155" spans="1:24" ht="17.100000000000001" customHeight="1">
      <c r="A155"/>
      <c r="B155"/>
      <c r="C155"/>
      <c r="D155"/>
      <c r="E155"/>
      <c r="F155"/>
      <c r="G155"/>
      <c r="H155"/>
      <c r="I155"/>
      <c r="J155"/>
      <c r="K155"/>
      <c r="L155"/>
      <c r="M155"/>
      <c r="N155"/>
      <c r="O155" t="s">
        <v>1620</v>
      </c>
      <c r="P155" t="s">
        <v>1889</v>
      </c>
      <c r="Q155" t="s">
        <v>338</v>
      </c>
      <c r="R155">
        <v>4</v>
      </c>
      <c r="S155">
        <v>5</v>
      </c>
      <c r="T155" t="s">
        <v>1808</v>
      </c>
      <c r="U155" t="s">
        <v>1716</v>
      </c>
      <c r="V155"/>
      <c r="W155"/>
      <c r="X155"/>
    </row>
    <row r="156" spans="1:24" ht="17.100000000000001" customHeight="1">
      <c r="A156"/>
      <c r="B156"/>
      <c r="C156"/>
      <c r="D156"/>
      <c r="E156"/>
      <c r="F156"/>
      <c r="G156"/>
      <c r="H156"/>
      <c r="I156"/>
      <c r="J156"/>
      <c r="K156"/>
      <c r="L156"/>
      <c r="M156"/>
      <c r="N156"/>
      <c r="O156" t="s">
        <v>1621</v>
      </c>
      <c r="P156" t="s">
        <v>1888</v>
      </c>
      <c r="Q156" t="s">
        <v>1742</v>
      </c>
      <c r="R156">
        <v>2</v>
      </c>
      <c r="S156">
        <v>3</v>
      </c>
      <c r="T156" t="s">
        <v>1809</v>
      </c>
      <c r="U156" t="s">
        <v>1716</v>
      </c>
      <c r="V156"/>
      <c r="W156"/>
      <c r="X156"/>
    </row>
    <row r="157" spans="1:24" ht="17.100000000000001" customHeight="1">
      <c r="A157"/>
      <c r="B157"/>
      <c r="C157"/>
      <c r="D157"/>
      <c r="E157"/>
      <c r="F157"/>
      <c r="G157"/>
      <c r="H157"/>
      <c r="I157"/>
      <c r="J157"/>
      <c r="K157"/>
      <c r="L157"/>
      <c r="M157"/>
      <c r="N157"/>
      <c r="O157" t="s">
        <v>1621</v>
      </c>
      <c r="P157" t="s">
        <v>1889</v>
      </c>
      <c r="Q157" t="s">
        <v>1672</v>
      </c>
      <c r="R157">
        <v>3</v>
      </c>
      <c r="S157">
        <v>4</v>
      </c>
      <c r="T157" t="s">
        <v>1810</v>
      </c>
      <c r="U157" t="s">
        <v>1716</v>
      </c>
      <c r="V157"/>
      <c r="W157"/>
      <c r="X157"/>
    </row>
    <row r="158" spans="1:24" ht="17.100000000000001" customHeight="1">
      <c r="A158"/>
      <c r="B158"/>
      <c r="C158"/>
      <c r="D158"/>
      <c r="E158"/>
      <c r="F158"/>
      <c r="G158"/>
      <c r="H158"/>
      <c r="I158"/>
      <c r="J158"/>
      <c r="K158"/>
      <c r="L158"/>
      <c r="M158"/>
      <c r="N158"/>
      <c r="O158" t="s">
        <v>1623</v>
      </c>
      <c r="P158" t="s">
        <v>1888</v>
      </c>
      <c r="Q158" t="s">
        <v>1670</v>
      </c>
      <c r="R158">
        <v>2</v>
      </c>
      <c r="S158">
        <v>3</v>
      </c>
      <c r="T158" t="s">
        <v>1811</v>
      </c>
      <c r="U158" t="s">
        <v>1716</v>
      </c>
      <c r="V158"/>
      <c r="W158"/>
      <c r="X158"/>
    </row>
    <row r="159" spans="1:24" ht="17.100000000000001" customHeight="1">
      <c r="A159"/>
      <c r="B159"/>
      <c r="C159"/>
      <c r="D159"/>
      <c r="E159"/>
      <c r="F159"/>
      <c r="G159"/>
      <c r="H159"/>
      <c r="I159"/>
      <c r="J159"/>
      <c r="K159"/>
      <c r="L159"/>
      <c r="M159"/>
      <c r="N159"/>
      <c r="O159" t="s">
        <v>1623</v>
      </c>
      <c r="P159" t="s">
        <v>1889</v>
      </c>
      <c r="Q159" t="s">
        <v>1771</v>
      </c>
      <c r="R159">
        <v>3</v>
      </c>
      <c r="S159">
        <v>4</v>
      </c>
      <c r="T159" t="s">
        <v>1812</v>
      </c>
      <c r="U159" t="s">
        <v>1716</v>
      </c>
      <c r="V159"/>
      <c r="W159"/>
      <c r="X159"/>
    </row>
    <row r="160" spans="1:24" ht="17.100000000000001" customHeight="1">
      <c r="A160"/>
      <c r="B160"/>
      <c r="C160"/>
      <c r="D160"/>
      <c r="E160"/>
      <c r="F160"/>
      <c r="G160"/>
      <c r="H160"/>
      <c r="I160"/>
      <c r="J160"/>
      <c r="K160"/>
      <c r="L160"/>
      <c r="M160"/>
      <c r="N160"/>
      <c r="O160" t="s">
        <v>1649</v>
      </c>
      <c r="P160" t="s">
        <v>1888</v>
      </c>
      <c r="Q160" t="s">
        <v>1680</v>
      </c>
      <c r="R160">
        <v>1</v>
      </c>
      <c r="S160">
        <v>2</v>
      </c>
      <c r="T160" t="s">
        <v>1813</v>
      </c>
      <c r="U160" t="s">
        <v>1716</v>
      </c>
      <c r="V160"/>
      <c r="W160"/>
      <c r="X160"/>
    </row>
    <row r="161" spans="1:24" ht="17.100000000000001" customHeight="1">
      <c r="A161"/>
      <c r="B161"/>
      <c r="C161"/>
      <c r="D161"/>
      <c r="E161"/>
      <c r="F161"/>
      <c r="G161"/>
      <c r="H161"/>
      <c r="I161"/>
      <c r="J161"/>
      <c r="K161"/>
      <c r="L161"/>
      <c r="M161"/>
      <c r="N161"/>
      <c r="O161" t="s">
        <v>1649</v>
      </c>
      <c r="P161" t="s">
        <v>1889</v>
      </c>
      <c r="Q161" t="s">
        <v>1681</v>
      </c>
      <c r="R161">
        <v>4</v>
      </c>
      <c r="S161">
        <v>5</v>
      </c>
      <c r="T161" t="s">
        <v>1814</v>
      </c>
      <c r="U161" t="s">
        <v>1716</v>
      </c>
      <c r="V161"/>
      <c r="W161"/>
      <c r="X161"/>
    </row>
    <row r="162" spans="1:24" ht="17.100000000000001" customHeight="1">
      <c r="A162"/>
      <c r="B162"/>
      <c r="C162"/>
      <c r="D162"/>
      <c r="E162"/>
      <c r="F162"/>
      <c r="G162"/>
      <c r="H162"/>
      <c r="I162"/>
      <c r="J162"/>
      <c r="K162"/>
      <c r="L162"/>
      <c r="M162"/>
      <c r="N162"/>
      <c r="O162" t="s">
        <v>1690</v>
      </c>
      <c r="P162" t="s">
        <v>1888</v>
      </c>
      <c r="Q162" t="s">
        <v>1670</v>
      </c>
      <c r="R162">
        <v>2</v>
      </c>
      <c r="S162">
        <v>3</v>
      </c>
      <c r="T162" t="s">
        <v>1815</v>
      </c>
      <c r="U162" t="s">
        <v>1716</v>
      </c>
      <c r="V162"/>
      <c r="W162"/>
      <c r="X162"/>
    </row>
    <row r="163" spans="1:24" ht="17.100000000000001" customHeight="1">
      <c r="A163"/>
      <c r="B163"/>
      <c r="C163"/>
      <c r="D163"/>
      <c r="E163"/>
      <c r="F163"/>
      <c r="G163"/>
      <c r="H163"/>
      <c r="I163"/>
      <c r="J163"/>
      <c r="K163"/>
      <c r="L163"/>
      <c r="M163"/>
      <c r="N163"/>
      <c r="O163" t="s">
        <v>1690</v>
      </c>
      <c r="P163" t="s">
        <v>1889</v>
      </c>
      <c r="Q163" t="s">
        <v>1672</v>
      </c>
      <c r="R163">
        <v>3</v>
      </c>
      <c r="S163">
        <v>4</v>
      </c>
      <c r="T163" t="s">
        <v>1796</v>
      </c>
      <c r="U163" t="s">
        <v>1716</v>
      </c>
      <c r="V163"/>
      <c r="W163"/>
      <c r="X163"/>
    </row>
    <row r="164" spans="1:24" ht="17.100000000000001" customHeight="1">
      <c r="A164"/>
      <c r="B164"/>
      <c r="C164"/>
      <c r="D164"/>
      <c r="E164"/>
      <c r="F164"/>
      <c r="G164"/>
      <c r="H164"/>
      <c r="I164"/>
      <c r="J164"/>
      <c r="K164"/>
      <c r="L164"/>
      <c r="M164"/>
      <c r="N164"/>
      <c r="O164" t="s">
        <v>1626</v>
      </c>
      <c r="P164" t="s">
        <v>1888</v>
      </c>
      <c r="Q164" t="s">
        <v>1672</v>
      </c>
      <c r="R164">
        <v>3</v>
      </c>
      <c r="S164">
        <v>4</v>
      </c>
      <c r="T164" t="s">
        <v>1816</v>
      </c>
      <c r="U164" t="s">
        <v>1716</v>
      </c>
      <c r="V164"/>
      <c r="W164"/>
      <c r="X164"/>
    </row>
    <row r="165" spans="1:24" ht="17.100000000000001" customHeight="1">
      <c r="A165"/>
      <c r="B165"/>
      <c r="C165"/>
      <c r="D165"/>
      <c r="E165"/>
      <c r="F165"/>
      <c r="G165"/>
      <c r="H165"/>
      <c r="I165"/>
      <c r="J165"/>
      <c r="K165"/>
      <c r="L165"/>
      <c r="M165"/>
      <c r="N165"/>
      <c r="O165" t="s">
        <v>1626</v>
      </c>
      <c r="P165" t="s">
        <v>1889</v>
      </c>
      <c r="Q165" t="s">
        <v>1742</v>
      </c>
      <c r="R165">
        <v>2</v>
      </c>
      <c r="S165">
        <v>3</v>
      </c>
      <c r="T165" t="s">
        <v>1817</v>
      </c>
      <c r="U165" t="s">
        <v>1716</v>
      </c>
      <c r="V165"/>
      <c r="W165"/>
      <c r="X165"/>
    </row>
    <row r="166" spans="1:24" ht="17.100000000000001" customHeight="1">
      <c r="A166"/>
      <c r="B166"/>
      <c r="C166"/>
      <c r="D166"/>
      <c r="E166"/>
      <c r="F166"/>
      <c r="G166"/>
      <c r="H166"/>
      <c r="I166"/>
      <c r="J166"/>
      <c r="K166"/>
      <c r="L166"/>
      <c r="M166"/>
      <c r="N166"/>
      <c r="O166" t="s">
        <v>1628</v>
      </c>
      <c r="P166" t="s">
        <v>1888</v>
      </c>
      <c r="Q166" t="s">
        <v>1670</v>
      </c>
      <c r="R166">
        <v>2</v>
      </c>
      <c r="S166">
        <v>3</v>
      </c>
      <c r="T166" t="s">
        <v>1818</v>
      </c>
      <c r="U166" t="s">
        <v>1716</v>
      </c>
      <c r="V166"/>
      <c r="W166"/>
      <c r="X166"/>
    </row>
    <row r="167" spans="1:24" ht="17.100000000000001" customHeight="1">
      <c r="A167"/>
      <c r="B167"/>
      <c r="C167"/>
      <c r="D167"/>
      <c r="E167"/>
      <c r="F167"/>
      <c r="G167"/>
      <c r="H167"/>
      <c r="I167"/>
      <c r="J167"/>
      <c r="K167"/>
      <c r="L167"/>
      <c r="M167"/>
      <c r="N167"/>
      <c r="O167" t="s">
        <v>1628</v>
      </c>
      <c r="P167" t="s">
        <v>1889</v>
      </c>
      <c r="Q167" t="s">
        <v>1672</v>
      </c>
      <c r="R167">
        <v>3</v>
      </c>
      <c r="S167">
        <v>4</v>
      </c>
      <c r="T167" t="s">
        <v>1819</v>
      </c>
      <c r="U167" t="s">
        <v>1716</v>
      </c>
      <c r="V167"/>
      <c r="W167"/>
      <c r="X167"/>
    </row>
    <row r="168" spans="1:24" ht="17.100000000000001" customHeight="1">
      <c r="A168"/>
      <c r="B168"/>
      <c r="C168"/>
      <c r="D168"/>
      <c r="E168"/>
      <c r="F168"/>
      <c r="G168"/>
      <c r="H168"/>
      <c r="I168"/>
      <c r="J168"/>
      <c r="K168"/>
      <c r="L168"/>
      <c r="M168"/>
      <c r="N168"/>
      <c r="O168" t="s">
        <v>1630</v>
      </c>
      <c r="P168" t="s">
        <v>1888</v>
      </c>
      <c r="Q168" t="s">
        <v>1680</v>
      </c>
      <c r="R168">
        <v>1</v>
      </c>
      <c r="S168">
        <v>1</v>
      </c>
      <c r="T168" t="s">
        <v>1820</v>
      </c>
      <c r="U168" t="s">
        <v>1716</v>
      </c>
      <c r="V168"/>
      <c r="W168"/>
      <c r="X168"/>
    </row>
    <row r="169" spans="1:24" ht="17.100000000000001" customHeight="1">
      <c r="A169"/>
      <c r="B169"/>
      <c r="C169"/>
      <c r="D169"/>
      <c r="E169"/>
      <c r="F169"/>
      <c r="G169"/>
      <c r="H169"/>
      <c r="I169"/>
      <c r="J169"/>
      <c r="K169"/>
      <c r="L169"/>
      <c r="M169"/>
      <c r="N169"/>
      <c r="O169" t="s">
        <v>1630</v>
      </c>
      <c r="P169" t="s">
        <v>1889</v>
      </c>
      <c r="Q169" t="s">
        <v>1681</v>
      </c>
      <c r="R169">
        <v>5</v>
      </c>
      <c r="S169">
        <v>5</v>
      </c>
      <c r="T169" t="s">
        <v>1821</v>
      </c>
      <c r="U169" t="s">
        <v>1716</v>
      </c>
      <c r="V169"/>
      <c r="W169"/>
      <c r="X169"/>
    </row>
    <row r="170" spans="1:24" ht="17.100000000000001" customHeight="1">
      <c r="A170"/>
      <c r="B170"/>
      <c r="C170"/>
      <c r="D170"/>
      <c r="E170"/>
      <c r="F170"/>
      <c r="G170"/>
      <c r="H170"/>
      <c r="I170"/>
      <c r="J170"/>
      <c r="K170"/>
      <c r="L170"/>
      <c r="M170"/>
      <c r="N170"/>
      <c r="O170"/>
      <c r="P170"/>
      <c r="Q170"/>
      <c r="R170"/>
      <c r="S170"/>
      <c r="T170"/>
      <c r="U170"/>
      <c r="V170"/>
      <c r="W170"/>
      <c r="X170"/>
    </row>
    <row r="171" spans="1:24" ht="17.100000000000001" customHeight="1">
      <c r="A171"/>
      <c r="B171"/>
      <c r="C171"/>
      <c r="D171"/>
      <c r="E171"/>
      <c r="F171"/>
      <c r="G171"/>
      <c r="H171"/>
      <c r="I171"/>
      <c r="J171"/>
      <c r="K171"/>
      <c r="L171"/>
      <c r="M171"/>
      <c r="N171"/>
      <c r="O171"/>
      <c r="P171"/>
      <c r="Q171"/>
      <c r="R171"/>
      <c r="S171"/>
      <c r="T171"/>
      <c r="U171"/>
      <c r="V171"/>
      <c r="W171"/>
      <c r="X171"/>
    </row>
    <row r="172" spans="1:24" ht="17.100000000000001" customHeight="1">
      <c r="A172"/>
      <c r="B172"/>
      <c r="C172"/>
      <c r="D172"/>
      <c r="E172"/>
      <c r="F172"/>
      <c r="G172"/>
      <c r="H172"/>
      <c r="I172"/>
      <c r="J172"/>
      <c r="K172"/>
      <c r="L172"/>
      <c r="M172"/>
      <c r="N172"/>
      <c r="O172" t="s">
        <v>1822</v>
      </c>
      <c r="P172" t="s">
        <v>1823</v>
      </c>
      <c r="Q172" t="s">
        <v>1824</v>
      </c>
      <c r="R172" t="s">
        <v>1786</v>
      </c>
      <c r="S172"/>
      <c r="T172"/>
      <c r="U172"/>
      <c r="V172"/>
      <c r="W172"/>
      <c r="X172"/>
    </row>
    <row r="173" spans="1:24" ht="17.100000000000001" customHeight="1">
      <c r="A173"/>
      <c r="B173"/>
      <c r="C173"/>
      <c r="D173"/>
      <c r="E173"/>
      <c r="F173"/>
      <c r="G173"/>
      <c r="H173"/>
      <c r="I173"/>
      <c r="J173"/>
      <c r="K173"/>
      <c r="L173"/>
      <c r="M173"/>
      <c r="N173"/>
      <c r="O173" t="s">
        <v>1733</v>
      </c>
      <c r="P173" t="s">
        <v>1733</v>
      </c>
      <c r="Q173" t="s">
        <v>1825</v>
      </c>
      <c r="R173" t="s">
        <v>1891</v>
      </c>
      <c r="S173"/>
      <c r="T173"/>
      <c r="U173"/>
      <c r="V173"/>
      <c r="W173"/>
      <c r="X173"/>
    </row>
    <row r="174" spans="1:24" ht="17.100000000000001" customHeight="1">
      <c r="A174"/>
      <c r="B174"/>
      <c r="C174"/>
      <c r="D174"/>
      <c r="E174"/>
      <c r="F174"/>
      <c r="G174"/>
      <c r="H174"/>
      <c r="I174"/>
      <c r="J174"/>
      <c r="K174"/>
      <c r="L174"/>
      <c r="M174"/>
      <c r="N174"/>
      <c r="O174" t="s">
        <v>1733</v>
      </c>
      <c r="P174" t="s">
        <v>1735</v>
      </c>
      <c r="Q174" t="s">
        <v>1735</v>
      </c>
      <c r="R174" t="s">
        <v>1827</v>
      </c>
      <c r="S174"/>
      <c r="T174"/>
      <c r="U174"/>
      <c r="V174"/>
      <c r="W174"/>
      <c r="X174"/>
    </row>
    <row r="175" spans="1:24" ht="17.100000000000001" customHeight="1">
      <c r="A175"/>
      <c r="B175"/>
      <c r="C175"/>
      <c r="D175"/>
      <c r="E175"/>
      <c r="F175"/>
      <c r="G175"/>
      <c r="H175"/>
      <c r="I175"/>
      <c r="J175"/>
      <c r="K175"/>
      <c r="L175"/>
      <c r="M175"/>
      <c r="N175"/>
      <c r="O175" t="s">
        <v>1735</v>
      </c>
      <c r="P175" t="s">
        <v>1733</v>
      </c>
      <c r="Q175" t="s">
        <v>1735</v>
      </c>
      <c r="R175" t="s">
        <v>1828</v>
      </c>
      <c r="S175"/>
      <c r="T175"/>
      <c r="U175"/>
      <c r="V175"/>
      <c r="W175"/>
      <c r="X175"/>
    </row>
    <row r="176" spans="1:24" ht="17.100000000000001" customHeight="1">
      <c r="A176"/>
      <c r="B176"/>
      <c r="C176"/>
      <c r="D176"/>
      <c r="E176"/>
      <c r="F176"/>
      <c r="G176"/>
      <c r="H176"/>
      <c r="I176"/>
      <c r="J176"/>
      <c r="K176"/>
      <c r="L176"/>
      <c r="M176"/>
      <c r="N176"/>
      <c r="O176" t="s">
        <v>1735</v>
      </c>
      <c r="P176" t="s">
        <v>1735</v>
      </c>
      <c r="Q176" t="s">
        <v>1829</v>
      </c>
      <c r="R176" t="s">
        <v>1830</v>
      </c>
      <c r="S176"/>
      <c r="T176"/>
      <c r="U176"/>
      <c r="V176"/>
      <c r="W176"/>
      <c r="X176"/>
    </row>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row r="511" ht="17.100000000000001" customHeight="1"/>
    <row r="512" ht="17.100000000000001" customHeight="1"/>
    <row r="513" ht="17.100000000000001" customHeight="1"/>
    <row r="514" ht="17.100000000000001" customHeight="1"/>
    <row r="515" ht="17.100000000000001" customHeight="1"/>
    <row r="516" ht="17.100000000000001" customHeight="1"/>
    <row r="517" ht="17.100000000000001" customHeight="1"/>
    <row r="518" ht="17.100000000000001" customHeight="1"/>
    <row r="519" ht="17.100000000000001" customHeight="1"/>
    <row r="520" ht="17.100000000000001" customHeight="1"/>
    <row r="521" ht="17.100000000000001" customHeight="1"/>
    <row r="522" ht="17.100000000000001" customHeight="1"/>
    <row r="523" ht="17.100000000000001" customHeight="1"/>
    <row r="524" ht="17.100000000000001" customHeight="1"/>
    <row r="525" ht="17.100000000000001" customHeight="1"/>
    <row r="526" ht="17.100000000000001" customHeight="1"/>
    <row r="527" ht="17.100000000000001" customHeight="1"/>
    <row r="528" ht="17.100000000000001" customHeight="1"/>
    <row r="529" ht="17.100000000000001" customHeight="1"/>
    <row r="530" ht="17.100000000000001" customHeight="1"/>
    <row r="531" ht="17.100000000000001" customHeight="1"/>
    <row r="532" ht="17.100000000000001" customHeight="1"/>
    <row r="533" ht="17.100000000000001" customHeight="1"/>
    <row r="534" ht="17.100000000000001" customHeight="1"/>
    <row r="535" ht="17.100000000000001" customHeight="1"/>
    <row r="536" ht="17.100000000000001" customHeight="1"/>
    <row r="537" ht="17.100000000000001" customHeight="1"/>
    <row r="538" ht="17.100000000000001" customHeight="1"/>
    <row r="539" ht="17.100000000000001" customHeight="1"/>
    <row r="540" ht="17.100000000000001" customHeight="1"/>
    <row r="541" ht="17.100000000000001" customHeight="1"/>
    <row r="542" ht="17.100000000000001" customHeight="1"/>
    <row r="543" ht="17.100000000000001" customHeight="1"/>
    <row r="544" ht="17.100000000000001" customHeight="1"/>
    <row r="545" ht="17.100000000000001" customHeight="1"/>
    <row r="546" ht="17.100000000000001" customHeight="1"/>
    <row r="547" ht="17.100000000000001" customHeight="1"/>
    <row r="548" ht="17.100000000000001" customHeight="1"/>
    <row r="549" ht="17.100000000000001" customHeight="1"/>
    <row r="550" ht="17.100000000000001" customHeight="1"/>
    <row r="551" ht="17.100000000000001" customHeight="1"/>
    <row r="552" ht="17.100000000000001" customHeight="1"/>
    <row r="553" ht="17.100000000000001" customHeight="1"/>
    <row r="554" ht="17.100000000000001" customHeight="1"/>
    <row r="555" ht="17.100000000000001" customHeight="1"/>
    <row r="556" ht="17.100000000000001" customHeight="1"/>
    <row r="557" ht="17.100000000000001" customHeight="1"/>
    <row r="558" ht="17.100000000000001" customHeight="1"/>
    <row r="559" ht="17.100000000000001" customHeight="1"/>
    <row r="560" ht="17.100000000000001" customHeight="1"/>
    <row r="561" ht="17.100000000000001" customHeight="1"/>
    <row r="562" ht="17.100000000000001" customHeight="1"/>
    <row r="563" ht="17.100000000000001" customHeight="1"/>
    <row r="564" ht="17.100000000000001" customHeight="1"/>
    <row r="565" ht="17.100000000000001" customHeight="1"/>
    <row r="566" ht="17.100000000000001" customHeight="1"/>
    <row r="567" ht="17.100000000000001" customHeight="1"/>
    <row r="568" ht="17.100000000000001" customHeight="1"/>
    <row r="569" ht="17.100000000000001" customHeight="1"/>
    <row r="570" ht="17.100000000000001" customHeight="1"/>
    <row r="571" ht="17.100000000000001" customHeight="1"/>
    <row r="572" ht="17.100000000000001" customHeight="1"/>
    <row r="573" ht="17.100000000000001" customHeight="1"/>
    <row r="574" ht="17.100000000000001" customHeight="1"/>
    <row r="575" ht="17.100000000000001" customHeight="1"/>
    <row r="576" ht="17.100000000000001" customHeight="1"/>
    <row r="577" ht="17.100000000000001" customHeight="1"/>
    <row r="578" ht="17.100000000000001" customHeight="1"/>
    <row r="579" ht="17.100000000000001" customHeight="1"/>
    <row r="580" ht="17.100000000000001" customHeight="1"/>
    <row r="581" ht="17.100000000000001" customHeight="1"/>
    <row r="582" ht="17.100000000000001" customHeight="1"/>
    <row r="583" ht="17.100000000000001" customHeight="1"/>
    <row r="584" ht="17.100000000000001" customHeight="1"/>
    <row r="585" ht="17.100000000000001" customHeight="1"/>
    <row r="586" ht="17.100000000000001" customHeight="1"/>
    <row r="587" ht="17.100000000000001" customHeight="1"/>
    <row r="588" ht="17.100000000000001" customHeight="1"/>
  </sheetData>
  <mergeCells count="40">
    <mergeCell ref="B124:C125"/>
    <mergeCell ref="D124:D125"/>
    <mergeCell ref="E124:F124"/>
    <mergeCell ref="G124:N124"/>
    <mergeCell ref="B138:L139"/>
    <mergeCell ref="B126:C126"/>
    <mergeCell ref="B127:C127"/>
    <mergeCell ref="A111:U111"/>
    <mergeCell ref="F20:H20"/>
    <mergeCell ref="E20:E21"/>
    <mergeCell ref="C20:D21"/>
    <mergeCell ref="F37:H37"/>
    <mergeCell ref="E37:E38"/>
    <mergeCell ref="C37:D38"/>
    <mergeCell ref="K24:K25"/>
    <mergeCell ref="L24:L25"/>
    <mergeCell ref="O24:O25"/>
    <mergeCell ref="K23:L23"/>
    <mergeCell ref="C29:D29"/>
    <mergeCell ref="C31:D31"/>
    <mergeCell ref="C32:D32"/>
    <mergeCell ref="C33:D33"/>
    <mergeCell ref="C24:D24"/>
    <mergeCell ref="L9:N9"/>
    <mergeCell ref="L10:N10"/>
    <mergeCell ref="L12:N12"/>
    <mergeCell ref="A1:U1"/>
    <mergeCell ref="A7:C7"/>
    <mergeCell ref="A9:C9"/>
    <mergeCell ref="A10:C10"/>
    <mergeCell ref="A11:C11"/>
    <mergeCell ref="D10:F10"/>
    <mergeCell ref="C25:D25"/>
    <mergeCell ref="C26:D26"/>
    <mergeCell ref="C27:D27"/>
    <mergeCell ref="C28:D28"/>
    <mergeCell ref="A12:C12"/>
    <mergeCell ref="A13:C13"/>
    <mergeCell ref="C22:D22"/>
    <mergeCell ref="C23:D23"/>
  </mergeCells>
  <conditionalFormatting sqref="D133:D135">
    <cfRule type="expression" dxfId="213" priority="1">
      <formula>ISNUMBER(SEARCH("RE-ANALYZE",$D133))</formula>
    </cfRule>
    <cfRule type="expression" dxfId="212" priority="2">
      <formula>ISNUMBER(SEARCH("REVIEW",$D133))</formula>
    </cfRule>
    <cfRule type="expression" dxfId="211" priority="3">
      <formula>ISNUMBER(SEARCH("CHECK",$D133))</formula>
    </cfRule>
    <cfRule type="expression" dxfId="210" priority="4">
      <formula>ISNUMBER(SEARCH("PASS",$D133))</formula>
    </cfRule>
  </conditionalFormatting>
  <conditionalFormatting sqref="E126:E127">
    <cfRule type="expression" dxfId="209" priority="9">
      <formula>ISNUMBER(SEARCH("RE-ANALYZE",$E126))</formula>
    </cfRule>
    <cfRule type="expression" dxfId="208" priority="10">
      <formula>ISNUMBER(SEARCH("REVIEW",$E126))</formula>
    </cfRule>
    <cfRule type="expression" dxfId="207" priority="11">
      <formula>ISNUMBER(SEARCH("CHECK",$E126))</formula>
    </cfRule>
    <cfRule type="expression" dxfId="206" priority="12">
      <formula>ISNUMBER(SEARCH("PASS",$E126))</formula>
    </cfRule>
  </conditionalFormatting>
  <conditionalFormatting sqref="L126:L127">
    <cfRule type="expression" dxfId="205" priority="5">
      <formula>ISNUMBER(SEARCH("RE-ANALYZE",$L126))</formula>
    </cfRule>
    <cfRule type="expression" dxfId="204" priority="6">
      <formula>ISNUMBER(SEARCH("REVIEW",$L126))</formula>
    </cfRule>
    <cfRule type="expression" dxfId="203" priority="7">
      <formula>ISNUMBER(SEARCH("CHECK",$L126))</formula>
    </cfRule>
    <cfRule type="expression" dxfId="202" priority="8">
      <formula>ISNUMBER(SEARCH("PASS",$L126))</formula>
    </cfRule>
  </conditionalFormatting>
  <dataValidations count="2">
    <dataValidation type="list" allowBlank="1" showInputMessage="1" showErrorMessage="1" sqref="P9" xr:uid="{D918E343-F520-4151-A88D-6423952ED2D2}">
      <formula1>"RAFLY,RIZKI,NOUFAL"</formula1>
    </dataValidation>
    <dataValidation type="list" allowBlank="1" showInputMessage="1" showErrorMessage="1" sqref="D12" xr:uid="{CA901EA2-5069-468D-924F-8FDDB01E4513}">
      <formula1>$AH$21:$AH$32</formula1>
    </dataValidation>
  </dataValidations>
  <pageMargins left="0.47" right="0.47" top="0.59" bottom="0.51" header="0.28000000000000003" footer="0.28000000000000003"/>
  <pageSetup paperSize="10" scale="26" orientation="landscape" r:id="rId1"/>
  <rowBreaks count="2" manualBreakCount="2">
    <brk id="115" max="20" man="1"/>
    <brk id="238" max="20"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E01DA-01F2-40ED-AE5C-732E6236FA61}">
  <sheetPr>
    <tabColor rgb="FFFFC000"/>
  </sheetPr>
  <dimension ref="A1:AD150"/>
  <sheetViews>
    <sheetView view="pageLayout" topLeftCell="A48" zoomScaleNormal="100" workbookViewId="0">
      <selection activeCell="H58" sqref="H58:K58"/>
    </sheetView>
  </sheetViews>
  <sheetFormatPr defaultColWidth="11" defaultRowHeight="15.75"/>
  <cols>
    <col min="1" max="2" width="4.875" customWidth="1"/>
    <col min="3" max="3" width="6.125" customWidth="1"/>
    <col min="4" max="4" width="4.875" customWidth="1"/>
    <col min="5" max="5" width="6.125" customWidth="1"/>
    <col min="6" max="8" width="4.875" customWidth="1"/>
    <col min="9" max="9" width="4.875" style="4" customWidth="1"/>
    <col min="10" max="11" width="4.875" customWidth="1"/>
    <col min="12" max="12" width="8.5" customWidth="1"/>
    <col min="13" max="13" width="1.875" customWidth="1"/>
    <col min="14" max="17" width="4.875" customWidth="1"/>
    <col min="18" max="18" width="6.125" customWidth="1"/>
    <col min="19" max="25" width="4.875" customWidth="1"/>
    <col min="27" max="27" width="15" bestFit="1"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897"/>
      <c r="B3" s="897"/>
      <c r="C3" s="897"/>
      <c r="D3" s="897"/>
      <c r="E3" s="897"/>
      <c r="F3" s="1700" t="s">
        <v>304</v>
      </c>
      <c r="G3" s="1700"/>
      <c r="H3" s="1700"/>
      <c r="I3" s="1700"/>
      <c r="J3" s="1700"/>
      <c r="K3" s="1700"/>
      <c r="L3" s="1700"/>
      <c r="M3" s="1700"/>
      <c r="N3" s="1700"/>
      <c r="O3" s="1700"/>
      <c r="P3" s="1700"/>
      <c r="Q3" s="1700"/>
      <c r="R3" s="1700"/>
      <c r="S3" s="1700"/>
      <c r="T3" s="1700"/>
      <c r="U3" s="897"/>
      <c r="V3" s="897"/>
      <c r="W3" s="897"/>
      <c r="X3" s="897"/>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IF('WS_DS-UU'!D7="","",'WS_DS-UU'!D7)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e">
        <f>":  "&amp;IF('WS_DS-UU'!D9="","",'WS_DS-UU'!D9)</f>
        <v>#N/A</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"&amp;IF('WS_DS-UU'!D10="","",'WS_DS-UU'!D10)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"&amp;IF('WS_DS-UU'!D11="","",'WS_DS-UU'!D11)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"&amp;IF('WS_DS-UU'!D12="","",'WS_DS-UU'!D12)</f>
        <v>:  Lanau / Silt</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"&amp;IF('WS_DS-UU'!D13="","",'WS_DS-UU'!D13)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"&amp;IF('WS_DS-UU'!O12="","",TEXT('WS_DS-UU'!O12,"dd mmmm yyyy"))</f>
        <v>:  25 April 2026</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'WS_DS-UU'!A2</f>
        <v>UJI KUAT GESER LANGSUNG -TIDAK TERKONSOLIDASI TIDAK TERDRAINASE (UU)</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2022" t="str">
        <f>'DATA INDUK'!$BS$42</f>
        <v>3420:2016</v>
      </c>
      <c r="W26" s="2022"/>
      <c r="X26" s="2022"/>
    </row>
    <row r="27" spans="1:24">
      <c r="A27" s="1650" t="str">
        <f>'WS_DS-UU'!A3</f>
        <v>DIRECT SHEAR TEST- UNCONSOLIDATED UNDRAINED (UU)</v>
      </c>
      <c r="B27" s="1650"/>
      <c r="C27" s="1650"/>
      <c r="D27" s="1650"/>
      <c r="E27" s="1650"/>
      <c r="F27" s="1650"/>
      <c r="G27" s="1650"/>
      <c r="H27" s="1650"/>
      <c r="I27" s="1650"/>
      <c r="J27" s="1650"/>
      <c r="K27" s="1650"/>
      <c r="L27" s="1650"/>
      <c r="M27" s="1650"/>
      <c r="N27" s="1650"/>
      <c r="O27" s="1650"/>
      <c r="P27" s="1650"/>
      <c r="Q27" s="1650"/>
      <c r="R27" s="1650"/>
      <c r="S27" s="1650"/>
      <c r="T27" s="1650"/>
      <c r="U27" s="1705"/>
      <c r="V27" s="2022"/>
      <c r="W27" s="2022"/>
      <c r="X27" s="2022"/>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41" t="s">
        <v>1462</v>
      </c>
      <c r="B29" s="673"/>
      <c r="C29" s="673"/>
      <c r="D29" s="673"/>
      <c r="E29" s="673"/>
      <c r="F29" s="673"/>
      <c r="G29" s="673"/>
      <c r="H29" s="673"/>
      <c r="I29" s="674"/>
      <c r="J29" s="673"/>
      <c r="K29" s="673"/>
      <c r="L29" s="576"/>
      <c r="M29" s="576"/>
      <c r="N29" s="541" t="s">
        <v>1136</v>
      </c>
      <c r="O29" s="541"/>
      <c r="P29" s="541"/>
      <c r="Q29" s="541"/>
      <c r="R29" s="541"/>
      <c r="S29" s="541"/>
      <c r="T29" s="541"/>
      <c r="U29" s="541"/>
      <c r="V29" s="541"/>
      <c r="W29" s="541"/>
      <c r="X29" s="541"/>
    </row>
    <row r="30" spans="1:24">
      <c r="A30" s="2019" t="s">
        <v>1137</v>
      </c>
      <c r="B30" s="2019"/>
      <c r="C30" s="2019"/>
      <c r="D30" s="2019"/>
      <c r="E30" s="2019"/>
      <c r="F30" s="2020">
        <v>1</v>
      </c>
      <c r="G30" s="2020"/>
      <c r="H30" s="2021">
        <v>2</v>
      </c>
      <c r="I30" s="2021"/>
      <c r="J30" s="2021">
        <v>3</v>
      </c>
      <c r="K30" s="2021"/>
      <c r="L30" s="576"/>
      <c r="M30" s="576"/>
      <c r="N30" s="1871" t="s">
        <v>1129</v>
      </c>
      <c r="O30" s="1871"/>
      <c r="P30" s="1871"/>
      <c r="Q30" s="1871"/>
      <c r="R30" s="1871"/>
      <c r="S30" s="1869">
        <v>1</v>
      </c>
      <c r="T30" s="1869"/>
      <c r="U30" s="1869">
        <v>2</v>
      </c>
      <c r="V30" s="1869"/>
      <c r="W30" s="1869">
        <v>3</v>
      </c>
      <c r="X30" s="1869"/>
    </row>
    <row r="31" spans="1:24">
      <c r="A31" s="1871" t="s">
        <v>1131</v>
      </c>
      <c r="B31" s="2018"/>
      <c r="C31" s="2018"/>
      <c r="D31" s="2018"/>
      <c r="E31" s="2018"/>
      <c r="F31" s="1876">
        <f>'WS_DS-UU'!D76</f>
        <v>5.94</v>
      </c>
      <c r="G31" s="1876"/>
      <c r="H31" s="1876">
        <f>'WS_DS-UU'!E76</f>
        <v>5.94</v>
      </c>
      <c r="I31" s="1876"/>
      <c r="J31" s="1876">
        <f>'WS_DS-UU'!F76</f>
        <v>5.94</v>
      </c>
      <c r="K31" s="1876"/>
      <c r="L31" s="576"/>
      <c r="M31" s="576"/>
      <c r="N31" s="1871" t="s">
        <v>1469</v>
      </c>
      <c r="O31" s="1871"/>
      <c r="P31" s="1871"/>
      <c r="Q31" s="1871"/>
      <c r="R31" s="1871"/>
      <c r="S31" s="1876">
        <f>'WS_DS-UU'!D85</f>
        <v>10</v>
      </c>
      <c r="T31" s="1876"/>
      <c r="U31" s="1876">
        <f>'WS_DS-UU'!E85</f>
        <v>20</v>
      </c>
      <c r="V31" s="1876"/>
      <c r="W31" s="1876">
        <f>'WS_DS-UU'!F85</f>
        <v>40</v>
      </c>
      <c r="X31" s="1876"/>
    </row>
    <row r="32" spans="1:24">
      <c r="A32" s="1871" t="s">
        <v>1130</v>
      </c>
      <c r="B32" s="1871"/>
      <c r="C32" s="1871"/>
      <c r="D32" s="1871"/>
      <c r="E32" s="1871"/>
      <c r="F32" s="1876">
        <f>'WS_DS-UU'!D77</f>
        <v>2.4900000000000002</v>
      </c>
      <c r="G32" s="1876"/>
      <c r="H32" s="1876">
        <f>'WS_DS-UU'!E77</f>
        <v>2.4900000000000002</v>
      </c>
      <c r="I32" s="1876"/>
      <c r="J32" s="1876">
        <f>'WS_DS-UU'!F77</f>
        <v>2.4900000000000002</v>
      </c>
      <c r="K32" s="1876"/>
      <c r="L32" s="576"/>
      <c r="M32" s="576"/>
      <c r="N32" s="1872" t="s">
        <v>1471</v>
      </c>
      <c r="O32" s="1872"/>
      <c r="P32" s="1872"/>
      <c r="Q32" s="1872"/>
      <c r="R32" s="1872"/>
      <c r="S32" s="1876">
        <f>'WS_DS-UU'!D86</f>
        <v>35.388153650356202</v>
      </c>
      <c r="T32" s="1876"/>
      <c r="U32" s="1876">
        <f>'WS_DS-UU'!E86</f>
        <v>70.776307300712404</v>
      </c>
      <c r="V32" s="1876"/>
      <c r="W32" s="1876">
        <f>'WS_DS-UU'!F86</f>
        <v>141.55261460142481</v>
      </c>
      <c r="X32" s="1876"/>
    </row>
    <row r="33" spans="1:30">
      <c r="A33" s="1871" t="s">
        <v>1132</v>
      </c>
      <c r="B33" s="1871"/>
      <c r="C33" s="1871"/>
      <c r="D33" s="1871"/>
      <c r="E33" s="1871"/>
      <c r="F33" s="1876">
        <f>'WS_DS-UU'!D78</f>
        <v>27.711674638050212</v>
      </c>
      <c r="G33" s="1876"/>
      <c r="H33" s="1876">
        <f>'WS_DS-UU'!E78</f>
        <v>27.711674638050212</v>
      </c>
      <c r="I33" s="1876"/>
      <c r="J33" s="1876">
        <f>'WS_DS-UU'!F78</f>
        <v>27.711674638050212</v>
      </c>
      <c r="K33" s="1876"/>
      <c r="L33" s="576"/>
      <c r="M33" s="576"/>
      <c r="N33" s="1872"/>
      <c r="O33" s="1872"/>
      <c r="P33" s="1872"/>
      <c r="Q33" s="1872"/>
      <c r="R33" s="1872"/>
      <c r="S33" s="1876"/>
      <c r="T33" s="1876"/>
      <c r="U33" s="1876"/>
      <c r="V33" s="1876"/>
      <c r="W33" s="1876"/>
      <c r="X33" s="1876"/>
    </row>
    <row r="34" spans="1:30">
      <c r="A34" s="1871" t="s">
        <v>1133</v>
      </c>
      <c r="B34" s="1871"/>
      <c r="C34" s="1871"/>
      <c r="D34" s="1871"/>
      <c r="E34" s="1871"/>
      <c r="F34" s="1876">
        <f>'WS_DS-UU'!D79</f>
        <v>69.002069848745037</v>
      </c>
      <c r="G34" s="1876"/>
      <c r="H34" s="1876">
        <f>'WS_DS-UU'!E79</f>
        <v>69.002069848745037</v>
      </c>
      <c r="I34" s="1876"/>
      <c r="J34" s="1876">
        <f>'WS_DS-UU'!F79</f>
        <v>69.002069848745037</v>
      </c>
      <c r="K34" s="1876"/>
      <c r="L34" s="576"/>
      <c r="M34" s="576"/>
      <c r="N34" s="1872" t="s">
        <v>1467</v>
      </c>
      <c r="O34" s="1872"/>
      <c r="P34" s="1872"/>
      <c r="Q34" s="1872"/>
      <c r="R34" s="1872"/>
      <c r="S34" s="1876">
        <f>'WS_DS-UU'!D87</f>
        <v>37.420141432959653</v>
      </c>
      <c r="T34" s="1876"/>
      <c r="U34" s="1876">
        <f>'WS_DS-UU'!E87</f>
        <v>51.09288541807954</v>
      </c>
      <c r="V34" s="1876"/>
      <c r="W34" s="1876">
        <f>'WS_DS-UU'!F87</f>
        <v>79.157991492799269</v>
      </c>
      <c r="X34" s="1876"/>
    </row>
    <row r="35" spans="1:30">
      <c r="A35" s="1871" t="s">
        <v>1123</v>
      </c>
      <c r="B35" s="1871"/>
      <c r="C35" s="1871"/>
      <c r="D35" s="1871"/>
      <c r="E35" s="1871"/>
      <c r="F35" s="1876">
        <f>'WS_DS-UU'!D80</f>
        <v>14.910149750415972</v>
      </c>
      <c r="G35" s="1876"/>
      <c r="H35" s="1876">
        <f>'WS_DS-UU'!E80</f>
        <v>16.186408423901554</v>
      </c>
      <c r="I35" s="1876"/>
      <c r="J35" s="1876">
        <f>'WS_DS-UU'!F80</f>
        <v>15.442807052778692</v>
      </c>
      <c r="K35" s="1876"/>
      <c r="L35" s="576"/>
      <c r="M35" s="576"/>
      <c r="N35" s="1872"/>
      <c r="O35" s="1872"/>
      <c r="P35" s="1872"/>
      <c r="Q35" s="1872"/>
      <c r="R35" s="1872"/>
      <c r="S35" s="1876"/>
      <c r="T35" s="1876"/>
      <c r="U35" s="1876"/>
      <c r="V35" s="1876"/>
      <c r="W35" s="1876"/>
      <c r="X35" s="1876"/>
    </row>
    <row r="36" spans="1:30">
      <c r="A36" s="1871" t="s">
        <v>1134</v>
      </c>
      <c r="B36" s="1871"/>
      <c r="C36" s="1871"/>
      <c r="D36" s="1871"/>
      <c r="E36" s="1871"/>
      <c r="F36" s="1876">
        <f>'WS_DS-UU'!D81</f>
        <v>1.8215250683858426</v>
      </c>
      <c r="G36" s="1876"/>
      <c r="H36" s="1876">
        <f>'WS_DS-UU'!E81</f>
        <v>1.7858449792900115</v>
      </c>
      <c r="I36" s="1876"/>
      <c r="J36" s="1876">
        <f>'WS_DS-UU'!F81</f>
        <v>1.8036560392001566</v>
      </c>
      <c r="K36" s="1876"/>
      <c r="L36" s="576"/>
      <c r="M36" s="576"/>
      <c r="N36" s="539"/>
      <c r="O36" s="576"/>
      <c r="P36" s="576"/>
      <c r="Q36" s="576"/>
      <c r="R36" s="576"/>
      <c r="S36" s="576"/>
      <c r="T36" s="576"/>
      <c r="U36" s="576"/>
      <c r="V36" s="576"/>
      <c r="W36" s="576"/>
      <c r="X36" s="576"/>
      <c r="AA36" s="335"/>
      <c r="AB36" s="1312" t="str">
        <f>"LHU No.            : "&amp; IF('DATA INDUK'!$H$17="","",'DATA INDUK'!$H$17)</f>
        <v>LHU No.            : 23/MGS/53/II/2026</v>
      </c>
      <c r="AD36" s="803"/>
    </row>
    <row r="37" spans="1:30">
      <c r="A37" s="1871" t="s">
        <v>1135</v>
      </c>
      <c r="B37" s="1871"/>
      <c r="C37" s="1871"/>
      <c r="D37" s="1871"/>
      <c r="E37" s="1871"/>
      <c r="F37" s="1876">
        <f>'WS_DS-UU'!D82</f>
        <v>1.7419767300239344</v>
      </c>
      <c r="G37" s="1876"/>
      <c r="H37" s="1876">
        <f>'WS_DS-UU'!E82</f>
        <v>1.7134993234141425</v>
      </c>
      <c r="I37" s="1876"/>
      <c r="J37" s="1876">
        <f>'WS_DS-UU'!F82</f>
        <v>1.7318176144852757</v>
      </c>
      <c r="K37" s="1876"/>
      <c r="L37" s="326"/>
      <c r="M37" s="326"/>
      <c r="N37" s="710"/>
      <c r="O37" s="326"/>
      <c r="P37" s="326"/>
      <c r="Q37" s="326"/>
      <c r="R37" s="326"/>
      <c r="S37" s="326"/>
      <c r="T37" s="326"/>
      <c r="U37" s="326"/>
      <c r="V37" s="326"/>
      <c r="W37" s="326"/>
      <c r="X37" s="326"/>
      <c r="AA37" s="335"/>
      <c r="AB37" s="338" t="str">
        <f>"LAB ID.         : "&amp;'Template LHU_CBRsoaked'!$N$13&amp;""</f>
        <v>LAB ID.         : 26-001-DS-001</v>
      </c>
      <c r="AD37" s="803"/>
    </row>
    <row r="38" spans="1:30">
      <c r="A38" s="326"/>
      <c r="B38" s="326"/>
      <c r="C38" s="326"/>
      <c r="D38" s="326"/>
      <c r="E38" s="326"/>
      <c r="F38" s="326"/>
      <c r="G38" s="326"/>
      <c r="H38" s="326"/>
      <c r="I38" s="638"/>
      <c r="J38" s="326"/>
      <c r="K38" s="326"/>
      <c r="L38" s="326"/>
      <c r="M38" s="326"/>
      <c r="N38" s="326"/>
      <c r="O38" s="326"/>
      <c r="P38" s="326"/>
      <c r="Q38" s="326"/>
      <c r="R38" s="326"/>
      <c r="S38" s="326"/>
      <c r="T38" s="326"/>
      <c r="U38" s="326"/>
      <c r="V38" s="326"/>
      <c r="W38" s="326"/>
      <c r="X38" s="326"/>
      <c r="AA38" s="335" t="s">
        <v>1170</v>
      </c>
      <c r="AB38" s="338" t="str">
        <f>"TEST TYPE   : "&amp;AA38&amp;""</f>
        <v>TEST TYPE   : Direct Shear (UU)</v>
      </c>
    </row>
    <row r="39" spans="1:30">
      <c r="A39" s="541" t="s">
        <v>184</v>
      </c>
      <c r="B39" s="541"/>
      <c r="C39" s="541"/>
      <c r="D39" s="541"/>
      <c r="E39" s="541"/>
      <c r="F39" s="541"/>
      <c r="G39" s="541"/>
      <c r="H39" s="541"/>
      <c r="I39" s="859"/>
      <c r="J39" s="541"/>
      <c r="K39" s="541"/>
      <c r="L39" s="541"/>
      <c r="M39" s="541"/>
      <c r="N39" s="541"/>
      <c r="O39" s="541"/>
      <c r="P39" s="541"/>
      <c r="Q39" s="541"/>
      <c r="R39" s="541"/>
      <c r="S39" s="541"/>
      <c r="T39" s="541"/>
      <c r="U39" s="541"/>
      <c r="V39" s="541"/>
      <c r="W39" s="541"/>
      <c r="X39" s="541"/>
      <c r="AA39" s="1310"/>
      <c r="AB39" s="338" t="str">
        <f>"DATE            : "&amp;TEXT('DATA INDUK'!$H$19,"yyyy-mm-dd")</f>
        <v>DATE            : 2026-01-29</v>
      </c>
    </row>
    <row r="40" spans="1:30">
      <c r="A40" s="539" t="s">
        <v>1458</v>
      </c>
      <c r="B40" s="326"/>
      <c r="C40" s="326"/>
      <c r="D40" s="326"/>
      <c r="E40" s="326"/>
      <c r="F40" s="326"/>
      <c r="G40" s="326"/>
      <c r="H40" s="326"/>
      <c r="I40" s="638"/>
      <c r="J40" s="326"/>
      <c r="K40" s="326"/>
      <c r="L40" s="326"/>
      <c r="M40" s="326"/>
      <c r="N40" s="540" t="s">
        <v>1445</v>
      </c>
      <c r="O40" s="326"/>
      <c r="P40" s="326"/>
      <c r="Q40" s="326"/>
      <c r="R40" s="326"/>
      <c r="S40" s="326"/>
      <c r="T40" s="326"/>
      <c r="U40" s="326"/>
      <c r="V40" s="326"/>
      <c r="W40" s="326"/>
      <c r="X40" s="326"/>
    </row>
    <row r="41" spans="1:30">
      <c r="A41" s="15" t="s">
        <v>1459</v>
      </c>
      <c r="B41" s="326"/>
      <c r="C41" s="326"/>
      <c r="D41" s="326"/>
      <c r="E41" s="326"/>
      <c r="F41" s="326"/>
      <c r="G41" s="326"/>
      <c r="H41" s="326"/>
      <c r="I41" s="638"/>
      <c r="J41" s="326"/>
      <c r="K41" s="326"/>
      <c r="L41" s="326"/>
      <c r="M41" s="326"/>
      <c r="N41" s="15" t="s">
        <v>1446</v>
      </c>
      <c r="O41" s="326"/>
      <c r="P41" s="326"/>
      <c r="Q41" s="326"/>
      <c r="R41" s="326"/>
      <c r="S41" s="326"/>
      <c r="T41" s="326"/>
      <c r="U41" s="326"/>
      <c r="V41" s="326"/>
      <c r="W41" s="326"/>
      <c r="X41" s="326"/>
    </row>
    <row r="42" spans="1:30">
      <c r="A42" s="326"/>
      <c r="B42" s="326"/>
      <c r="C42" s="326"/>
      <c r="D42" s="326"/>
      <c r="E42" s="326"/>
      <c r="F42" s="326"/>
      <c r="G42" s="326"/>
      <c r="H42" s="326"/>
      <c r="I42" s="638"/>
      <c r="J42" s="326"/>
      <c r="K42" s="326"/>
      <c r="L42" s="326"/>
      <c r="M42" s="326"/>
      <c r="N42" s="326"/>
      <c r="O42" s="326"/>
      <c r="P42" s="326"/>
      <c r="Q42" s="326"/>
      <c r="R42" s="326"/>
      <c r="S42" s="326"/>
      <c r="T42" s="326"/>
      <c r="U42" s="326"/>
      <c r="V42" s="326"/>
      <c r="W42" s="326"/>
      <c r="X42" s="326"/>
    </row>
    <row r="43" spans="1:30">
      <c r="A43" s="326"/>
      <c r="B43" s="326"/>
      <c r="C43" s="326"/>
      <c r="D43" s="326"/>
      <c r="E43" s="326"/>
      <c r="F43" s="326"/>
      <c r="G43" s="326"/>
      <c r="H43" s="326"/>
      <c r="I43" s="638"/>
      <c r="J43" s="326"/>
      <c r="K43" s="326"/>
      <c r="L43" s="326"/>
      <c r="M43" s="326"/>
      <c r="N43" s="326"/>
      <c r="O43" s="326"/>
      <c r="P43" s="326"/>
      <c r="Q43" s="326"/>
      <c r="R43" s="326"/>
      <c r="S43" s="326"/>
      <c r="T43" s="326"/>
      <c r="U43" s="326"/>
      <c r="V43" s="326"/>
      <c r="W43" s="326"/>
      <c r="X43" s="326"/>
    </row>
    <row r="44" spans="1:30">
      <c r="A44" s="326"/>
      <c r="B44" s="326"/>
      <c r="C44" s="326"/>
      <c r="D44" s="326"/>
      <c r="E44" s="326"/>
      <c r="F44" s="326"/>
      <c r="G44" s="326"/>
      <c r="H44" s="326"/>
      <c r="I44" s="638"/>
      <c r="J44" s="326"/>
      <c r="K44" s="326"/>
      <c r="L44" s="326"/>
      <c r="M44" s="326"/>
      <c r="N44" s="326"/>
      <c r="O44" s="326"/>
      <c r="P44" s="326"/>
      <c r="Q44" s="326"/>
      <c r="R44" s="326"/>
      <c r="S44" s="326"/>
      <c r="T44" s="326"/>
      <c r="U44" s="326"/>
      <c r="V44" s="326"/>
      <c r="W44" s="326"/>
      <c r="X44" s="326"/>
    </row>
    <row r="45" spans="1:30">
      <c r="A45" s="326"/>
      <c r="B45" s="326"/>
      <c r="C45" s="326"/>
      <c r="D45" s="326"/>
      <c r="E45" s="326"/>
      <c r="F45" s="326"/>
      <c r="G45" s="326"/>
      <c r="H45" s="326"/>
      <c r="I45" s="638"/>
      <c r="J45" s="326"/>
      <c r="K45" s="326"/>
      <c r="L45" s="326"/>
      <c r="M45" s="326"/>
      <c r="N45" s="326"/>
      <c r="O45" s="326"/>
      <c r="P45" s="326"/>
      <c r="Q45" s="326"/>
      <c r="R45" s="326"/>
      <c r="S45" s="326"/>
      <c r="T45" s="326"/>
      <c r="U45" s="326"/>
      <c r="V45" s="326"/>
      <c r="W45" s="326"/>
      <c r="X45" s="326"/>
    </row>
    <row r="46" spans="1:30">
      <c r="A46" s="326"/>
      <c r="B46" s="326"/>
      <c r="C46" s="326"/>
      <c r="D46" s="326"/>
      <c r="E46" s="326"/>
      <c r="F46" s="326"/>
      <c r="G46" s="326"/>
      <c r="H46" s="326"/>
      <c r="I46" s="638"/>
      <c r="J46" s="326"/>
      <c r="K46" s="326"/>
      <c r="L46" s="326"/>
      <c r="M46" s="326"/>
      <c r="N46" s="326"/>
      <c r="O46" s="326"/>
      <c r="P46" s="326"/>
      <c r="Q46" s="326"/>
      <c r="R46" s="326"/>
      <c r="S46" s="326"/>
      <c r="T46" s="326"/>
      <c r="U46" s="326"/>
      <c r="V46" s="326"/>
      <c r="W46" s="326"/>
      <c r="X46" s="326"/>
    </row>
    <row r="47" spans="1:30">
      <c r="A47" s="326"/>
      <c r="B47" s="326"/>
      <c r="C47" s="326"/>
      <c r="D47" s="326"/>
      <c r="E47" s="326"/>
      <c r="F47" s="326"/>
      <c r="G47" s="326"/>
      <c r="H47" s="326"/>
      <c r="I47" s="638"/>
      <c r="J47" s="326"/>
      <c r="K47" s="326"/>
      <c r="L47" s="326"/>
      <c r="M47" s="326"/>
      <c r="N47" s="326"/>
      <c r="O47" s="326"/>
      <c r="P47" s="326"/>
      <c r="Q47" s="326"/>
      <c r="R47" s="326"/>
      <c r="S47" s="326"/>
      <c r="T47" s="326"/>
      <c r="U47" s="326"/>
      <c r="V47" s="326"/>
      <c r="W47" s="326"/>
      <c r="X47" s="326"/>
    </row>
    <row r="48" spans="1:30">
      <c r="A48" s="326"/>
      <c r="B48" s="326"/>
      <c r="C48" s="326"/>
      <c r="D48" s="326"/>
      <c r="E48" s="326"/>
      <c r="F48" s="326"/>
      <c r="G48" s="326"/>
      <c r="H48" s="326"/>
      <c r="I48" s="638"/>
      <c r="J48" s="326"/>
      <c r="K48" s="326"/>
      <c r="L48" s="326"/>
      <c r="M48" s="326"/>
      <c r="N48" s="326"/>
      <c r="O48" s="326"/>
      <c r="P48" s="326"/>
      <c r="Q48" s="326"/>
      <c r="R48" s="326"/>
      <c r="S48" s="326"/>
      <c r="T48" s="326"/>
      <c r="U48" s="326"/>
      <c r="V48" s="326"/>
      <c r="W48" s="326"/>
      <c r="X48" s="326"/>
    </row>
    <row r="49" spans="1:24">
      <c r="A49" s="326"/>
      <c r="B49" s="326"/>
      <c r="C49" s="326"/>
      <c r="D49" s="326"/>
      <c r="E49" s="326"/>
      <c r="F49" s="326"/>
      <c r="G49" s="326"/>
      <c r="H49" s="326"/>
      <c r="I49" s="638"/>
      <c r="J49" s="326"/>
      <c r="K49" s="326"/>
      <c r="L49" s="326"/>
      <c r="M49" s="326"/>
      <c r="N49" s="326"/>
      <c r="O49" s="326"/>
      <c r="P49" s="326"/>
      <c r="Q49" s="326"/>
      <c r="R49" s="326"/>
      <c r="S49" s="326"/>
      <c r="T49" s="326"/>
      <c r="U49" s="326"/>
      <c r="V49" s="326"/>
      <c r="W49" s="326"/>
      <c r="X49" s="326"/>
    </row>
    <row r="50" spans="1:24">
      <c r="A50" s="326"/>
      <c r="B50" s="326"/>
      <c r="C50" s="326"/>
      <c r="D50" s="326"/>
      <c r="E50" s="326"/>
      <c r="F50" s="326"/>
      <c r="G50" s="326"/>
      <c r="H50" s="326"/>
      <c r="I50" s="638"/>
      <c r="J50" s="326"/>
      <c r="K50" s="326"/>
      <c r="L50" s="326"/>
      <c r="M50" s="326"/>
      <c r="N50" s="326"/>
      <c r="O50" s="326"/>
      <c r="P50" s="326"/>
      <c r="Q50" s="326"/>
      <c r="R50" s="326"/>
      <c r="S50" s="326"/>
      <c r="T50" s="326"/>
      <c r="U50" s="326"/>
      <c r="V50" s="326"/>
      <c r="W50" s="326"/>
      <c r="X50" s="326"/>
    </row>
    <row r="51" spans="1:24">
      <c r="A51" s="326"/>
      <c r="B51" s="326"/>
      <c r="C51" s="326"/>
      <c r="D51" s="326"/>
      <c r="E51" s="326"/>
      <c r="F51" s="326"/>
      <c r="G51" s="326"/>
      <c r="H51" s="326"/>
      <c r="I51" s="638"/>
      <c r="J51" s="326"/>
      <c r="K51" s="326"/>
      <c r="L51" s="326"/>
      <c r="M51" s="326"/>
      <c r="N51" s="326"/>
      <c r="O51" s="326"/>
      <c r="P51" s="326"/>
      <c r="Q51" s="326"/>
      <c r="R51" s="326"/>
      <c r="S51" s="326"/>
      <c r="T51" s="326"/>
      <c r="U51" s="326"/>
      <c r="V51" s="326"/>
      <c r="W51" s="326"/>
      <c r="X51" s="326"/>
    </row>
    <row r="52" spans="1:24">
      <c r="A52" s="326"/>
      <c r="B52" s="326"/>
      <c r="C52" s="326"/>
      <c r="D52" s="326"/>
      <c r="E52" s="326"/>
      <c r="F52" s="326"/>
      <c r="G52" s="326"/>
      <c r="H52" s="326"/>
      <c r="I52" s="638"/>
      <c r="J52" s="326"/>
      <c r="K52" s="326"/>
      <c r="L52" s="326"/>
      <c r="M52" s="326"/>
      <c r="N52" s="326"/>
      <c r="O52" s="326"/>
      <c r="P52" s="326"/>
      <c r="Q52" s="326"/>
      <c r="R52" s="326"/>
      <c r="S52" s="326"/>
      <c r="T52" s="326"/>
      <c r="U52" s="326"/>
      <c r="V52" s="326"/>
      <c r="W52" s="326"/>
      <c r="X52" s="326"/>
    </row>
    <row r="53" spans="1:24">
      <c r="A53" s="326"/>
      <c r="B53" s="326"/>
      <c r="C53" s="326"/>
      <c r="D53" s="326"/>
      <c r="E53" s="326"/>
      <c r="F53" s="326"/>
      <c r="G53" s="326"/>
      <c r="H53" s="326"/>
      <c r="I53" s="638"/>
      <c r="J53" s="326"/>
      <c r="K53" s="326"/>
      <c r="L53" s="326"/>
      <c r="M53" s="326"/>
      <c r="N53" s="326"/>
      <c r="O53" s="326"/>
      <c r="P53" s="326"/>
      <c r="Q53" s="326"/>
      <c r="R53" s="326"/>
      <c r="S53" s="326"/>
      <c r="T53" s="326"/>
      <c r="U53" s="326"/>
      <c r="V53" s="326"/>
      <c r="W53" s="326"/>
      <c r="X53" s="326"/>
    </row>
    <row r="54" spans="1:24">
      <c r="A54" s="326"/>
      <c r="B54" s="326"/>
      <c r="C54" s="326"/>
      <c r="D54" s="326"/>
      <c r="E54" s="326"/>
      <c r="F54" s="326"/>
      <c r="G54" s="326"/>
      <c r="H54" s="326"/>
      <c r="I54" s="638"/>
      <c r="J54" s="326"/>
      <c r="K54" s="326"/>
      <c r="L54" s="326"/>
      <c r="M54" s="326"/>
    </row>
    <row r="55" spans="1:24">
      <c r="A55" s="326"/>
      <c r="B55" s="326"/>
      <c r="C55" s="326"/>
      <c r="D55" s="326"/>
      <c r="E55" s="326"/>
      <c r="F55" s="859" t="s">
        <v>1308</v>
      </c>
      <c r="G55" s="1341"/>
      <c r="H55" s="877"/>
      <c r="I55" s="679"/>
      <c r="J55" s="679"/>
      <c r="K55" s="679"/>
      <c r="L55" s="679"/>
      <c r="M55" s="679"/>
      <c r="N55" s="679"/>
      <c r="O55" s="679"/>
      <c r="P55" s="877"/>
      <c r="Q55" s="877"/>
      <c r="V55" s="973"/>
      <c r="W55" s="973"/>
      <c r="X55" s="973"/>
    </row>
    <row r="56" spans="1:24">
      <c r="A56" s="326"/>
      <c r="B56" s="326"/>
      <c r="C56" s="326"/>
      <c r="D56" s="326"/>
      <c r="E56" s="326"/>
      <c r="F56" s="326"/>
      <c r="G56" s="326"/>
      <c r="V56" s="973"/>
      <c r="W56" s="326"/>
      <c r="X56" s="326"/>
    </row>
    <row r="57" spans="1:24">
      <c r="A57" s="326"/>
      <c r="B57" s="326"/>
      <c r="C57" s="326"/>
      <c r="D57" s="326"/>
      <c r="E57" s="326"/>
      <c r="F57" s="326"/>
      <c r="G57" s="326"/>
      <c r="H57" s="1869" t="s">
        <v>557</v>
      </c>
      <c r="I57" s="1869"/>
      <c r="J57" s="1869"/>
      <c r="K57" s="1869"/>
      <c r="L57" s="2005">
        <f>'WS_DS-UU'!F58</f>
        <v>23.387588395599792</v>
      </c>
      <c r="M57" s="2006"/>
      <c r="N57" s="1339" t="s">
        <v>465</v>
      </c>
      <c r="V57" s="576"/>
      <c r="W57" s="326"/>
      <c r="X57" s="326"/>
    </row>
    <row r="58" spans="1:24">
      <c r="H58" s="1869" t="s">
        <v>723</v>
      </c>
      <c r="I58" s="1869"/>
      <c r="J58" s="1869"/>
      <c r="K58" s="1869"/>
      <c r="L58" s="2005">
        <f>'WS_DS-UU'!F59</f>
        <v>21.485963160010922</v>
      </c>
      <c r="M58" s="2006"/>
      <c r="N58" s="1340" t="s">
        <v>500</v>
      </c>
      <c r="O58" s="13"/>
      <c r="P58" s="13"/>
      <c r="Q58" s="13"/>
      <c r="R58" s="13"/>
      <c r="V58" s="974"/>
    </row>
    <row r="59" spans="1:24">
      <c r="T59" s="20" t="s">
        <v>1537</v>
      </c>
    </row>
    <row r="60" spans="1:24">
      <c r="C60" s="1827" t="s">
        <v>623</v>
      </c>
      <c r="D60" s="1828"/>
      <c r="E60" s="1828"/>
      <c r="F60" s="1828"/>
      <c r="G60" s="1829"/>
      <c r="H60" s="1827" t="s">
        <v>292</v>
      </c>
      <c r="I60" s="1828"/>
      <c r="J60" s="1828"/>
      <c r="K60" s="1828"/>
      <c r="L60" s="1829"/>
      <c r="M60" s="1827" t="s">
        <v>294</v>
      </c>
      <c r="N60" s="1828"/>
      <c r="O60" s="1828"/>
      <c r="P60" s="1828"/>
      <c r="Q60" s="1828"/>
      <c r="R60" s="1829"/>
      <c r="T60" s="904"/>
      <c r="U60" s="905"/>
      <c r="V60" s="905"/>
      <c r="W60" s="906"/>
    </row>
    <row r="61" spans="1:24" ht="15.95" customHeight="1">
      <c r="C61" s="1903" t="s">
        <v>624</v>
      </c>
      <c r="D61" s="1646"/>
      <c r="E61" s="1646"/>
      <c r="F61" s="1646"/>
      <c r="G61" s="1904"/>
      <c r="H61" s="1905" t="s">
        <v>293</v>
      </c>
      <c r="I61" s="1652"/>
      <c r="J61" s="1652"/>
      <c r="K61" s="1652"/>
      <c r="L61" s="1906"/>
      <c r="M61" s="1905" t="s">
        <v>295</v>
      </c>
      <c r="N61" s="1652"/>
      <c r="O61" s="1652"/>
      <c r="P61" s="1652"/>
      <c r="Q61" s="1652"/>
      <c r="R61" s="1906"/>
      <c r="T61" s="901"/>
      <c r="W61" s="903"/>
    </row>
    <row r="62" spans="1:24" ht="15.95" customHeight="1">
      <c r="C62" s="901"/>
      <c r="D62" s="359"/>
      <c r="E62" s="359"/>
      <c r="F62" s="359"/>
      <c r="G62" s="902"/>
      <c r="H62" s="901"/>
      <c r="I62"/>
      <c r="K62" s="4"/>
      <c r="L62" s="903"/>
      <c r="M62" s="901"/>
      <c r="R62" s="903"/>
      <c r="T62" s="901"/>
      <c r="W62" s="903"/>
    </row>
    <row r="63" spans="1:24">
      <c r="C63" s="901"/>
      <c r="G63" s="903"/>
      <c r="H63" s="901"/>
      <c r="I63"/>
      <c r="K63" s="4"/>
      <c r="L63" s="903"/>
      <c r="M63" s="901"/>
      <c r="R63" s="903"/>
      <c r="T63" s="901"/>
      <c r="W63" s="903"/>
    </row>
    <row r="64" spans="1:24">
      <c r="C64" s="901"/>
      <c r="G64" s="903"/>
      <c r="H64" s="901"/>
      <c r="I64"/>
      <c r="K64" s="4"/>
      <c r="L64" s="903"/>
      <c r="M64" s="901"/>
      <c r="R64" s="903"/>
      <c r="T64" s="901"/>
      <c r="W64" s="903"/>
    </row>
    <row r="65" spans="1:24">
      <c r="C65" s="1812" t="str">
        <f>'WS_DS-UU'!O9</f>
        <v>RAFLY</v>
      </c>
      <c r="D65" s="1632"/>
      <c r="E65" s="1632"/>
      <c r="F65" s="1632"/>
      <c r="G65" s="1846"/>
      <c r="H65" s="1812" t="str">
        <f>IF(C65='WS_DS-UU'!O10," - ",'WS_DS-UU'!O10)</f>
        <v>NOUFAL</v>
      </c>
      <c r="I65" s="1632"/>
      <c r="J65" s="1632"/>
      <c r="K65" s="1632"/>
      <c r="L65" s="1846"/>
      <c r="M65" s="1812" t="str">
        <f>'WS_DS-UU'!O11</f>
        <v>A.SUMARTADJI</v>
      </c>
      <c r="N65" s="1632"/>
      <c r="O65" s="1632"/>
      <c r="P65" s="1632"/>
      <c r="Q65" s="1632"/>
      <c r="R65" s="1846"/>
      <c r="T65" s="901"/>
      <c r="W65" s="903"/>
    </row>
    <row r="66" spans="1:24" s="15" customFormat="1" ht="12">
      <c r="C66" s="1842" t="s">
        <v>299</v>
      </c>
      <c r="D66" s="1685"/>
      <c r="E66" s="1685"/>
      <c r="F66" s="1685"/>
      <c r="G66" s="1843"/>
      <c r="H66" s="1842" t="s">
        <v>305</v>
      </c>
      <c r="I66" s="1685"/>
      <c r="J66" s="1685"/>
      <c r="K66" s="1685"/>
      <c r="L66" s="1843"/>
      <c r="M66" s="1842" t="s">
        <v>298</v>
      </c>
      <c r="N66" s="1685"/>
      <c r="O66" s="1685"/>
      <c r="P66" s="1685"/>
      <c r="Q66" s="1685"/>
      <c r="R66" s="1843"/>
      <c r="S66" s="364"/>
      <c r="T66" s="907"/>
      <c r="U66" s="364"/>
      <c r="V66" s="364"/>
      <c r="W66" s="908"/>
      <c r="X66" s="364"/>
    </row>
    <row r="67" spans="1:24" ht="15.95" customHeight="1">
      <c r="C67" s="2016" t="s">
        <v>291</v>
      </c>
      <c r="D67" s="2017"/>
      <c r="E67" s="1839">
        <f>IF('DATA INDUK'!$H$19="","",'DATA INDUK'!$H$19-1)</f>
        <v>46050</v>
      </c>
      <c r="F67" s="1839"/>
      <c r="G67" s="1840"/>
      <c r="H67" s="1898" t="s">
        <v>291</v>
      </c>
      <c r="I67" s="1899"/>
      <c r="J67" s="1839">
        <f>IF('DATA INDUK'!$H$19="","",'DATA INDUK'!$H$19-1)</f>
        <v>46050</v>
      </c>
      <c r="K67" s="1839"/>
      <c r="L67" s="1840"/>
      <c r="M67" s="1898" t="s">
        <v>291</v>
      </c>
      <c r="N67" s="1899"/>
      <c r="O67" s="1899"/>
      <c r="P67" s="1839">
        <f>IF('DATA INDUK'!$H$19="","",'DATA INDUK'!$H$19-1)</f>
        <v>46050</v>
      </c>
      <c r="Q67" s="1839"/>
      <c r="R67" s="1840"/>
      <c r="T67" s="909"/>
      <c r="U67" s="897"/>
      <c r="V67" s="897"/>
      <c r="W67" s="910"/>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1002" t="str">
        <f>'DATA INDUK'!$BT$42</f>
        <v>23-MINEARTH-RM-LHU-DS-UU-R0</v>
      </c>
    </row>
    <row r="75" spans="1:24">
      <c r="A75" s="361" t="s">
        <v>892</v>
      </c>
      <c r="B75" s="893"/>
      <c r="C75" s="893"/>
      <c r="D75" s="893"/>
      <c r="E75" s="893"/>
      <c r="F75" s="893"/>
      <c r="G75" s="893"/>
      <c r="H75" s="893"/>
      <c r="I75" s="894"/>
      <c r="J75" s="893"/>
      <c r="K75" s="361" t="s">
        <v>284</v>
      </c>
      <c r="L75" s="893"/>
      <c r="M75" s="893"/>
      <c r="N75" s="893"/>
      <c r="O75" s="893"/>
      <c r="P75" s="893"/>
      <c r="Q75" s="893"/>
      <c r="R75" s="893"/>
      <c r="S75" s="361" t="s">
        <v>285</v>
      </c>
      <c r="T75" s="893"/>
      <c r="U75" s="895"/>
      <c r="V75" s="893"/>
      <c r="W75" s="893"/>
      <c r="X75" s="893"/>
    </row>
    <row r="76" spans="1:24">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23.25">
      <c r="F78" s="1681" t="s">
        <v>302</v>
      </c>
      <c r="G78" s="1681"/>
      <c r="H78" s="1681"/>
      <c r="I78" s="1681"/>
      <c r="J78" s="1681"/>
      <c r="K78" s="1681"/>
      <c r="L78" s="1681"/>
      <c r="M78" s="1681"/>
      <c r="N78" s="1681"/>
      <c r="O78" s="1681"/>
      <c r="P78" s="1681"/>
      <c r="Q78" s="1681"/>
      <c r="R78" s="1681"/>
      <c r="S78" s="1681"/>
      <c r="T78" s="1681"/>
    </row>
    <row r="79" spans="1:24" ht="20.25">
      <c r="F79" s="1682" t="s">
        <v>1582</v>
      </c>
      <c r="G79" s="1682"/>
      <c r="H79" s="1682"/>
      <c r="I79" s="1682"/>
      <c r="J79" s="1682"/>
      <c r="K79" s="1682"/>
      <c r="L79" s="1682"/>
      <c r="M79" s="1682"/>
      <c r="N79" s="1682"/>
      <c r="O79" s="1682"/>
      <c r="P79" s="1682"/>
      <c r="Q79" s="1682"/>
      <c r="R79" s="1682"/>
      <c r="S79" s="1682"/>
      <c r="T79" s="1682"/>
    </row>
    <row r="80" spans="1:24">
      <c r="F80" s="1683" t="s">
        <v>304</v>
      </c>
      <c r="G80" s="1683"/>
      <c r="H80" s="1683"/>
      <c r="I80" s="1683"/>
      <c r="J80" s="1683"/>
      <c r="K80" s="1683"/>
      <c r="L80" s="1683"/>
      <c r="M80" s="1683"/>
      <c r="N80" s="1683"/>
      <c r="O80" s="1683"/>
      <c r="P80" s="1683"/>
      <c r="Q80" s="1683"/>
      <c r="R80" s="1683"/>
      <c r="S80" s="1683"/>
      <c r="T80" s="1683"/>
    </row>
    <row r="81" spans="1:24" ht="8.1" customHeight="1">
      <c r="A81" s="333"/>
      <c r="B81" s="333"/>
      <c r="C81" s="333"/>
      <c r="D81" s="333"/>
      <c r="E81" s="333"/>
      <c r="F81" s="333"/>
      <c r="G81" s="333"/>
      <c r="H81" s="333"/>
      <c r="I81" s="337"/>
      <c r="J81" s="333"/>
      <c r="K81" s="333"/>
      <c r="L81" s="333"/>
      <c r="M81" s="333"/>
      <c r="N81" s="333"/>
      <c r="O81" s="333"/>
      <c r="P81" s="333"/>
      <c r="Q81" s="333"/>
      <c r="R81" s="333"/>
      <c r="S81" s="333"/>
      <c r="T81" s="333"/>
      <c r="U81" s="333"/>
      <c r="V81" s="333"/>
      <c r="W81" s="333"/>
      <c r="X81" s="333"/>
    </row>
    <row r="82" spans="1:24" ht="8.1" customHeight="1"/>
    <row r="83" spans="1:24">
      <c r="A83" s="1680" t="s">
        <v>1346</v>
      </c>
      <c r="B83" s="1680"/>
      <c r="C83" s="1680"/>
      <c r="D83" s="1680"/>
      <c r="E83" s="656"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5" t="s">
        <v>1347</v>
      </c>
      <c r="B84" s="1635"/>
      <c r="C84" s="1635"/>
      <c r="D84" s="1635"/>
      <c r="E84" s="794" t="str">
        <f>":  "&amp;IF('DATA INDUK'!$H$18="","",'DATA INDUK'!$H$18)</f>
        <v>:  R0</v>
      </c>
      <c r="G84" s="672"/>
      <c r="H84" s="672"/>
      <c r="I84" s="1127"/>
      <c r="J84" s="672" t="s">
        <v>1348</v>
      </c>
      <c r="K84" s="672"/>
      <c r="L84" s="672"/>
      <c r="M84" s="1636" t="str">
        <f>":  "&amp;IF('DATA INDUK'!$H$19="","",TEXT('DATA INDUK'!$H$19,"dd mmmm yyyy"))</f>
        <v>:  29 January 2026</v>
      </c>
      <c r="N84" s="1636"/>
      <c r="O84" s="1636"/>
      <c r="P84" s="1636"/>
      <c r="Q84" s="1636"/>
      <c r="R84" s="1194"/>
      <c r="S84" s="1127"/>
      <c r="T84" s="1649" t="s">
        <v>1349</v>
      </c>
      <c r="U84" s="1649"/>
      <c r="V84" s="1649"/>
      <c r="W84" s="1635" t="str">
        <f>":  2 dari 2"</f>
        <v>:  2 dari 2</v>
      </c>
      <c r="X84" s="1635"/>
    </row>
    <row r="85" spans="1:24" ht="8.1" customHeight="1"/>
    <row r="86" spans="1:24" ht="23.25" customHeight="1">
      <c r="A86" s="1878" t="s">
        <v>288</v>
      </c>
      <c r="B86" s="1878"/>
      <c r="C86" s="1878"/>
      <c r="D86" s="1878"/>
      <c r="E86" s="1878"/>
      <c r="F86" s="1878"/>
      <c r="G86" s="1878"/>
      <c r="H86" s="1878"/>
      <c r="I86" s="1878"/>
      <c r="J86" s="1878"/>
      <c r="K86" s="1878"/>
      <c r="L86" s="1878"/>
      <c r="M86" s="1878"/>
      <c r="N86" s="1878"/>
      <c r="O86" s="1878"/>
      <c r="P86" s="1878"/>
      <c r="Q86" s="1878"/>
      <c r="R86" s="1878"/>
      <c r="S86" s="1878"/>
      <c r="T86" s="1878"/>
      <c r="U86" s="1878"/>
      <c r="V86" s="1878"/>
      <c r="W86" s="1878"/>
      <c r="X86" s="1878"/>
    </row>
    <row r="138" spans="1:24">
      <c r="H138" s="333"/>
      <c r="I138" s="337"/>
      <c r="J138" s="333"/>
      <c r="K138" s="333"/>
      <c r="L138" s="333"/>
      <c r="M138" s="333"/>
      <c r="N138" s="333"/>
      <c r="O138" s="333"/>
      <c r="P138" s="333"/>
      <c r="Q138" s="333"/>
      <c r="R138" s="333"/>
      <c r="S138" s="333"/>
      <c r="U138" s="20" t="s">
        <v>1537</v>
      </c>
      <c r="V138" s="333"/>
      <c r="W138" s="333"/>
      <c r="X138" s="333"/>
    </row>
    <row r="139" spans="1:24">
      <c r="A139" s="700" t="s">
        <v>297</v>
      </c>
      <c r="B139" s="338"/>
      <c r="C139" s="338"/>
      <c r="D139" s="4"/>
      <c r="E139" s="4"/>
      <c r="F139" s="4"/>
      <c r="G139" s="363"/>
      <c r="H139" s="1800" t="s">
        <v>623</v>
      </c>
      <c r="I139" s="1800"/>
      <c r="J139" s="1800"/>
      <c r="K139" s="2015"/>
      <c r="L139" s="1800" t="s">
        <v>292</v>
      </c>
      <c r="M139" s="1800"/>
      <c r="N139" s="1800"/>
      <c r="O139" s="2015"/>
      <c r="P139" s="1800" t="s">
        <v>294</v>
      </c>
      <c r="Q139" s="1800"/>
      <c r="R139" s="1800"/>
      <c r="S139" s="2015"/>
      <c r="U139" s="357"/>
      <c r="X139" s="330"/>
    </row>
    <row r="140" spans="1:24" ht="15.95" customHeight="1">
      <c r="G140" s="331"/>
      <c r="H140" s="1675" t="s">
        <v>624</v>
      </c>
      <c r="I140" s="1675"/>
      <c r="J140" s="1675"/>
      <c r="K140" s="2012"/>
      <c r="L140" s="1675" t="s">
        <v>293</v>
      </c>
      <c r="M140" s="1675"/>
      <c r="N140" s="1675"/>
      <c r="O140" s="2012"/>
      <c r="P140" s="1675" t="s">
        <v>295</v>
      </c>
      <c r="Q140" s="1675"/>
      <c r="R140" s="1675"/>
      <c r="S140" s="2012"/>
      <c r="U140" s="357"/>
      <c r="X140" s="331"/>
    </row>
    <row r="141" spans="1:24">
      <c r="G141" s="331"/>
      <c r="I141"/>
      <c r="J141" s="359"/>
      <c r="K141" s="360"/>
      <c r="O141" s="363"/>
      <c r="S141" s="331"/>
      <c r="U141" s="357"/>
      <c r="X141" s="331"/>
    </row>
    <row r="142" spans="1:24">
      <c r="G142" s="331"/>
      <c r="I142"/>
      <c r="K142" s="331"/>
      <c r="O142" s="363"/>
      <c r="S142" s="331"/>
      <c r="U142" s="357"/>
      <c r="X142" s="331"/>
    </row>
    <row r="143" spans="1:24">
      <c r="G143" s="331"/>
      <c r="I143"/>
      <c r="K143" s="331"/>
      <c r="O143" s="363"/>
      <c r="S143" s="331"/>
      <c r="U143" s="357"/>
      <c r="X143" s="331"/>
    </row>
    <row r="144" spans="1:24">
      <c r="G144" s="331"/>
      <c r="H144" s="2013" t="str">
        <f>C65</f>
        <v>RAFLY</v>
      </c>
      <c r="I144" s="2013"/>
      <c r="J144" s="2013"/>
      <c r="K144" s="2014"/>
      <c r="L144" s="2013" t="str">
        <f>H65</f>
        <v>NOUFAL</v>
      </c>
      <c r="M144" s="2013"/>
      <c r="N144" s="2013"/>
      <c r="O144" s="2014"/>
      <c r="P144" s="2013" t="str">
        <f>M65</f>
        <v>A.SUMARTADJI</v>
      </c>
      <c r="Q144" s="2013"/>
      <c r="R144" s="2013"/>
      <c r="S144" s="2014"/>
      <c r="U144" s="357"/>
      <c r="X144" s="331"/>
    </row>
    <row r="145" spans="1:27">
      <c r="G145" s="331"/>
      <c r="H145" s="1685" t="str">
        <f>C66</f>
        <v>Teknisi/Analis</v>
      </c>
      <c r="I145" s="1685"/>
      <c r="J145" s="1685"/>
      <c r="K145" s="1780"/>
      <c r="L145" s="1685" t="str">
        <f>H66</f>
        <v>Koordinator Teknis</v>
      </c>
      <c r="M145" s="1685"/>
      <c r="N145" s="1685"/>
      <c r="O145" s="1780"/>
      <c r="P145" s="1685" t="str">
        <f>M66</f>
        <v>Kepala Laboratorium</v>
      </c>
      <c r="Q145" s="1685"/>
      <c r="R145" s="1685"/>
      <c r="S145" s="1780"/>
      <c r="U145" s="702"/>
      <c r="V145" s="358"/>
      <c r="W145" s="358"/>
      <c r="X145" s="703"/>
      <c r="Y145" s="358"/>
      <c r="Z145" s="358"/>
      <c r="AA145" s="358"/>
    </row>
    <row r="146" spans="1:27" ht="15.95" customHeight="1">
      <c r="G146" s="331"/>
      <c r="H146" s="2007" t="s">
        <v>761</v>
      </c>
      <c r="I146" s="2007"/>
      <c r="J146" s="2008">
        <f>E67</f>
        <v>46050</v>
      </c>
      <c r="K146" s="2009"/>
      <c r="L146" s="685" t="s">
        <v>762</v>
      </c>
      <c r="M146" s="2010">
        <f>J67</f>
        <v>46050</v>
      </c>
      <c r="N146" s="2010"/>
      <c r="O146" s="2011"/>
      <c r="P146" s="2007" t="s">
        <v>763</v>
      </c>
      <c r="Q146" s="2007"/>
      <c r="R146" s="2008">
        <f>P67</f>
        <v>46050</v>
      </c>
      <c r="S146" s="2009"/>
      <c r="T146" s="701"/>
      <c r="U146" s="704"/>
      <c r="V146" s="705"/>
      <c r="W146" s="705"/>
      <c r="X146" s="706"/>
    </row>
    <row r="147" spans="1:27" ht="8.1" customHeight="1"/>
    <row r="148" spans="1:27" ht="18" customHeight="1">
      <c r="B148" s="356"/>
      <c r="C148" s="356"/>
      <c r="D148" s="356"/>
      <c r="E148" s="356"/>
      <c r="T148" s="684" t="str">
        <f>$T$74</f>
        <v>23-MINEARTH-RM-LHU-DS-UU-R0</v>
      </c>
      <c r="U148" s="913"/>
      <c r="V148" s="913"/>
      <c r="W148" s="913"/>
      <c r="X148" s="913"/>
    </row>
    <row r="149" spans="1:27" ht="18" customHeight="1">
      <c r="A149" s="362"/>
      <c r="B149" s="362"/>
      <c r="C149" s="362"/>
      <c r="D149" s="362"/>
      <c r="E149" s="362"/>
    </row>
    <row r="150" spans="1:27" ht="8.1" customHeight="1"/>
  </sheetData>
  <mergeCells count="135">
    <mergeCell ref="A13:D13"/>
    <mergeCell ref="E13:L13"/>
    <mergeCell ref="A14:D14"/>
    <mergeCell ref="E14:L14"/>
    <mergeCell ref="N13:R13"/>
    <mergeCell ref="S13:X13"/>
    <mergeCell ref="N14:R14"/>
    <mergeCell ref="S14:X14"/>
    <mergeCell ref="N15:R16"/>
    <mergeCell ref="S15:X16"/>
    <mergeCell ref="A9:L9"/>
    <mergeCell ref="A12:L12"/>
    <mergeCell ref="N12:X12"/>
    <mergeCell ref="F1:T1"/>
    <mergeCell ref="F2:T2"/>
    <mergeCell ref="F3:T3"/>
    <mergeCell ref="A6:D6"/>
    <mergeCell ref="A7:D7"/>
    <mergeCell ref="M7:Q7"/>
    <mergeCell ref="T7:V7"/>
    <mergeCell ref="W7:X7"/>
    <mergeCell ref="A26:T26"/>
    <mergeCell ref="U26:U27"/>
    <mergeCell ref="V26:X27"/>
    <mergeCell ref="A27:T27"/>
    <mergeCell ref="A17:L17"/>
    <mergeCell ref="A19:D20"/>
    <mergeCell ref="E19:L20"/>
    <mergeCell ref="A21:D22"/>
    <mergeCell ref="E21:L22"/>
    <mergeCell ref="N22:R23"/>
    <mergeCell ref="S22:X23"/>
    <mergeCell ref="N17:R17"/>
    <mergeCell ref="S17:X17"/>
    <mergeCell ref="N18:R19"/>
    <mergeCell ref="S18:X19"/>
    <mergeCell ref="N20:R21"/>
    <mergeCell ref="S20:X21"/>
    <mergeCell ref="U30:V30"/>
    <mergeCell ref="W30:X30"/>
    <mergeCell ref="A31:E31"/>
    <mergeCell ref="F31:G31"/>
    <mergeCell ref="H31:I31"/>
    <mergeCell ref="J31:K31"/>
    <mergeCell ref="N31:R31"/>
    <mergeCell ref="S31:T31"/>
    <mergeCell ref="U31:V31"/>
    <mergeCell ref="W31:X31"/>
    <mergeCell ref="A30:E30"/>
    <mergeCell ref="F30:G30"/>
    <mergeCell ref="H30:I30"/>
    <mergeCell ref="J30:K30"/>
    <mergeCell ref="N30:R30"/>
    <mergeCell ref="S30:T30"/>
    <mergeCell ref="U32:V33"/>
    <mergeCell ref="W32:X33"/>
    <mergeCell ref="A33:E33"/>
    <mergeCell ref="F33:G33"/>
    <mergeCell ref="H33:I33"/>
    <mergeCell ref="J33:K33"/>
    <mergeCell ref="A32:E32"/>
    <mergeCell ref="F32:G32"/>
    <mergeCell ref="H32:I32"/>
    <mergeCell ref="J32:K32"/>
    <mergeCell ref="N32:R33"/>
    <mergeCell ref="S32:T33"/>
    <mergeCell ref="W34:X35"/>
    <mergeCell ref="A35:E35"/>
    <mergeCell ref="F35:G35"/>
    <mergeCell ref="H35:I35"/>
    <mergeCell ref="J35:K35"/>
    <mergeCell ref="A34:E34"/>
    <mergeCell ref="F34:G34"/>
    <mergeCell ref="H34:I34"/>
    <mergeCell ref="J34:K34"/>
    <mergeCell ref="N34:R35"/>
    <mergeCell ref="S34:T35"/>
    <mergeCell ref="A36:E36"/>
    <mergeCell ref="F36:G36"/>
    <mergeCell ref="H36:I36"/>
    <mergeCell ref="J36:K36"/>
    <mergeCell ref="A37:E37"/>
    <mergeCell ref="F37:G37"/>
    <mergeCell ref="H37:I37"/>
    <mergeCell ref="J37:K37"/>
    <mergeCell ref="U34:V35"/>
    <mergeCell ref="C61:G61"/>
    <mergeCell ref="H61:L61"/>
    <mergeCell ref="M61:R61"/>
    <mergeCell ref="C65:G65"/>
    <mergeCell ref="H65:L65"/>
    <mergeCell ref="M65:R65"/>
    <mergeCell ref="C60:G60"/>
    <mergeCell ref="H60:L60"/>
    <mergeCell ref="M60:R60"/>
    <mergeCell ref="F79:T79"/>
    <mergeCell ref="F80:T80"/>
    <mergeCell ref="A83:D83"/>
    <mergeCell ref="A84:D84"/>
    <mergeCell ref="M84:Q84"/>
    <mergeCell ref="T84:V84"/>
    <mergeCell ref="W84:X84"/>
    <mergeCell ref="C66:G66"/>
    <mergeCell ref="H66:L66"/>
    <mergeCell ref="M66:R66"/>
    <mergeCell ref="C67:D67"/>
    <mergeCell ref="E67:G67"/>
    <mergeCell ref="H67:I67"/>
    <mergeCell ref="J67:L67"/>
    <mergeCell ref="M67:O67"/>
    <mergeCell ref="P67:R67"/>
    <mergeCell ref="H57:K57"/>
    <mergeCell ref="L57:M57"/>
    <mergeCell ref="H58:K58"/>
    <mergeCell ref="L58:M58"/>
    <mergeCell ref="H145:K145"/>
    <mergeCell ref="L145:O145"/>
    <mergeCell ref="P145:S145"/>
    <mergeCell ref="H146:I146"/>
    <mergeCell ref="J146:K146"/>
    <mergeCell ref="M146:O146"/>
    <mergeCell ref="P146:Q146"/>
    <mergeCell ref="R146:S146"/>
    <mergeCell ref="H140:K140"/>
    <mergeCell ref="L140:O140"/>
    <mergeCell ref="P140:S140"/>
    <mergeCell ref="H144:K144"/>
    <mergeCell ref="L144:O144"/>
    <mergeCell ref="P144:S144"/>
    <mergeCell ref="A86:X86"/>
    <mergeCell ref="H139:K139"/>
    <mergeCell ref="L139:O139"/>
    <mergeCell ref="P139:S139"/>
    <mergeCell ref="A69:C73"/>
    <mergeCell ref="F78:T78"/>
  </mergeCells>
  <pageMargins left="0.72" right="0.47" top="0.59" bottom="0.51" header="0.28000000000000003" footer="0.28000000000000003"/>
  <pageSetup paperSize="9" scale="68" orientation="portrait" r:id="rId1"/>
  <rowBreaks count="1" manualBreakCount="1">
    <brk id="77" max="23" man="1"/>
  </rowBreaks>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74ED-0A87-4F46-832D-A8F57D7F8CA8}">
  <dimension ref="A1:AD399"/>
  <sheetViews>
    <sheetView topLeftCell="A333" zoomScale="98" zoomScaleNormal="98" zoomScaleSheetLayoutView="113" zoomScalePageLayoutView="48" workbookViewId="0">
      <selection activeCell="F11" sqref="F11:F12"/>
    </sheetView>
  </sheetViews>
  <sheetFormatPr defaultColWidth="11" defaultRowHeight="15.75"/>
  <cols>
    <col min="2" max="2" width="11.625" bestFit="1" customWidth="1"/>
  </cols>
  <sheetData>
    <row r="1" spans="1:22" ht="18">
      <c r="A1" s="708" t="s">
        <v>701</v>
      </c>
      <c r="B1" s="708"/>
      <c r="C1" s="708"/>
      <c r="D1" s="708"/>
      <c r="E1" s="708"/>
      <c r="F1" s="708"/>
      <c r="G1" s="708"/>
      <c r="H1" s="708"/>
      <c r="I1" s="708"/>
      <c r="J1" s="708"/>
      <c r="K1" s="708"/>
      <c r="L1" s="708"/>
      <c r="M1" s="708"/>
      <c r="N1" s="708"/>
      <c r="O1" s="708"/>
      <c r="P1" s="708"/>
      <c r="Q1" s="708"/>
      <c r="R1" s="708"/>
      <c r="S1" s="708"/>
      <c r="T1" s="708"/>
      <c r="U1" s="708"/>
      <c r="V1" s="708"/>
    </row>
    <row r="2" spans="1:22" ht="23.25">
      <c r="A2" s="663" t="s">
        <v>1463</v>
      </c>
      <c r="B2" s="663"/>
      <c r="C2" s="663"/>
      <c r="D2" s="663"/>
      <c r="E2" s="663"/>
      <c r="F2" s="663"/>
      <c r="G2" s="663"/>
      <c r="H2" s="663"/>
      <c r="I2" s="663"/>
      <c r="J2" s="663"/>
      <c r="K2" s="663"/>
      <c r="L2" s="663"/>
      <c r="M2" s="663"/>
      <c r="N2" s="663"/>
      <c r="O2" s="663"/>
      <c r="P2" s="663"/>
      <c r="Q2" s="663"/>
      <c r="R2" s="663"/>
      <c r="S2" s="663"/>
      <c r="T2" s="663"/>
      <c r="U2" s="663"/>
      <c r="V2" s="663"/>
    </row>
    <row r="3" spans="1:22" ht="23.25">
      <c r="A3" s="664" t="s">
        <v>1464</v>
      </c>
      <c r="B3" s="662"/>
      <c r="C3" s="662"/>
      <c r="D3" s="662"/>
      <c r="E3" s="662"/>
      <c r="F3" s="662"/>
      <c r="G3" s="662"/>
      <c r="H3" s="662"/>
      <c r="I3" s="662"/>
      <c r="J3" s="662"/>
      <c r="K3" s="662"/>
      <c r="L3" s="662"/>
      <c r="M3" s="662"/>
      <c r="N3" s="662"/>
      <c r="O3" s="662"/>
      <c r="P3" s="662"/>
      <c r="Q3" s="662"/>
      <c r="R3" s="662"/>
      <c r="S3" s="662"/>
      <c r="T3" s="662"/>
      <c r="U3" s="662"/>
    </row>
    <row r="4" spans="1:22" ht="23.25">
      <c r="A4" s="709"/>
      <c r="B4" s="709"/>
      <c r="C4" s="709"/>
      <c r="D4" s="709"/>
      <c r="E4" s="709"/>
      <c r="F4" s="709"/>
      <c r="G4" s="709"/>
      <c r="H4" s="709"/>
      <c r="I4" s="709"/>
      <c r="J4" s="709"/>
      <c r="K4" s="709"/>
      <c r="L4" s="709"/>
      <c r="M4" s="709"/>
      <c r="N4" s="709"/>
      <c r="O4" s="709"/>
      <c r="P4" s="709"/>
      <c r="Q4" s="709"/>
      <c r="R4" s="709"/>
      <c r="S4" s="709"/>
      <c r="T4" s="709"/>
      <c r="U4" s="616"/>
    </row>
    <row r="5" spans="1:22">
      <c r="A5" s="335" t="s">
        <v>781</v>
      </c>
      <c r="B5" s="335"/>
      <c r="C5" s="335"/>
      <c r="D5" s="335"/>
      <c r="E5" s="335"/>
      <c r="F5" s="335"/>
      <c r="G5" s="335"/>
      <c r="H5" s="335"/>
      <c r="I5" s="335"/>
      <c r="J5" s="335"/>
      <c r="K5" s="335"/>
      <c r="L5" s="335"/>
      <c r="M5" s="335"/>
      <c r="N5" s="335"/>
      <c r="O5" s="335"/>
      <c r="P5" s="335"/>
      <c r="Q5" s="335"/>
      <c r="R5" s="335"/>
      <c r="S5" s="335"/>
      <c r="T5" s="335"/>
      <c r="U5" s="335"/>
    </row>
    <row r="6" spans="1:22">
      <c r="A6" s="335"/>
      <c r="B6" s="335"/>
      <c r="C6" s="335"/>
      <c r="D6" s="335"/>
      <c r="E6" s="335"/>
      <c r="F6" s="335"/>
      <c r="G6" s="335"/>
      <c r="H6" s="335"/>
      <c r="I6" s="335"/>
      <c r="J6" s="335"/>
      <c r="K6" s="335"/>
      <c r="L6" s="335"/>
      <c r="M6" s="335"/>
      <c r="N6" s="335"/>
      <c r="O6" s="335"/>
      <c r="P6" s="335"/>
      <c r="Q6" s="335"/>
      <c r="R6" s="335"/>
      <c r="S6" s="335"/>
      <c r="T6" s="335"/>
      <c r="U6" s="335"/>
    </row>
    <row r="7" spans="1:22">
      <c r="A7" s="1" t="s">
        <v>775</v>
      </c>
      <c r="B7" s="1"/>
      <c r="C7" s="1"/>
      <c r="D7" s="539" t="str">
        <f>IFERROR(INDEX('DATA INDUK'!$H$27:$H$152,MATCH(ROW(D1),'DATA INDUK'!$BC$27:$BC$152,0)),"")</f>
        <v>26-001-DS-001</v>
      </c>
      <c r="E7" s="13"/>
      <c r="F7" s="13"/>
      <c r="G7" s="13"/>
      <c r="H7" s="15"/>
      <c r="I7" s="15"/>
      <c r="J7" s="15"/>
      <c r="K7" s="15"/>
      <c r="L7" s="15"/>
      <c r="M7" s="15"/>
      <c r="N7" s="15"/>
      <c r="O7" s="15"/>
      <c r="P7" s="15"/>
      <c r="Q7" s="15"/>
      <c r="R7" s="15"/>
      <c r="S7" s="15"/>
      <c r="T7" s="335"/>
      <c r="U7" s="335"/>
    </row>
    <row r="8" spans="1:22">
      <c r="A8" s="13"/>
      <c r="B8" s="13"/>
      <c r="C8" s="13"/>
      <c r="D8" s="540"/>
      <c r="E8" s="15"/>
      <c r="F8" s="15"/>
      <c r="G8" s="15"/>
      <c r="H8" s="15"/>
      <c r="I8" s="15"/>
      <c r="J8" s="15"/>
      <c r="K8" s="15"/>
      <c r="L8" s="15"/>
      <c r="M8" s="15"/>
      <c r="N8" s="15"/>
      <c r="O8" s="15"/>
      <c r="P8" s="15"/>
      <c r="Q8" s="15"/>
      <c r="R8" s="15"/>
      <c r="S8" s="15"/>
      <c r="T8" s="15"/>
      <c r="U8" s="335"/>
    </row>
    <row r="9" spans="1:22">
      <c r="A9" s="1"/>
      <c r="B9" s="1"/>
      <c r="C9" s="1"/>
      <c r="D9" s="13"/>
      <c r="E9" s="15"/>
      <c r="F9" s="15"/>
      <c r="G9" s="15"/>
      <c r="H9" s="15"/>
      <c r="I9" s="15"/>
      <c r="J9" s="15"/>
      <c r="K9" s="15"/>
      <c r="L9" s="1" t="s">
        <v>703</v>
      </c>
      <c r="M9" s="1"/>
      <c r="N9" s="1"/>
      <c r="O9" s="15" t="str">
        <f>IF($D$7="","",P9)</f>
        <v>NOUFAL</v>
      </c>
      <c r="P9" s="588" t="s">
        <v>1051</v>
      </c>
      <c r="Q9" s="15"/>
      <c r="R9" s="15"/>
      <c r="S9" s="15"/>
      <c r="T9" s="15" t="str">
        <f>"TTD_"&amp;O9&amp;""</f>
        <v>TTD_NOUFAL</v>
      </c>
      <c r="U9" s="335"/>
    </row>
    <row r="10" spans="1:22">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v>
      </c>
      <c r="U10" s="335"/>
    </row>
    <row r="11" spans="1:22">
      <c r="A11" s="1" t="s">
        <v>778</v>
      </c>
      <c r="B11" s="1"/>
      <c r="C11" s="1"/>
      <c r="D11" s="13" t="str">
        <f>IFERROR(INDEX('DATA INDUK'!$D$27:$D$152,MATCH(ROW(D1),'DATA INDUK'!$BC$27:$BC$152,0)),"")</f>
        <v>Disturbed Sample</v>
      </c>
      <c r="E11" s="15"/>
      <c r="F11" s="15" t="s">
        <v>1659</v>
      </c>
      <c r="G11" s="15"/>
      <c r="H11" s="15"/>
      <c r="I11" s="15"/>
      <c r="J11" s="15"/>
      <c r="K11" s="15"/>
      <c r="L11" s="13" t="s">
        <v>716</v>
      </c>
      <c r="M11" s="15"/>
      <c r="N11" s="15"/>
      <c r="O11" s="15" t="str">
        <f t="shared" si="0"/>
        <v>A.SUMARTADJI</v>
      </c>
      <c r="P11" s="588" t="s">
        <v>766</v>
      </c>
      <c r="Q11" s="15"/>
      <c r="R11" s="15"/>
      <c r="S11" s="15"/>
      <c r="T11" s="15" t="str">
        <f>"TTD_"&amp;O11&amp;""</f>
        <v>TTD_A.SUMARTADJI</v>
      </c>
      <c r="U11" s="335"/>
    </row>
    <row r="12" spans="1:22">
      <c r="A12" s="1" t="s">
        <v>779</v>
      </c>
      <c r="B12" s="1"/>
      <c r="C12" s="1"/>
      <c r="D12" s="1573" t="s">
        <v>1197</v>
      </c>
      <c r="E12" s="15"/>
      <c r="F12" s="15" t="str">
        <f>IFERROR(INDEX($Z$33:$Z$44,
MATCH(D12,$AC$33:$AC$44,0)),
"CHECK DESKRIPSI")</f>
        <v>SLT</v>
      </c>
      <c r="G12" s="15"/>
      <c r="H12" s="15"/>
      <c r="I12" s="15"/>
      <c r="J12" s="15"/>
      <c r="K12" s="15"/>
      <c r="L12" s="1" t="s">
        <v>705</v>
      </c>
      <c r="M12" s="1"/>
      <c r="N12" s="1"/>
      <c r="O12" s="715"/>
      <c r="P12" s="15"/>
      <c r="Q12" s="15"/>
      <c r="R12" s="15"/>
      <c r="S12" s="15"/>
      <c r="T12" s="335"/>
      <c r="U12" s="335"/>
    </row>
    <row r="13" spans="1:22">
      <c r="A13" s="1" t="s">
        <v>780</v>
      </c>
      <c r="B13" s="1"/>
      <c r="C13" s="1"/>
      <c r="D13" s="714"/>
      <c r="E13" s="15"/>
      <c r="F13" s="15"/>
      <c r="G13" s="15"/>
      <c r="H13" s="15"/>
      <c r="I13" s="15"/>
      <c r="J13" s="15"/>
      <c r="K13" s="15"/>
      <c r="L13" s="15"/>
      <c r="M13" s="15"/>
      <c r="N13" s="15"/>
      <c r="O13" s="15"/>
      <c r="P13" s="15"/>
      <c r="Q13" s="15"/>
      <c r="R13" s="15"/>
      <c r="S13" s="15"/>
      <c r="T13" s="335"/>
      <c r="U13" s="335"/>
    </row>
    <row r="14" spans="1:22"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c r="U14" s="668"/>
    </row>
    <row r="19" spans="2:30">
      <c r="B19" s="747" t="s">
        <v>440</v>
      </c>
      <c r="C19" s="727"/>
      <c r="D19" s="719" t="s">
        <v>45</v>
      </c>
      <c r="E19" s="617" t="s">
        <v>90</v>
      </c>
    </row>
    <row r="20" spans="2:30">
      <c r="B20" s="744" t="s">
        <v>649</v>
      </c>
      <c r="C20" s="743"/>
      <c r="D20" s="719" t="s">
        <v>45</v>
      </c>
      <c r="E20" s="774">
        <v>5.94</v>
      </c>
    </row>
    <row r="21" spans="2:30">
      <c r="B21" s="744" t="s">
        <v>651</v>
      </c>
      <c r="C21" s="743"/>
      <c r="D21" s="718" t="s">
        <v>652</v>
      </c>
      <c r="E21" s="774">
        <v>2.4900000000000002</v>
      </c>
    </row>
    <row r="22" spans="2:30">
      <c r="B22" s="744" t="s">
        <v>654</v>
      </c>
      <c r="C22" s="743"/>
      <c r="D22" s="718" t="s">
        <v>652</v>
      </c>
      <c r="E22" s="746">
        <f>+(E20)^2*PI()*0.25</f>
        <v>27.711674638050212</v>
      </c>
    </row>
    <row r="23" spans="2:30">
      <c r="B23" s="744" t="s">
        <v>656</v>
      </c>
      <c r="C23" s="743"/>
      <c r="D23" s="718" t="s">
        <v>657</v>
      </c>
      <c r="E23" s="746">
        <f>E22*E21</f>
        <v>69.002069848745037</v>
      </c>
    </row>
    <row r="24" spans="2:30">
      <c r="B24" s="744" t="s">
        <v>659</v>
      </c>
      <c r="C24" s="743"/>
      <c r="D24" s="640" t="s">
        <v>204</v>
      </c>
      <c r="E24" s="745">
        <v>0.40670000000000001</v>
      </c>
    </row>
    <row r="25" spans="2:30">
      <c r="B25" s="744" t="s">
        <v>660</v>
      </c>
      <c r="C25" s="743"/>
      <c r="D25" s="649" t="s">
        <v>464</v>
      </c>
      <c r="E25" s="621">
        <v>5</v>
      </c>
    </row>
    <row r="26" spans="2:30">
      <c r="B26" s="744" t="s">
        <v>661</v>
      </c>
      <c r="C26" s="743"/>
      <c r="D26" s="622" t="s">
        <v>84</v>
      </c>
      <c r="E26" s="623">
        <f>(E25/E22)*100</f>
        <v>18.042937012311135</v>
      </c>
    </row>
    <row r="27" spans="2:30">
      <c r="B27" s="744" t="s">
        <v>662</v>
      </c>
      <c r="C27" s="743"/>
      <c r="D27" s="622" t="s">
        <v>199</v>
      </c>
      <c r="E27" s="618">
        <v>0.05</v>
      </c>
    </row>
    <row r="31" spans="2:30">
      <c r="B31" s="76"/>
      <c r="C31" s="75"/>
      <c r="D31" s="75"/>
      <c r="E31" s="75"/>
      <c r="F31" s="773" t="s">
        <v>39</v>
      </c>
      <c r="G31" s="773" t="s">
        <v>40</v>
      </c>
      <c r="I31" s="76"/>
      <c r="J31" s="75"/>
      <c r="K31" s="75"/>
      <c r="L31" s="75"/>
      <c r="M31" s="773" t="s">
        <v>39</v>
      </c>
      <c r="N31" s="773" t="s">
        <v>40</v>
      </c>
      <c r="P31" s="76"/>
      <c r="Q31" s="75"/>
      <c r="R31" s="75"/>
      <c r="S31" s="75"/>
      <c r="T31" s="773" t="s">
        <v>39</v>
      </c>
      <c r="U31" s="773" t="s">
        <v>40</v>
      </c>
      <c r="Z31" s="370" t="s">
        <v>1641</v>
      </c>
      <c r="AA31" s="370"/>
      <c r="AB31" s="370"/>
      <c r="AC31" s="370"/>
      <c r="AD31" s="370"/>
    </row>
    <row r="32" spans="2:30">
      <c r="B32" s="747" t="s">
        <v>648</v>
      </c>
      <c r="C32" s="727"/>
      <c r="D32" s="719" t="s">
        <v>112</v>
      </c>
      <c r="E32" s="765"/>
      <c r="F32" s="641">
        <v>146.94300000000001</v>
      </c>
      <c r="G32" s="641">
        <v>131.584</v>
      </c>
      <c r="I32" s="747" t="s">
        <v>648</v>
      </c>
      <c r="J32" s="727"/>
      <c r="K32" s="719" t="s">
        <v>112</v>
      </c>
      <c r="L32" s="765"/>
      <c r="M32" s="772">
        <v>147.99600000000001</v>
      </c>
      <c r="N32" s="766">
        <v>145.36000000000001</v>
      </c>
      <c r="P32" s="747" t="s">
        <v>648</v>
      </c>
      <c r="Q32" s="727"/>
      <c r="R32" s="719" t="s">
        <v>112</v>
      </c>
      <c r="S32" s="765"/>
      <c r="T32" s="771">
        <v>138.38200000000001</v>
      </c>
      <c r="U32" s="763">
        <v>131.584</v>
      </c>
      <c r="Z32" s="370" t="s">
        <v>1611</v>
      </c>
      <c r="AA32" s="370" t="s">
        <v>1642</v>
      </c>
      <c r="AB32" s="370" t="s">
        <v>1632</v>
      </c>
      <c r="AC32" s="370" t="s">
        <v>1633</v>
      </c>
      <c r="AD32" s="370"/>
    </row>
    <row r="33" spans="2:30">
      <c r="B33" s="762" t="s">
        <v>650</v>
      </c>
      <c r="C33" s="727"/>
      <c r="D33" s="719" t="s">
        <v>112</v>
      </c>
      <c r="E33" s="765"/>
      <c r="F33" s="768">
        <v>136.47</v>
      </c>
      <c r="G33" s="641">
        <v>123.026</v>
      </c>
      <c r="I33" s="762" t="s">
        <v>650</v>
      </c>
      <c r="J33" s="727"/>
      <c r="K33" s="719" t="s">
        <v>112</v>
      </c>
      <c r="L33" s="765"/>
      <c r="M33" s="767">
        <v>137.82</v>
      </c>
      <c r="N33" s="766">
        <v>125.65</v>
      </c>
      <c r="P33" s="762" t="s">
        <v>650</v>
      </c>
      <c r="Q33" s="727"/>
      <c r="R33" s="719" t="s">
        <v>112</v>
      </c>
      <c r="S33" s="765"/>
      <c r="T33" s="770">
        <v>128.57</v>
      </c>
      <c r="U33" s="769">
        <v>123.026</v>
      </c>
      <c r="Z33" s="370" t="s">
        <v>1612</v>
      </c>
      <c r="AA33" s="370" t="s">
        <v>1613</v>
      </c>
      <c r="AB33" s="370" t="s">
        <v>1610</v>
      </c>
      <c r="AC33" s="370" t="s">
        <v>1510</v>
      </c>
      <c r="AD33" s="370"/>
    </row>
    <row r="34" spans="2:30">
      <c r="B34" s="747" t="s">
        <v>653</v>
      </c>
      <c r="C34" s="727"/>
      <c r="D34" s="719" t="s">
        <v>112</v>
      </c>
      <c r="E34" s="765"/>
      <c r="F34" s="768">
        <v>9.4559999999999995</v>
      </c>
      <c r="G34" s="641">
        <v>9.3620000000000001</v>
      </c>
      <c r="I34" s="747" t="s">
        <v>653</v>
      </c>
      <c r="J34" s="727"/>
      <c r="K34" s="719" t="s">
        <v>112</v>
      </c>
      <c r="L34" s="765"/>
      <c r="M34" s="767">
        <v>11.624000000000001</v>
      </c>
      <c r="N34" s="766">
        <v>11.458</v>
      </c>
      <c r="P34" s="747" t="s">
        <v>653</v>
      </c>
      <c r="Q34" s="727"/>
      <c r="R34" s="719" t="s">
        <v>112</v>
      </c>
      <c r="S34" s="765"/>
      <c r="T34" s="764">
        <v>11.365</v>
      </c>
      <c r="U34" s="763">
        <v>11.457000000000001</v>
      </c>
      <c r="Z34" s="370" t="s">
        <v>1614</v>
      </c>
      <c r="AA34" s="370" t="s">
        <v>1615</v>
      </c>
      <c r="AB34" s="370" t="s">
        <v>1634</v>
      </c>
      <c r="AC34" s="370" t="s">
        <v>1635</v>
      </c>
      <c r="AD34" s="370"/>
    </row>
    <row r="35" spans="2:30">
      <c r="B35" s="747" t="s">
        <v>655</v>
      </c>
      <c r="C35" s="649"/>
      <c r="D35" s="649" t="s">
        <v>112</v>
      </c>
      <c r="E35" s="760"/>
      <c r="F35" s="642">
        <f>F32-F34</f>
        <v>137.48700000000002</v>
      </c>
      <c r="G35" s="642">
        <f>G32-G34</f>
        <v>122.22200000000001</v>
      </c>
      <c r="I35" s="747" t="s">
        <v>655</v>
      </c>
      <c r="J35" s="649"/>
      <c r="K35" s="649" t="s">
        <v>112</v>
      </c>
      <c r="L35" s="760"/>
      <c r="M35" s="643">
        <f>M32-M34</f>
        <v>136.37200000000001</v>
      </c>
      <c r="N35" s="644">
        <f>N32-N34</f>
        <v>133.90200000000002</v>
      </c>
      <c r="P35" s="747" t="s">
        <v>655</v>
      </c>
      <c r="Q35" s="649"/>
      <c r="R35" s="649" t="s">
        <v>112</v>
      </c>
      <c r="S35" s="760"/>
      <c r="T35" s="619">
        <f>T32-T34</f>
        <v>127.01700000000001</v>
      </c>
      <c r="U35" s="620">
        <f>U32-U34</f>
        <v>120.12700000000001</v>
      </c>
      <c r="Z35" s="370" t="s">
        <v>1617</v>
      </c>
      <c r="AA35" s="370" t="s">
        <v>1618</v>
      </c>
      <c r="AB35" s="370" t="s">
        <v>1636</v>
      </c>
      <c r="AC35" s="370" t="s">
        <v>1637</v>
      </c>
      <c r="AD35" s="370"/>
    </row>
    <row r="36" spans="2:30">
      <c r="B36" s="762" t="s">
        <v>658</v>
      </c>
      <c r="C36" s="649"/>
      <c r="D36" s="649" t="s">
        <v>112</v>
      </c>
      <c r="E36" s="760"/>
      <c r="F36" s="642">
        <f>G36</f>
        <v>113.664</v>
      </c>
      <c r="G36" s="642">
        <f>G33-G34</f>
        <v>113.664</v>
      </c>
      <c r="I36" s="762" t="s">
        <v>658</v>
      </c>
      <c r="J36" s="649"/>
      <c r="K36" s="649" t="s">
        <v>112</v>
      </c>
      <c r="L36" s="760"/>
      <c r="M36" s="643">
        <f>N36</f>
        <v>114.19200000000001</v>
      </c>
      <c r="N36" s="644">
        <f>N33-N34</f>
        <v>114.19200000000001</v>
      </c>
      <c r="P36" s="762" t="s">
        <v>658</v>
      </c>
      <c r="Q36" s="649"/>
      <c r="R36" s="649" t="s">
        <v>112</v>
      </c>
      <c r="S36" s="760"/>
      <c r="T36" s="619">
        <f>U36</f>
        <v>111.56899999999999</v>
      </c>
      <c r="U36" s="620">
        <f>U33-U34</f>
        <v>111.56899999999999</v>
      </c>
      <c r="Z36" s="370" t="s">
        <v>1643</v>
      </c>
      <c r="AA36" s="370" t="s">
        <v>1644</v>
      </c>
      <c r="AB36" s="370" t="s">
        <v>1645</v>
      </c>
      <c r="AC36" s="370" t="s">
        <v>1646</v>
      </c>
      <c r="AD36" s="370"/>
    </row>
    <row r="37" spans="2:30">
      <c r="B37" s="762" t="s">
        <v>108</v>
      </c>
      <c r="C37" s="649"/>
      <c r="D37" s="649" t="s">
        <v>34</v>
      </c>
      <c r="E37" s="760"/>
      <c r="F37" s="642">
        <f>(F35-F36)/(F36)*100</f>
        <v>20.959142736486505</v>
      </c>
      <c r="G37" s="642">
        <f>(G35-G36)/(G36)*100</f>
        <v>7.529208896396403</v>
      </c>
      <c r="I37" s="762" t="s">
        <v>108</v>
      </c>
      <c r="J37" s="649"/>
      <c r="K37" s="649" t="s">
        <v>34</v>
      </c>
      <c r="L37" s="760"/>
      <c r="M37" s="643">
        <f>(M35-M36)/(M36)*100</f>
        <v>19.423427210312461</v>
      </c>
      <c r="N37" s="643">
        <f>(N35-N36)/(N36)*100</f>
        <v>17.260403530895342</v>
      </c>
      <c r="P37" s="762" t="s">
        <v>108</v>
      </c>
      <c r="Q37" s="649"/>
      <c r="R37" s="649" t="s">
        <v>34</v>
      </c>
      <c r="S37" s="760"/>
      <c r="T37" s="619">
        <f>(T35-T36)/(T36)*100</f>
        <v>13.846140056825842</v>
      </c>
      <c r="U37" s="619">
        <f>(U35-U36)/(U36)*100</f>
        <v>7.6705895006677682</v>
      </c>
      <c r="Z37" s="370" t="s">
        <v>1620</v>
      </c>
      <c r="AA37" s="370" t="s">
        <v>1616</v>
      </c>
      <c r="AB37" s="370" t="s">
        <v>509</v>
      </c>
      <c r="AC37" s="370" t="s">
        <v>1638</v>
      </c>
      <c r="AD37" s="370"/>
    </row>
    <row r="38" spans="2:30">
      <c r="B38" s="761" t="s">
        <v>73</v>
      </c>
      <c r="C38" s="649"/>
      <c r="D38" s="649" t="s">
        <v>680</v>
      </c>
      <c r="E38" s="760"/>
      <c r="F38" s="645">
        <f>F35/$E$23</f>
        <v>1.9925054465956797</v>
      </c>
      <c r="G38" s="645">
        <f>G35/$E$23</f>
        <v>1.7712801988101941</v>
      </c>
      <c r="I38" s="761" t="s">
        <v>73</v>
      </c>
      <c r="J38" s="649"/>
      <c r="K38" s="649" t="s">
        <v>680</v>
      </c>
      <c r="L38" s="760"/>
      <c r="M38" s="645">
        <f>M35/$E$23</f>
        <v>1.9763465110384693</v>
      </c>
      <c r="N38" s="645">
        <f>N35/$E$23</f>
        <v>1.9405504833915548</v>
      </c>
      <c r="P38" s="761" t="s">
        <v>73</v>
      </c>
      <c r="Q38" s="649"/>
      <c r="R38" s="649" t="s">
        <v>680</v>
      </c>
      <c r="S38" s="760"/>
      <c r="T38" s="645">
        <f>T35/$E$23</f>
        <v>1.8407708678656414</v>
      </c>
      <c r="U38" s="645">
        <f>U35/$E$23</f>
        <v>1.740918790745301</v>
      </c>
      <c r="Z38" s="370" t="s">
        <v>1621</v>
      </c>
      <c r="AA38" s="370" t="s">
        <v>1622</v>
      </c>
      <c r="AB38" s="370" t="s">
        <v>1639</v>
      </c>
      <c r="AC38" s="370" t="s">
        <v>1640</v>
      </c>
      <c r="AD38" s="370"/>
    </row>
    <row r="39" spans="2:30">
      <c r="B39" s="761" t="s">
        <v>109</v>
      </c>
      <c r="C39" s="649"/>
      <c r="D39" s="649" t="s">
        <v>680</v>
      </c>
      <c r="E39" s="760"/>
      <c r="F39" s="645">
        <f>F36/$E$23</f>
        <v>1.6472549337890223</v>
      </c>
      <c r="G39" s="645">
        <f>G36/$E$23</f>
        <v>1.6472549337890223</v>
      </c>
      <c r="I39" s="761" t="s">
        <v>109</v>
      </c>
      <c r="J39" s="649"/>
      <c r="K39" s="649" t="s">
        <v>680</v>
      </c>
      <c r="L39" s="760"/>
      <c r="M39" s="645">
        <f>M36/$E$23</f>
        <v>1.6549068781605085</v>
      </c>
      <c r="N39" s="645">
        <f>N36/$E$23</f>
        <v>1.6549068781605085</v>
      </c>
      <c r="P39" s="761" t="s">
        <v>109</v>
      </c>
      <c r="Q39" s="649"/>
      <c r="R39" s="649" t="s">
        <v>680</v>
      </c>
      <c r="S39" s="760"/>
      <c r="T39" s="645">
        <f>T36/$E$23</f>
        <v>1.616893525724129</v>
      </c>
      <c r="U39" s="645">
        <f>U36/$E$23</f>
        <v>1.616893525724129</v>
      </c>
      <c r="Z39" s="370" t="s">
        <v>1623</v>
      </c>
      <c r="AA39" s="370" t="s">
        <v>1624</v>
      </c>
      <c r="AB39" s="370" t="s">
        <v>1647</v>
      </c>
      <c r="AC39" s="370" t="s">
        <v>1648</v>
      </c>
      <c r="AD39" s="370"/>
    </row>
    <row r="40" spans="2:30">
      <c r="B40" s="747" t="s">
        <v>663</v>
      </c>
      <c r="C40" s="649"/>
      <c r="D40" s="649"/>
      <c r="E40" s="760"/>
      <c r="F40" s="646">
        <v>2.6583999999999999</v>
      </c>
      <c r="G40" s="647">
        <f>F40</f>
        <v>2.6583999999999999</v>
      </c>
      <c r="I40" s="747" t="s">
        <v>663</v>
      </c>
      <c r="J40" s="649"/>
      <c r="K40" s="649"/>
      <c r="L40" s="760"/>
      <c r="M40" s="646">
        <f>F40</f>
        <v>2.6583999999999999</v>
      </c>
      <c r="N40" s="647">
        <f>M40</f>
        <v>2.6583999999999999</v>
      </c>
      <c r="P40" s="747" t="s">
        <v>663</v>
      </c>
      <c r="Q40" s="649"/>
      <c r="R40" s="649"/>
      <c r="S40" s="760"/>
      <c r="T40" s="624">
        <f>N40</f>
        <v>2.6583999999999999</v>
      </c>
      <c r="U40" s="625">
        <f>N40</f>
        <v>2.6583999999999999</v>
      </c>
      <c r="Z40" s="370" t="s">
        <v>1649</v>
      </c>
      <c r="AA40" s="370" t="s">
        <v>1650</v>
      </c>
      <c r="AB40" s="370" t="s">
        <v>1651</v>
      </c>
      <c r="AC40" s="370" t="s">
        <v>1652</v>
      </c>
      <c r="AD40" s="370"/>
    </row>
    <row r="41" spans="2:30">
      <c r="B41" s="747" t="s">
        <v>664</v>
      </c>
      <c r="C41" s="727"/>
      <c r="D41" s="719"/>
      <c r="E41" s="747"/>
      <c r="F41" s="642">
        <f>+(F40/F39)-1</f>
        <v>0.61383641685937329</v>
      </c>
      <c r="G41" s="642">
        <f>+(G40/G39)-1</f>
        <v>0.61383641685937329</v>
      </c>
      <c r="I41" s="747" t="s">
        <v>664</v>
      </c>
      <c r="J41" s="727"/>
      <c r="K41" s="719"/>
      <c r="L41" s="747"/>
      <c r="M41" s="648">
        <f>+(M40/M39)-1</f>
        <v>0.60637437373812353</v>
      </c>
      <c r="N41" s="648">
        <f>+(N40/N39)-1</f>
        <v>0.60637437373812353</v>
      </c>
      <c r="P41" s="747" t="s">
        <v>664</v>
      </c>
      <c r="Q41" s="727"/>
      <c r="R41" s="719"/>
      <c r="S41" s="747"/>
      <c r="T41" s="759">
        <f>+(T40/T39)-1</f>
        <v>0.64414041970353608</v>
      </c>
      <c r="U41" s="759">
        <f>+(U40/U39)-1</f>
        <v>0.64414041970353608</v>
      </c>
      <c r="Z41" s="370" t="s">
        <v>1690</v>
      </c>
      <c r="AA41" s="370" t="s">
        <v>1619</v>
      </c>
      <c r="AB41" s="370" t="s">
        <v>510</v>
      </c>
      <c r="AC41" s="370" t="s">
        <v>1197</v>
      </c>
      <c r="AD41" s="370"/>
    </row>
    <row r="42" spans="2:30">
      <c r="B42" s="75"/>
      <c r="C42" s="75"/>
      <c r="D42" s="75"/>
      <c r="E42" s="75"/>
      <c r="F42" s="75"/>
      <c r="Z42" s="370" t="s">
        <v>1626</v>
      </c>
      <c r="AA42" s="370" t="s">
        <v>1627</v>
      </c>
      <c r="AB42" s="370" t="s">
        <v>1653</v>
      </c>
      <c r="AC42" s="370" t="s">
        <v>1654</v>
      </c>
      <c r="AD42" s="370"/>
    </row>
    <row r="43" spans="2:30">
      <c r="B43" s="130" t="s">
        <v>91</v>
      </c>
      <c r="Z43" s="370" t="s">
        <v>1628</v>
      </c>
      <c r="AA43" s="370" t="s">
        <v>1629</v>
      </c>
      <c r="AB43" s="370" t="s">
        <v>1655</v>
      </c>
      <c r="AC43" s="370" t="s">
        <v>1656</v>
      </c>
      <c r="AD43" s="370"/>
    </row>
    <row r="44" spans="2:30">
      <c r="B44" s="130"/>
      <c r="Z44" s="370" t="s">
        <v>1630</v>
      </c>
      <c r="AA44" s="370" t="s">
        <v>1631</v>
      </c>
      <c r="AB44" s="370" t="s">
        <v>1657</v>
      </c>
      <c r="AC44" s="370" t="s">
        <v>1658</v>
      </c>
      <c r="AD44" s="370"/>
    </row>
    <row r="45" spans="2:30">
      <c r="B45" s="626" t="s">
        <v>665</v>
      </c>
      <c r="F45" s="626" t="s">
        <v>182</v>
      </c>
      <c r="G45" s="758"/>
      <c r="H45" s="757"/>
      <c r="J45" s="626" t="s">
        <v>183</v>
      </c>
      <c r="K45" s="758"/>
      <c r="L45" s="757"/>
      <c r="N45" t="s">
        <v>556</v>
      </c>
    </row>
    <row r="46" spans="2:30">
      <c r="B46" s="75"/>
    </row>
    <row r="47" spans="2:30">
      <c r="B47" s="80">
        <f>D73</f>
        <v>5</v>
      </c>
      <c r="C47" s="758"/>
      <c r="D47" s="757"/>
      <c r="H47" s="80">
        <f>D134</f>
        <v>10</v>
      </c>
      <c r="I47" s="80"/>
      <c r="J47" s="80"/>
      <c r="K47" s="80"/>
      <c r="L47" s="80">
        <f>D199</f>
        <v>20</v>
      </c>
    </row>
    <row r="48" spans="2:30">
      <c r="B48" s="626"/>
      <c r="C48" s="758"/>
      <c r="D48" s="757"/>
      <c r="F48" s="626"/>
      <c r="G48" s="758"/>
      <c r="H48" s="757"/>
      <c r="J48" s="626"/>
      <c r="K48" s="758"/>
      <c r="L48" s="757"/>
      <c r="N48" s="756"/>
      <c r="U48" t="str">
        <f>"σn​ = "&amp;TEXT(D74,"0.0")&amp;" kPa"</f>
        <v>σn​ = 17.7 kPa</v>
      </c>
    </row>
    <row r="49" spans="2:21">
      <c r="B49" s="119">
        <v>0</v>
      </c>
      <c r="C49" s="754">
        <v>956.3</v>
      </c>
      <c r="D49" s="753">
        <f>IF($D$7="",NA(),0)</f>
        <v>0</v>
      </c>
      <c r="F49" s="119">
        <v>0</v>
      </c>
      <c r="G49" s="754">
        <v>999.8</v>
      </c>
      <c r="H49" s="753">
        <f>IF($D$7="",NA(),0)</f>
        <v>0</v>
      </c>
      <c r="J49" s="119">
        <v>0</v>
      </c>
      <c r="K49" s="754">
        <v>938</v>
      </c>
      <c r="L49" s="753">
        <f>IF($D$7="",NA(),0)</f>
        <v>0</v>
      </c>
      <c r="N49" s="756"/>
      <c r="U49" t="str">
        <f>"σn​ = "&amp;TEXT(D135,"0.0")&amp;" kPa"</f>
        <v>σn​ = 35.4 kPa</v>
      </c>
    </row>
    <row r="50" spans="2:21">
      <c r="B50" s="119">
        <v>0.31622776601683794</v>
      </c>
      <c r="C50" s="754">
        <v>943.2</v>
      </c>
      <c r="D50" s="753">
        <f>IF($D$7="",NA(),-($C$49-C50)/100)</f>
        <v>-0.13099999999999909</v>
      </c>
      <c r="F50" s="119">
        <v>0.31622776601683794</v>
      </c>
      <c r="G50" s="754">
        <v>976.9</v>
      </c>
      <c r="H50" s="753">
        <f>IF($D$7="",NA(),-($G$49-G50)/100)</f>
        <v>-0.22899999999999976</v>
      </c>
      <c r="J50" s="119">
        <v>0.31622776601683794</v>
      </c>
      <c r="K50" s="754">
        <v>880</v>
      </c>
      <c r="L50" s="753">
        <f>IF($D$7="",NA(),-($K$49-K50)/100)</f>
        <v>-0.57999999999999996</v>
      </c>
      <c r="N50" s="756"/>
      <c r="U50" t="str">
        <f>"σn​ = "&amp;TEXT(D200,"0.0")&amp;" kPa"</f>
        <v>σn​ = 70.8 kPa</v>
      </c>
    </row>
    <row r="51" spans="2:21">
      <c r="B51" s="119">
        <v>0.5</v>
      </c>
      <c r="C51" s="754">
        <v>929</v>
      </c>
      <c r="D51" s="753">
        <f t="shared" ref="D51:D63" si="1">IF($D$7="",NA(),-($C$49-C51)/100)</f>
        <v>-0.27299999999999952</v>
      </c>
      <c r="F51" s="119">
        <v>0.5</v>
      </c>
      <c r="G51" s="754">
        <v>945</v>
      </c>
      <c r="H51" s="753">
        <f t="shared" ref="H51:H63" si="2">IF($D$7="",NA(),-($G$49-G51)/100)</f>
        <v>-0.5479999999999996</v>
      </c>
      <c r="J51" s="119">
        <v>0.5</v>
      </c>
      <c r="K51" s="754">
        <v>875</v>
      </c>
      <c r="L51" s="753">
        <f t="shared" ref="L51:L63" si="3">IF($D$7="",NA(),-($K$49-K51)/100)</f>
        <v>-0.63</v>
      </c>
      <c r="N51" s="756"/>
    </row>
    <row r="52" spans="2:21">
      <c r="B52" s="119">
        <v>0.70710678118654757</v>
      </c>
      <c r="C52" s="754">
        <v>925.9</v>
      </c>
      <c r="D52" s="753">
        <f t="shared" si="1"/>
        <v>-0.30399999999999977</v>
      </c>
      <c r="F52" s="119">
        <v>0.70710678118654757</v>
      </c>
      <c r="G52" s="754">
        <v>942.5</v>
      </c>
      <c r="H52" s="753">
        <f t="shared" si="2"/>
        <v>-0.57299999999999951</v>
      </c>
      <c r="J52" s="119">
        <v>0.70710678118654757</v>
      </c>
      <c r="K52" s="754">
        <v>870</v>
      </c>
      <c r="L52" s="753">
        <f t="shared" si="3"/>
        <v>-0.68</v>
      </c>
      <c r="N52" s="756"/>
    </row>
    <row r="53" spans="2:21">
      <c r="B53" s="119">
        <v>1</v>
      </c>
      <c r="C53" s="754">
        <v>925.5</v>
      </c>
      <c r="D53" s="753">
        <f t="shared" si="1"/>
        <v>-0.30799999999999955</v>
      </c>
      <c r="F53" s="119">
        <v>1</v>
      </c>
      <c r="G53" s="754">
        <v>942</v>
      </c>
      <c r="H53" s="753">
        <f t="shared" si="2"/>
        <v>-0.57799999999999951</v>
      </c>
      <c r="J53" s="119">
        <v>1</v>
      </c>
      <c r="K53" s="754">
        <v>866.5</v>
      </c>
      <c r="L53" s="753">
        <f t="shared" si="3"/>
        <v>-0.71499999999999997</v>
      </c>
      <c r="N53" s="756"/>
    </row>
    <row r="54" spans="2:21">
      <c r="B54" s="119">
        <v>1.4142135623730951</v>
      </c>
      <c r="C54" s="754">
        <v>925</v>
      </c>
      <c r="D54" s="753">
        <f t="shared" si="1"/>
        <v>-0.31299999999999956</v>
      </c>
      <c r="F54" s="119">
        <v>1.4142135623730951</v>
      </c>
      <c r="G54" s="754">
        <v>941.7</v>
      </c>
      <c r="H54" s="753">
        <f t="shared" si="2"/>
        <v>-0.58099999999999907</v>
      </c>
      <c r="J54" s="119">
        <v>1.4142135623730951</v>
      </c>
      <c r="K54" s="754">
        <v>864.1</v>
      </c>
      <c r="L54" s="753">
        <f t="shared" si="3"/>
        <v>-0.73899999999999977</v>
      </c>
      <c r="N54" s="755"/>
    </row>
    <row r="55" spans="2:21">
      <c r="B55" s="119">
        <v>2</v>
      </c>
      <c r="C55" s="754">
        <v>924.9</v>
      </c>
      <c r="D55" s="753">
        <f t="shared" si="1"/>
        <v>-0.31399999999999978</v>
      </c>
      <c r="F55" s="119">
        <v>2</v>
      </c>
      <c r="G55" s="754">
        <v>941.5</v>
      </c>
      <c r="H55" s="753">
        <f t="shared" si="2"/>
        <v>-0.58299999999999952</v>
      </c>
      <c r="J55" s="119">
        <v>2</v>
      </c>
      <c r="K55" s="754">
        <v>862.9</v>
      </c>
      <c r="L55" s="753">
        <f t="shared" si="3"/>
        <v>-0.75100000000000022</v>
      </c>
      <c r="N55" s="755"/>
    </row>
    <row r="56" spans="2:21">
      <c r="B56" s="119">
        <v>2.8284271247461903</v>
      </c>
      <c r="C56" s="754">
        <v>924.5</v>
      </c>
      <c r="D56" s="753">
        <f t="shared" si="1"/>
        <v>-0.31799999999999956</v>
      </c>
      <c r="F56" s="119">
        <v>2.8284271247461903</v>
      </c>
      <c r="G56" s="754">
        <v>941.2</v>
      </c>
      <c r="H56" s="753">
        <f t="shared" si="2"/>
        <v>-0.58599999999999908</v>
      </c>
      <c r="J56" s="119">
        <v>2.8284271247461903</v>
      </c>
      <c r="K56" s="754">
        <v>860.5</v>
      </c>
      <c r="L56" s="753">
        <f t="shared" si="3"/>
        <v>-0.77500000000000002</v>
      </c>
      <c r="N56" s="755"/>
    </row>
    <row r="57" spans="2:21">
      <c r="B57" s="119">
        <v>3.872983346207417</v>
      </c>
      <c r="C57" s="754">
        <v>924</v>
      </c>
      <c r="D57" s="753">
        <f t="shared" si="1"/>
        <v>-0.32299999999999957</v>
      </c>
      <c r="F57" s="119">
        <v>3.872983346207417</v>
      </c>
      <c r="G57" s="754">
        <v>940.7</v>
      </c>
      <c r="H57" s="753">
        <f t="shared" si="2"/>
        <v>-0.59099999999999908</v>
      </c>
      <c r="J57" s="119">
        <v>3.872983346207417</v>
      </c>
      <c r="K57" s="754">
        <v>858.2</v>
      </c>
      <c r="L57" s="753">
        <f t="shared" si="3"/>
        <v>-0.7979999999999996</v>
      </c>
      <c r="N57" s="755"/>
    </row>
    <row r="58" spans="2:21">
      <c r="B58" s="119">
        <v>5.4772255750516612</v>
      </c>
      <c r="C58" s="754">
        <v>923.6</v>
      </c>
      <c r="D58" s="753">
        <f t="shared" si="1"/>
        <v>-0.32699999999999929</v>
      </c>
      <c r="F58" s="119">
        <v>5.4772255750516612</v>
      </c>
      <c r="G58" s="754">
        <v>940.2</v>
      </c>
      <c r="H58" s="753">
        <f t="shared" si="2"/>
        <v>-0.59599999999999909</v>
      </c>
      <c r="J58" s="119">
        <v>5.4772255750516612</v>
      </c>
      <c r="K58" s="754">
        <v>856</v>
      </c>
      <c r="L58" s="753">
        <f t="shared" si="3"/>
        <v>-0.82</v>
      </c>
      <c r="N58" s="755"/>
    </row>
    <row r="59" spans="2:21">
      <c r="B59" s="119">
        <v>7.745966692414834</v>
      </c>
      <c r="C59" s="754">
        <v>922.8</v>
      </c>
      <c r="D59" s="753">
        <f t="shared" si="1"/>
        <v>-0.33500000000000002</v>
      </c>
      <c r="F59" s="119">
        <v>7.745966692414834</v>
      </c>
      <c r="G59" s="754">
        <v>939.1</v>
      </c>
      <c r="H59" s="753">
        <f t="shared" si="2"/>
        <v>-0.60699999999999932</v>
      </c>
      <c r="J59" s="119">
        <v>7.745966692414834</v>
      </c>
      <c r="K59" s="754">
        <v>855.3</v>
      </c>
      <c r="L59" s="753">
        <f t="shared" si="3"/>
        <v>-0.8270000000000004</v>
      </c>
      <c r="N59" s="755"/>
    </row>
    <row r="60" spans="2:21">
      <c r="B60" s="119">
        <v>10.954451150103322</v>
      </c>
      <c r="C60" s="754">
        <v>922.5</v>
      </c>
      <c r="D60" s="753">
        <f t="shared" si="1"/>
        <v>-0.33799999999999952</v>
      </c>
      <c r="F60" s="119">
        <v>10.954451150103322</v>
      </c>
      <c r="G60" s="754">
        <v>938.5</v>
      </c>
      <c r="H60" s="753">
        <f t="shared" si="2"/>
        <v>-0.61299999999999955</v>
      </c>
      <c r="J60" s="119">
        <v>10.954451150103322</v>
      </c>
      <c r="K60" s="754">
        <v>854.6</v>
      </c>
      <c r="L60" s="753">
        <f t="shared" si="3"/>
        <v>-0.83399999999999974</v>
      </c>
      <c r="N60" s="755"/>
    </row>
    <row r="61" spans="2:21">
      <c r="B61" s="119">
        <v>16</v>
      </c>
      <c r="C61" s="754">
        <v>922</v>
      </c>
      <c r="D61" s="753">
        <f t="shared" si="1"/>
        <v>-0.34299999999999953</v>
      </c>
      <c r="F61" s="119">
        <v>16</v>
      </c>
      <c r="G61" s="754">
        <v>938</v>
      </c>
      <c r="H61" s="753">
        <f t="shared" si="2"/>
        <v>-0.61799999999999955</v>
      </c>
      <c r="J61" s="119">
        <v>16</v>
      </c>
      <c r="K61" s="754">
        <v>854</v>
      </c>
      <c r="L61" s="753">
        <f t="shared" si="3"/>
        <v>-0.84</v>
      </c>
      <c r="N61" s="755"/>
    </row>
    <row r="62" spans="2:21">
      <c r="B62" s="119">
        <v>22</v>
      </c>
      <c r="C62" s="754">
        <v>921.8</v>
      </c>
      <c r="D62" s="753">
        <f t="shared" si="1"/>
        <v>-0.34499999999999997</v>
      </c>
      <c r="F62" s="119">
        <v>22</v>
      </c>
      <c r="G62" s="754">
        <v>937.8</v>
      </c>
      <c r="H62" s="753">
        <f t="shared" si="2"/>
        <v>-0.62</v>
      </c>
      <c r="J62" s="119">
        <v>22</v>
      </c>
      <c r="K62" s="754">
        <v>853.3</v>
      </c>
      <c r="L62" s="753">
        <f t="shared" si="3"/>
        <v>-0.84700000000000042</v>
      </c>
      <c r="N62" s="755"/>
    </row>
    <row r="63" spans="2:21">
      <c r="B63" s="119">
        <v>37.947331922020552</v>
      </c>
      <c r="C63" s="754">
        <v>921.6</v>
      </c>
      <c r="D63" s="753">
        <f t="shared" si="1"/>
        <v>-0.34699999999999931</v>
      </c>
      <c r="F63" s="119">
        <v>37.947331922020552</v>
      </c>
      <c r="G63" s="754">
        <v>937.6</v>
      </c>
      <c r="H63" s="753">
        <f t="shared" si="2"/>
        <v>-0.62199999999999933</v>
      </c>
      <c r="J63" s="119">
        <v>37.947331922020552</v>
      </c>
      <c r="K63" s="754">
        <v>853</v>
      </c>
      <c r="L63" s="753">
        <f t="shared" si="3"/>
        <v>-0.85</v>
      </c>
      <c r="N63" s="75"/>
    </row>
    <row r="64" spans="2:21">
      <c r="B64" s="75"/>
      <c r="C64" s="75"/>
      <c r="D64" s="75"/>
      <c r="F64" s="75"/>
      <c r="G64" s="75"/>
      <c r="H64" s="75"/>
      <c r="J64" s="75"/>
      <c r="K64" s="75"/>
      <c r="L64" s="75"/>
    </row>
    <row r="65" spans="1:20">
      <c r="A65" t="s">
        <v>674</v>
      </c>
    </row>
    <row r="67" spans="1:20">
      <c r="A67" s="747" t="s">
        <v>440</v>
      </c>
      <c r="B67" s="727"/>
      <c r="C67" s="719" t="s">
        <v>45</v>
      </c>
      <c r="D67" s="617" t="s">
        <v>90</v>
      </c>
      <c r="M67" t="str">
        <f>"Peak Shear Stress @ "&amp;TEXT(D74,"0.0")&amp;" kPa"</f>
        <v>Peak Shear Stress @ 17.7 kPa</v>
      </c>
    </row>
    <row r="68" spans="1:20">
      <c r="A68" s="744" t="s">
        <v>649</v>
      </c>
      <c r="B68" s="743"/>
      <c r="C68" s="719" t="s">
        <v>45</v>
      </c>
      <c r="D68" s="618">
        <v>5.94</v>
      </c>
      <c r="M68" t="str">
        <f>"Residual Shear Stress @"&amp;TEXT(D74,"0.0")&amp;" kPa"</f>
        <v>Residual Shear Stress @17.7 kPa</v>
      </c>
    </row>
    <row r="69" spans="1:20">
      <c r="A69" s="744" t="s">
        <v>651</v>
      </c>
      <c r="B69" s="743"/>
      <c r="C69" s="718" t="s">
        <v>652</v>
      </c>
      <c r="D69" s="618">
        <v>2.4900000000000002</v>
      </c>
    </row>
    <row r="70" spans="1:20">
      <c r="A70" s="744" t="s">
        <v>654</v>
      </c>
      <c r="B70" s="743"/>
      <c r="C70" s="718" t="s">
        <v>652</v>
      </c>
      <c r="D70" s="746">
        <f>+(D68)^2*PI()*0.25</f>
        <v>27.711674638050212</v>
      </c>
      <c r="M70" t="str">
        <f>"Peak Displacement @ "&amp;TEXT(D74,"0.0")&amp;" kPa"</f>
        <v>Peak Displacement @ 17.7 kPa</v>
      </c>
    </row>
    <row r="71" spans="1:20">
      <c r="A71" s="744" t="s">
        <v>656</v>
      </c>
      <c r="B71" s="743"/>
      <c r="C71" s="718" t="s">
        <v>657</v>
      </c>
      <c r="D71" s="746">
        <f>D70*D69</f>
        <v>69.002069848745037</v>
      </c>
      <c r="M71" t="str">
        <f>"Residual Displacement @ "&amp;TEXT(D74,"0.0")&amp;" kPa"</f>
        <v>Residual Displacement @ 17.7 kPa</v>
      </c>
    </row>
    <row r="72" spans="1:20">
      <c r="A72" s="744" t="s">
        <v>659</v>
      </c>
      <c r="B72" s="743"/>
      <c r="C72" s="640" t="s">
        <v>471</v>
      </c>
      <c r="D72" s="745">
        <v>0.40670000000000001</v>
      </c>
    </row>
    <row r="73" spans="1:20">
      <c r="A73" s="744" t="s">
        <v>660</v>
      </c>
      <c r="B73" s="743"/>
      <c r="C73" s="649" t="s">
        <v>464</v>
      </c>
      <c r="D73" s="1209">
        <v>5</v>
      </c>
    </row>
    <row r="74" spans="1:20">
      <c r="A74" s="744" t="s">
        <v>661</v>
      </c>
      <c r="B74" s="743"/>
      <c r="C74" s="622" t="s">
        <v>465</v>
      </c>
      <c r="D74" s="623">
        <f>(D73/D70)*98.065</f>
        <v>17.693806181122916</v>
      </c>
    </row>
    <row r="75" spans="1:20">
      <c r="A75" s="744" t="s">
        <v>662</v>
      </c>
      <c r="B75" s="743"/>
      <c r="C75" s="622" t="s">
        <v>199</v>
      </c>
      <c r="D75" s="618">
        <v>0.05</v>
      </c>
    </row>
    <row r="78" spans="1:20" ht="18" customHeight="1"/>
    <row r="79" spans="1:20" ht="29.1" customHeight="1">
      <c r="A79" s="2024" t="s">
        <v>665</v>
      </c>
      <c r="B79" s="2024"/>
      <c r="C79" s="2024"/>
      <c r="D79" s="2024"/>
      <c r="E79" s="2024"/>
      <c r="F79" s="2024"/>
      <c r="G79" s="2024"/>
      <c r="H79" s="2024"/>
      <c r="I79" s="2024"/>
      <c r="J79" s="2024"/>
      <c r="K79" s="2024"/>
      <c r="L79" s="2024"/>
      <c r="M79" s="2024"/>
      <c r="N79" s="2024"/>
      <c r="O79" s="2024"/>
      <c r="P79" s="2024"/>
      <c r="Q79" s="2024"/>
      <c r="R79" s="2024"/>
      <c r="S79" s="2024"/>
      <c r="T79" s="2024"/>
    </row>
    <row r="81" spans="1:22">
      <c r="A81" s="740" t="s">
        <v>666</v>
      </c>
      <c r="B81" s="627" t="s">
        <v>667</v>
      </c>
      <c r="C81" s="739" t="s">
        <v>666</v>
      </c>
      <c r="D81" s="627" t="s">
        <v>668</v>
      </c>
      <c r="E81" s="742" t="s">
        <v>669</v>
      </c>
      <c r="F81" s="737"/>
      <c r="H81" s="740" t="s">
        <v>666</v>
      </c>
      <c r="I81" s="627" t="s">
        <v>667</v>
      </c>
      <c r="J81" s="739" t="s">
        <v>666</v>
      </c>
      <c r="K81" s="627" t="s">
        <v>668</v>
      </c>
      <c r="L81" s="738" t="s">
        <v>669</v>
      </c>
      <c r="M81" s="737"/>
      <c r="P81" s="741"/>
      <c r="Q81" s="740" t="s">
        <v>666</v>
      </c>
      <c r="R81" s="627" t="s">
        <v>667</v>
      </c>
      <c r="S81" s="739" t="s">
        <v>666</v>
      </c>
      <c r="T81" s="627" t="s">
        <v>668</v>
      </c>
      <c r="U81" s="738" t="s">
        <v>669</v>
      </c>
      <c r="V81" s="737"/>
    </row>
    <row r="82" spans="1:22">
      <c r="A82" s="736" t="s">
        <v>670</v>
      </c>
      <c r="B82" s="629" t="s">
        <v>462</v>
      </c>
      <c r="C82" s="734" t="s">
        <v>58</v>
      </c>
      <c r="D82" s="628" t="s">
        <v>177</v>
      </c>
      <c r="E82" s="629" t="s">
        <v>462</v>
      </c>
      <c r="F82" s="629" t="s">
        <v>671</v>
      </c>
      <c r="H82" s="736" t="s">
        <v>670</v>
      </c>
      <c r="I82" s="629" t="s">
        <v>462</v>
      </c>
      <c r="J82" s="734" t="s">
        <v>58</v>
      </c>
      <c r="K82" s="628" t="s">
        <v>177</v>
      </c>
      <c r="L82" s="629" t="s">
        <v>462</v>
      </c>
      <c r="M82" s="629" t="s">
        <v>671</v>
      </c>
      <c r="P82" s="130"/>
      <c r="Q82" s="736" t="s">
        <v>670</v>
      </c>
      <c r="R82" s="629" t="s">
        <v>462</v>
      </c>
      <c r="S82" s="734" t="s">
        <v>58</v>
      </c>
      <c r="T82" s="628" t="s">
        <v>177</v>
      </c>
      <c r="U82" s="629" t="s">
        <v>462</v>
      </c>
      <c r="V82" s="629" t="s">
        <v>671</v>
      </c>
    </row>
    <row r="83" spans="1:22">
      <c r="A83" s="736"/>
      <c r="B83" s="735" t="s">
        <v>921</v>
      </c>
      <c r="C83" s="734"/>
      <c r="D83" s="629"/>
      <c r="E83" s="629"/>
      <c r="F83" s="629" t="s">
        <v>672</v>
      </c>
      <c r="H83" s="736"/>
      <c r="I83" s="735" t="s">
        <v>921</v>
      </c>
      <c r="J83" s="734"/>
      <c r="K83" s="629"/>
      <c r="L83" s="629"/>
      <c r="M83" s="629" t="s">
        <v>672</v>
      </c>
      <c r="P83" s="130"/>
      <c r="Q83" s="736"/>
      <c r="R83" s="735"/>
      <c r="S83" s="734"/>
      <c r="T83" s="629"/>
      <c r="U83" s="629"/>
      <c r="V83" s="629" t="s">
        <v>672</v>
      </c>
    </row>
    <row r="84" spans="1:22">
      <c r="A84" s="732" t="s">
        <v>75</v>
      </c>
      <c r="B84" s="731" t="s">
        <v>673</v>
      </c>
      <c r="C84" s="639" t="s">
        <v>265</v>
      </c>
      <c r="D84" s="630" t="s">
        <v>465</v>
      </c>
      <c r="E84" s="630" t="s">
        <v>219</v>
      </c>
      <c r="F84" s="630" t="s">
        <v>217</v>
      </c>
      <c r="H84" s="732" t="s">
        <v>75</v>
      </c>
      <c r="I84" s="731" t="s">
        <v>673</v>
      </c>
      <c r="J84" s="639" t="s">
        <v>265</v>
      </c>
      <c r="K84" s="630" t="s">
        <v>465</v>
      </c>
      <c r="L84" s="630" t="s">
        <v>219</v>
      </c>
      <c r="M84" s="630" t="s">
        <v>217</v>
      </c>
      <c r="P84" s="733"/>
      <c r="Q84" s="732" t="s">
        <v>75</v>
      </c>
      <c r="R84" s="731" t="s">
        <v>673</v>
      </c>
      <c r="S84" s="639" t="s">
        <v>159</v>
      </c>
      <c r="T84" s="630" t="s">
        <v>180</v>
      </c>
      <c r="U84" s="630" t="s">
        <v>219</v>
      </c>
      <c r="V84" s="630" t="s">
        <v>217</v>
      </c>
    </row>
    <row r="85" spans="1:22">
      <c r="A85" s="726">
        <v>0</v>
      </c>
      <c r="B85" s="631">
        <v>0</v>
      </c>
      <c r="C85" s="632">
        <f>IF(B85="","",$D$72*(B85/10))</f>
        <v>0</v>
      </c>
      <c r="D85" s="632">
        <f>IF($D$7="",NA(),(C85/$D$70)*98.0665)</f>
        <v>0</v>
      </c>
      <c r="E85" s="633">
        <v>922</v>
      </c>
      <c r="F85" s="725">
        <v>0</v>
      </c>
      <c r="H85" s="726">
        <v>0</v>
      </c>
      <c r="I85" s="631">
        <v>0</v>
      </c>
      <c r="J85" s="632">
        <f t="shared" ref="J85:J121" si="4">IF(I85="","",$D$72*(I85/10))</f>
        <v>0</v>
      </c>
      <c r="K85" s="632">
        <f>IF($D$7="",NA(),(J85/$D$70)*98.0665)</f>
        <v>0</v>
      </c>
      <c r="L85" s="633">
        <v>816</v>
      </c>
      <c r="M85" s="725">
        <v>0</v>
      </c>
      <c r="P85" s="729"/>
      <c r="Q85" s="726">
        <v>0</v>
      </c>
      <c r="R85" s="631"/>
      <c r="S85" s="632" t="str">
        <f t="shared" ref="S85:S121" si="5">IF(R85="","",$D$72*R85)</f>
        <v/>
      </c>
      <c r="T85" s="632" t="str">
        <f t="shared" ref="T85:T121" si="6">IF(S85="","",S85/$D$70)</f>
        <v/>
      </c>
      <c r="U85" s="633"/>
      <c r="V85" s="725">
        <v>0</v>
      </c>
    </row>
    <row r="86" spans="1:22">
      <c r="A86" s="726">
        <v>0.3</v>
      </c>
      <c r="B86" s="631">
        <v>62</v>
      </c>
      <c r="C86" s="632">
        <f t="shared" ref="C86:C121" si="7">IF(B86="","",$D$72*(B86/10))</f>
        <v>2.5215399999999999</v>
      </c>
      <c r="D86" s="632">
        <f t="shared" ref="D86:D121" si="8">IF($D$7="",NA(),(C86/$D$70)*98.0665)</f>
        <v>8.9232644955519174</v>
      </c>
      <c r="E86" s="633">
        <v>919</v>
      </c>
      <c r="F86" s="725">
        <f>IF($D$7="",NA(),-($E$85-E86)/100)</f>
        <v>-0.03</v>
      </c>
      <c r="H86" s="726">
        <v>0.3</v>
      </c>
      <c r="I86" s="631">
        <v>30</v>
      </c>
      <c r="J86" s="632">
        <f t="shared" si="4"/>
        <v>1.2201</v>
      </c>
      <c r="K86" s="632">
        <f t="shared" ref="K86:K121" si="9">IF($D$7="",NA(),(J86/$D$70)*98.0665)</f>
        <v>4.3177086268799609</v>
      </c>
      <c r="L86" s="633">
        <v>814.6</v>
      </c>
      <c r="M86" s="725">
        <f>IF($D$7="",NA(),-($L$85-L86)/100)</f>
        <v>-1.3999999999999773E-2</v>
      </c>
      <c r="P86" s="729"/>
      <c r="Q86" s="726">
        <v>0.3</v>
      </c>
      <c r="R86" s="631"/>
      <c r="S86" s="632" t="str">
        <f t="shared" si="5"/>
        <v/>
      </c>
      <c r="T86" s="632" t="str">
        <f t="shared" si="6"/>
        <v/>
      </c>
      <c r="U86" s="633"/>
      <c r="V86" s="725" t="str">
        <f t="shared" ref="V86:V121" si="10">IF(U86="","",-($U$85-U86)/100)</f>
        <v/>
      </c>
    </row>
    <row r="87" spans="1:22">
      <c r="A87" s="726">
        <v>0.6</v>
      </c>
      <c r="B87" s="631">
        <v>95</v>
      </c>
      <c r="C87" s="632">
        <f t="shared" si="7"/>
        <v>3.8636500000000003</v>
      </c>
      <c r="D87" s="632">
        <f t="shared" si="8"/>
        <v>13.672743985119876</v>
      </c>
      <c r="E87" s="633">
        <v>917</v>
      </c>
      <c r="F87" s="725">
        <f t="shared" ref="F87:F121" si="11">IF($D$7="",NA(),-($E$85-E87)/100)</f>
        <v>-0.05</v>
      </c>
      <c r="H87" s="726">
        <v>0.6</v>
      </c>
      <c r="I87" s="631">
        <v>45</v>
      </c>
      <c r="J87" s="632">
        <f t="shared" si="4"/>
        <v>1.8301499999999999</v>
      </c>
      <c r="K87" s="632">
        <f t="shared" si="9"/>
        <v>6.4765629403199414</v>
      </c>
      <c r="L87" s="633">
        <v>814</v>
      </c>
      <c r="M87" s="725">
        <f t="shared" ref="M87:M121" si="12">IF($D$7="",NA(),-($L$85-L87)/100)</f>
        <v>-0.02</v>
      </c>
      <c r="P87" s="729"/>
      <c r="Q87" s="726">
        <v>0.6</v>
      </c>
      <c r="R87" s="631"/>
      <c r="S87" s="632" t="str">
        <f t="shared" si="5"/>
        <v/>
      </c>
      <c r="T87" s="632" t="str">
        <f t="shared" si="6"/>
        <v/>
      </c>
      <c r="U87" s="633"/>
      <c r="V87" s="725" t="str">
        <f t="shared" si="10"/>
        <v/>
      </c>
    </row>
    <row r="88" spans="1:22">
      <c r="A88" s="726">
        <v>0.89999999999999991</v>
      </c>
      <c r="B88" s="631">
        <v>118</v>
      </c>
      <c r="C88" s="632">
        <f t="shared" si="7"/>
        <v>4.7990600000000008</v>
      </c>
      <c r="D88" s="632">
        <f t="shared" si="8"/>
        <v>16.982987265727846</v>
      </c>
      <c r="E88" s="633">
        <v>915.5</v>
      </c>
      <c r="F88" s="725">
        <f t="shared" si="11"/>
        <v>-6.5000000000000002E-2</v>
      </c>
      <c r="H88" s="726">
        <v>0.89999999999999991</v>
      </c>
      <c r="I88" s="631">
        <v>60</v>
      </c>
      <c r="J88" s="632">
        <f t="shared" si="4"/>
        <v>2.4401999999999999</v>
      </c>
      <c r="K88" s="632">
        <f t="shared" si="9"/>
        <v>8.6354172537599219</v>
      </c>
      <c r="L88" s="633">
        <v>813.5</v>
      </c>
      <c r="M88" s="725">
        <f t="shared" si="12"/>
        <v>-2.5000000000000001E-2</v>
      </c>
      <c r="P88" s="730"/>
      <c r="Q88" s="726">
        <v>0.89999999999999991</v>
      </c>
      <c r="R88" s="631"/>
      <c r="S88" s="632" t="str">
        <f t="shared" si="5"/>
        <v/>
      </c>
      <c r="T88" s="632" t="str">
        <f t="shared" si="6"/>
        <v/>
      </c>
      <c r="U88" s="633"/>
      <c r="V88" s="725" t="str">
        <f t="shared" si="10"/>
        <v/>
      </c>
    </row>
    <row r="89" spans="1:22">
      <c r="A89" s="726">
        <v>1.2</v>
      </c>
      <c r="B89" s="631">
        <v>136</v>
      </c>
      <c r="C89" s="632">
        <f t="shared" si="7"/>
        <v>5.5311199999999996</v>
      </c>
      <c r="D89" s="632">
        <f t="shared" si="8"/>
        <v>19.573612441855818</v>
      </c>
      <c r="E89" s="633">
        <v>915</v>
      </c>
      <c r="F89" s="725">
        <f t="shared" si="11"/>
        <v>-7.0000000000000007E-2</v>
      </c>
      <c r="H89" s="726">
        <v>1.2</v>
      </c>
      <c r="I89" s="631">
        <v>70</v>
      </c>
      <c r="J89" s="632">
        <f t="shared" si="4"/>
        <v>2.8469000000000002</v>
      </c>
      <c r="K89" s="632">
        <f t="shared" si="9"/>
        <v>10.074653462719908</v>
      </c>
      <c r="L89" s="633">
        <v>813</v>
      </c>
      <c r="M89" s="725">
        <f t="shared" si="12"/>
        <v>-0.03</v>
      </c>
      <c r="P89" s="730"/>
      <c r="Q89" s="726">
        <v>1.2</v>
      </c>
      <c r="R89" s="631"/>
      <c r="S89" s="632" t="str">
        <f t="shared" si="5"/>
        <v/>
      </c>
      <c r="T89" s="632" t="str">
        <f t="shared" si="6"/>
        <v/>
      </c>
      <c r="U89" s="633"/>
      <c r="V89" s="725" t="str">
        <f t="shared" si="10"/>
        <v/>
      </c>
    </row>
    <row r="90" spans="1:22">
      <c r="A90" s="726">
        <v>1.5</v>
      </c>
      <c r="B90" s="631">
        <v>158</v>
      </c>
      <c r="C90" s="632">
        <f t="shared" si="7"/>
        <v>6.4258600000000001</v>
      </c>
      <c r="D90" s="632">
        <f t="shared" si="8"/>
        <v>22.739932101567792</v>
      </c>
      <c r="E90" s="633">
        <v>914.5</v>
      </c>
      <c r="F90" s="725">
        <f t="shared" si="11"/>
        <v>-7.4999999999999997E-2</v>
      </c>
      <c r="H90" s="726">
        <v>1.5</v>
      </c>
      <c r="I90" s="631">
        <v>80</v>
      </c>
      <c r="J90" s="632">
        <f t="shared" si="4"/>
        <v>3.2536</v>
      </c>
      <c r="K90" s="632">
        <f t="shared" si="9"/>
        <v>11.513889671679895</v>
      </c>
      <c r="L90" s="633">
        <v>812.5</v>
      </c>
      <c r="M90" s="725">
        <f t="shared" si="12"/>
        <v>-3.5000000000000003E-2</v>
      </c>
      <c r="P90" s="729"/>
      <c r="Q90" s="726">
        <v>1.5</v>
      </c>
      <c r="R90" s="631"/>
      <c r="S90" s="632" t="str">
        <f t="shared" si="5"/>
        <v/>
      </c>
      <c r="T90" s="632" t="str">
        <f t="shared" si="6"/>
        <v/>
      </c>
      <c r="U90" s="633"/>
      <c r="V90" s="725" t="str">
        <f t="shared" si="10"/>
        <v/>
      </c>
    </row>
    <row r="91" spans="1:22">
      <c r="A91" s="726">
        <v>1.8</v>
      </c>
      <c r="B91" s="631">
        <v>172</v>
      </c>
      <c r="C91" s="632">
        <f t="shared" si="7"/>
        <v>6.9952399999999999</v>
      </c>
      <c r="D91" s="632">
        <f t="shared" si="8"/>
        <v>24.754862794111776</v>
      </c>
      <c r="E91" s="633">
        <v>914</v>
      </c>
      <c r="F91" s="725">
        <f t="shared" si="11"/>
        <v>-0.08</v>
      </c>
      <c r="H91" s="726">
        <v>1.8</v>
      </c>
      <c r="I91" s="631">
        <v>90</v>
      </c>
      <c r="J91" s="632">
        <f t="shared" si="4"/>
        <v>3.6602999999999999</v>
      </c>
      <c r="K91" s="632">
        <f t="shared" si="9"/>
        <v>12.953125880639883</v>
      </c>
      <c r="L91" s="633">
        <v>812</v>
      </c>
      <c r="M91" s="725">
        <f t="shared" si="12"/>
        <v>-0.04</v>
      </c>
      <c r="P91" s="729"/>
      <c r="Q91" s="726">
        <v>1.8</v>
      </c>
      <c r="R91" s="631"/>
      <c r="S91" s="632" t="str">
        <f t="shared" si="5"/>
        <v/>
      </c>
      <c r="T91" s="632" t="str">
        <f t="shared" si="6"/>
        <v/>
      </c>
      <c r="U91" s="633"/>
      <c r="V91" s="725" t="str">
        <f t="shared" si="10"/>
        <v/>
      </c>
    </row>
    <row r="92" spans="1:22">
      <c r="A92" s="726">
        <v>2.1</v>
      </c>
      <c r="B92" s="631">
        <v>180</v>
      </c>
      <c r="C92" s="632">
        <f t="shared" si="7"/>
        <v>7.3205999999999998</v>
      </c>
      <c r="D92" s="632">
        <f t="shared" si="8"/>
        <v>25.906251761279766</v>
      </c>
      <c r="E92" s="633">
        <v>913.5</v>
      </c>
      <c r="F92" s="725">
        <f t="shared" si="11"/>
        <v>-8.5000000000000006E-2</v>
      </c>
      <c r="H92" s="726">
        <v>2.1</v>
      </c>
      <c r="I92" s="631">
        <v>95</v>
      </c>
      <c r="J92" s="632">
        <f t="shared" si="4"/>
        <v>3.8636500000000003</v>
      </c>
      <c r="K92" s="632">
        <f t="shared" si="9"/>
        <v>13.672743985119876</v>
      </c>
      <c r="L92" s="633">
        <v>811.5</v>
      </c>
      <c r="M92" s="725">
        <f t="shared" si="12"/>
        <v>-4.4999999999999998E-2</v>
      </c>
      <c r="P92" s="729"/>
      <c r="Q92" s="726">
        <v>2.1</v>
      </c>
      <c r="R92" s="631"/>
      <c r="S92" s="632" t="str">
        <f t="shared" si="5"/>
        <v/>
      </c>
      <c r="T92" s="632" t="str">
        <f t="shared" si="6"/>
        <v/>
      </c>
      <c r="U92" s="633"/>
      <c r="V92" s="725" t="str">
        <f t="shared" si="10"/>
        <v/>
      </c>
    </row>
    <row r="93" spans="1:22">
      <c r="A93" s="726">
        <v>2.4</v>
      </c>
      <c r="B93" s="631">
        <v>190</v>
      </c>
      <c r="C93" s="632">
        <f t="shared" si="7"/>
        <v>7.7273000000000005</v>
      </c>
      <c r="D93" s="632">
        <f t="shared" si="8"/>
        <v>27.345487970239752</v>
      </c>
      <c r="E93" s="633">
        <v>913</v>
      </c>
      <c r="F93" s="725">
        <f t="shared" si="11"/>
        <v>-0.09</v>
      </c>
      <c r="H93" s="726">
        <v>2.4</v>
      </c>
      <c r="I93" s="631">
        <v>100</v>
      </c>
      <c r="J93" s="632">
        <f t="shared" si="4"/>
        <v>4.0670000000000002</v>
      </c>
      <c r="K93" s="632">
        <f t="shared" si="9"/>
        <v>14.392362089599869</v>
      </c>
      <c r="L93" s="633">
        <v>811</v>
      </c>
      <c r="M93" s="725">
        <f t="shared" si="12"/>
        <v>-0.05</v>
      </c>
      <c r="P93" s="729"/>
      <c r="Q93" s="726">
        <v>2.4</v>
      </c>
      <c r="R93" s="631"/>
      <c r="S93" s="632" t="str">
        <f t="shared" si="5"/>
        <v/>
      </c>
      <c r="T93" s="632" t="str">
        <f t="shared" si="6"/>
        <v/>
      </c>
      <c r="U93" s="633"/>
      <c r="V93" s="725" t="str">
        <f t="shared" si="10"/>
        <v/>
      </c>
    </row>
    <row r="94" spans="1:22">
      <c r="A94" s="726">
        <v>2.6999999999999997</v>
      </c>
      <c r="B94" s="631">
        <v>198</v>
      </c>
      <c r="C94" s="632">
        <f t="shared" si="7"/>
        <v>8.0526600000000013</v>
      </c>
      <c r="D94" s="632">
        <f t="shared" si="8"/>
        <v>28.496876937407741</v>
      </c>
      <c r="E94" s="633">
        <v>912.8</v>
      </c>
      <c r="F94" s="725">
        <f t="shared" si="11"/>
        <v>-9.2000000000000456E-2</v>
      </c>
      <c r="H94" s="726">
        <v>2.6999999999999997</v>
      </c>
      <c r="I94" s="631">
        <v>105</v>
      </c>
      <c r="J94" s="632">
        <f t="shared" si="4"/>
        <v>4.2703499999999996</v>
      </c>
      <c r="K94" s="632">
        <f t="shared" si="9"/>
        <v>15.111980194079861</v>
      </c>
      <c r="L94" s="633">
        <v>810.5</v>
      </c>
      <c r="M94" s="725">
        <f t="shared" si="12"/>
        <v>-5.5E-2</v>
      </c>
      <c r="P94" s="729"/>
      <c r="Q94" s="726">
        <v>2.6999999999999997</v>
      </c>
      <c r="R94" s="631"/>
      <c r="S94" s="632" t="str">
        <f t="shared" si="5"/>
        <v/>
      </c>
      <c r="T94" s="632" t="str">
        <f t="shared" si="6"/>
        <v/>
      </c>
      <c r="U94" s="633"/>
      <c r="V94" s="725" t="str">
        <f t="shared" si="10"/>
        <v/>
      </c>
    </row>
    <row r="95" spans="1:22">
      <c r="A95" s="726">
        <v>2.9999999999999996</v>
      </c>
      <c r="B95" s="631">
        <v>203</v>
      </c>
      <c r="C95" s="632">
        <f t="shared" si="7"/>
        <v>8.2560099999999998</v>
      </c>
      <c r="D95" s="632">
        <f t="shared" si="8"/>
        <v>29.216495041887732</v>
      </c>
      <c r="E95" s="633">
        <v>912.6</v>
      </c>
      <c r="F95" s="725">
        <f t="shared" si="11"/>
        <v>-9.3999999999999778E-2</v>
      </c>
      <c r="H95" s="726">
        <v>2.9999999999999996</v>
      </c>
      <c r="I95" s="631">
        <v>110</v>
      </c>
      <c r="J95" s="632">
        <f t="shared" si="4"/>
        <v>4.4737</v>
      </c>
      <c r="K95" s="632">
        <f t="shared" si="9"/>
        <v>15.831598298559854</v>
      </c>
      <c r="L95" s="633">
        <v>810</v>
      </c>
      <c r="M95" s="725">
        <f t="shared" si="12"/>
        <v>-0.06</v>
      </c>
      <c r="P95" s="729"/>
      <c r="Q95" s="726">
        <v>2.9999999999999996</v>
      </c>
      <c r="R95" s="631"/>
      <c r="S95" s="632" t="str">
        <f t="shared" si="5"/>
        <v/>
      </c>
      <c r="T95" s="632" t="str">
        <f t="shared" si="6"/>
        <v/>
      </c>
      <c r="U95" s="633"/>
      <c r="V95" s="725" t="str">
        <f t="shared" si="10"/>
        <v/>
      </c>
    </row>
    <row r="96" spans="1:22">
      <c r="A96" s="726">
        <v>3.2999999999999994</v>
      </c>
      <c r="B96" s="631">
        <v>206</v>
      </c>
      <c r="C96" s="632">
        <f t="shared" si="7"/>
        <v>8.3780200000000011</v>
      </c>
      <c r="D96" s="632">
        <f t="shared" si="8"/>
        <v>29.64826590457573</v>
      </c>
      <c r="E96" s="633">
        <v>912.4</v>
      </c>
      <c r="F96" s="725">
        <f t="shared" si="11"/>
        <v>-9.6000000000000224E-2</v>
      </c>
      <c r="H96" s="726">
        <v>3.2999999999999994</v>
      </c>
      <c r="I96" s="631">
        <v>115</v>
      </c>
      <c r="J96" s="632">
        <f t="shared" si="4"/>
        <v>4.6770500000000004</v>
      </c>
      <c r="K96" s="632">
        <f t="shared" si="9"/>
        <v>16.551216403039852</v>
      </c>
      <c r="L96" s="633">
        <v>809.5</v>
      </c>
      <c r="M96" s="725">
        <f t="shared" si="12"/>
        <v>-6.5000000000000002E-2</v>
      </c>
      <c r="P96" s="729"/>
      <c r="Q96" s="726">
        <v>3.2999999999999994</v>
      </c>
      <c r="R96" s="631"/>
      <c r="S96" s="632" t="str">
        <f t="shared" si="5"/>
        <v/>
      </c>
      <c r="T96" s="632" t="str">
        <f t="shared" si="6"/>
        <v/>
      </c>
      <c r="U96" s="633"/>
      <c r="V96" s="725" t="str">
        <f t="shared" si="10"/>
        <v/>
      </c>
    </row>
    <row r="97" spans="1:22">
      <c r="A97" s="726">
        <v>3.5999999999999992</v>
      </c>
      <c r="B97" s="631">
        <v>209</v>
      </c>
      <c r="C97" s="632">
        <f t="shared" si="7"/>
        <v>8.5000299999999989</v>
      </c>
      <c r="D97" s="632">
        <f t="shared" si="8"/>
        <v>30.080036767263721</v>
      </c>
      <c r="E97" s="633">
        <v>912.2</v>
      </c>
      <c r="F97" s="725">
        <f t="shared" si="11"/>
        <v>-9.7999999999999546E-2</v>
      </c>
      <c r="H97" s="726">
        <v>3.5999999999999992</v>
      </c>
      <c r="I97" s="631">
        <v>117.00000000000001</v>
      </c>
      <c r="J97" s="632">
        <f t="shared" si="4"/>
        <v>4.7583900000000003</v>
      </c>
      <c r="K97" s="632">
        <f t="shared" si="9"/>
        <v>16.839063644831846</v>
      </c>
      <c r="L97" s="633">
        <v>808.9</v>
      </c>
      <c r="M97" s="725">
        <f t="shared" si="12"/>
        <v>-7.100000000000023E-2</v>
      </c>
      <c r="P97" s="729"/>
      <c r="Q97" s="726">
        <v>3.5999999999999992</v>
      </c>
      <c r="R97" s="631"/>
      <c r="S97" s="632" t="str">
        <f t="shared" si="5"/>
        <v/>
      </c>
      <c r="T97" s="632" t="str">
        <f t="shared" si="6"/>
        <v/>
      </c>
      <c r="U97" s="633"/>
      <c r="V97" s="725" t="str">
        <f t="shared" si="10"/>
        <v/>
      </c>
    </row>
    <row r="98" spans="1:22">
      <c r="A98" s="726">
        <v>3.899999999999999</v>
      </c>
      <c r="B98" s="631">
        <v>212</v>
      </c>
      <c r="C98" s="632">
        <f t="shared" si="7"/>
        <v>8.6220400000000001</v>
      </c>
      <c r="D98" s="632">
        <f t="shared" si="8"/>
        <v>30.511807629951718</v>
      </c>
      <c r="E98" s="633">
        <v>912</v>
      </c>
      <c r="F98" s="725">
        <f t="shared" si="11"/>
        <v>-0.1</v>
      </c>
      <c r="H98" s="726">
        <v>3.899999999999999</v>
      </c>
      <c r="I98" s="631">
        <v>119</v>
      </c>
      <c r="J98" s="632">
        <f t="shared" si="4"/>
        <v>4.8397300000000003</v>
      </c>
      <c r="K98" s="632">
        <f t="shared" si="9"/>
        <v>17.126910886623847</v>
      </c>
      <c r="L98" s="633">
        <v>808.6</v>
      </c>
      <c r="M98" s="725">
        <f t="shared" si="12"/>
        <v>-7.3999999999999774E-2</v>
      </c>
      <c r="P98" s="729"/>
      <c r="Q98" s="726">
        <v>3.899999999999999</v>
      </c>
      <c r="R98" s="631"/>
      <c r="S98" s="632" t="str">
        <f t="shared" si="5"/>
        <v/>
      </c>
      <c r="T98" s="632" t="str">
        <f t="shared" si="6"/>
        <v/>
      </c>
      <c r="U98" s="633"/>
      <c r="V98" s="725" t="str">
        <f t="shared" si="10"/>
        <v/>
      </c>
    </row>
    <row r="99" spans="1:22">
      <c r="A99" s="726">
        <v>4.1999999999999993</v>
      </c>
      <c r="B99" s="631">
        <v>213</v>
      </c>
      <c r="C99" s="632">
        <f t="shared" si="7"/>
        <v>8.6627100000000006</v>
      </c>
      <c r="D99" s="632">
        <f t="shared" si="8"/>
        <v>30.655731250847719</v>
      </c>
      <c r="E99" s="633">
        <v>911.8</v>
      </c>
      <c r="F99" s="725">
        <f t="shared" si="11"/>
        <v>-0.10200000000000045</v>
      </c>
      <c r="H99" s="726">
        <v>4.1999999999999993</v>
      </c>
      <c r="I99" s="631">
        <v>120</v>
      </c>
      <c r="J99" s="632">
        <f t="shared" si="4"/>
        <v>4.8803999999999998</v>
      </c>
      <c r="K99" s="632">
        <f t="shared" si="9"/>
        <v>17.270834507519844</v>
      </c>
      <c r="L99" s="633">
        <v>808.4</v>
      </c>
      <c r="M99" s="725">
        <f t="shared" si="12"/>
        <v>-7.6000000000000234E-2</v>
      </c>
      <c r="P99" s="729"/>
      <c r="Q99" s="726">
        <v>4.1999999999999993</v>
      </c>
      <c r="R99" s="631"/>
      <c r="S99" s="632" t="str">
        <f t="shared" si="5"/>
        <v/>
      </c>
      <c r="T99" s="632" t="str">
        <f t="shared" si="6"/>
        <v/>
      </c>
      <c r="U99" s="633"/>
      <c r="V99" s="725" t="str">
        <f t="shared" si="10"/>
        <v/>
      </c>
    </row>
    <row r="100" spans="1:22">
      <c r="A100" s="726">
        <v>4.4999999999999991</v>
      </c>
      <c r="B100" s="631">
        <v>214</v>
      </c>
      <c r="C100" s="632">
        <f t="shared" si="7"/>
        <v>8.7033799999999992</v>
      </c>
      <c r="D100" s="632">
        <f t="shared" si="8"/>
        <v>30.799654871743712</v>
      </c>
      <c r="E100" s="633">
        <v>911.6</v>
      </c>
      <c r="F100" s="725">
        <f t="shared" si="11"/>
        <v>-0.10399999999999977</v>
      </c>
      <c r="H100" s="726">
        <v>4.4999999999999991</v>
      </c>
      <c r="I100" s="631">
        <v>121.00000000000001</v>
      </c>
      <c r="J100" s="632">
        <f t="shared" si="4"/>
        <v>4.9210700000000003</v>
      </c>
      <c r="K100" s="632">
        <f t="shared" si="9"/>
        <v>17.414758128415841</v>
      </c>
      <c r="L100" s="633">
        <v>808.2</v>
      </c>
      <c r="M100" s="725">
        <f t="shared" si="12"/>
        <v>-7.7999999999999542E-2</v>
      </c>
      <c r="P100" s="729"/>
      <c r="Q100" s="726">
        <v>4.4999999999999991</v>
      </c>
      <c r="R100" s="631"/>
      <c r="S100" s="632" t="str">
        <f t="shared" si="5"/>
        <v/>
      </c>
      <c r="T100" s="632" t="str">
        <f t="shared" si="6"/>
        <v/>
      </c>
      <c r="U100" s="633"/>
      <c r="V100" s="725" t="str">
        <f t="shared" si="10"/>
        <v/>
      </c>
    </row>
    <row r="101" spans="1:22">
      <c r="A101" s="726">
        <v>4.7999999999999989</v>
      </c>
      <c r="B101" s="631">
        <v>215</v>
      </c>
      <c r="C101" s="632">
        <f t="shared" si="7"/>
        <v>8.7440499999999997</v>
      </c>
      <c r="D101" s="632">
        <f t="shared" si="8"/>
        <v>30.943578492639713</v>
      </c>
      <c r="E101" s="633">
        <v>911.5</v>
      </c>
      <c r="F101" s="725">
        <f t="shared" si="11"/>
        <v>-0.105</v>
      </c>
      <c r="H101" s="726">
        <v>4.7999999999999989</v>
      </c>
      <c r="I101" s="631">
        <v>121.00000000000001</v>
      </c>
      <c r="J101" s="632">
        <f t="shared" si="4"/>
        <v>4.9210700000000003</v>
      </c>
      <c r="K101" s="632">
        <f t="shared" si="9"/>
        <v>17.414758128415841</v>
      </c>
      <c r="L101" s="633">
        <v>808</v>
      </c>
      <c r="M101" s="725">
        <f t="shared" si="12"/>
        <v>-0.08</v>
      </c>
      <c r="P101" s="729"/>
      <c r="Q101" s="726">
        <v>4.7999999999999989</v>
      </c>
      <c r="R101" s="631"/>
      <c r="S101" s="632" t="str">
        <f t="shared" si="5"/>
        <v/>
      </c>
      <c r="T101" s="632" t="str">
        <f t="shared" si="6"/>
        <v/>
      </c>
      <c r="U101" s="633"/>
      <c r="V101" s="725" t="str">
        <f t="shared" si="10"/>
        <v/>
      </c>
    </row>
    <row r="102" spans="1:22">
      <c r="A102" s="726">
        <v>5.0999999999999988</v>
      </c>
      <c r="B102" s="631">
        <v>215</v>
      </c>
      <c r="C102" s="632">
        <f t="shared" si="7"/>
        <v>8.7440499999999997</v>
      </c>
      <c r="D102" s="632">
        <f t="shared" si="8"/>
        <v>30.943578492639713</v>
      </c>
      <c r="E102" s="633">
        <v>911.2</v>
      </c>
      <c r="F102" s="725">
        <f t="shared" si="11"/>
        <v>-0.10799999999999954</v>
      </c>
      <c r="H102" s="726">
        <v>5.0999999999999988</v>
      </c>
      <c r="I102" s="631">
        <v>121.00000000000001</v>
      </c>
      <c r="J102" s="632">
        <f t="shared" si="4"/>
        <v>4.9210700000000003</v>
      </c>
      <c r="K102" s="632">
        <f t="shared" si="9"/>
        <v>17.414758128415841</v>
      </c>
      <c r="L102" s="633">
        <v>807.9</v>
      </c>
      <c r="M102" s="725">
        <f t="shared" si="12"/>
        <v>-8.1000000000000225E-2</v>
      </c>
      <c r="P102" s="729"/>
      <c r="Q102" s="726">
        <v>5.0999999999999988</v>
      </c>
      <c r="R102" s="631"/>
      <c r="S102" s="632" t="str">
        <f t="shared" si="5"/>
        <v/>
      </c>
      <c r="T102" s="632" t="str">
        <f t="shared" si="6"/>
        <v/>
      </c>
      <c r="U102" s="633"/>
      <c r="V102" s="725" t="str">
        <f t="shared" si="10"/>
        <v/>
      </c>
    </row>
    <row r="103" spans="1:22">
      <c r="A103" s="726">
        <v>5.3999999999999986</v>
      </c>
      <c r="B103" s="631">
        <v>215</v>
      </c>
      <c r="C103" s="632">
        <f t="shared" si="7"/>
        <v>8.7440499999999997</v>
      </c>
      <c r="D103" s="632">
        <f t="shared" si="8"/>
        <v>30.943578492639713</v>
      </c>
      <c r="E103" s="633">
        <v>911.2</v>
      </c>
      <c r="F103" s="725">
        <f t="shared" si="11"/>
        <v>-0.10799999999999954</v>
      </c>
      <c r="H103" s="726">
        <v>5.3999999999999986</v>
      </c>
      <c r="I103" s="631">
        <v>121.00000000000001</v>
      </c>
      <c r="J103" s="632">
        <f t="shared" si="4"/>
        <v>4.9210700000000003</v>
      </c>
      <c r="K103" s="632">
        <f t="shared" si="9"/>
        <v>17.414758128415841</v>
      </c>
      <c r="L103" s="633">
        <v>807.8</v>
      </c>
      <c r="M103" s="725">
        <f t="shared" si="12"/>
        <v>-8.2000000000000461E-2</v>
      </c>
      <c r="P103" s="729"/>
      <c r="Q103" s="726">
        <v>5.3999999999999986</v>
      </c>
      <c r="R103" s="631"/>
      <c r="S103" s="632" t="str">
        <f t="shared" si="5"/>
        <v/>
      </c>
      <c r="T103" s="632" t="str">
        <f t="shared" si="6"/>
        <v/>
      </c>
      <c r="U103" s="633"/>
      <c r="V103" s="725" t="str">
        <f t="shared" si="10"/>
        <v/>
      </c>
    </row>
    <row r="104" spans="1:22">
      <c r="A104" s="726">
        <v>5.6999999999999984</v>
      </c>
      <c r="B104" s="631">
        <v>215</v>
      </c>
      <c r="C104" s="632">
        <f t="shared" si="7"/>
        <v>8.7440499999999997</v>
      </c>
      <c r="D104" s="632">
        <f t="shared" si="8"/>
        <v>30.943578492639713</v>
      </c>
      <c r="E104" s="633">
        <v>911.2</v>
      </c>
      <c r="F104" s="725">
        <f t="shared" si="11"/>
        <v>-0.10799999999999954</v>
      </c>
      <c r="H104" s="726">
        <v>5.6999999999999984</v>
      </c>
      <c r="I104" s="631">
        <v>121.00000000000001</v>
      </c>
      <c r="J104" s="632">
        <f t="shared" si="4"/>
        <v>4.9210700000000003</v>
      </c>
      <c r="K104" s="632">
        <f t="shared" si="9"/>
        <v>17.414758128415841</v>
      </c>
      <c r="L104" s="633">
        <v>807.7</v>
      </c>
      <c r="M104" s="725">
        <f t="shared" si="12"/>
        <v>-8.2999999999999546E-2</v>
      </c>
      <c r="P104" s="729"/>
      <c r="Q104" s="726">
        <v>5.6999999999999984</v>
      </c>
      <c r="R104" s="631"/>
      <c r="S104" s="632" t="str">
        <f t="shared" si="5"/>
        <v/>
      </c>
      <c r="T104" s="632" t="str">
        <f t="shared" si="6"/>
        <v/>
      </c>
      <c r="U104" s="633"/>
      <c r="V104" s="725" t="str">
        <f t="shared" si="10"/>
        <v/>
      </c>
    </row>
    <row r="105" spans="1:22">
      <c r="A105" s="726">
        <v>5.9999999999999982</v>
      </c>
      <c r="B105" s="631">
        <v>215</v>
      </c>
      <c r="C105" s="632">
        <f t="shared" si="7"/>
        <v>8.7440499999999997</v>
      </c>
      <c r="D105" s="632">
        <f t="shared" si="8"/>
        <v>30.943578492639713</v>
      </c>
      <c r="E105" s="633">
        <v>911.2</v>
      </c>
      <c r="F105" s="725">
        <f t="shared" si="11"/>
        <v>-0.10799999999999954</v>
      </c>
      <c r="H105" s="726">
        <v>5.9999999999999982</v>
      </c>
      <c r="I105" s="631">
        <v>121.00000000000001</v>
      </c>
      <c r="J105" s="632">
        <f t="shared" si="4"/>
        <v>4.9210700000000003</v>
      </c>
      <c r="K105" s="632">
        <f t="shared" si="9"/>
        <v>17.414758128415841</v>
      </c>
      <c r="L105" s="633">
        <v>807.6</v>
      </c>
      <c r="M105" s="725">
        <f t="shared" si="12"/>
        <v>-8.3999999999999769E-2</v>
      </c>
      <c r="P105" s="729"/>
      <c r="Q105" s="726">
        <v>5.9999999999999982</v>
      </c>
      <c r="R105" s="631"/>
      <c r="S105" s="632" t="str">
        <f t="shared" si="5"/>
        <v/>
      </c>
      <c r="T105" s="632" t="str">
        <f t="shared" si="6"/>
        <v/>
      </c>
      <c r="U105" s="633"/>
      <c r="V105" s="725" t="str">
        <f t="shared" si="10"/>
        <v/>
      </c>
    </row>
    <row r="106" spans="1:22">
      <c r="A106" s="726">
        <v>6.299999999999998</v>
      </c>
      <c r="B106" s="631">
        <v>215</v>
      </c>
      <c r="C106" s="632">
        <f t="shared" si="7"/>
        <v>8.7440499999999997</v>
      </c>
      <c r="D106" s="632">
        <f t="shared" si="8"/>
        <v>30.943578492639713</v>
      </c>
      <c r="E106" s="633">
        <v>911.2</v>
      </c>
      <c r="F106" s="725">
        <f t="shared" si="11"/>
        <v>-0.10799999999999954</v>
      </c>
      <c r="H106" s="726">
        <v>6.299999999999998</v>
      </c>
      <c r="I106" s="631">
        <v>121.00000000000001</v>
      </c>
      <c r="J106" s="632">
        <f t="shared" si="4"/>
        <v>4.9210700000000003</v>
      </c>
      <c r="K106" s="632">
        <f t="shared" si="9"/>
        <v>17.414758128415841</v>
      </c>
      <c r="L106" s="633">
        <v>807.5</v>
      </c>
      <c r="M106" s="725">
        <f t="shared" si="12"/>
        <v>-8.5000000000000006E-2</v>
      </c>
      <c r="P106" s="729"/>
      <c r="Q106" s="726">
        <v>6.299999999999998</v>
      </c>
      <c r="R106" s="631"/>
      <c r="S106" s="632" t="str">
        <f t="shared" si="5"/>
        <v/>
      </c>
      <c r="T106" s="632" t="str">
        <f t="shared" si="6"/>
        <v/>
      </c>
      <c r="U106" s="633"/>
      <c r="V106" s="725" t="str">
        <f t="shared" si="10"/>
        <v/>
      </c>
    </row>
    <row r="107" spans="1:22">
      <c r="A107" s="726">
        <v>6.5999999999999979</v>
      </c>
      <c r="B107" s="631">
        <v>215</v>
      </c>
      <c r="C107" s="632">
        <f t="shared" si="7"/>
        <v>8.7440499999999997</v>
      </c>
      <c r="D107" s="632">
        <f t="shared" si="8"/>
        <v>30.943578492639713</v>
      </c>
      <c r="E107" s="633">
        <v>911.2</v>
      </c>
      <c r="F107" s="725">
        <f t="shared" si="11"/>
        <v>-0.10799999999999954</v>
      </c>
      <c r="H107" s="726">
        <v>6.5999999999999979</v>
      </c>
      <c r="I107" s="631">
        <v>121.00000000000001</v>
      </c>
      <c r="J107" s="632">
        <f t="shared" si="4"/>
        <v>4.9210700000000003</v>
      </c>
      <c r="K107" s="632">
        <f t="shared" si="9"/>
        <v>17.414758128415841</v>
      </c>
      <c r="L107" s="633">
        <v>807.3</v>
      </c>
      <c r="M107" s="725">
        <f t="shared" si="12"/>
        <v>-8.7000000000000452E-2</v>
      </c>
      <c r="P107" s="729"/>
      <c r="Q107" s="726">
        <v>6.5999999999999979</v>
      </c>
      <c r="R107" s="631"/>
      <c r="S107" s="632" t="str">
        <f t="shared" si="5"/>
        <v/>
      </c>
      <c r="T107" s="632" t="str">
        <f t="shared" si="6"/>
        <v/>
      </c>
      <c r="U107" s="633"/>
      <c r="V107" s="725" t="str">
        <f t="shared" si="10"/>
        <v/>
      </c>
    </row>
    <row r="108" spans="1:22">
      <c r="A108" s="726">
        <v>6.8999999999999977</v>
      </c>
      <c r="B108" s="631">
        <v>215</v>
      </c>
      <c r="C108" s="632">
        <f t="shared" si="7"/>
        <v>8.7440499999999997</v>
      </c>
      <c r="D108" s="632">
        <f t="shared" si="8"/>
        <v>30.943578492639713</v>
      </c>
      <c r="E108" s="633">
        <v>911.2</v>
      </c>
      <c r="F108" s="725">
        <f t="shared" si="11"/>
        <v>-0.10799999999999954</v>
      </c>
      <c r="H108" s="726">
        <v>6.8999999999999977</v>
      </c>
      <c r="I108" s="631">
        <v>121.00000000000001</v>
      </c>
      <c r="J108" s="632">
        <f t="shared" si="4"/>
        <v>4.9210700000000003</v>
      </c>
      <c r="K108" s="632">
        <f t="shared" si="9"/>
        <v>17.414758128415841</v>
      </c>
      <c r="L108" s="633">
        <v>807.3</v>
      </c>
      <c r="M108" s="725">
        <f t="shared" si="12"/>
        <v>-8.7000000000000452E-2</v>
      </c>
      <c r="P108" s="729"/>
      <c r="Q108" s="726">
        <v>6.8999999999999977</v>
      </c>
      <c r="R108" s="631"/>
      <c r="S108" s="632" t="str">
        <f t="shared" si="5"/>
        <v/>
      </c>
      <c r="T108" s="632" t="str">
        <f t="shared" si="6"/>
        <v/>
      </c>
      <c r="U108" s="633"/>
      <c r="V108" s="725" t="str">
        <f t="shared" si="10"/>
        <v/>
      </c>
    </row>
    <row r="109" spans="1:22">
      <c r="A109" s="726">
        <v>7.1999999999999975</v>
      </c>
      <c r="B109" s="631">
        <v>215</v>
      </c>
      <c r="C109" s="632">
        <f t="shared" si="7"/>
        <v>8.7440499999999997</v>
      </c>
      <c r="D109" s="632">
        <f t="shared" si="8"/>
        <v>30.943578492639713</v>
      </c>
      <c r="E109" s="633">
        <v>911.2</v>
      </c>
      <c r="F109" s="725">
        <f t="shared" si="11"/>
        <v>-0.10799999999999954</v>
      </c>
      <c r="H109" s="726">
        <v>7.1999999999999975</v>
      </c>
      <c r="I109" s="631">
        <v>121.00000000000001</v>
      </c>
      <c r="J109" s="632">
        <f t="shared" si="4"/>
        <v>4.9210700000000003</v>
      </c>
      <c r="K109" s="632">
        <f t="shared" si="9"/>
        <v>17.414758128415841</v>
      </c>
      <c r="L109" s="633">
        <v>807.3</v>
      </c>
      <c r="M109" s="725">
        <f t="shared" si="12"/>
        <v>-8.7000000000000452E-2</v>
      </c>
      <c r="P109" s="729"/>
      <c r="Q109" s="726">
        <v>7.1999999999999975</v>
      </c>
      <c r="R109" s="631"/>
      <c r="S109" s="632" t="str">
        <f t="shared" si="5"/>
        <v/>
      </c>
      <c r="T109" s="632" t="str">
        <f t="shared" si="6"/>
        <v/>
      </c>
      <c r="U109" s="633"/>
      <c r="V109" s="725" t="str">
        <f t="shared" si="10"/>
        <v/>
      </c>
    </row>
    <row r="110" spans="1:22">
      <c r="A110" s="726">
        <v>7.4999999999999973</v>
      </c>
      <c r="B110" s="631">
        <v>215</v>
      </c>
      <c r="C110" s="632">
        <f t="shared" si="7"/>
        <v>8.7440499999999997</v>
      </c>
      <c r="D110" s="632">
        <f t="shared" si="8"/>
        <v>30.943578492639713</v>
      </c>
      <c r="E110" s="633">
        <v>911.2</v>
      </c>
      <c r="F110" s="725">
        <f t="shared" si="11"/>
        <v>-0.10799999999999954</v>
      </c>
      <c r="H110" s="726">
        <v>7.4999999999999973</v>
      </c>
      <c r="I110" s="631">
        <v>121.00000000000001</v>
      </c>
      <c r="J110" s="632">
        <f t="shared" si="4"/>
        <v>4.9210700000000003</v>
      </c>
      <c r="K110" s="632">
        <f t="shared" si="9"/>
        <v>17.414758128415841</v>
      </c>
      <c r="L110" s="633">
        <v>807.3</v>
      </c>
      <c r="M110" s="725">
        <f t="shared" si="12"/>
        <v>-8.7000000000000452E-2</v>
      </c>
      <c r="P110" s="729"/>
      <c r="Q110" s="726">
        <v>7.4999999999999973</v>
      </c>
      <c r="R110" s="631"/>
      <c r="S110" s="632" t="str">
        <f t="shared" si="5"/>
        <v/>
      </c>
      <c r="T110" s="632" t="str">
        <f t="shared" si="6"/>
        <v/>
      </c>
      <c r="U110" s="633"/>
      <c r="V110" s="725" t="str">
        <f t="shared" si="10"/>
        <v/>
      </c>
    </row>
    <row r="111" spans="1:22">
      <c r="A111" s="726">
        <v>7.7999999999999972</v>
      </c>
      <c r="B111" s="631">
        <v>215</v>
      </c>
      <c r="C111" s="632">
        <f t="shared" si="7"/>
        <v>8.7440499999999997</v>
      </c>
      <c r="D111" s="632">
        <f t="shared" si="8"/>
        <v>30.943578492639713</v>
      </c>
      <c r="E111" s="633">
        <v>911.2</v>
      </c>
      <c r="F111" s="725">
        <f t="shared" si="11"/>
        <v>-0.10799999999999954</v>
      </c>
      <c r="H111" s="726">
        <v>7.7999999999999972</v>
      </c>
      <c r="I111" s="631">
        <v>121.00000000000001</v>
      </c>
      <c r="J111" s="632">
        <f t="shared" si="4"/>
        <v>4.9210700000000003</v>
      </c>
      <c r="K111" s="632">
        <f t="shared" si="9"/>
        <v>17.414758128415841</v>
      </c>
      <c r="L111" s="633">
        <v>807.3</v>
      </c>
      <c r="M111" s="725">
        <f t="shared" si="12"/>
        <v>-8.7000000000000452E-2</v>
      </c>
      <c r="P111" s="729"/>
      <c r="Q111" s="726">
        <v>7.7999999999999972</v>
      </c>
      <c r="R111" s="631"/>
      <c r="S111" s="632" t="str">
        <f t="shared" si="5"/>
        <v/>
      </c>
      <c r="T111" s="632" t="str">
        <f t="shared" si="6"/>
        <v/>
      </c>
      <c r="U111" s="633"/>
      <c r="V111" s="725" t="str">
        <f t="shared" si="10"/>
        <v/>
      </c>
    </row>
    <row r="112" spans="1:22">
      <c r="A112" s="726">
        <v>8.0999999999999979</v>
      </c>
      <c r="B112" s="631">
        <v>215</v>
      </c>
      <c r="C112" s="632">
        <f t="shared" si="7"/>
        <v>8.7440499999999997</v>
      </c>
      <c r="D112" s="632">
        <f t="shared" si="8"/>
        <v>30.943578492639713</v>
      </c>
      <c r="E112" s="633">
        <v>911.2</v>
      </c>
      <c r="F112" s="725">
        <f t="shared" si="11"/>
        <v>-0.10799999999999954</v>
      </c>
      <c r="H112" s="726">
        <v>8.0999999999999979</v>
      </c>
      <c r="I112" s="631">
        <v>121.00000000000001</v>
      </c>
      <c r="J112" s="632">
        <f t="shared" si="4"/>
        <v>4.9210700000000003</v>
      </c>
      <c r="K112" s="632">
        <f t="shared" si="9"/>
        <v>17.414758128415841</v>
      </c>
      <c r="L112" s="633">
        <v>807.3</v>
      </c>
      <c r="M112" s="725">
        <f t="shared" si="12"/>
        <v>-8.7000000000000452E-2</v>
      </c>
      <c r="P112" s="729"/>
      <c r="Q112" s="726">
        <v>8.0999999999999979</v>
      </c>
      <c r="R112" s="631"/>
      <c r="S112" s="632" t="str">
        <f t="shared" si="5"/>
        <v/>
      </c>
      <c r="T112" s="632" t="str">
        <f t="shared" si="6"/>
        <v/>
      </c>
      <c r="U112" s="633"/>
      <c r="V112" s="725" t="str">
        <f t="shared" si="10"/>
        <v/>
      </c>
    </row>
    <row r="113" spans="1:22">
      <c r="A113" s="726">
        <v>8.3999999999999986</v>
      </c>
      <c r="B113" s="631">
        <v>215</v>
      </c>
      <c r="C113" s="632">
        <f t="shared" si="7"/>
        <v>8.7440499999999997</v>
      </c>
      <c r="D113" s="632">
        <f t="shared" si="8"/>
        <v>30.943578492639713</v>
      </c>
      <c r="E113" s="633">
        <v>911.2</v>
      </c>
      <c r="F113" s="725">
        <f t="shared" si="11"/>
        <v>-0.10799999999999954</v>
      </c>
      <c r="H113" s="726">
        <v>8.3999999999999986</v>
      </c>
      <c r="I113" s="631">
        <v>121.00000000000001</v>
      </c>
      <c r="J113" s="632">
        <f t="shared" si="4"/>
        <v>4.9210700000000003</v>
      </c>
      <c r="K113" s="632">
        <f t="shared" si="9"/>
        <v>17.414758128415841</v>
      </c>
      <c r="L113" s="633">
        <v>807.3</v>
      </c>
      <c r="M113" s="725">
        <f t="shared" si="12"/>
        <v>-8.7000000000000452E-2</v>
      </c>
      <c r="P113" s="729"/>
      <c r="Q113" s="726">
        <v>8.3999999999999986</v>
      </c>
      <c r="R113" s="631"/>
      <c r="S113" s="632" t="str">
        <f t="shared" si="5"/>
        <v/>
      </c>
      <c r="T113" s="632" t="str">
        <f t="shared" si="6"/>
        <v/>
      </c>
      <c r="U113" s="633"/>
      <c r="V113" s="725" t="str">
        <f t="shared" si="10"/>
        <v/>
      </c>
    </row>
    <row r="114" spans="1:22">
      <c r="A114" s="726">
        <v>8.6999999999999993</v>
      </c>
      <c r="B114" s="631">
        <v>195</v>
      </c>
      <c r="C114" s="632">
        <f t="shared" si="7"/>
        <v>7.93065</v>
      </c>
      <c r="D114" s="632">
        <f t="shared" si="8"/>
        <v>28.065106074719743</v>
      </c>
      <c r="E114" s="633">
        <v>911.2</v>
      </c>
      <c r="F114" s="725">
        <f t="shared" si="11"/>
        <v>-0.10799999999999954</v>
      </c>
      <c r="H114" s="726">
        <v>8.6999999999999993</v>
      </c>
      <c r="I114" s="631">
        <v>121.00000000000001</v>
      </c>
      <c r="J114" s="632">
        <f t="shared" si="4"/>
        <v>4.9210700000000003</v>
      </c>
      <c r="K114" s="632">
        <f t="shared" si="9"/>
        <v>17.414758128415841</v>
      </c>
      <c r="L114" s="633">
        <v>807.3</v>
      </c>
      <c r="M114" s="725">
        <f t="shared" si="12"/>
        <v>-8.7000000000000452E-2</v>
      </c>
      <c r="P114" s="727"/>
      <c r="Q114" s="726">
        <v>8.6999999999999993</v>
      </c>
      <c r="R114" s="631"/>
      <c r="S114" s="632" t="str">
        <f t="shared" si="5"/>
        <v/>
      </c>
      <c r="T114" s="632" t="str">
        <f t="shared" si="6"/>
        <v/>
      </c>
      <c r="U114" s="633"/>
      <c r="V114" s="725" t="str">
        <f t="shared" si="10"/>
        <v/>
      </c>
    </row>
    <row r="115" spans="1:22">
      <c r="A115" s="726">
        <v>9</v>
      </c>
      <c r="B115" s="631">
        <v>195</v>
      </c>
      <c r="C115" s="632">
        <f t="shared" si="7"/>
        <v>7.93065</v>
      </c>
      <c r="D115" s="632">
        <f t="shared" si="8"/>
        <v>28.065106074719743</v>
      </c>
      <c r="E115" s="633">
        <v>911.2</v>
      </c>
      <c r="F115" s="725">
        <f t="shared" si="11"/>
        <v>-0.10799999999999954</v>
      </c>
      <c r="H115" s="726">
        <v>9</v>
      </c>
      <c r="I115" s="631">
        <v>121.00000000000001</v>
      </c>
      <c r="J115" s="632">
        <f t="shared" si="4"/>
        <v>4.9210700000000003</v>
      </c>
      <c r="K115" s="632">
        <f t="shared" si="9"/>
        <v>17.414758128415841</v>
      </c>
      <c r="L115" s="633">
        <v>807.3</v>
      </c>
      <c r="M115" s="725">
        <f t="shared" si="12"/>
        <v>-8.7000000000000452E-2</v>
      </c>
      <c r="P115" s="729"/>
      <c r="Q115" s="726">
        <v>9</v>
      </c>
      <c r="R115" s="631"/>
      <c r="S115" s="632" t="str">
        <f t="shared" si="5"/>
        <v/>
      </c>
      <c r="T115" s="632" t="str">
        <f t="shared" si="6"/>
        <v/>
      </c>
      <c r="U115" s="633"/>
      <c r="V115" s="725" t="str">
        <f t="shared" si="10"/>
        <v/>
      </c>
    </row>
    <row r="116" spans="1:22">
      <c r="A116" s="726">
        <v>9.3000000000000007</v>
      </c>
      <c r="B116" s="631">
        <v>195</v>
      </c>
      <c r="C116" s="632">
        <f t="shared" si="7"/>
        <v>7.93065</v>
      </c>
      <c r="D116" s="632">
        <f t="shared" si="8"/>
        <v>28.065106074719743</v>
      </c>
      <c r="E116" s="633">
        <v>911.2</v>
      </c>
      <c r="F116" s="725">
        <f t="shared" si="11"/>
        <v>-0.10799999999999954</v>
      </c>
      <c r="H116" s="726">
        <v>9.3000000000000007</v>
      </c>
      <c r="I116" s="631">
        <v>121.00000000000001</v>
      </c>
      <c r="J116" s="632">
        <f t="shared" si="4"/>
        <v>4.9210700000000003</v>
      </c>
      <c r="K116" s="632">
        <f t="shared" si="9"/>
        <v>17.414758128415841</v>
      </c>
      <c r="L116" s="633">
        <v>807.3</v>
      </c>
      <c r="M116" s="725">
        <f t="shared" si="12"/>
        <v>-8.7000000000000452E-2</v>
      </c>
      <c r="P116" s="728"/>
      <c r="Q116" s="726">
        <v>9.3000000000000007</v>
      </c>
      <c r="R116" s="631"/>
      <c r="S116" s="632" t="str">
        <f t="shared" si="5"/>
        <v/>
      </c>
      <c r="T116" s="632" t="str">
        <f t="shared" si="6"/>
        <v/>
      </c>
      <c r="U116" s="633"/>
      <c r="V116" s="725" t="str">
        <f t="shared" si="10"/>
        <v/>
      </c>
    </row>
    <row r="117" spans="1:22">
      <c r="A117" s="726">
        <v>9.6000000000000014</v>
      </c>
      <c r="B117" s="631">
        <v>195</v>
      </c>
      <c r="C117" s="632">
        <f t="shared" si="7"/>
        <v>7.93065</v>
      </c>
      <c r="D117" s="632">
        <f t="shared" si="8"/>
        <v>28.065106074719743</v>
      </c>
      <c r="E117" s="633">
        <v>911.2</v>
      </c>
      <c r="F117" s="725">
        <f t="shared" si="11"/>
        <v>-0.10799999999999954</v>
      </c>
      <c r="H117" s="726">
        <v>9.6000000000000014</v>
      </c>
      <c r="I117" s="631">
        <v>121.00000000000001</v>
      </c>
      <c r="J117" s="632">
        <f t="shared" si="4"/>
        <v>4.9210700000000003</v>
      </c>
      <c r="K117" s="632">
        <f t="shared" si="9"/>
        <v>17.414758128415841</v>
      </c>
      <c r="L117" s="633">
        <v>807.3</v>
      </c>
      <c r="M117" s="725">
        <f t="shared" si="12"/>
        <v>-8.7000000000000452E-2</v>
      </c>
      <c r="P117" s="728"/>
      <c r="Q117" s="726">
        <v>9.6000000000000014</v>
      </c>
      <c r="R117" s="631"/>
      <c r="S117" s="632" t="str">
        <f t="shared" si="5"/>
        <v/>
      </c>
      <c r="T117" s="632" t="str">
        <f t="shared" si="6"/>
        <v/>
      </c>
      <c r="U117" s="633"/>
      <c r="V117" s="725" t="str">
        <f t="shared" si="10"/>
        <v/>
      </c>
    </row>
    <row r="118" spans="1:22">
      <c r="A118" s="726">
        <v>9.9000000000000021</v>
      </c>
      <c r="B118" s="631">
        <v>195</v>
      </c>
      <c r="C118" s="632">
        <f t="shared" si="7"/>
        <v>7.93065</v>
      </c>
      <c r="D118" s="632">
        <f t="shared" si="8"/>
        <v>28.065106074719743</v>
      </c>
      <c r="E118" s="633">
        <v>911.2</v>
      </c>
      <c r="F118" s="725">
        <f t="shared" si="11"/>
        <v>-0.10799999999999954</v>
      </c>
      <c r="H118" s="726">
        <v>9.9000000000000021</v>
      </c>
      <c r="I118" s="631">
        <v>121.00000000000001</v>
      </c>
      <c r="J118" s="632">
        <f t="shared" si="4"/>
        <v>4.9210700000000003</v>
      </c>
      <c r="K118" s="632">
        <f t="shared" si="9"/>
        <v>17.414758128415841</v>
      </c>
      <c r="L118" s="633">
        <v>807.3</v>
      </c>
      <c r="M118" s="725">
        <f t="shared" si="12"/>
        <v>-8.7000000000000452E-2</v>
      </c>
      <c r="P118" s="728"/>
      <c r="Q118" s="726">
        <v>9.9000000000000021</v>
      </c>
      <c r="R118" s="631"/>
      <c r="S118" s="632" t="str">
        <f t="shared" si="5"/>
        <v/>
      </c>
      <c r="T118" s="632" t="str">
        <f t="shared" si="6"/>
        <v/>
      </c>
      <c r="U118" s="633"/>
      <c r="V118" s="725" t="str">
        <f t="shared" si="10"/>
        <v/>
      </c>
    </row>
    <row r="119" spans="1:22">
      <c r="A119" s="726">
        <v>10.200000000000003</v>
      </c>
      <c r="B119" s="631">
        <v>195</v>
      </c>
      <c r="C119" s="632">
        <f t="shared" si="7"/>
        <v>7.93065</v>
      </c>
      <c r="D119" s="632">
        <f t="shared" si="8"/>
        <v>28.065106074719743</v>
      </c>
      <c r="E119" s="633">
        <v>911.2</v>
      </c>
      <c r="F119" s="725">
        <f t="shared" si="11"/>
        <v>-0.10799999999999954</v>
      </c>
      <c r="H119" s="726">
        <v>10.200000000000003</v>
      </c>
      <c r="I119" s="631">
        <v>121.00000000000001</v>
      </c>
      <c r="J119" s="632">
        <f t="shared" si="4"/>
        <v>4.9210700000000003</v>
      </c>
      <c r="K119" s="632">
        <f t="shared" si="9"/>
        <v>17.414758128415841</v>
      </c>
      <c r="L119" s="633">
        <v>807.3</v>
      </c>
      <c r="M119" s="725">
        <f t="shared" si="12"/>
        <v>-8.7000000000000452E-2</v>
      </c>
      <c r="P119" s="728"/>
      <c r="Q119" s="726">
        <v>10.200000000000003</v>
      </c>
      <c r="R119" s="631"/>
      <c r="S119" s="632" t="str">
        <f t="shared" si="5"/>
        <v/>
      </c>
      <c r="T119" s="632" t="str">
        <f t="shared" si="6"/>
        <v/>
      </c>
      <c r="U119" s="633"/>
      <c r="V119" s="725" t="str">
        <f t="shared" si="10"/>
        <v/>
      </c>
    </row>
    <row r="120" spans="1:22">
      <c r="A120" s="726">
        <v>10.500000000000004</v>
      </c>
      <c r="B120" s="631">
        <v>195</v>
      </c>
      <c r="C120" s="632">
        <f t="shared" si="7"/>
        <v>7.93065</v>
      </c>
      <c r="D120" s="632">
        <f t="shared" si="8"/>
        <v>28.065106074719743</v>
      </c>
      <c r="E120" s="633">
        <v>911.2</v>
      </c>
      <c r="F120" s="725">
        <f t="shared" si="11"/>
        <v>-0.10799999999999954</v>
      </c>
      <c r="H120" s="726">
        <v>10.500000000000004</v>
      </c>
      <c r="I120" s="631">
        <v>121.00000000000001</v>
      </c>
      <c r="J120" s="632">
        <f t="shared" si="4"/>
        <v>4.9210700000000003</v>
      </c>
      <c r="K120" s="632">
        <f t="shared" si="9"/>
        <v>17.414758128415841</v>
      </c>
      <c r="L120" s="633">
        <v>807.3</v>
      </c>
      <c r="M120" s="725">
        <f t="shared" si="12"/>
        <v>-8.7000000000000452E-2</v>
      </c>
      <c r="P120" s="728"/>
      <c r="Q120" s="726">
        <v>10.500000000000004</v>
      </c>
      <c r="R120" s="631"/>
      <c r="S120" s="632" t="str">
        <f t="shared" si="5"/>
        <v/>
      </c>
      <c r="T120" s="632" t="str">
        <f t="shared" si="6"/>
        <v/>
      </c>
      <c r="U120" s="633"/>
      <c r="V120" s="725" t="str">
        <f t="shared" si="10"/>
        <v/>
      </c>
    </row>
    <row r="121" spans="1:22">
      <c r="A121" s="726">
        <v>10.800000000000004</v>
      </c>
      <c r="B121" s="631">
        <v>195</v>
      </c>
      <c r="C121" s="632">
        <f t="shared" si="7"/>
        <v>7.93065</v>
      </c>
      <c r="D121" s="632">
        <f t="shared" si="8"/>
        <v>28.065106074719743</v>
      </c>
      <c r="E121" s="633">
        <v>911.2</v>
      </c>
      <c r="F121" s="725">
        <f t="shared" si="11"/>
        <v>-0.10799999999999954</v>
      </c>
      <c r="H121" s="726">
        <v>10.800000000000004</v>
      </c>
      <c r="I121" s="631">
        <v>121.00000000000001</v>
      </c>
      <c r="J121" s="632">
        <f t="shared" si="4"/>
        <v>4.9210700000000003</v>
      </c>
      <c r="K121" s="632">
        <f t="shared" si="9"/>
        <v>17.414758128415841</v>
      </c>
      <c r="L121" s="633">
        <v>807.3</v>
      </c>
      <c r="M121" s="725">
        <f t="shared" si="12"/>
        <v>-8.7000000000000452E-2</v>
      </c>
      <c r="P121" s="727"/>
      <c r="Q121" s="726">
        <v>10.800000000000004</v>
      </c>
      <c r="R121" s="631"/>
      <c r="S121" s="632" t="str">
        <f t="shared" si="5"/>
        <v/>
      </c>
      <c r="T121" s="632" t="str">
        <f t="shared" si="6"/>
        <v/>
      </c>
      <c r="U121" s="633"/>
      <c r="V121" s="725" t="str">
        <f t="shared" si="10"/>
        <v/>
      </c>
    </row>
    <row r="122" spans="1:22">
      <c r="A122" s="752"/>
      <c r="B122" s="634"/>
      <c r="C122" s="635"/>
      <c r="D122" s="751"/>
      <c r="E122" s="750"/>
      <c r="F122" s="749"/>
      <c r="G122" s="748"/>
    </row>
    <row r="128" spans="1:22">
      <c r="A128" s="747" t="s">
        <v>440</v>
      </c>
      <c r="B128" s="727"/>
      <c r="C128" s="719" t="s">
        <v>45</v>
      </c>
      <c r="D128" s="617" t="s">
        <v>90</v>
      </c>
    </row>
    <row r="129" spans="1:20">
      <c r="A129" s="744" t="s">
        <v>649</v>
      </c>
      <c r="B129" s="743"/>
      <c r="C129" s="719" t="s">
        <v>45</v>
      </c>
      <c r="D129" s="618">
        <f>D68</f>
        <v>5.94</v>
      </c>
    </row>
    <row r="130" spans="1:20">
      <c r="A130" s="744" t="s">
        <v>651</v>
      </c>
      <c r="B130" s="743"/>
      <c r="C130" s="718" t="s">
        <v>652</v>
      </c>
      <c r="D130" s="618">
        <f>D69</f>
        <v>2.4900000000000002</v>
      </c>
    </row>
    <row r="131" spans="1:20">
      <c r="A131" s="744" t="s">
        <v>654</v>
      </c>
      <c r="B131" s="743"/>
      <c r="C131" s="718" t="s">
        <v>652</v>
      </c>
      <c r="D131" s="746">
        <f>D70</f>
        <v>27.711674638050212</v>
      </c>
      <c r="M131" t="str">
        <f>"Peak Shear Stress @ "&amp;TEXT(D135,"0.0")&amp;" kPa"</f>
        <v>Peak Shear Stress @ 35.4 kPa</v>
      </c>
    </row>
    <row r="132" spans="1:20">
      <c r="A132" s="744" t="s">
        <v>656</v>
      </c>
      <c r="B132" s="743"/>
      <c r="C132" s="718" t="s">
        <v>657</v>
      </c>
      <c r="D132" s="746">
        <f>D71</f>
        <v>69.002069848745037</v>
      </c>
      <c r="M132" t="str">
        <f>"Residual Shear Stress @"&amp;TEXT(D135,"0.0")&amp;" kPa"</f>
        <v>Residual Shear Stress @35.4 kPa</v>
      </c>
    </row>
    <row r="133" spans="1:20">
      <c r="A133" s="744" t="s">
        <v>659</v>
      </c>
      <c r="B133" s="743"/>
      <c r="C133" s="640" t="s">
        <v>471</v>
      </c>
      <c r="D133" s="745">
        <f>D72</f>
        <v>0.40670000000000001</v>
      </c>
    </row>
    <row r="134" spans="1:20">
      <c r="A134" s="744" t="s">
        <v>660</v>
      </c>
      <c r="B134" s="743"/>
      <c r="C134" s="649" t="s">
        <v>464</v>
      </c>
      <c r="D134" s="621">
        <v>10</v>
      </c>
    </row>
    <row r="135" spans="1:20">
      <c r="A135" s="744" t="s">
        <v>661</v>
      </c>
      <c r="B135" s="743"/>
      <c r="C135" s="622" t="s">
        <v>465</v>
      </c>
      <c r="D135" s="623">
        <f>(D134/D131)*98.065</f>
        <v>35.387612362245832</v>
      </c>
    </row>
    <row r="136" spans="1:20">
      <c r="A136" s="744" t="s">
        <v>662</v>
      </c>
      <c r="B136" s="743"/>
      <c r="C136" s="622" t="s">
        <v>199</v>
      </c>
      <c r="D136" s="618">
        <f>D75</f>
        <v>0.05</v>
      </c>
    </row>
    <row r="137" spans="1:20">
      <c r="A137" s="130"/>
      <c r="B137" s="130"/>
      <c r="C137" s="636"/>
      <c r="D137" s="637"/>
      <c r="P137" t="str">
        <f>"Peak Displacement @ "&amp;TEXT(D135,"0.0")&amp;" kPa"</f>
        <v>Peak Displacement @ 35.4 kPa</v>
      </c>
    </row>
    <row r="138" spans="1:20">
      <c r="A138" s="130"/>
      <c r="B138" s="130"/>
      <c r="C138" s="636"/>
      <c r="D138" s="637"/>
      <c r="P138" t="str">
        <f>"Residual Displacement @ "&amp;TEXT(D135,"0.0")&amp;" kPa"</f>
        <v>Residual Displacement @ 35.4 kPa</v>
      </c>
    </row>
    <row r="140" spans="1:20" ht="21">
      <c r="A140" s="2024" t="s">
        <v>182</v>
      </c>
      <c r="B140" s="2024"/>
      <c r="C140" s="2024"/>
      <c r="D140" s="2024"/>
      <c r="E140" s="2024"/>
      <c r="F140" s="2024"/>
      <c r="G140" s="2024"/>
      <c r="H140" s="2024"/>
      <c r="I140" s="2024"/>
      <c r="J140" s="2024"/>
      <c r="K140" s="2024"/>
      <c r="L140" s="2024"/>
      <c r="M140" s="2024"/>
      <c r="N140" s="2024"/>
      <c r="O140" s="2024"/>
      <c r="P140" s="2024"/>
      <c r="Q140" s="2024"/>
      <c r="R140" s="2024"/>
      <c r="S140" s="2024"/>
      <c r="T140" s="2024"/>
    </row>
    <row r="142" spans="1:20">
      <c r="A142" s="740" t="s">
        <v>666</v>
      </c>
      <c r="B142" s="627" t="s">
        <v>667</v>
      </c>
      <c r="C142" s="739" t="s">
        <v>666</v>
      </c>
      <c r="D142" s="627" t="s">
        <v>668</v>
      </c>
      <c r="E142" s="742" t="s">
        <v>669</v>
      </c>
      <c r="F142" s="737"/>
      <c r="G142" s="741"/>
      <c r="H142" s="740" t="s">
        <v>666</v>
      </c>
      <c r="I142" s="627" t="s">
        <v>667</v>
      </c>
      <c r="J142" s="739" t="s">
        <v>666</v>
      </c>
      <c r="K142" s="627" t="s">
        <v>668</v>
      </c>
      <c r="L142" s="738" t="s">
        <v>669</v>
      </c>
      <c r="M142" s="737"/>
      <c r="N142" s="741"/>
      <c r="O142" s="740" t="s">
        <v>666</v>
      </c>
      <c r="P142" s="627" t="s">
        <v>667</v>
      </c>
      <c r="Q142" s="739" t="s">
        <v>666</v>
      </c>
      <c r="R142" s="627" t="s">
        <v>668</v>
      </c>
      <c r="S142" s="738" t="s">
        <v>669</v>
      </c>
      <c r="T142" s="737"/>
    </row>
    <row r="143" spans="1:20">
      <c r="A143" s="736" t="s">
        <v>670</v>
      </c>
      <c r="B143" s="629" t="s">
        <v>462</v>
      </c>
      <c r="C143" s="734" t="s">
        <v>58</v>
      </c>
      <c r="D143" s="628" t="s">
        <v>177</v>
      </c>
      <c r="E143" s="629" t="s">
        <v>462</v>
      </c>
      <c r="F143" s="629" t="s">
        <v>671</v>
      </c>
      <c r="G143" s="130"/>
      <c r="H143" s="736" t="s">
        <v>670</v>
      </c>
      <c r="I143" s="629" t="s">
        <v>462</v>
      </c>
      <c r="J143" s="734" t="s">
        <v>58</v>
      </c>
      <c r="K143" s="628" t="s">
        <v>177</v>
      </c>
      <c r="L143" s="629" t="s">
        <v>462</v>
      </c>
      <c r="M143" s="629" t="s">
        <v>671</v>
      </c>
      <c r="N143" s="130"/>
      <c r="O143" s="736" t="s">
        <v>670</v>
      </c>
      <c r="P143" s="629" t="s">
        <v>462</v>
      </c>
      <c r="Q143" s="734" t="s">
        <v>58</v>
      </c>
      <c r="R143" s="628" t="s">
        <v>177</v>
      </c>
      <c r="S143" s="629" t="s">
        <v>462</v>
      </c>
      <c r="T143" s="629" t="s">
        <v>671</v>
      </c>
    </row>
    <row r="144" spans="1:20">
      <c r="A144" s="736"/>
      <c r="B144" s="735" t="s">
        <v>921</v>
      </c>
      <c r="C144" s="734"/>
      <c r="D144" s="629"/>
      <c r="E144" s="629"/>
      <c r="F144" s="629" t="s">
        <v>672</v>
      </c>
      <c r="G144" s="130"/>
      <c r="H144" s="736"/>
      <c r="I144" s="735" t="s">
        <v>921</v>
      </c>
      <c r="J144" s="734"/>
      <c r="K144" s="629"/>
      <c r="L144" s="629"/>
      <c r="M144" s="629" t="s">
        <v>672</v>
      </c>
      <c r="N144" s="130"/>
      <c r="O144" s="736"/>
      <c r="P144" s="735"/>
      <c r="Q144" s="734"/>
      <c r="R144" s="629"/>
      <c r="S144" s="629"/>
      <c r="T144" s="629" t="s">
        <v>672</v>
      </c>
    </row>
    <row r="145" spans="1:20">
      <c r="A145" s="732" t="s">
        <v>75</v>
      </c>
      <c r="B145" s="731" t="s">
        <v>673</v>
      </c>
      <c r="C145" s="639" t="s">
        <v>265</v>
      </c>
      <c r="D145" s="630" t="s">
        <v>465</v>
      </c>
      <c r="E145" s="630" t="s">
        <v>219</v>
      </c>
      <c r="F145" s="630" t="s">
        <v>217</v>
      </c>
      <c r="G145" s="733"/>
      <c r="H145" s="732" t="s">
        <v>75</v>
      </c>
      <c r="I145" s="731" t="s">
        <v>673</v>
      </c>
      <c r="J145" s="639" t="s">
        <v>265</v>
      </c>
      <c r="K145" s="630" t="s">
        <v>465</v>
      </c>
      <c r="L145" s="630" t="s">
        <v>219</v>
      </c>
      <c r="M145" s="630" t="s">
        <v>217</v>
      </c>
      <c r="N145" s="733"/>
      <c r="O145" s="732" t="s">
        <v>75</v>
      </c>
      <c r="P145" s="731" t="s">
        <v>673</v>
      </c>
      <c r="Q145" s="639" t="s">
        <v>159</v>
      </c>
      <c r="R145" s="630" t="s">
        <v>180</v>
      </c>
      <c r="S145" s="630" t="s">
        <v>219</v>
      </c>
      <c r="T145" s="630" t="s">
        <v>217</v>
      </c>
    </row>
    <row r="146" spans="1:20">
      <c r="A146" s="726">
        <v>0</v>
      </c>
      <c r="B146" s="631">
        <v>0</v>
      </c>
      <c r="C146" s="632">
        <f t="shared" ref="C146:C182" si="13">IF(B146="","",$D$72*(B146/10))</f>
        <v>0</v>
      </c>
      <c r="D146" s="632">
        <f t="shared" ref="D146:D175" si="14">IF($D$7="",NA(),(C146/$D$70)*98.0665)</f>
        <v>0</v>
      </c>
      <c r="E146" s="633">
        <v>938</v>
      </c>
      <c r="F146" s="725">
        <v>0</v>
      </c>
      <c r="G146" s="729"/>
      <c r="H146" s="726">
        <v>0</v>
      </c>
      <c r="I146" s="631">
        <v>0</v>
      </c>
      <c r="J146" s="632">
        <f t="shared" ref="J146:J175" si="15">IF(I146="","",$D$72*(I146/10))</f>
        <v>0</v>
      </c>
      <c r="K146" s="632">
        <f t="shared" ref="K146:K175" si="16">IF($D$7="",NA(),(J146/$D$70)*98.0665)</f>
        <v>0</v>
      </c>
      <c r="L146" s="633">
        <v>913</v>
      </c>
      <c r="M146" s="725">
        <v>0</v>
      </c>
      <c r="N146" s="729"/>
      <c r="O146" s="726">
        <v>0</v>
      </c>
      <c r="P146" s="631"/>
      <c r="Q146" s="632" t="str">
        <f t="shared" ref="Q146:Q182" si="17">IF(P146="","",$D$133*P146)</f>
        <v/>
      </c>
      <c r="R146" s="632" t="str">
        <f t="shared" ref="R146:R182" si="18">IF(Q146="","",(Q146/$D$131)*10)</f>
        <v/>
      </c>
      <c r="S146" s="633"/>
      <c r="T146" s="725">
        <v>0</v>
      </c>
    </row>
    <row r="147" spans="1:20">
      <c r="A147" s="726">
        <v>0.3</v>
      </c>
      <c r="B147" s="631">
        <v>66</v>
      </c>
      <c r="C147" s="632">
        <f t="shared" si="13"/>
        <v>2.6842199999999998</v>
      </c>
      <c r="D147" s="632">
        <f t="shared" si="14"/>
        <v>9.4989589791359119</v>
      </c>
      <c r="E147" s="633">
        <v>934</v>
      </c>
      <c r="F147" s="725">
        <f>IF($D$7="",NA(),-($E$146-E147)/100)</f>
        <v>-0.04</v>
      </c>
      <c r="G147" s="729"/>
      <c r="H147" s="726">
        <v>0.3</v>
      </c>
      <c r="I147" s="631">
        <v>20</v>
      </c>
      <c r="J147" s="632">
        <f t="shared" si="15"/>
        <v>0.81340000000000001</v>
      </c>
      <c r="K147" s="632">
        <f t="shared" si="16"/>
        <v>2.8784724179199737</v>
      </c>
      <c r="L147" s="633">
        <v>912</v>
      </c>
      <c r="M147" s="725">
        <f>IF($D$7="",NA(),-($L$146-L147)/100)</f>
        <v>-0.01</v>
      </c>
      <c r="N147" s="729"/>
      <c r="O147" s="726">
        <v>0.3</v>
      </c>
      <c r="P147" s="631"/>
      <c r="Q147" s="632" t="str">
        <f t="shared" si="17"/>
        <v/>
      </c>
      <c r="R147" s="632" t="str">
        <f t="shared" si="18"/>
        <v/>
      </c>
      <c r="S147" s="633"/>
      <c r="T147" s="725" t="str">
        <f t="shared" ref="T147:T182" si="19">IF(S147="","",-($S$146-S147)/100)</f>
        <v/>
      </c>
    </row>
    <row r="148" spans="1:20">
      <c r="A148" s="726">
        <v>0.6</v>
      </c>
      <c r="B148" s="631">
        <v>122.00000000000001</v>
      </c>
      <c r="C148" s="632">
        <f t="shared" si="13"/>
        <v>4.9617400000000007</v>
      </c>
      <c r="D148" s="632">
        <f t="shared" si="14"/>
        <v>17.558681749311841</v>
      </c>
      <c r="E148" s="633">
        <v>932</v>
      </c>
      <c r="F148" s="725">
        <f t="shared" ref="F148:F175" si="20">IF($D$7="",NA(),-($E$146-E148)/100)</f>
        <v>-0.06</v>
      </c>
      <c r="G148" s="729"/>
      <c r="H148" s="726">
        <v>0.6</v>
      </c>
      <c r="I148" s="631">
        <v>43</v>
      </c>
      <c r="J148" s="632">
        <f t="shared" si="15"/>
        <v>1.74881</v>
      </c>
      <c r="K148" s="632">
        <f t="shared" si="16"/>
        <v>6.1887156985279441</v>
      </c>
      <c r="L148" s="633">
        <v>911</v>
      </c>
      <c r="M148" s="725">
        <f t="shared" ref="M148:M175" si="21">IF($D$7="",NA(),-($L$146-L148)/100)</f>
        <v>-0.02</v>
      </c>
      <c r="N148" s="729"/>
      <c r="O148" s="726">
        <v>0.6</v>
      </c>
      <c r="P148" s="631"/>
      <c r="Q148" s="632" t="str">
        <f t="shared" si="17"/>
        <v/>
      </c>
      <c r="R148" s="632" t="str">
        <f t="shared" si="18"/>
        <v/>
      </c>
      <c r="S148" s="633"/>
      <c r="T148" s="725" t="str">
        <f t="shared" si="19"/>
        <v/>
      </c>
    </row>
    <row r="149" spans="1:20">
      <c r="A149" s="726">
        <v>0.89999999999999991</v>
      </c>
      <c r="B149" s="631">
        <v>163</v>
      </c>
      <c r="C149" s="632">
        <f t="shared" si="13"/>
        <v>6.6292100000000005</v>
      </c>
      <c r="D149" s="632">
        <f t="shared" si="14"/>
        <v>23.459550206047787</v>
      </c>
      <c r="E149" s="633">
        <v>930</v>
      </c>
      <c r="F149" s="725">
        <f t="shared" si="20"/>
        <v>-0.08</v>
      </c>
      <c r="G149" s="729"/>
      <c r="H149" s="726">
        <v>0.89999999999999991</v>
      </c>
      <c r="I149" s="631">
        <v>55</v>
      </c>
      <c r="J149" s="632">
        <f t="shared" si="15"/>
        <v>2.23685</v>
      </c>
      <c r="K149" s="632">
        <f t="shared" si="16"/>
        <v>7.9157991492799269</v>
      </c>
      <c r="L149" s="633">
        <v>910</v>
      </c>
      <c r="M149" s="725">
        <f t="shared" si="21"/>
        <v>-0.03</v>
      </c>
      <c r="N149" s="729"/>
      <c r="O149" s="726">
        <v>0.89999999999999991</v>
      </c>
      <c r="P149" s="631"/>
      <c r="Q149" s="632" t="str">
        <f t="shared" si="17"/>
        <v/>
      </c>
      <c r="R149" s="632" t="str">
        <f t="shared" si="18"/>
        <v/>
      </c>
      <c r="S149" s="633"/>
      <c r="T149" s="725" t="str">
        <f t="shared" si="19"/>
        <v/>
      </c>
    </row>
    <row r="150" spans="1:20">
      <c r="A150" s="726">
        <v>1.2</v>
      </c>
      <c r="B150" s="631">
        <v>195</v>
      </c>
      <c r="C150" s="632">
        <f t="shared" si="13"/>
        <v>7.93065</v>
      </c>
      <c r="D150" s="632">
        <f t="shared" si="14"/>
        <v>28.065106074719743</v>
      </c>
      <c r="E150" s="633">
        <v>928</v>
      </c>
      <c r="F150" s="725">
        <f t="shared" si="20"/>
        <v>-0.1</v>
      </c>
      <c r="G150" s="729"/>
      <c r="H150" s="726">
        <v>1.2</v>
      </c>
      <c r="I150" s="631">
        <v>65</v>
      </c>
      <c r="J150" s="632">
        <f t="shared" si="15"/>
        <v>2.6435499999999998</v>
      </c>
      <c r="K150" s="632">
        <f t="shared" si="16"/>
        <v>9.3550353582399133</v>
      </c>
      <c r="L150" s="633">
        <v>909</v>
      </c>
      <c r="M150" s="725">
        <f t="shared" si="21"/>
        <v>-0.04</v>
      </c>
      <c r="N150" s="729"/>
      <c r="O150" s="726">
        <v>1.2</v>
      </c>
      <c r="P150" s="631"/>
      <c r="Q150" s="632" t="str">
        <f t="shared" si="17"/>
        <v/>
      </c>
      <c r="R150" s="632" t="str">
        <f t="shared" si="18"/>
        <v/>
      </c>
      <c r="S150" s="633"/>
      <c r="T150" s="725" t="str">
        <f t="shared" si="19"/>
        <v/>
      </c>
    </row>
    <row r="151" spans="1:20">
      <c r="A151" s="726">
        <v>1.5</v>
      </c>
      <c r="B151" s="631">
        <v>216</v>
      </c>
      <c r="C151" s="632">
        <f t="shared" si="13"/>
        <v>8.7847200000000001</v>
      </c>
      <c r="D151" s="632">
        <f t="shared" si="14"/>
        <v>31.087502113535717</v>
      </c>
      <c r="E151" s="633">
        <v>927</v>
      </c>
      <c r="F151" s="725">
        <f t="shared" si="20"/>
        <v>-0.11</v>
      </c>
      <c r="G151" s="729"/>
      <c r="H151" s="726">
        <v>1.5</v>
      </c>
      <c r="I151" s="631">
        <v>77</v>
      </c>
      <c r="J151" s="632">
        <f t="shared" si="15"/>
        <v>3.1315900000000001</v>
      </c>
      <c r="K151" s="632">
        <f t="shared" si="16"/>
        <v>11.082118808991899</v>
      </c>
      <c r="L151" s="633">
        <v>908</v>
      </c>
      <c r="M151" s="725">
        <f t="shared" si="21"/>
        <v>-0.05</v>
      </c>
      <c r="N151" s="729"/>
      <c r="O151" s="726">
        <v>1.5</v>
      </c>
      <c r="P151" s="631"/>
      <c r="Q151" s="632" t="str">
        <f t="shared" si="17"/>
        <v/>
      </c>
      <c r="R151" s="632" t="str">
        <f t="shared" si="18"/>
        <v/>
      </c>
      <c r="S151" s="633"/>
      <c r="T151" s="725" t="str">
        <f t="shared" si="19"/>
        <v/>
      </c>
    </row>
    <row r="152" spans="1:20">
      <c r="A152" s="726">
        <v>1.8</v>
      </c>
      <c r="B152" s="631">
        <v>233</v>
      </c>
      <c r="C152" s="632">
        <f t="shared" si="13"/>
        <v>9.4761100000000003</v>
      </c>
      <c r="D152" s="632">
        <f t="shared" si="14"/>
        <v>33.534203668767695</v>
      </c>
      <c r="E152" s="633">
        <v>926</v>
      </c>
      <c r="F152" s="725">
        <f t="shared" si="20"/>
        <v>-0.12</v>
      </c>
      <c r="G152" s="729"/>
      <c r="H152" s="726">
        <v>1.8</v>
      </c>
      <c r="I152" s="631">
        <v>90</v>
      </c>
      <c r="J152" s="632">
        <f t="shared" si="15"/>
        <v>3.6602999999999999</v>
      </c>
      <c r="K152" s="632">
        <f t="shared" si="16"/>
        <v>12.953125880639883</v>
      </c>
      <c r="L152" s="633">
        <v>907</v>
      </c>
      <c r="M152" s="725">
        <f t="shared" si="21"/>
        <v>-0.06</v>
      </c>
      <c r="N152" s="729"/>
      <c r="O152" s="726">
        <v>1.8</v>
      </c>
      <c r="P152" s="631"/>
      <c r="Q152" s="632" t="str">
        <f t="shared" si="17"/>
        <v/>
      </c>
      <c r="R152" s="632" t="str">
        <f t="shared" si="18"/>
        <v/>
      </c>
      <c r="S152" s="633"/>
      <c r="T152" s="725" t="str">
        <f t="shared" si="19"/>
        <v/>
      </c>
    </row>
    <row r="153" spans="1:20">
      <c r="A153" s="726">
        <v>2.1</v>
      </c>
      <c r="B153" s="631">
        <v>242.00000000000003</v>
      </c>
      <c r="C153" s="632">
        <f t="shared" si="13"/>
        <v>9.8421400000000006</v>
      </c>
      <c r="D153" s="632">
        <f t="shared" si="14"/>
        <v>34.829516256831681</v>
      </c>
      <c r="E153" s="633">
        <v>925</v>
      </c>
      <c r="F153" s="725">
        <f t="shared" si="20"/>
        <v>-0.13</v>
      </c>
      <c r="G153" s="729"/>
      <c r="H153" s="726">
        <v>2.1</v>
      </c>
      <c r="I153" s="631">
        <v>100</v>
      </c>
      <c r="J153" s="632">
        <f t="shared" si="15"/>
        <v>4.0670000000000002</v>
      </c>
      <c r="K153" s="632">
        <f t="shared" si="16"/>
        <v>14.392362089599869</v>
      </c>
      <c r="L153" s="633">
        <v>906</v>
      </c>
      <c r="M153" s="725">
        <f t="shared" si="21"/>
        <v>-7.0000000000000007E-2</v>
      </c>
      <c r="N153" s="729"/>
      <c r="O153" s="726">
        <v>2.1</v>
      </c>
      <c r="P153" s="631"/>
      <c r="Q153" s="632" t="str">
        <f t="shared" si="17"/>
        <v/>
      </c>
      <c r="R153" s="632" t="str">
        <f t="shared" si="18"/>
        <v/>
      </c>
      <c r="S153" s="633"/>
      <c r="T153" s="725" t="str">
        <f t="shared" si="19"/>
        <v/>
      </c>
    </row>
    <row r="154" spans="1:20">
      <c r="A154" s="726">
        <v>2.4</v>
      </c>
      <c r="B154" s="631">
        <v>250</v>
      </c>
      <c r="C154" s="632">
        <f t="shared" si="13"/>
        <v>10.1675</v>
      </c>
      <c r="D154" s="632">
        <f t="shared" si="14"/>
        <v>35.98090522399967</v>
      </c>
      <c r="E154" s="633">
        <v>924</v>
      </c>
      <c r="F154" s="725">
        <f t="shared" si="20"/>
        <v>-0.14000000000000001</v>
      </c>
      <c r="G154" s="729"/>
      <c r="H154" s="726">
        <v>2.4</v>
      </c>
      <c r="I154" s="631">
        <v>110</v>
      </c>
      <c r="J154" s="632">
        <f t="shared" si="15"/>
        <v>4.4737</v>
      </c>
      <c r="K154" s="632">
        <f t="shared" si="16"/>
        <v>15.831598298559854</v>
      </c>
      <c r="L154" s="633">
        <v>905</v>
      </c>
      <c r="M154" s="725">
        <f t="shared" si="21"/>
        <v>-0.08</v>
      </c>
      <c r="N154" s="729"/>
      <c r="O154" s="726">
        <v>2.4</v>
      </c>
      <c r="P154" s="631"/>
      <c r="Q154" s="632" t="str">
        <f t="shared" si="17"/>
        <v/>
      </c>
      <c r="R154" s="632" t="str">
        <f t="shared" si="18"/>
        <v/>
      </c>
      <c r="S154" s="633"/>
      <c r="T154" s="725" t="str">
        <f t="shared" si="19"/>
        <v/>
      </c>
    </row>
    <row r="155" spans="1:20">
      <c r="A155" s="726">
        <v>2.6999999999999997</v>
      </c>
      <c r="B155" s="631">
        <v>255</v>
      </c>
      <c r="C155" s="632">
        <f t="shared" si="13"/>
        <v>10.370850000000001</v>
      </c>
      <c r="D155" s="632">
        <f t="shared" si="14"/>
        <v>36.700523328479669</v>
      </c>
      <c r="E155" s="633">
        <v>923</v>
      </c>
      <c r="F155" s="725">
        <f t="shared" si="20"/>
        <v>-0.15</v>
      </c>
      <c r="G155" s="729"/>
      <c r="H155" s="726">
        <v>2.6999999999999997</v>
      </c>
      <c r="I155" s="631">
        <v>120</v>
      </c>
      <c r="J155" s="632">
        <f t="shared" si="15"/>
        <v>4.8803999999999998</v>
      </c>
      <c r="K155" s="632">
        <f t="shared" si="16"/>
        <v>17.270834507519844</v>
      </c>
      <c r="L155" s="633">
        <v>904</v>
      </c>
      <c r="M155" s="725">
        <f t="shared" si="21"/>
        <v>-0.09</v>
      </c>
      <c r="N155" s="729"/>
      <c r="O155" s="726">
        <v>2.6999999999999997</v>
      </c>
      <c r="P155" s="631"/>
      <c r="Q155" s="632" t="str">
        <f t="shared" si="17"/>
        <v/>
      </c>
      <c r="R155" s="632" t="str">
        <f t="shared" si="18"/>
        <v/>
      </c>
      <c r="S155" s="633"/>
      <c r="T155" s="725" t="str">
        <f t="shared" si="19"/>
        <v/>
      </c>
    </row>
    <row r="156" spans="1:20">
      <c r="A156" s="726">
        <v>2.9999999999999996</v>
      </c>
      <c r="B156" s="631">
        <v>257</v>
      </c>
      <c r="C156" s="632">
        <f t="shared" si="13"/>
        <v>10.45219</v>
      </c>
      <c r="D156" s="632">
        <f t="shared" si="14"/>
        <v>36.988370570271663</v>
      </c>
      <c r="E156" s="633">
        <v>922</v>
      </c>
      <c r="F156" s="725">
        <f t="shared" si="20"/>
        <v>-0.16</v>
      </c>
      <c r="G156" s="729"/>
      <c r="H156" s="726">
        <v>2.9999999999999996</v>
      </c>
      <c r="I156" s="631">
        <v>130</v>
      </c>
      <c r="J156" s="632">
        <f t="shared" si="15"/>
        <v>5.2870999999999997</v>
      </c>
      <c r="K156" s="632">
        <f t="shared" si="16"/>
        <v>18.710070716479827</v>
      </c>
      <c r="L156" s="633">
        <v>903.8</v>
      </c>
      <c r="M156" s="725">
        <f t="shared" si="21"/>
        <v>-9.2000000000000456E-2</v>
      </c>
      <c r="N156" s="729"/>
      <c r="O156" s="726">
        <v>2.9999999999999996</v>
      </c>
      <c r="P156" s="631"/>
      <c r="Q156" s="632" t="str">
        <f t="shared" si="17"/>
        <v/>
      </c>
      <c r="R156" s="632" t="str">
        <f t="shared" si="18"/>
        <v/>
      </c>
      <c r="S156" s="633"/>
      <c r="T156" s="725" t="str">
        <f t="shared" si="19"/>
        <v/>
      </c>
    </row>
    <row r="157" spans="1:20">
      <c r="A157" s="726">
        <v>3.2999999999999994</v>
      </c>
      <c r="B157" s="631">
        <v>259</v>
      </c>
      <c r="C157" s="632">
        <f t="shared" si="13"/>
        <v>10.533529999999999</v>
      </c>
      <c r="D157" s="632">
        <f t="shared" si="14"/>
        <v>37.276217812063656</v>
      </c>
      <c r="E157" s="633">
        <v>921</v>
      </c>
      <c r="F157" s="725">
        <f t="shared" si="20"/>
        <v>-0.17</v>
      </c>
      <c r="G157" s="729"/>
      <c r="H157" s="726">
        <v>3.2999999999999994</v>
      </c>
      <c r="I157" s="631">
        <v>140</v>
      </c>
      <c r="J157" s="632">
        <f t="shared" si="15"/>
        <v>5.6938000000000004</v>
      </c>
      <c r="K157" s="632">
        <f t="shared" si="16"/>
        <v>20.149306925439816</v>
      </c>
      <c r="L157" s="633">
        <v>903.6</v>
      </c>
      <c r="M157" s="725">
        <f t="shared" si="21"/>
        <v>-9.3999999999999778E-2</v>
      </c>
      <c r="N157" s="729"/>
      <c r="O157" s="726">
        <v>3.2999999999999994</v>
      </c>
      <c r="P157" s="631"/>
      <c r="Q157" s="632" t="str">
        <f t="shared" si="17"/>
        <v/>
      </c>
      <c r="R157" s="632" t="str">
        <f t="shared" si="18"/>
        <v/>
      </c>
      <c r="S157" s="633"/>
      <c r="T157" s="725" t="str">
        <f t="shared" si="19"/>
        <v/>
      </c>
    </row>
    <row r="158" spans="1:20">
      <c r="A158" s="726">
        <v>3.5999999999999992</v>
      </c>
      <c r="B158" s="631">
        <v>261</v>
      </c>
      <c r="C158" s="632">
        <f t="shared" si="13"/>
        <v>10.614870000000002</v>
      </c>
      <c r="D158" s="632">
        <f t="shared" si="14"/>
        <v>37.564065053855664</v>
      </c>
      <c r="E158" s="633">
        <v>920.5</v>
      </c>
      <c r="F158" s="725">
        <f t="shared" si="20"/>
        <v>-0.17499999999999999</v>
      </c>
      <c r="G158" s="729"/>
      <c r="H158" s="726">
        <v>3.5999999999999992</v>
      </c>
      <c r="I158" s="631">
        <v>150</v>
      </c>
      <c r="J158" s="632">
        <f t="shared" si="15"/>
        <v>6.1005000000000003</v>
      </c>
      <c r="K158" s="632">
        <f t="shared" si="16"/>
        <v>21.588543134399803</v>
      </c>
      <c r="L158" s="633">
        <v>903.4</v>
      </c>
      <c r="M158" s="725">
        <f t="shared" si="21"/>
        <v>-9.6000000000000224E-2</v>
      </c>
      <c r="N158" s="729"/>
      <c r="O158" s="726">
        <v>3.5999999999999992</v>
      </c>
      <c r="P158" s="631"/>
      <c r="Q158" s="632" t="str">
        <f t="shared" si="17"/>
        <v/>
      </c>
      <c r="R158" s="632" t="str">
        <f t="shared" si="18"/>
        <v/>
      </c>
      <c r="S158" s="633"/>
      <c r="T158" s="725" t="str">
        <f t="shared" si="19"/>
        <v/>
      </c>
    </row>
    <row r="159" spans="1:20">
      <c r="A159" s="726">
        <v>3.899999999999999</v>
      </c>
      <c r="B159" s="631">
        <v>263</v>
      </c>
      <c r="C159" s="632">
        <f t="shared" si="13"/>
        <v>10.696210000000001</v>
      </c>
      <c r="D159" s="632">
        <f t="shared" si="14"/>
        <v>37.851912295647658</v>
      </c>
      <c r="E159" s="633">
        <v>920</v>
      </c>
      <c r="F159" s="725">
        <f t="shared" si="20"/>
        <v>-0.18</v>
      </c>
      <c r="G159" s="729"/>
      <c r="H159" s="726">
        <v>3.899999999999999</v>
      </c>
      <c r="I159" s="631">
        <v>160</v>
      </c>
      <c r="J159" s="632">
        <f t="shared" si="15"/>
        <v>6.5072000000000001</v>
      </c>
      <c r="K159" s="632">
        <f t="shared" si="16"/>
        <v>23.027779343359789</v>
      </c>
      <c r="L159" s="633">
        <v>903.2</v>
      </c>
      <c r="M159" s="725">
        <f t="shared" si="21"/>
        <v>-9.7999999999999546E-2</v>
      </c>
      <c r="N159" s="729"/>
      <c r="O159" s="726">
        <v>3.899999999999999</v>
      </c>
      <c r="P159" s="631"/>
      <c r="Q159" s="632" t="str">
        <f t="shared" si="17"/>
        <v/>
      </c>
      <c r="R159" s="632" t="str">
        <f t="shared" si="18"/>
        <v/>
      </c>
      <c r="S159" s="633"/>
      <c r="T159" s="725" t="str">
        <f t="shared" si="19"/>
        <v/>
      </c>
    </row>
    <row r="160" spans="1:20">
      <c r="A160" s="726">
        <v>4.1999999999999993</v>
      </c>
      <c r="B160" s="631">
        <v>263.5</v>
      </c>
      <c r="C160" s="632">
        <f t="shared" si="13"/>
        <v>10.716545</v>
      </c>
      <c r="D160" s="632">
        <f t="shared" si="14"/>
        <v>37.923874106095653</v>
      </c>
      <c r="E160" s="633">
        <v>919.8</v>
      </c>
      <c r="F160" s="725">
        <f t="shared" si="20"/>
        <v>-0.18200000000000047</v>
      </c>
      <c r="G160" s="729"/>
      <c r="H160" s="726">
        <v>4.1999999999999993</v>
      </c>
      <c r="I160" s="631">
        <v>170</v>
      </c>
      <c r="J160" s="632">
        <f t="shared" si="15"/>
        <v>6.9138999999999999</v>
      </c>
      <c r="K160" s="632">
        <f t="shared" si="16"/>
        <v>24.467015552319776</v>
      </c>
      <c r="L160" s="633">
        <v>903</v>
      </c>
      <c r="M160" s="725">
        <f t="shared" si="21"/>
        <v>-0.1</v>
      </c>
      <c r="N160" s="729"/>
      <c r="O160" s="726">
        <v>4.1999999999999993</v>
      </c>
      <c r="P160" s="631"/>
      <c r="Q160" s="632" t="str">
        <f t="shared" si="17"/>
        <v/>
      </c>
      <c r="R160" s="632" t="str">
        <f t="shared" si="18"/>
        <v/>
      </c>
      <c r="S160" s="633"/>
      <c r="T160" s="725" t="str">
        <f t="shared" si="19"/>
        <v/>
      </c>
    </row>
    <row r="161" spans="1:20">
      <c r="A161" s="726">
        <v>4.4999999999999991</v>
      </c>
      <c r="B161" s="631">
        <v>264</v>
      </c>
      <c r="C161" s="632">
        <f t="shared" si="13"/>
        <v>10.736879999999999</v>
      </c>
      <c r="D161" s="632">
        <f t="shared" si="14"/>
        <v>37.995835916543648</v>
      </c>
      <c r="E161" s="633">
        <v>919.6</v>
      </c>
      <c r="F161" s="725">
        <f t="shared" si="20"/>
        <v>-0.18399999999999977</v>
      </c>
      <c r="G161" s="729"/>
      <c r="H161" s="726">
        <v>4.4999999999999991</v>
      </c>
      <c r="I161" s="631">
        <v>175</v>
      </c>
      <c r="J161" s="632">
        <f t="shared" si="15"/>
        <v>7.1172500000000003</v>
      </c>
      <c r="K161" s="632">
        <f t="shared" si="16"/>
        <v>25.186633656799767</v>
      </c>
      <c r="L161" s="633">
        <v>902.8</v>
      </c>
      <c r="M161" s="725">
        <f t="shared" si="21"/>
        <v>-0.10200000000000045</v>
      </c>
      <c r="N161" s="729"/>
      <c r="O161" s="726">
        <v>4.4999999999999991</v>
      </c>
      <c r="P161" s="631"/>
      <c r="Q161" s="632" t="str">
        <f t="shared" si="17"/>
        <v/>
      </c>
      <c r="R161" s="632" t="str">
        <f t="shared" si="18"/>
        <v/>
      </c>
      <c r="S161" s="633"/>
      <c r="T161" s="725" t="str">
        <f t="shared" si="19"/>
        <v/>
      </c>
    </row>
    <row r="162" spans="1:20">
      <c r="A162" s="726">
        <v>4.7999999999999989</v>
      </c>
      <c r="B162" s="631">
        <v>264.20000000000005</v>
      </c>
      <c r="C162" s="632">
        <f t="shared" si="13"/>
        <v>10.745014000000003</v>
      </c>
      <c r="D162" s="632">
        <f t="shared" si="14"/>
        <v>38.024620640722866</v>
      </c>
      <c r="E162" s="633">
        <v>919.4</v>
      </c>
      <c r="F162" s="725">
        <f t="shared" si="20"/>
        <v>-0.18600000000000022</v>
      </c>
      <c r="G162" s="729"/>
      <c r="H162" s="726">
        <v>4.7999999999999989</v>
      </c>
      <c r="I162" s="631">
        <v>177</v>
      </c>
      <c r="J162" s="632">
        <f t="shared" si="15"/>
        <v>7.1985899999999994</v>
      </c>
      <c r="K162" s="632">
        <f t="shared" si="16"/>
        <v>25.474480898591768</v>
      </c>
      <c r="L162" s="633">
        <v>902.6</v>
      </c>
      <c r="M162" s="725">
        <f t="shared" si="21"/>
        <v>-0.10399999999999977</v>
      </c>
      <c r="N162" s="729"/>
      <c r="O162" s="726">
        <v>4.7999999999999989</v>
      </c>
      <c r="P162" s="631"/>
      <c r="Q162" s="632" t="str">
        <f t="shared" si="17"/>
        <v/>
      </c>
      <c r="R162" s="632" t="str">
        <f t="shared" si="18"/>
        <v/>
      </c>
      <c r="S162" s="633"/>
      <c r="T162" s="725" t="str">
        <f t="shared" si="19"/>
        <v/>
      </c>
    </row>
    <row r="163" spans="1:20">
      <c r="A163" s="726">
        <v>5.0999999999999988</v>
      </c>
      <c r="B163" s="631">
        <v>264.39999999999998</v>
      </c>
      <c r="C163" s="632">
        <f t="shared" si="13"/>
        <v>10.753147999999999</v>
      </c>
      <c r="D163" s="632">
        <f t="shared" si="14"/>
        <v>38.053405364902048</v>
      </c>
      <c r="E163" s="633">
        <v>919.2</v>
      </c>
      <c r="F163" s="725">
        <f t="shared" si="20"/>
        <v>-0.18799999999999956</v>
      </c>
      <c r="G163" s="729"/>
      <c r="H163" s="726">
        <v>5.0999999999999988</v>
      </c>
      <c r="I163" s="631">
        <v>179.00000000000003</v>
      </c>
      <c r="J163" s="632">
        <f t="shared" si="15"/>
        <v>7.2799300000000011</v>
      </c>
      <c r="K163" s="632">
        <f t="shared" si="16"/>
        <v>25.762328140383772</v>
      </c>
      <c r="L163" s="633">
        <v>902.4</v>
      </c>
      <c r="M163" s="725">
        <f t="shared" si="21"/>
        <v>-0.10600000000000023</v>
      </c>
      <c r="N163" s="729"/>
      <c r="O163" s="726">
        <v>5.0999999999999988</v>
      </c>
      <c r="P163" s="631"/>
      <c r="Q163" s="632" t="str">
        <f t="shared" si="17"/>
        <v/>
      </c>
      <c r="R163" s="632" t="str">
        <f t="shared" si="18"/>
        <v/>
      </c>
      <c r="S163" s="633"/>
      <c r="T163" s="725" t="str">
        <f t="shared" si="19"/>
        <v/>
      </c>
    </row>
    <row r="164" spans="1:20">
      <c r="A164" s="726">
        <v>5.3999999999999986</v>
      </c>
      <c r="B164" s="631">
        <v>266.60000000000002</v>
      </c>
      <c r="C164" s="632">
        <f t="shared" si="13"/>
        <v>10.842622000000002</v>
      </c>
      <c r="D164" s="632">
        <f t="shared" si="14"/>
        <v>38.370037330873252</v>
      </c>
      <c r="E164" s="633">
        <v>919.1</v>
      </c>
      <c r="F164" s="725">
        <f t="shared" si="20"/>
        <v>-0.18899999999999978</v>
      </c>
      <c r="G164" s="729"/>
      <c r="H164" s="726">
        <v>5.3999999999999986</v>
      </c>
      <c r="I164" s="631">
        <v>181</v>
      </c>
      <c r="J164" s="632">
        <f t="shared" si="15"/>
        <v>7.3612700000000011</v>
      </c>
      <c r="K164" s="632">
        <f t="shared" si="16"/>
        <v>26.050175382175762</v>
      </c>
      <c r="L164" s="633">
        <v>902.2</v>
      </c>
      <c r="M164" s="725">
        <f t="shared" si="21"/>
        <v>-0.10799999999999954</v>
      </c>
      <c r="N164" s="729"/>
      <c r="O164" s="726">
        <v>5.3999999999999986</v>
      </c>
      <c r="P164" s="631"/>
      <c r="Q164" s="632" t="str">
        <f t="shared" si="17"/>
        <v/>
      </c>
      <c r="R164" s="632" t="str">
        <f t="shared" si="18"/>
        <v/>
      </c>
      <c r="S164" s="633"/>
      <c r="T164" s="725" t="str">
        <f t="shared" si="19"/>
        <v/>
      </c>
    </row>
    <row r="165" spans="1:20">
      <c r="A165" s="726">
        <v>5.6999999999999984</v>
      </c>
      <c r="B165" s="631">
        <v>266.60000000000002</v>
      </c>
      <c r="C165" s="632">
        <f t="shared" si="13"/>
        <v>10.842622000000002</v>
      </c>
      <c r="D165" s="632">
        <f t="shared" si="14"/>
        <v>38.370037330873252</v>
      </c>
      <c r="E165" s="633">
        <v>919</v>
      </c>
      <c r="F165" s="725">
        <f t="shared" si="20"/>
        <v>-0.19</v>
      </c>
      <c r="G165" s="729"/>
      <c r="H165" s="726">
        <v>5.6999999999999984</v>
      </c>
      <c r="I165" s="631">
        <v>182</v>
      </c>
      <c r="J165" s="632">
        <f t="shared" si="15"/>
        <v>7.4019399999999997</v>
      </c>
      <c r="K165" s="632">
        <f t="shared" si="16"/>
        <v>26.194099003071759</v>
      </c>
      <c r="L165" s="633">
        <v>902</v>
      </c>
      <c r="M165" s="725">
        <f t="shared" si="21"/>
        <v>-0.11</v>
      </c>
      <c r="N165" s="729"/>
      <c r="O165" s="726">
        <v>5.6999999999999984</v>
      </c>
      <c r="P165" s="631"/>
      <c r="Q165" s="632" t="str">
        <f t="shared" si="17"/>
        <v/>
      </c>
      <c r="R165" s="632" t="str">
        <f t="shared" si="18"/>
        <v/>
      </c>
      <c r="S165" s="633"/>
      <c r="T165" s="725" t="str">
        <f t="shared" si="19"/>
        <v/>
      </c>
    </row>
    <row r="166" spans="1:20">
      <c r="A166" s="726">
        <v>5.9999999999999982</v>
      </c>
      <c r="B166" s="631">
        <v>266.60000000000002</v>
      </c>
      <c r="C166" s="632">
        <f t="shared" si="13"/>
        <v>10.842622000000002</v>
      </c>
      <c r="D166" s="632">
        <f t="shared" si="14"/>
        <v>38.370037330873252</v>
      </c>
      <c r="E166" s="633">
        <v>919</v>
      </c>
      <c r="F166" s="725">
        <f t="shared" si="20"/>
        <v>-0.19</v>
      </c>
      <c r="G166" s="729"/>
      <c r="H166" s="726">
        <v>5.9999999999999982</v>
      </c>
      <c r="I166" s="631">
        <v>183</v>
      </c>
      <c r="J166" s="632">
        <f t="shared" si="15"/>
        <v>7.4426100000000002</v>
      </c>
      <c r="K166" s="632">
        <f t="shared" si="16"/>
        <v>26.338022623967756</v>
      </c>
      <c r="L166" s="633">
        <v>901.8</v>
      </c>
      <c r="M166" s="725">
        <f t="shared" si="21"/>
        <v>-0.11200000000000046</v>
      </c>
      <c r="N166" s="729"/>
      <c r="O166" s="726">
        <v>5.9999999999999982</v>
      </c>
      <c r="P166" s="631"/>
      <c r="Q166" s="632" t="str">
        <f t="shared" si="17"/>
        <v/>
      </c>
      <c r="R166" s="632" t="str">
        <f t="shared" si="18"/>
        <v/>
      </c>
      <c r="S166" s="633"/>
      <c r="T166" s="725" t="str">
        <f t="shared" si="19"/>
        <v/>
      </c>
    </row>
    <row r="167" spans="1:20">
      <c r="A167" s="726">
        <v>6.299999999999998</v>
      </c>
      <c r="B167" s="631">
        <v>266.60000000000002</v>
      </c>
      <c r="C167" s="632">
        <f t="shared" si="13"/>
        <v>10.842622000000002</v>
      </c>
      <c r="D167" s="632">
        <f t="shared" si="14"/>
        <v>38.370037330873252</v>
      </c>
      <c r="E167" s="633">
        <v>919</v>
      </c>
      <c r="F167" s="725">
        <f t="shared" si="20"/>
        <v>-0.19</v>
      </c>
      <c r="G167" s="729"/>
      <c r="H167" s="726">
        <v>6.299999999999998</v>
      </c>
      <c r="I167" s="631">
        <v>183.5</v>
      </c>
      <c r="J167" s="632">
        <f t="shared" si="15"/>
        <v>7.4629450000000004</v>
      </c>
      <c r="K167" s="632">
        <f t="shared" si="16"/>
        <v>26.409984434415758</v>
      </c>
      <c r="L167" s="633">
        <v>901.6</v>
      </c>
      <c r="M167" s="725">
        <f t="shared" si="21"/>
        <v>-0.11399999999999977</v>
      </c>
      <c r="N167" s="729"/>
      <c r="O167" s="726">
        <v>6.299999999999998</v>
      </c>
      <c r="P167" s="631"/>
      <c r="Q167" s="632" t="str">
        <f t="shared" si="17"/>
        <v/>
      </c>
      <c r="R167" s="632" t="str">
        <f t="shared" si="18"/>
        <v/>
      </c>
      <c r="S167" s="633"/>
      <c r="T167" s="725" t="str">
        <f t="shared" si="19"/>
        <v/>
      </c>
    </row>
    <row r="168" spans="1:20">
      <c r="A168" s="726">
        <v>6.5999999999999979</v>
      </c>
      <c r="B168" s="631">
        <v>266.60000000000002</v>
      </c>
      <c r="C168" s="632">
        <f t="shared" si="13"/>
        <v>10.842622000000002</v>
      </c>
      <c r="D168" s="632">
        <f t="shared" si="14"/>
        <v>38.370037330873252</v>
      </c>
      <c r="E168" s="633">
        <v>919</v>
      </c>
      <c r="F168" s="725">
        <f t="shared" si="20"/>
        <v>-0.19</v>
      </c>
      <c r="G168" s="729"/>
      <c r="H168" s="726">
        <v>6.5999999999999979</v>
      </c>
      <c r="I168" s="631">
        <v>184.00000000000003</v>
      </c>
      <c r="J168" s="632">
        <f t="shared" si="15"/>
        <v>7.4832800000000006</v>
      </c>
      <c r="K168" s="632">
        <f t="shared" si="16"/>
        <v>26.48194624486376</v>
      </c>
      <c r="L168" s="633">
        <v>901.6</v>
      </c>
      <c r="M168" s="725">
        <f t="shared" si="21"/>
        <v>-0.11399999999999977</v>
      </c>
      <c r="N168" s="729"/>
      <c r="O168" s="726">
        <v>6.5999999999999979</v>
      </c>
      <c r="P168" s="631"/>
      <c r="Q168" s="632" t="str">
        <f t="shared" si="17"/>
        <v/>
      </c>
      <c r="R168" s="632" t="str">
        <f t="shared" si="18"/>
        <v/>
      </c>
      <c r="S168" s="633"/>
      <c r="T168" s="725" t="str">
        <f t="shared" si="19"/>
        <v/>
      </c>
    </row>
    <row r="169" spans="1:20">
      <c r="A169" s="726">
        <v>6.8999999999999977</v>
      </c>
      <c r="B169" s="631">
        <v>266.60000000000002</v>
      </c>
      <c r="C169" s="632">
        <f t="shared" si="13"/>
        <v>10.842622000000002</v>
      </c>
      <c r="D169" s="632">
        <f t="shared" si="14"/>
        <v>38.370037330873252</v>
      </c>
      <c r="E169" s="633">
        <v>919</v>
      </c>
      <c r="F169" s="725">
        <f t="shared" si="20"/>
        <v>-0.19</v>
      </c>
      <c r="G169" s="729"/>
      <c r="H169" s="726">
        <v>6.8999999999999977</v>
      </c>
      <c r="I169" s="631">
        <v>184.2</v>
      </c>
      <c r="J169" s="632">
        <f t="shared" si="15"/>
        <v>7.4914139999999998</v>
      </c>
      <c r="K169" s="632">
        <f t="shared" si="16"/>
        <v>26.510730969042957</v>
      </c>
      <c r="L169" s="633">
        <v>901.4</v>
      </c>
      <c r="M169" s="725">
        <f t="shared" si="21"/>
        <v>-0.11600000000000023</v>
      </c>
      <c r="N169" s="729"/>
      <c r="O169" s="726">
        <v>6.8999999999999977</v>
      </c>
      <c r="P169" s="631"/>
      <c r="Q169" s="632" t="str">
        <f t="shared" si="17"/>
        <v/>
      </c>
      <c r="R169" s="632" t="str">
        <f t="shared" si="18"/>
        <v/>
      </c>
      <c r="S169" s="633"/>
      <c r="T169" s="725" t="str">
        <f t="shared" si="19"/>
        <v/>
      </c>
    </row>
    <row r="170" spans="1:20">
      <c r="A170" s="726">
        <v>7.1999999999999975</v>
      </c>
      <c r="B170" s="631">
        <v>266.60000000000002</v>
      </c>
      <c r="C170" s="632">
        <f t="shared" si="13"/>
        <v>10.842622000000002</v>
      </c>
      <c r="D170" s="632">
        <f t="shared" si="14"/>
        <v>38.370037330873252</v>
      </c>
      <c r="E170" s="633">
        <v>919</v>
      </c>
      <c r="F170" s="725">
        <f t="shared" si="20"/>
        <v>-0.19</v>
      </c>
      <c r="G170" s="729"/>
      <c r="H170" s="726">
        <v>7.1999999999999975</v>
      </c>
      <c r="I170" s="631">
        <v>184.4</v>
      </c>
      <c r="J170" s="632">
        <f t="shared" si="15"/>
        <v>7.4995480000000008</v>
      </c>
      <c r="K170" s="632">
        <f t="shared" si="16"/>
        <v>26.53951569322216</v>
      </c>
      <c r="L170" s="633">
        <v>901.3</v>
      </c>
      <c r="M170" s="725">
        <f t="shared" si="21"/>
        <v>-0.11700000000000045</v>
      </c>
      <c r="N170" s="729"/>
      <c r="O170" s="726">
        <v>7.1999999999999975</v>
      </c>
      <c r="P170" s="631"/>
      <c r="Q170" s="632" t="str">
        <f t="shared" si="17"/>
        <v/>
      </c>
      <c r="R170" s="632" t="str">
        <f t="shared" si="18"/>
        <v/>
      </c>
      <c r="S170" s="633"/>
      <c r="T170" s="725" t="str">
        <f t="shared" si="19"/>
        <v/>
      </c>
    </row>
    <row r="171" spans="1:20">
      <c r="A171" s="726">
        <v>7.4999999999999973</v>
      </c>
      <c r="B171" s="631">
        <v>266.60000000000002</v>
      </c>
      <c r="C171" s="632">
        <f t="shared" si="13"/>
        <v>10.842622000000002</v>
      </c>
      <c r="D171" s="632">
        <f t="shared" si="14"/>
        <v>38.370037330873252</v>
      </c>
      <c r="E171" s="633">
        <v>919</v>
      </c>
      <c r="F171" s="725">
        <f t="shared" si="20"/>
        <v>-0.19</v>
      </c>
      <c r="G171" s="729"/>
      <c r="H171" s="726">
        <v>7.4999999999999973</v>
      </c>
      <c r="I171" s="631">
        <v>184.60000000000002</v>
      </c>
      <c r="J171" s="632">
        <f t="shared" si="15"/>
        <v>7.5076820000000009</v>
      </c>
      <c r="K171" s="632">
        <f t="shared" si="16"/>
        <v>26.568300417401364</v>
      </c>
      <c r="L171" s="633">
        <v>901.2</v>
      </c>
      <c r="M171" s="725">
        <f t="shared" si="21"/>
        <v>-0.11799999999999955</v>
      </c>
      <c r="N171" s="729"/>
      <c r="O171" s="726">
        <v>7.4999999999999973</v>
      </c>
      <c r="P171" s="631"/>
      <c r="Q171" s="632" t="str">
        <f t="shared" si="17"/>
        <v/>
      </c>
      <c r="R171" s="632" t="str">
        <f t="shared" si="18"/>
        <v/>
      </c>
      <c r="S171" s="633"/>
      <c r="T171" s="725" t="str">
        <f t="shared" si="19"/>
        <v/>
      </c>
    </row>
    <row r="172" spans="1:20">
      <c r="A172" s="726">
        <v>7.7999999999999972</v>
      </c>
      <c r="B172" s="631">
        <v>266.60000000000002</v>
      </c>
      <c r="C172" s="632">
        <f t="shared" si="13"/>
        <v>10.842622000000002</v>
      </c>
      <c r="D172" s="632">
        <f t="shared" si="14"/>
        <v>38.370037330873252</v>
      </c>
      <c r="E172" s="633">
        <v>919</v>
      </c>
      <c r="F172" s="725">
        <f t="shared" si="20"/>
        <v>-0.19</v>
      </c>
      <c r="G172" s="729"/>
      <c r="H172" s="726">
        <v>7.7999999999999972</v>
      </c>
      <c r="I172" s="631">
        <v>184.8</v>
      </c>
      <c r="J172" s="632">
        <f t="shared" si="15"/>
        <v>7.5158160000000001</v>
      </c>
      <c r="K172" s="632">
        <f t="shared" si="16"/>
        <v>26.59708514158056</v>
      </c>
      <c r="L172" s="633">
        <v>901.1</v>
      </c>
      <c r="M172" s="725">
        <f t="shared" si="21"/>
        <v>-0.11899999999999977</v>
      </c>
      <c r="N172" s="729"/>
      <c r="O172" s="726">
        <v>7.7999999999999972</v>
      </c>
      <c r="P172" s="631"/>
      <c r="Q172" s="632" t="str">
        <f t="shared" si="17"/>
        <v/>
      </c>
      <c r="R172" s="632" t="str">
        <f t="shared" si="18"/>
        <v/>
      </c>
      <c r="S172" s="633"/>
      <c r="T172" s="725" t="str">
        <f t="shared" si="19"/>
        <v/>
      </c>
    </row>
    <row r="173" spans="1:20">
      <c r="A173" s="726">
        <v>8.0999999999999979</v>
      </c>
      <c r="B173" s="631">
        <v>265</v>
      </c>
      <c r="C173" s="632">
        <f t="shared" si="13"/>
        <v>10.77755</v>
      </c>
      <c r="D173" s="632">
        <f t="shared" si="14"/>
        <v>38.139759537439652</v>
      </c>
      <c r="E173" s="633">
        <v>919</v>
      </c>
      <c r="F173" s="725">
        <f t="shared" si="20"/>
        <v>-0.19</v>
      </c>
      <c r="G173" s="729"/>
      <c r="H173" s="726">
        <v>8.0999999999999979</v>
      </c>
      <c r="I173" s="631">
        <v>184.90000000000003</v>
      </c>
      <c r="J173" s="632">
        <f t="shared" si="15"/>
        <v>7.519883000000001</v>
      </c>
      <c r="K173" s="632">
        <f t="shared" si="16"/>
        <v>26.611477503670159</v>
      </c>
      <c r="L173" s="633">
        <v>901</v>
      </c>
      <c r="M173" s="725">
        <f t="shared" si="21"/>
        <v>-0.12</v>
      </c>
      <c r="N173" s="729"/>
      <c r="O173" s="726">
        <v>8.0999999999999979</v>
      </c>
      <c r="P173" s="631"/>
      <c r="Q173" s="632" t="str">
        <f t="shared" si="17"/>
        <v/>
      </c>
      <c r="R173" s="632" t="str">
        <f t="shared" si="18"/>
        <v/>
      </c>
      <c r="S173" s="633"/>
      <c r="T173" s="725" t="str">
        <f t="shared" si="19"/>
        <v/>
      </c>
    </row>
    <row r="174" spans="1:20">
      <c r="A174" s="726">
        <v>8.3999999999999986</v>
      </c>
      <c r="B174" s="631">
        <v>265</v>
      </c>
      <c r="C174" s="632">
        <f t="shared" si="13"/>
        <v>10.77755</v>
      </c>
      <c r="D174" s="632">
        <f t="shared" si="14"/>
        <v>38.139759537439652</v>
      </c>
      <c r="E174" s="633">
        <v>919</v>
      </c>
      <c r="F174" s="725">
        <f t="shared" si="20"/>
        <v>-0.19</v>
      </c>
      <c r="G174" s="729"/>
      <c r="H174" s="726">
        <v>8.3999999999999986</v>
      </c>
      <c r="I174" s="631">
        <v>185</v>
      </c>
      <c r="J174" s="632">
        <f t="shared" si="15"/>
        <v>7.5239500000000001</v>
      </c>
      <c r="K174" s="632">
        <f t="shared" si="16"/>
        <v>26.625869865759757</v>
      </c>
      <c r="L174" s="633">
        <v>901</v>
      </c>
      <c r="M174" s="725">
        <f t="shared" si="21"/>
        <v>-0.12</v>
      </c>
      <c r="N174" s="729"/>
      <c r="O174" s="726">
        <v>8.3999999999999986</v>
      </c>
      <c r="P174" s="631"/>
      <c r="Q174" s="632" t="str">
        <f t="shared" si="17"/>
        <v/>
      </c>
      <c r="R174" s="632" t="str">
        <f t="shared" si="18"/>
        <v/>
      </c>
      <c r="S174" s="633"/>
      <c r="T174" s="725" t="str">
        <f t="shared" si="19"/>
        <v/>
      </c>
    </row>
    <row r="175" spans="1:20">
      <c r="A175" s="726">
        <v>8.6999999999999993</v>
      </c>
      <c r="B175" s="631">
        <v>265</v>
      </c>
      <c r="C175" s="632">
        <f t="shared" si="13"/>
        <v>10.77755</v>
      </c>
      <c r="D175" s="632">
        <f t="shared" si="14"/>
        <v>38.139759537439652</v>
      </c>
      <c r="E175" s="633">
        <v>919</v>
      </c>
      <c r="F175" s="725">
        <f t="shared" si="20"/>
        <v>-0.19</v>
      </c>
      <c r="G175" s="729"/>
      <c r="H175" s="726">
        <v>8.6999999999999993</v>
      </c>
      <c r="I175" s="631">
        <v>185</v>
      </c>
      <c r="J175" s="632">
        <f t="shared" si="15"/>
        <v>7.5239500000000001</v>
      </c>
      <c r="K175" s="632">
        <f t="shared" si="16"/>
        <v>26.625869865759757</v>
      </c>
      <c r="L175" s="633">
        <v>901</v>
      </c>
      <c r="M175" s="725">
        <f t="shared" si="21"/>
        <v>-0.12</v>
      </c>
      <c r="N175" s="729"/>
      <c r="O175" s="726">
        <v>8.6999999999999993</v>
      </c>
      <c r="P175" s="631"/>
      <c r="Q175" s="632" t="str">
        <f t="shared" si="17"/>
        <v/>
      </c>
      <c r="R175" s="632" t="str">
        <f t="shared" si="18"/>
        <v/>
      </c>
      <c r="S175" s="633"/>
      <c r="T175" s="725" t="str">
        <f t="shared" si="19"/>
        <v/>
      </c>
    </row>
    <row r="176" spans="1:20">
      <c r="A176" s="726">
        <v>9</v>
      </c>
      <c r="B176" s="631"/>
      <c r="C176" s="632" t="str">
        <f t="shared" si="13"/>
        <v/>
      </c>
      <c r="D176" s="632"/>
      <c r="E176" s="633"/>
      <c r="F176" s="725" t="str">
        <f t="shared" ref="F176:F182" si="22">IF(E176="","",-($E$146-E176)/100)</f>
        <v/>
      </c>
      <c r="G176" s="729"/>
      <c r="H176" s="726">
        <v>9</v>
      </c>
      <c r="I176" s="631"/>
      <c r="J176" s="632" t="str">
        <f t="shared" ref="J176:J182" si="23">IF(I176="","",$D$133*I176)</f>
        <v/>
      </c>
      <c r="K176" s="632" t="str">
        <f t="shared" ref="K176:K182" si="24">IF(J176="","",J176/$D$131)</f>
        <v/>
      </c>
      <c r="L176" s="633"/>
      <c r="M176" s="725" t="str">
        <f t="shared" ref="M176:M182" si="25">IF(L176="","",-($L$146-L176)/100)</f>
        <v/>
      </c>
      <c r="N176" s="729"/>
      <c r="O176" s="726">
        <v>9</v>
      </c>
      <c r="P176" s="631"/>
      <c r="Q176" s="632" t="str">
        <f t="shared" si="17"/>
        <v/>
      </c>
      <c r="R176" s="632" t="str">
        <f t="shared" si="18"/>
        <v/>
      </c>
      <c r="S176" s="633"/>
      <c r="T176" s="725" t="str">
        <f t="shared" si="19"/>
        <v/>
      </c>
    </row>
    <row r="177" spans="1:20">
      <c r="A177" s="726">
        <v>9.3000000000000007</v>
      </c>
      <c r="B177" s="631"/>
      <c r="C177" s="632" t="str">
        <f t="shared" si="13"/>
        <v/>
      </c>
      <c r="D177" s="632"/>
      <c r="E177" s="633"/>
      <c r="F177" s="725" t="str">
        <f t="shared" si="22"/>
        <v/>
      </c>
      <c r="G177" s="728"/>
      <c r="H177" s="726">
        <v>9.3000000000000007</v>
      </c>
      <c r="I177" s="631"/>
      <c r="J177" s="632" t="str">
        <f t="shared" si="23"/>
        <v/>
      </c>
      <c r="K177" s="632" t="str">
        <f t="shared" si="24"/>
        <v/>
      </c>
      <c r="L177" s="633"/>
      <c r="M177" s="725" t="str">
        <f t="shared" si="25"/>
        <v/>
      </c>
      <c r="N177" s="729"/>
      <c r="O177" s="726">
        <v>9.3000000000000007</v>
      </c>
      <c r="P177" s="631"/>
      <c r="Q177" s="632" t="str">
        <f t="shared" si="17"/>
        <v/>
      </c>
      <c r="R177" s="632" t="str">
        <f t="shared" si="18"/>
        <v/>
      </c>
      <c r="S177" s="633"/>
      <c r="T177" s="725" t="str">
        <f t="shared" si="19"/>
        <v/>
      </c>
    </row>
    <row r="178" spans="1:20">
      <c r="A178" s="726">
        <v>9.6000000000000014</v>
      </c>
      <c r="B178" s="631"/>
      <c r="C178" s="632" t="str">
        <f t="shared" si="13"/>
        <v/>
      </c>
      <c r="D178" s="632"/>
      <c r="E178" s="633"/>
      <c r="F178" s="725" t="str">
        <f t="shared" si="22"/>
        <v/>
      </c>
      <c r="G178" s="728"/>
      <c r="H178" s="726">
        <v>9.6000000000000014</v>
      </c>
      <c r="I178" s="631"/>
      <c r="J178" s="632" t="str">
        <f t="shared" si="23"/>
        <v/>
      </c>
      <c r="K178" s="632" t="str">
        <f t="shared" si="24"/>
        <v/>
      </c>
      <c r="L178" s="633"/>
      <c r="M178" s="725" t="str">
        <f t="shared" si="25"/>
        <v/>
      </c>
      <c r="N178" s="729"/>
      <c r="O178" s="726">
        <v>9.6000000000000014</v>
      </c>
      <c r="P178" s="631"/>
      <c r="Q178" s="632" t="str">
        <f t="shared" si="17"/>
        <v/>
      </c>
      <c r="R178" s="632" t="str">
        <f t="shared" si="18"/>
        <v/>
      </c>
      <c r="S178" s="633"/>
      <c r="T178" s="725" t="str">
        <f t="shared" si="19"/>
        <v/>
      </c>
    </row>
    <row r="179" spans="1:20">
      <c r="A179" s="726">
        <v>9.9000000000000021</v>
      </c>
      <c r="B179" s="631"/>
      <c r="C179" s="632" t="str">
        <f t="shared" si="13"/>
        <v/>
      </c>
      <c r="D179" s="632"/>
      <c r="E179" s="633"/>
      <c r="F179" s="725" t="str">
        <f t="shared" si="22"/>
        <v/>
      </c>
      <c r="G179" s="728"/>
      <c r="H179" s="726">
        <v>9.9000000000000021</v>
      </c>
      <c r="I179" s="631"/>
      <c r="J179" s="632" t="str">
        <f t="shared" si="23"/>
        <v/>
      </c>
      <c r="K179" s="632" t="str">
        <f t="shared" si="24"/>
        <v/>
      </c>
      <c r="L179" s="633"/>
      <c r="M179" s="725" t="str">
        <f t="shared" si="25"/>
        <v/>
      </c>
      <c r="N179" s="729"/>
      <c r="O179" s="726">
        <v>9.9000000000000021</v>
      </c>
      <c r="P179" s="631"/>
      <c r="Q179" s="632" t="str">
        <f t="shared" si="17"/>
        <v/>
      </c>
      <c r="R179" s="632" t="str">
        <f t="shared" si="18"/>
        <v/>
      </c>
      <c r="S179" s="633"/>
      <c r="T179" s="725" t="str">
        <f t="shared" si="19"/>
        <v/>
      </c>
    </row>
    <row r="180" spans="1:20">
      <c r="A180" s="726">
        <v>10.200000000000003</v>
      </c>
      <c r="B180" s="631"/>
      <c r="C180" s="632" t="str">
        <f t="shared" si="13"/>
        <v/>
      </c>
      <c r="D180" s="632"/>
      <c r="E180" s="633"/>
      <c r="F180" s="725" t="str">
        <f t="shared" si="22"/>
        <v/>
      </c>
      <c r="G180" s="728"/>
      <c r="H180" s="726">
        <v>10.200000000000003</v>
      </c>
      <c r="I180" s="631"/>
      <c r="J180" s="632" t="str">
        <f t="shared" si="23"/>
        <v/>
      </c>
      <c r="K180" s="632" t="str">
        <f t="shared" si="24"/>
        <v/>
      </c>
      <c r="L180" s="633"/>
      <c r="M180" s="725" t="str">
        <f t="shared" si="25"/>
        <v/>
      </c>
      <c r="N180" s="729"/>
      <c r="O180" s="726">
        <v>10.200000000000003</v>
      </c>
      <c r="P180" s="631"/>
      <c r="Q180" s="632" t="str">
        <f t="shared" si="17"/>
        <v/>
      </c>
      <c r="R180" s="632" t="str">
        <f t="shared" si="18"/>
        <v/>
      </c>
      <c r="S180" s="633"/>
      <c r="T180" s="725" t="str">
        <f t="shared" si="19"/>
        <v/>
      </c>
    </row>
    <row r="181" spans="1:20">
      <c r="A181" s="726">
        <v>10.500000000000004</v>
      </c>
      <c r="B181" s="631"/>
      <c r="C181" s="632" t="str">
        <f t="shared" si="13"/>
        <v/>
      </c>
      <c r="D181" s="632"/>
      <c r="E181" s="633"/>
      <c r="F181" s="725" t="str">
        <f t="shared" si="22"/>
        <v/>
      </c>
      <c r="G181" s="728"/>
      <c r="H181" s="726">
        <v>10.500000000000004</v>
      </c>
      <c r="I181" s="631"/>
      <c r="J181" s="632" t="str">
        <f t="shared" si="23"/>
        <v/>
      </c>
      <c r="K181" s="632" t="str">
        <f t="shared" si="24"/>
        <v/>
      </c>
      <c r="L181" s="633"/>
      <c r="M181" s="725" t="str">
        <f t="shared" si="25"/>
        <v/>
      </c>
      <c r="N181" s="729"/>
      <c r="O181" s="726">
        <v>10.500000000000004</v>
      </c>
      <c r="P181" s="631"/>
      <c r="Q181" s="632" t="str">
        <f t="shared" si="17"/>
        <v/>
      </c>
      <c r="R181" s="632" t="str">
        <f t="shared" si="18"/>
        <v/>
      </c>
      <c r="S181" s="633"/>
      <c r="T181" s="725" t="str">
        <f t="shared" si="19"/>
        <v/>
      </c>
    </row>
    <row r="182" spans="1:20">
      <c r="A182" s="726">
        <v>10.800000000000004</v>
      </c>
      <c r="B182" s="631"/>
      <c r="C182" s="632" t="str">
        <f t="shared" si="13"/>
        <v/>
      </c>
      <c r="D182" s="632"/>
      <c r="E182" s="633"/>
      <c r="F182" s="725" t="str">
        <f t="shared" si="22"/>
        <v/>
      </c>
      <c r="G182" s="727"/>
      <c r="H182" s="726">
        <v>10.800000000000004</v>
      </c>
      <c r="I182" s="631"/>
      <c r="J182" s="632" t="str">
        <f t="shared" si="23"/>
        <v/>
      </c>
      <c r="K182" s="632" t="str">
        <f t="shared" si="24"/>
        <v/>
      </c>
      <c r="L182" s="633"/>
      <c r="M182" s="725" t="str">
        <f t="shared" si="25"/>
        <v/>
      </c>
      <c r="N182" s="729"/>
      <c r="O182" s="726">
        <v>10.800000000000004</v>
      </c>
      <c r="P182" s="631"/>
      <c r="Q182" s="632" t="str">
        <f t="shared" si="17"/>
        <v/>
      </c>
      <c r="R182" s="632" t="str">
        <f t="shared" si="18"/>
        <v/>
      </c>
      <c r="S182" s="633"/>
      <c r="T182" s="725" t="str">
        <f t="shared" si="19"/>
        <v/>
      </c>
    </row>
    <row r="193" spans="1:20">
      <c r="A193" s="747" t="s">
        <v>440</v>
      </c>
      <c r="B193" s="727"/>
      <c r="C193" s="719" t="s">
        <v>45</v>
      </c>
      <c r="D193" s="617" t="s">
        <v>90</v>
      </c>
    </row>
    <row r="194" spans="1:20">
      <c r="A194" s="744" t="s">
        <v>649</v>
      </c>
      <c r="B194" s="743"/>
      <c r="C194" s="719" t="s">
        <v>45</v>
      </c>
      <c r="D194" s="618">
        <f>D129</f>
        <v>5.94</v>
      </c>
    </row>
    <row r="195" spans="1:20">
      <c r="A195" s="744" t="s">
        <v>651</v>
      </c>
      <c r="B195" s="743"/>
      <c r="C195" s="718" t="s">
        <v>652</v>
      </c>
      <c r="D195" s="618">
        <f>D130</f>
        <v>2.4900000000000002</v>
      </c>
      <c r="L195" t="str">
        <f>"Peak Shear Stress @ "&amp;TEXT(D200,"0.0")&amp;" kPa"</f>
        <v>Peak Shear Stress @ 70.8 kPa</v>
      </c>
    </row>
    <row r="196" spans="1:20">
      <c r="A196" s="744" t="s">
        <v>654</v>
      </c>
      <c r="B196" s="743"/>
      <c r="C196" s="718" t="s">
        <v>652</v>
      </c>
      <c r="D196" s="746">
        <f>D131</f>
        <v>27.711674638050212</v>
      </c>
      <c r="L196" t="str">
        <f>"Residual Shear Stress @"&amp;TEXT(D200,"0.0")&amp;" kPa"</f>
        <v>Residual Shear Stress @70.8 kPa</v>
      </c>
    </row>
    <row r="197" spans="1:20">
      <c r="A197" s="744" t="s">
        <v>656</v>
      </c>
      <c r="B197" s="743"/>
      <c r="C197" s="718" t="s">
        <v>657</v>
      </c>
      <c r="D197" s="746">
        <f>D132</f>
        <v>69.002069848745037</v>
      </c>
    </row>
    <row r="198" spans="1:20">
      <c r="A198" s="744" t="s">
        <v>659</v>
      </c>
      <c r="B198" s="743"/>
      <c r="C198" s="640" t="s">
        <v>204</v>
      </c>
      <c r="D198" s="745">
        <f>D133</f>
        <v>0.40670000000000001</v>
      </c>
    </row>
    <row r="199" spans="1:20">
      <c r="A199" s="744" t="s">
        <v>660</v>
      </c>
      <c r="B199" s="743"/>
      <c r="C199" s="649" t="s">
        <v>464</v>
      </c>
      <c r="D199" s="621">
        <v>20</v>
      </c>
    </row>
    <row r="200" spans="1:20">
      <c r="A200" s="744" t="s">
        <v>661</v>
      </c>
      <c r="B200" s="743"/>
      <c r="C200" s="622" t="s">
        <v>465</v>
      </c>
      <c r="D200" s="623">
        <f>(D199/D196)*98.065</f>
        <v>70.775224724491665</v>
      </c>
      <c r="P200" t="str">
        <f>"Peak Displacement @ "&amp;TEXT(D200,"0.0")&amp;" kPa"</f>
        <v>Peak Displacement @ 70.8 kPa</v>
      </c>
    </row>
    <row r="201" spans="1:20">
      <c r="A201" s="744" t="s">
        <v>662</v>
      </c>
      <c r="B201" s="743"/>
      <c r="C201" s="622" t="s">
        <v>199</v>
      </c>
      <c r="D201" s="618">
        <f>D136</f>
        <v>0.05</v>
      </c>
      <c r="P201" t="str">
        <f>"Residual Displacement @ "&amp;TEXT(D200,"0.0")&amp;" kPa"</f>
        <v>Residual Displacement @ 70.8 kPa</v>
      </c>
    </row>
    <row r="203" spans="1:20" ht="21">
      <c r="A203" s="2024" t="s">
        <v>183</v>
      </c>
      <c r="B203" s="2024"/>
      <c r="C203" s="2024"/>
      <c r="D203" s="2024"/>
      <c r="E203" s="2024"/>
      <c r="F203" s="2024"/>
      <c r="G203" s="2024"/>
      <c r="H203" s="2024"/>
      <c r="I203" s="2024"/>
      <c r="J203" s="2024"/>
      <c r="K203" s="2024"/>
      <c r="L203" s="2024"/>
      <c r="M203" s="2024"/>
      <c r="N203" s="2024"/>
      <c r="O203" s="2024"/>
      <c r="P203" s="2024"/>
      <c r="Q203" s="2024"/>
      <c r="R203" s="2024"/>
      <c r="S203" s="2024"/>
      <c r="T203" s="2024"/>
    </row>
    <row r="205" spans="1:20">
      <c r="A205" s="740" t="s">
        <v>666</v>
      </c>
      <c r="B205" s="627" t="s">
        <v>667</v>
      </c>
      <c r="C205" s="739" t="s">
        <v>666</v>
      </c>
      <c r="D205" s="627" t="s">
        <v>668</v>
      </c>
      <c r="E205" s="742" t="s">
        <v>669</v>
      </c>
      <c r="F205" s="737"/>
      <c r="G205" s="741"/>
      <c r="H205" s="740" t="s">
        <v>666</v>
      </c>
      <c r="I205" s="627" t="s">
        <v>667</v>
      </c>
      <c r="J205" s="739" t="s">
        <v>666</v>
      </c>
      <c r="K205" s="627" t="s">
        <v>668</v>
      </c>
      <c r="L205" s="738" t="s">
        <v>669</v>
      </c>
      <c r="M205" s="737"/>
      <c r="N205" s="741"/>
      <c r="O205" s="740" t="s">
        <v>666</v>
      </c>
      <c r="P205" s="627" t="s">
        <v>667</v>
      </c>
      <c r="Q205" s="739" t="s">
        <v>666</v>
      </c>
      <c r="R205" s="627" t="s">
        <v>668</v>
      </c>
      <c r="S205" s="738" t="s">
        <v>669</v>
      </c>
      <c r="T205" s="737"/>
    </row>
    <row r="206" spans="1:20">
      <c r="A206" s="736" t="s">
        <v>670</v>
      </c>
      <c r="B206" s="629" t="s">
        <v>462</v>
      </c>
      <c r="C206" s="734" t="s">
        <v>58</v>
      </c>
      <c r="D206" s="628" t="s">
        <v>177</v>
      </c>
      <c r="E206" s="629" t="s">
        <v>462</v>
      </c>
      <c r="F206" s="629" t="s">
        <v>671</v>
      </c>
      <c r="G206" s="130"/>
      <c r="H206" s="736" t="s">
        <v>670</v>
      </c>
      <c r="I206" s="629" t="s">
        <v>462</v>
      </c>
      <c r="J206" s="734" t="s">
        <v>58</v>
      </c>
      <c r="K206" s="628" t="s">
        <v>177</v>
      </c>
      <c r="L206" s="629" t="s">
        <v>462</v>
      </c>
      <c r="M206" s="629" t="s">
        <v>671</v>
      </c>
      <c r="N206" s="130"/>
      <c r="O206" s="736" t="s">
        <v>670</v>
      </c>
      <c r="P206" s="629" t="s">
        <v>462</v>
      </c>
      <c r="Q206" s="734" t="s">
        <v>58</v>
      </c>
      <c r="R206" s="628" t="s">
        <v>177</v>
      </c>
      <c r="S206" s="629" t="s">
        <v>462</v>
      </c>
      <c r="T206" s="629" t="s">
        <v>671</v>
      </c>
    </row>
    <row r="207" spans="1:20">
      <c r="A207" s="736"/>
      <c r="B207" s="735" t="s">
        <v>921</v>
      </c>
      <c r="C207" s="734"/>
      <c r="D207" s="629"/>
      <c r="E207" s="629"/>
      <c r="F207" s="629" t="s">
        <v>672</v>
      </c>
      <c r="G207" s="130"/>
      <c r="H207" s="736"/>
      <c r="I207" s="735" t="s">
        <v>921</v>
      </c>
      <c r="J207" s="734"/>
      <c r="K207" s="629"/>
      <c r="L207" s="629"/>
      <c r="M207" s="629" t="s">
        <v>672</v>
      </c>
      <c r="N207" s="130"/>
      <c r="O207" s="736"/>
      <c r="P207" s="735"/>
      <c r="Q207" s="734"/>
      <c r="R207" s="629"/>
      <c r="S207" s="629"/>
      <c r="T207" s="629" t="s">
        <v>672</v>
      </c>
    </row>
    <row r="208" spans="1:20">
      <c r="A208" s="732" t="s">
        <v>75</v>
      </c>
      <c r="B208" s="731" t="s">
        <v>673</v>
      </c>
      <c r="C208" s="639" t="s">
        <v>265</v>
      </c>
      <c r="D208" s="630" t="s">
        <v>465</v>
      </c>
      <c r="E208" s="630" t="s">
        <v>219</v>
      </c>
      <c r="F208" s="630" t="s">
        <v>217</v>
      </c>
      <c r="G208" s="733"/>
      <c r="H208" s="732" t="s">
        <v>75</v>
      </c>
      <c r="I208" s="731" t="s">
        <v>673</v>
      </c>
      <c r="J208" s="639" t="s">
        <v>265</v>
      </c>
      <c r="K208" s="630" t="s">
        <v>465</v>
      </c>
      <c r="L208" s="630" t="s">
        <v>219</v>
      </c>
      <c r="M208" s="630" t="s">
        <v>217</v>
      </c>
      <c r="N208" s="733"/>
      <c r="O208" s="732" t="s">
        <v>75</v>
      </c>
      <c r="P208" s="731" t="s">
        <v>673</v>
      </c>
      <c r="Q208" s="639" t="s">
        <v>265</v>
      </c>
      <c r="R208" s="630" t="s">
        <v>675</v>
      </c>
      <c r="S208" s="630" t="s">
        <v>219</v>
      </c>
      <c r="T208" s="630" t="s">
        <v>217</v>
      </c>
    </row>
    <row r="209" spans="1:20">
      <c r="A209" s="726">
        <v>0</v>
      </c>
      <c r="B209" s="631">
        <v>0</v>
      </c>
      <c r="C209" s="632">
        <f t="shared" ref="C209:C237" si="26">IF(B209="","",$D$72*(B209/10))</f>
        <v>0</v>
      </c>
      <c r="D209" s="632">
        <f t="shared" ref="D209:D237" si="27">IF($D$7="",NA(),(C209/$D$70)*98.0665)</f>
        <v>0</v>
      </c>
      <c r="E209" s="633">
        <v>873.3</v>
      </c>
      <c r="F209" s="725">
        <v>0</v>
      </c>
      <c r="G209" s="729"/>
      <c r="H209" s="726">
        <v>0</v>
      </c>
      <c r="I209" s="631">
        <v>0</v>
      </c>
      <c r="J209" s="632">
        <f t="shared" ref="J209:J237" si="28">IF(I209="","",$D$72*(I209/10))</f>
        <v>0</v>
      </c>
      <c r="K209" s="632">
        <f t="shared" ref="K209:K237" si="29">IF($D$7="",NA(),(J209/$D$70)*98.0665)</f>
        <v>0</v>
      </c>
      <c r="L209" s="633">
        <v>603</v>
      </c>
      <c r="M209" s="725">
        <v>0</v>
      </c>
      <c r="N209" s="729"/>
      <c r="O209" s="726">
        <v>0</v>
      </c>
      <c r="P209" s="631"/>
      <c r="Q209" s="632" t="str">
        <f t="shared" ref="Q209:Q245" si="30">IF(P209="","",$D$198*P209)</f>
        <v/>
      </c>
      <c r="R209" s="632" t="str">
        <f t="shared" ref="R209:R245" si="31">IF(Q209="","",Q209/$D$196)</f>
        <v/>
      </c>
      <c r="S209" s="633"/>
      <c r="T209" s="725">
        <v>0</v>
      </c>
    </row>
    <row r="210" spans="1:20">
      <c r="A210" s="726">
        <v>0.3</v>
      </c>
      <c r="B210" s="631">
        <v>86</v>
      </c>
      <c r="C210" s="632">
        <f t="shared" si="26"/>
        <v>3.49762</v>
      </c>
      <c r="D210" s="632">
        <f t="shared" si="27"/>
        <v>12.377431397055888</v>
      </c>
      <c r="E210" s="633">
        <v>865.1</v>
      </c>
      <c r="F210" s="725">
        <f>IF($D$7="",NA(),-($E$209-E210)/100)</f>
        <v>-8.1999999999999323E-2</v>
      </c>
      <c r="G210" s="729"/>
      <c r="H210" s="726">
        <v>0.3</v>
      </c>
      <c r="I210" s="631">
        <v>45</v>
      </c>
      <c r="J210" s="632">
        <f t="shared" si="28"/>
        <v>1.8301499999999999</v>
      </c>
      <c r="K210" s="632">
        <f t="shared" si="29"/>
        <v>6.4765629403199414</v>
      </c>
      <c r="L210" s="633">
        <v>600</v>
      </c>
      <c r="M210" s="725">
        <f>IF($D$7="",NA(),-($L$209-L210)/100)</f>
        <v>-0.03</v>
      </c>
      <c r="N210" s="729"/>
      <c r="O210" s="726">
        <v>0.3</v>
      </c>
      <c r="P210" s="631"/>
      <c r="Q210" s="632" t="str">
        <f t="shared" si="30"/>
        <v/>
      </c>
      <c r="R210" s="632" t="str">
        <f t="shared" si="31"/>
        <v/>
      </c>
      <c r="S210" s="633"/>
      <c r="T210" s="725" t="str">
        <f t="shared" ref="T210:T245" si="32">IF(S210="","",-($S$209-S210)/100)</f>
        <v/>
      </c>
    </row>
    <row r="211" spans="1:20">
      <c r="A211" s="726">
        <v>0.6</v>
      </c>
      <c r="B211" s="631">
        <v>155</v>
      </c>
      <c r="C211" s="632">
        <f t="shared" si="26"/>
        <v>6.3038499999999997</v>
      </c>
      <c r="D211" s="632">
        <f t="shared" si="27"/>
        <v>22.308161238879794</v>
      </c>
      <c r="E211" s="633">
        <v>860</v>
      </c>
      <c r="F211" s="725">
        <f t="shared" ref="F211:F237" si="33">IF($D$7="",NA(),-($E$209-E211)/100)</f>
        <v>-0.13299999999999954</v>
      </c>
      <c r="G211" s="729"/>
      <c r="H211" s="726">
        <v>0.6</v>
      </c>
      <c r="I211" s="631">
        <v>86</v>
      </c>
      <c r="J211" s="632">
        <f t="shared" si="28"/>
        <v>3.49762</v>
      </c>
      <c r="K211" s="632">
        <f t="shared" si="29"/>
        <v>12.377431397055888</v>
      </c>
      <c r="L211" s="633">
        <v>598</v>
      </c>
      <c r="M211" s="725">
        <f t="shared" ref="M211:M237" si="34">IF($D$7="",NA(),-($L$209-L211)/100)</f>
        <v>-0.05</v>
      </c>
      <c r="N211" s="729"/>
      <c r="O211" s="726">
        <v>0.6</v>
      </c>
      <c r="P211" s="631"/>
      <c r="Q211" s="632" t="str">
        <f t="shared" si="30"/>
        <v/>
      </c>
      <c r="R211" s="632" t="str">
        <f t="shared" si="31"/>
        <v/>
      </c>
      <c r="S211" s="633"/>
      <c r="T211" s="725" t="str">
        <f t="shared" si="32"/>
        <v/>
      </c>
    </row>
    <row r="212" spans="1:20">
      <c r="A212" s="726">
        <v>0.89999999999999991</v>
      </c>
      <c r="B212" s="631">
        <v>212.00000000000003</v>
      </c>
      <c r="C212" s="632">
        <f t="shared" si="26"/>
        <v>8.6220400000000019</v>
      </c>
      <c r="D212" s="632">
        <f t="shared" si="27"/>
        <v>30.511807629951726</v>
      </c>
      <c r="E212" s="633">
        <v>855</v>
      </c>
      <c r="F212" s="725">
        <f t="shared" si="33"/>
        <v>-0.18299999999999955</v>
      </c>
      <c r="G212" s="729"/>
      <c r="H212" s="726">
        <v>0.89999999999999991</v>
      </c>
      <c r="I212" s="631">
        <v>122.00000000000001</v>
      </c>
      <c r="J212" s="632">
        <f t="shared" si="28"/>
        <v>4.9617400000000007</v>
      </c>
      <c r="K212" s="632">
        <f t="shared" si="29"/>
        <v>17.558681749311841</v>
      </c>
      <c r="L212" s="633">
        <v>596</v>
      </c>
      <c r="M212" s="725">
        <f t="shared" si="34"/>
        <v>-7.0000000000000007E-2</v>
      </c>
      <c r="N212" s="729"/>
      <c r="O212" s="726">
        <v>0.89999999999999991</v>
      </c>
      <c r="P212" s="631"/>
      <c r="Q212" s="632" t="str">
        <f t="shared" si="30"/>
        <v/>
      </c>
      <c r="R212" s="632" t="str">
        <f t="shared" si="31"/>
        <v/>
      </c>
      <c r="S212" s="633"/>
      <c r="T212" s="725" t="str">
        <f t="shared" si="32"/>
        <v/>
      </c>
    </row>
    <row r="213" spans="1:20">
      <c r="A213" s="726">
        <v>1.2</v>
      </c>
      <c r="B213" s="631">
        <v>260</v>
      </c>
      <c r="C213" s="632">
        <f t="shared" si="26"/>
        <v>10.574199999999999</v>
      </c>
      <c r="D213" s="632">
        <f t="shared" si="27"/>
        <v>37.420141432959653</v>
      </c>
      <c r="E213" s="633">
        <v>850</v>
      </c>
      <c r="F213" s="725">
        <f t="shared" si="33"/>
        <v>-0.23299999999999954</v>
      </c>
      <c r="G213" s="729"/>
      <c r="H213" s="726">
        <v>1.2</v>
      </c>
      <c r="I213" s="631">
        <v>156</v>
      </c>
      <c r="J213" s="632">
        <f t="shared" si="28"/>
        <v>6.3445200000000002</v>
      </c>
      <c r="K213" s="632">
        <f t="shared" si="29"/>
        <v>22.452084859775795</v>
      </c>
      <c r="L213" s="633">
        <v>594</v>
      </c>
      <c r="M213" s="725">
        <f t="shared" si="34"/>
        <v>-0.09</v>
      </c>
      <c r="N213" s="729"/>
      <c r="O213" s="726">
        <v>1.2</v>
      </c>
      <c r="P213" s="631"/>
      <c r="Q213" s="632" t="str">
        <f t="shared" si="30"/>
        <v/>
      </c>
      <c r="R213" s="632" t="str">
        <f t="shared" si="31"/>
        <v/>
      </c>
      <c r="S213" s="633"/>
      <c r="T213" s="725" t="str">
        <f t="shared" si="32"/>
        <v/>
      </c>
    </row>
    <row r="214" spans="1:20">
      <c r="A214" s="726">
        <v>1.5</v>
      </c>
      <c r="B214" s="631">
        <v>292</v>
      </c>
      <c r="C214" s="632">
        <f t="shared" si="26"/>
        <v>11.875640000000001</v>
      </c>
      <c r="D214" s="632">
        <f t="shared" si="27"/>
        <v>42.025697301631617</v>
      </c>
      <c r="E214" s="633">
        <v>848</v>
      </c>
      <c r="F214" s="725">
        <f t="shared" si="33"/>
        <v>-0.25299999999999956</v>
      </c>
      <c r="G214" s="729"/>
      <c r="H214" s="726">
        <v>1.5</v>
      </c>
      <c r="I214" s="631">
        <v>183</v>
      </c>
      <c r="J214" s="632">
        <f t="shared" si="28"/>
        <v>7.4426100000000002</v>
      </c>
      <c r="K214" s="632">
        <f t="shared" si="29"/>
        <v>26.338022623967756</v>
      </c>
      <c r="L214" s="633">
        <v>593</v>
      </c>
      <c r="M214" s="725">
        <f t="shared" si="34"/>
        <v>-0.1</v>
      </c>
      <c r="N214" s="729"/>
      <c r="O214" s="726">
        <v>1.5</v>
      </c>
      <c r="P214" s="631"/>
      <c r="Q214" s="632" t="str">
        <f t="shared" si="30"/>
        <v/>
      </c>
      <c r="R214" s="632" t="str">
        <f t="shared" si="31"/>
        <v/>
      </c>
      <c r="S214" s="633"/>
      <c r="T214" s="725" t="str">
        <f t="shared" si="32"/>
        <v/>
      </c>
    </row>
    <row r="215" spans="1:20">
      <c r="A215" s="726">
        <v>1.8</v>
      </c>
      <c r="B215" s="631">
        <v>323.00000000000006</v>
      </c>
      <c r="C215" s="632">
        <f t="shared" si="26"/>
        <v>13.136410000000001</v>
      </c>
      <c r="D215" s="632">
        <f t="shared" si="27"/>
        <v>46.487329549407576</v>
      </c>
      <c r="E215" s="633">
        <v>846</v>
      </c>
      <c r="F215" s="725">
        <f t="shared" si="33"/>
        <v>-0.27299999999999952</v>
      </c>
      <c r="G215" s="729"/>
      <c r="H215" s="726">
        <v>1.8</v>
      </c>
      <c r="I215" s="631">
        <v>206</v>
      </c>
      <c r="J215" s="632">
        <f t="shared" si="28"/>
        <v>8.3780200000000011</v>
      </c>
      <c r="K215" s="632">
        <f t="shared" si="29"/>
        <v>29.64826590457573</v>
      </c>
      <c r="L215" s="633">
        <v>592</v>
      </c>
      <c r="M215" s="725">
        <f t="shared" si="34"/>
        <v>-0.11</v>
      </c>
      <c r="N215" s="729"/>
      <c r="O215" s="726">
        <v>1.8</v>
      </c>
      <c r="P215" s="631"/>
      <c r="Q215" s="632" t="str">
        <f t="shared" si="30"/>
        <v/>
      </c>
      <c r="R215" s="632" t="str">
        <f t="shared" si="31"/>
        <v/>
      </c>
      <c r="S215" s="633"/>
      <c r="T215" s="725" t="str">
        <f t="shared" si="32"/>
        <v/>
      </c>
    </row>
    <row r="216" spans="1:20">
      <c r="A216" s="726">
        <v>2.1</v>
      </c>
      <c r="B216" s="631">
        <v>345</v>
      </c>
      <c r="C216" s="632">
        <f t="shared" si="26"/>
        <v>14.03115</v>
      </c>
      <c r="D216" s="632">
        <f t="shared" si="27"/>
        <v>49.653649209119543</v>
      </c>
      <c r="E216" s="633">
        <v>844</v>
      </c>
      <c r="F216" s="725">
        <f t="shared" si="33"/>
        <v>-0.29299999999999954</v>
      </c>
      <c r="G216" s="729"/>
      <c r="H216" s="726">
        <v>2.1</v>
      </c>
      <c r="I216" s="631">
        <v>223</v>
      </c>
      <c r="J216" s="632">
        <f t="shared" si="28"/>
        <v>9.0694100000000013</v>
      </c>
      <c r="K216" s="632">
        <f t="shared" si="29"/>
        <v>32.094967459807712</v>
      </c>
      <c r="L216" s="633">
        <v>591</v>
      </c>
      <c r="M216" s="725">
        <f t="shared" si="34"/>
        <v>-0.12</v>
      </c>
      <c r="N216" s="729"/>
      <c r="O216" s="726">
        <v>2.1</v>
      </c>
      <c r="P216" s="631"/>
      <c r="Q216" s="632" t="str">
        <f t="shared" si="30"/>
        <v/>
      </c>
      <c r="R216" s="632" t="str">
        <f t="shared" si="31"/>
        <v/>
      </c>
      <c r="S216" s="633"/>
      <c r="T216" s="725" t="str">
        <f t="shared" si="32"/>
        <v/>
      </c>
    </row>
    <row r="217" spans="1:20">
      <c r="A217" s="726">
        <v>2.4</v>
      </c>
      <c r="B217" s="631">
        <v>355</v>
      </c>
      <c r="C217" s="632">
        <f t="shared" si="26"/>
        <v>14.437850000000001</v>
      </c>
      <c r="D217" s="632">
        <f t="shared" si="27"/>
        <v>51.09288541807954</v>
      </c>
      <c r="E217" s="633">
        <v>842</v>
      </c>
      <c r="F217" s="725">
        <f t="shared" si="33"/>
        <v>-0.31299999999999956</v>
      </c>
      <c r="G217" s="729"/>
      <c r="H217" s="726">
        <v>2.4</v>
      </c>
      <c r="I217" s="631">
        <v>242.00000000000003</v>
      </c>
      <c r="J217" s="632">
        <f t="shared" si="28"/>
        <v>9.8421400000000006</v>
      </c>
      <c r="K217" s="632">
        <f t="shared" si="29"/>
        <v>34.829516256831681</v>
      </c>
      <c r="L217" s="633">
        <v>590</v>
      </c>
      <c r="M217" s="725">
        <f t="shared" si="34"/>
        <v>-0.13</v>
      </c>
      <c r="N217" s="729"/>
      <c r="O217" s="726">
        <v>2.4</v>
      </c>
      <c r="P217" s="631"/>
      <c r="Q217" s="632" t="str">
        <f t="shared" si="30"/>
        <v/>
      </c>
      <c r="R217" s="632" t="str">
        <f t="shared" si="31"/>
        <v/>
      </c>
      <c r="S217" s="633"/>
      <c r="T217" s="725" t="str">
        <f t="shared" si="32"/>
        <v/>
      </c>
    </row>
    <row r="218" spans="1:20">
      <c r="A218" s="726">
        <v>2.6999999999999997</v>
      </c>
      <c r="B218" s="631">
        <v>365</v>
      </c>
      <c r="C218" s="632">
        <f t="shared" si="26"/>
        <v>14.84455</v>
      </c>
      <c r="D218" s="632">
        <f t="shared" si="27"/>
        <v>52.532121627039523</v>
      </c>
      <c r="E218" s="633">
        <v>840</v>
      </c>
      <c r="F218" s="725">
        <f t="shared" si="33"/>
        <v>-0.33299999999999952</v>
      </c>
      <c r="G218" s="729"/>
      <c r="H218" s="726">
        <v>2.6999999999999997</v>
      </c>
      <c r="I218" s="631">
        <v>265</v>
      </c>
      <c r="J218" s="632">
        <f t="shared" si="28"/>
        <v>10.77755</v>
      </c>
      <c r="K218" s="632">
        <f t="shared" si="29"/>
        <v>38.139759537439652</v>
      </c>
      <c r="L218" s="633">
        <v>589.5</v>
      </c>
      <c r="M218" s="725">
        <f t="shared" si="34"/>
        <v>-0.13500000000000001</v>
      </c>
      <c r="N218" s="729"/>
      <c r="O218" s="726">
        <v>2.6999999999999997</v>
      </c>
      <c r="P218" s="631"/>
      <c r="Q218" s="632" t="str">
        <f t="shared" si="30"/>
        <v/>
      </c>
      <c r="R218" s="632" t="str">
        <f t="shared" si="31"/>
        <v/>
      </c>
      <c r="S218" s="633"/>
      <c r="T218" s="725" t="str">
        <f t="shared" si="32"/>
        <v/>
      </c>
    </row>
    <row r="219" spans="1:20">
      <c r="A219" s="726">
        <v>2.9999999999999996</v>
      </c>
      <c r="B219" s="631">
        <v>370</v>
      </c>
      <c r="C219" s="632">
        <f t="shared" si="26"/>
        <v>15.0479</v>
      </c>
      <c r="D219" s="632">
        <f t="shared" si="27"/>
        <v>53.251739731519514</v>
      </c>
      <c r="E219" s="633">
        <v>839</v>
      </c>
      <c r="F219" s="725">
        <f t="shared" si="33"/>
        <v>-0.34299999999999953</v>
      </c>
      <c r="G219" s="729"/>
      <c r="H219" s="726">
        <v>2.9999999999999996</v>
      </c>
      <c r="I219" s="631">
        <v>275</v>
      </c>
      <c r="J219" s="632">
        <f t="shared" si="28"/>
        <v>11.18425</v>
      </c>
      <c r="K219" s="632">
        <f t="shared" si="29"/>
        <v>39.578995746399634</v>
      </c>
      <c r="L219" s="633">
        <v>589</v>
      </c>
      <c r="M219" s="725">
        <f t="shared" si="34"/>
        <v>-0.14000000000000001</v>
      </c>
      <c r="N219" s="729"/>
      <c r="O219" s="726">
        <v>2.9999999999999996</v>
      </c>
      <c r="P219" s="631"/>
      <c r="Q219" s="632" t="str">
        <f t="shared" si="30"/>
        <v/>
      </c>
      <c r="R219" s="632" t="str">
        <f t="shared" si="31"/>
        <v/>
      </c>
      <c r="S219" s="633"/>
      <c r="T219" s="725" t="str">
        <f t="shared" si="32"/>
        <v/>
      </c>
    </row>
    <row r="220" spans="1:20">
      <c r="A220" s="726">
        <v>3.2999999999999994</v>
      </c>
      <c r="B220" s="631">
        <v>375</v>
      </c>
      <c r="C220" s="632">
        <f t="shared" si="26"/>
        <v>15.251250000000001</v>
      </c>
      <c r="D220" s="632">
        <f t="shared" si="27"/>
        <v>53.971357835999513</v>
      </c>
      <c r="E220" s="633">
        <v>838</v>
      </c>
      <c r="F220" s="725">
        <f t="shared" si="33"/>
        <v>-0.35299999999999954</v>
      </c>
      <c r="G220" s="729"/>
      <c r="H220" s="726">
        <v>3.2999999999999994</v>
      </c>
      <c r="I220" s="631">
        <v>285</v>
      </c>
      <c r="J220" s="632">
        <f t="shared" si="28"/>
        <v>11.590949999999999</v>
      </c>
      <c r="K220" s="632">
        <f t="shared" si="29"/>
        <v>41.018231955359617</v>
      </c>
      <c r="L220" s="633">
        <v>588.5</v>
      </c>
      <c r="M220" s="725">
        <f t="shared" si="34"/>
        <v>-0.14499999999999999</v>
      </c>
      <c r="N220" s="729"/>
      <c r="O220" s="726">
        <v>3.2999999999999994</v>
      </c>
      <c r="P220" s="631"/>
      <c r="Q220" s="632" t="str">
        <f t="shared" si="30"/>
        <v/>
      </c>
      <c r="R220" s="632" t="str">
        <f t="shared" si="31"/>
        <v/>
      </c>
      <c r="S220" s="633"/>
      <c r="T220" s="725" t="str">
        <f t="shared" si="32"/>
        <v/>
      </c>
    </row>
    <row r="221" spans="1:20">
      <c r="A221" s="726">
        <v>3.5999999999999992</v>
      </c>
      <c r="B221" s="631">
        <v>380</v>
      </c>
      <c r="C221" s="632">
        <f t="shared" si="26"/>
        <v>15.454600000000001</v>
      </c>
      <c r="D221" s="632">
        <f t="shared" si="27"/>
        <v>54.690975940479504</v>
      </c>
      <c r="E221" s="633">
        <v>837</v>
      </c>
      <c r="F221" s="725">
        <f t="shared" si="33"/>
        <v>-0.36299999999999955</v>
      </c>
      <c r="G221" s="729"/>
      <c r="H221" s="726">
        <v>3.5999999999999992</v>
      </c>
      <c r="I221" s="631">
        <v>295</v>
      </c>
      <c r="J221" s="632">
        <f t="shared" si="28"/>
        <v>11.99765</v>
      </c>
      <c r="K221" s="632">
        <f t="shared" si="29"/>
        <v>42.457468164319614</v>
      </c>
      <c r="L221" s="633">
        <v>588</v>
      </c>
      <c r="M221" s="725">
        <f t="shared" si="34"/>
        <v>-0.15</v>
      </c>
      <c r="N221" s="729"/>
      <c r="O221" s="726">
        <v>3.5999999999999992</v>
      </c>
      <c r="P221" s="631"/>
      <c r="Q221" s="632" t="str">
        <f t="shared" si="30"/>
        <v/>
      </c>
      <c r="R221" s="632" t="str">
        <f t="shared" si="31"/>
        <v/>
      </c>
      <c r="S221" s="633"/>
      <c r="T221" s="725" t="str">
        <f t="shared" si="32"/>
        <v/>
      </c>
    </row>
    <row r="222" spans="1:20">
      <c r="A222" s="726">
        <v>3.899999999999999</v>
      </c>
      <c r="B222" s="631">
        <v>385</v>
      </c>
      <c r="C222" s="632">
        <f t="shared" si="26"/>
        <v>15.65795</v>
      </c>
      <c r="D222" s="632">
        <f t="shared" si="27"/>
        <v>55.410594044959495</v>
      </c>
      <c r="E222" s="633">
        <v>836</v>
      </c>
      <c r="F222" s="725">
        <f t="shared" si="33"/>
        <v>-0.37299999999999955</v>
      </c>
      <c r="G222" s="729"/>
      <c r="H222" s="726">
        <v>3.899999999999999</v>
      </c>
      <c r="I222" s="631">
        <v>300</v>
      </c>
      <c r="J222" s="632">
        <f t="shared" si="28"/>
        <v>12.201000000000001</v>
      </c>
      <c r="K222" s="632">
        <f t="shared" si="29"/>
        <v>43.177086268799606</v>
      </c>
      <c r="L222" s="633">
        <v>587.9</v>
      </c>
      <c r="M222" s="725">
        <f t="shared" si="34"/>
        <v>-0.15100000000000022</v>
      </c>
      <c r="N222" s="729"/>
      <c r="O222" s="726">
        <v>3.899999999999999</v>
      </c>
      <c r="P222" s="631"/>
      <c r="Q222" s="632" t="str">
        <f t="shared" si="30"/>
        <v/>
      </c>
      <c r="R222" s="632" t="str">
        <f t="shared" si="31"/>
        <v/>
      </c>
      <c r="S222" s="633"/>
      <c r="T222" s="725" t="str">
        <f t="shared" si="32"/>
        <v/>
      </c>
    </row>
    <row r="223" spans="1:20">
      <c r="A223" s="726">
        <v>4.1999999999999993</v>
      </c>
      <c r="B223" s="631">
        <v>387</v>
      </c>
      <c r="C223" s="632">
        <f t="shared" si="26"/>
        <v>15.739290000000002</v>
      </c>
      <c r="D223" s="632">
        <f t="shared" si="27"/>
        <v>55.698441286751496</v>
      </c>
      <c r="E223" s="633">
        <v>835</v>
      </c>
      <c r="F223" s="725">
        <f t="shared" si="33"/>
        <v>-0.38299999999999956</v>
      </c>
      <c r="G223" s="729"/>
      <c r="H223" s="726">
        <v>4.1999999999999993</v>
      </c>
      <c r="I223" s="631">
        <v>305</v>
      </c>
      <c r="J223" s="632">
        <f t="shared" si="28"/>
        <v>12.404350000000001</v>
      </c>
      <c r="K223" s="632">
        <f t="shared" si="29"/>
        <v>43.896704373279597</v>
      </c>
      <c r="L223" s="633">
        <v>587.79999999999995</v>
      </c>
      <c r="M223" s="725">
        <f t="shared" si="34"/>
        <v>-0.15200000000000047</v>
      </c>
      <c r="N223" s="729"/>
      <c r="O223" s="726">
        <v>4.1999999999999993</v>
      </c>
      <c r="P223" s="631"/>
      <c r="Q223" s="632" t="str">
        <f t="shared" si="30"/>
        <v/>
      </c>
      <c r="R223" s="632" t="str">
        <f t="shared" si="31"/>
        <v/>
      </c>
      <c r="S223" s="633"/>
      <c r="T223" s="725" t="str">
        <f t="shared" si="32"/>
        <v/>
      </c>
    </row>
    <row r="224" spans="1:20">
      <c r="A224" s="726">
        <v>4.4999999999999991</v>
      </c>
      <c r="B224" s="631">
        <v>389.00000000000006</v>
      </c>
      <c r="C224" s="632">
        <f t="shared" si="26"/>
        <v>15.820630000000003</v>
      </c>
      <c r="D224" s="632">
        <f t="shared" si="27"/>
        <v>55.986288528543504</v>
      </c>
      <c r="E224" s="633">
        <v>834</v>
      </c>
      <c r="F224" s="725">
        <f t="shared" si="33"/>
        <v>-0.39299999999999957</v>
      </c>
      <c r="G224" s="729"/>
      <c r="H224" s="726">
        <v>4.4999999999999991</v>
      </c>
      <c r="I224" s="631">
        <v>307</v>
      </c>
      <c r="J224" s="632">
        <f t="shared" si="28"/>
        <v>12.48569</v>
      </c>
      <c r="K224" s="632">
        <f t="shared" si="29"/>
        <v>44.184551615071591</v>
      </c>
      <c r="L224" s="633">
        <v>587.6</v>
      </c>
      <c r="M224" s="725">
        <f t="shared" si="34"/>
        <v>-0.15399999999999978</v>
      </c>
      <c r="N224" s="729"/>
      <c r="O224" s="726">
        <v>4.4999999999999991</v>
      </c>
      <c r="P224" s="631"/>
      <c r="Q224" s="632" t="str">
        <f t="shared" si="30"/>
        <v/>
      </c>
      <c r="R224" s="632" t="str">
        <f t="shared" si="31"/>
        <v/>
      </c>
      <c r="S224" s="633"/>
      <c r="T224" s="725" t="str">
        <f t="shared" si="32"/>
        <v/>
      </c>
    </row>
    <row r="225" spans="1:20">
      <c r="A225" s="726">
        <v>4.7999999999999989</v>
      </c>
      <c r="B225" s="631">
        <v>391</v>
      </c>
      <c r="C225" s="632">
        <f t="shared" si="26"/>
        <v>15.90197</v>
      </c>
      <c r="D225" s="632">
        <f t="shared" si="27"/>
        <v>56.274135770335491</v>
      </c>
      <c r="E225" s="633">
        <v>833</v>
      </c>
      <c r="F225" s="725">
        <f t="shared" si="33"/>
        <v>-0.40299999999999953</v>
      </c>
      <c r="G225" s="729"/>
      <c r="H225" s="726">
        <v>4.7999999999999989</v>
      </c>
      <c r="I225" s="631">
        <v>309</v>
      </c>
      <c r="J225" s="632">
        <f t="shared" si="28"/>
        <v>12.567029999999999</v>
      </c>
      <c r="K225" s="632">
        <f t="shared" si="29"/>
        <v>44.472398856863585</v>
      </c>
      <c r="L225" s="633">
        <v>587.4</v>
      </c>
      <c r="M225" s="725">
        <f t="shared" si="34"/>
        <v>-0.15600000000000022</v>
      </c>
      <c r="N225" s="729"/>
      <c r="O225" s="726">
        <v>4.7999999999999989</v>
      </c>
      <c r="P225" s="631"/>
      <c r="Q225" s="632" t="str">
        <f t="shared" si="30"/>
        <v/>
      </c>
      <c r="R225" s="632" t="str">
        <f t="shared" si="31"/>
        <v/>
      </c>
      <c r="S225" s="633"/>
      <c r="T225" s="725" t="str">
        <f t="shared" si="32"/>
        <v/>
      </c>
    </row>
    <row r="226" spans="1:20">
      <c r="A226" s="726">
        <v>5.0999999999999988</v>
      </c>
      <c r="B226" s="631">
        <v>392</v>
      </c>
      <c r="C226" s="632">
        <f t="shared" si="26"/>
        <v>15.942640000000001</v>
      </c>
      <c r="D226" s="632">
        <f t="shared" si="27"/>
        <v>56.418059391231488</v>
      </c>
      <c r="E226" s="633">
        <v>832</v>
      </c>
      <c r="F226" s="725">
        <f t="shared" si="33"/>
        <v>-0.41299999999999953</v>
      </c>
      <c r="G226" s="729"/>
      <c r="H226" s="726">
        <v>5.0999999999999988</v>
      </c>
      <c r="I226" s="631">
        <v>311</v>
      </c>
      <c r="J226" s="632">
        <f t="shared" si="28"/>
        <v>12.64837</v>
      </c>
      <c r="K226" s="632">
        <f t="shared" si="29"/>
        <v>44.760246098655593</v>
      </c>
      <c r="L226" s="633">
        <v>587.20000000000005</v>
      </c>
      <c r="M226" s="725">
        <f t="shared" si="34"/>
        <v>-0.15799999999999956</v>
      </c>
      <c r="N226" s="729"/>
      <c r="O226" s="726">
        <v>5.0999999999999988</v>
      </c>
      <c r="P226" s="631"/>
      <c r="Q226" s="632" t="str">
        <f t="shared" si="30"/>
        <v/>
      </c>
      <c r="R226" s="632" t="str">
        <f t="shared" si="31"/>
        <v/>
      </c>
      <c r="S226" s="633"/>
      <c r="T226" s="725" t="str">
        <f t="shared" si="32"/>
        <v/>
      </c>
    </row>
    <row r="227" spans="1:20">
      <c r="A227" s="726">
        <v>5.3999999999999986</v>
      </c>
      <c r="B227" s="631">
        <v>393.00000000000006</v>
      </c>
      <c r="C227" s="632">
        <f t="shared" si="26"/>
        <v>15.983310000000001</v>
      </c>
      <c r="D227" s="632">
        <f t="shared" si="27"/>
        <v>56.561983012127492</v>
      </c>
      <c r="E227" s="633">
        <v>831</v>
      </c>
      <c r="F227" s="725">
        <f t="shared" si="33"/>
        <v>-0.42299999999999954</v>
      </c>
      <c r="G227" s="729"/>
      <c r="H227" s="726">
        <v>5.3999999999999986</v>
      </c>
      <c r="I227" s="631">
        <v>312</v>
      </c>
      <c r="J227" s="632">
        <f t="shared" si="28"/>
        <v>12.68904</v>
      </c>
      <c r="K227" s="632">
        <f t="shared" si="29"/>
        <v>44.904169719551589</v>
      </c>
      <c r="L227" s="633">
        <v>587</v>
      </c>
      <c r="M227" s="725">
        <f t="shared" si="34"/>
        <v>-0.16</v>
      </c>
      <c r="N227" s="729"/>
      <c r="O227" s="726">
        <v>5.3999999999999986</v>
      </c>
      <c r="P227" s="631"/>
      <c r="Q227" s="632" t="str">
        <f t="shared" si="30"/>
        <v/>
      </c>
      <c r="R227" s="632" t="str">
        <f t="shared" si="31"/>
        <v/>
      </c>
      <c r="S227" s="633"/>
      <c r="T227" s="725" t="str">
        <f t="shared" si="32"/>
        <v/>
      </c>
    </row>
    <row r="228" spans="1:20">
      <c r="A228" s="726">
        <v>5.6999999999999984</v>
      </c>
      <c r="B228" s="631">
        <v>394.00000000000006</v>
      </c>
      <c r="C228" s="632">
        <f t="shared" si="26"/>
        <v>16.023980000000002</v>
      </c>
      <c r="D228" s="632">
        <f t="shared" si="27"/>
        <v>56.705906633023481</v>
      </c>
      <c r="E228" s="633">
        <v>830</v>
      </c>
      <c r="F228" s="725">
        <f t="shared" si="33"/>
        <v>-0.43299999999999955</v>
      </c>
      <c r="G228" s="729"/>
      <c r="H228" s="726">
        <v>5.6999999999999984</v>
      </c>
      <c r="I228" s="631">
        <v>313</v>
      </c>
      <c r="J228" s="632">
        <f t="shared" si="28"/>
        <v>12.729710000000001</v>
      </c>
      <c r="K228" s="632">
        <f t="shared" si="29"/>
        <v>45.048093340447586</v>
      </c>
      <c r="L228" s="633">
        <v>586.9</v>
      </c>
      <c r="M228" s="725">
        <f t="shared" si="34"/>
        <v>-0.16100000000000023</v>
      </c>
      <c r="N228" s="729"/>
      <c r="O228" s="726">
        <v>5.6999999999999984</v>
      </c>
      <c r="P228" s="631"/>
      <c r="Q228" s="632" t="str">
        <f t="shared" si="30"/>
        <v/>
      </c>
      <c r="R228" s="632" t="str">
        <f t="shared" si="31"/>
        <v/>
      </c>
      <c r="S228" s="633"/>
      <c r="T228" s="725" t="str">
        <f t="shared" si="32"/>
        <v/>
      </c>
    </row>
    <row r="229" spans="1:20">
      <c r="A229" s="726">
        <v>5.9999999999999982</v>
      </c>
      <c r="B229" s="631">
        <v>395</v>
      </c>
      <c r="C229" s="632">
        <f t="shared" si="26"/>
        <v>16.06465</v>
      </c>
      <c r="D229" s="632">
        <f t="shared" si="27"/>
        <v>56.849830253919478</v>
      </c>
      <c r="E229" s="633">
        <v>829.8</v>
      </c>
      <c r="F229" s="725">
        <f t="shared" si="33"/>
        <v>-0.435</v>
      </c>
      <c r="G229" s="729"/>
      <c r="H229" s="726">
        <v>5.9999999999999982</v>
      </c>
      <c r="I229" s="631">
        <v>313</v>
      </c>
      <c r="J229" s="632">
        <f t="shared" si="28"/>
        <v>12.729710000000001</v>
      </c>
      <c r="K229" s="632">
        <f t="shared" si="29"/>
        <v>45.048093340447586</v>
      </c>
      <c r="L229" s="633">
        <v>586.79999999999995</v>
      </c>
      <c r="M229" s="725">
        <f t="shared" si="34"/>
        <v>-0.16200000000000045</v>
      </c>
      <c r="N229" s="729"/>
      <c r="O229" s="726">
        <v>5.9999999999999982</v>
      </c>
      <c r="P229" s="631"/>
      <c r="Q229" s="632" t="str">
        <f t="shared" si="30"/>
        <v/>
      </c>
      <c r="R229" s="632" t="str">
        <f t="shared" si="31"/>
        <v/>
      </c>
      <c r="S229" s="633"/>
      <c r="T229" s="725" t="str">
        <f t="shared" si="32"/>
        <v/>
      </c>
    </row>
    <row r="230" spans="1:20">
      <c r="A230" s="726">
        <v>6.299999999999998</v>
      </c>
      <c r="B230" s="631">
        <v>395</v>
      </c>
      <c r="C230" s="632">
        <f t="shared" si="26"/>
        <v>16.06465</v>
      </c>
      <c r="D230" s="632">
        <f t="shared" si="27"/>
        <v>56.849830253919478</v>
      </c>
      <c r="E230" s="633">
        <v>829.6</v>
      </c>
      <c r="F230" s="725">
        <f t="shared" si="33"/>
        <v>-0.43699999999999933</v>
      </c>
      <c r="G230" s="729"/>
      <c r="H230" s="726">
        <v>6.299999999999998</v>
      </c>
      <c r="I230" s="631">
        <v>313</v>
      </c>
      <c r="J230" s="632">
        <f t="shared" si="28"/>
        <v>12.729710000000001</v>
      </c>
      <c r="K230" s="632">
        <f t="shared" si="29"/>
        <v>45.048093340447586</v>
      </c>
      <c r="L230" s="633">
        <v>586.79999999999995</v>
      </c>
      <c r="M230" s="725">
        <f t="shared" si="34"/>
        <v>-0.16200000000000045</v>
      </c>
      <c r="N230" s="729"/>
      <c r="O230" s="726">
        <v>6.299999999999998</v>
      </c>
      <c r="P230" s="631"/>
      <c r="Q230" s="632" t="str">
        <f t="shared" si="30"/>
        <v/>
      </c>
      <c r="R230" s="632" t="str">
        <f t="shared" si="31"/>
        <v/>
      </c>
      <c r="S230" s="633"/>
      <c r="T230" s="725" t="str">
        <f t="shared" si="32"/>
        <v/>
      </c>
    </row>
    <row r="231" spans="1:20">
      <c r="A231" s="726">
        <v>6.5999999999999979</v>
      </c>
      <c r="B231" s="631">
        <v>395</v>
      </c>
      <c r="C231" s="632">
        <f t="shared" si="26"/>
        <v>16.06465</v>
      </c>
      <c r="D231" s="632">
        <f t="shared" si="27"/>
        <v>56.849830253919478</v>
      </c>
      <c r="E231" s="633">
        <v>829.4</v>
      </c>
      <c r="F231" s="725">
        <f t="shared" si="33"/>
        <v>-0.43899999999999978</v>
      </c>
      <c r="G231" s="729"/>
      <c r="H231" s="726">
        <v>6.5999999999999979</v>
      </c>
      <c r="I231" s="631">
        <v>313</v>
      </c>
      <c r="J231" s="632">
        <f t="shared" si="28"/>
        <v>12.729710000000001</v>
      </c>
      <c r="K231" s="632">
        <f t="shared" si="29"/>
        <v>45.048093340447586</v>
      </c>
      <c r="L231" s="633">
        <v>586.70000000000005</v>
      </c>
      <c r="M231" s="725">
        <f t="shared" si="34"/>
        <v>-0.16299999999999953</v>
      </c>
      <c r="N231" s="729"/>
      <c r="O231" s="726">
        <v>6.5999999999999979</v>
      </c>
      <c r="P231" s="631"/>
      <c r="Q231" s="632" t="str">
        <f t="shared" si="30"/>
        <v/>
      </c>
      <c r="R231" s="632" t="str">
        <f t="shared" si="31"/>
        <v/>
      </c>
      <c r="S231" s="633"/>
      <c r="T231" s="725" t="str">
        <f t="shared" si="32"/>
        <v/>
      </c>
    </row>
    <row r="232" spans="1:20">
      <c r="A232" s="726">
        <v>6.8999999999999977</v>
      </c>
      <c r="B232" s="631">
        <v>395</v>
      </c>
      <c r="C232" s="632">
        <f t="shared" si="26"/>
        <v>16.06465</v>
      </c>
      <c r="D232" s="632">
        <f t="shared" si="27"/>
        <v>56.849830253919478</v>
      </c>
      <c r="E232" s="633">
        <v>829.2</v>
      </c>
      <c r="F232" s="725">
        <f t="shared" si="33"/>
        <v>-0.44099999999999911</v>
      </c>
      <c r="G232" s="729"/>
      <c r="H232" s="726">
        <v>6.8999999999999977</v>
      </c>
      <c r="I232" s="631">
        <v>313</v>
      </c>
      <c r="J232" s="632">
        <f t="shared" si="28"/>
        <v>12.729710000000001</v>
      </c>
      <c r="K232" s="632">
        <f t="shared" si="29"/>
        <v>45.048093340447586</v>
      </c>
      <c r="L232" s="633">
        <v>586.6</v>
      </c>
      <c r="M232" s="725">
        <f t="shared" si="34"/>
        <v>-0.16399999999999978</v>
      </c>
      <c r="N232" s="729"/>
      <c r="O232" s="726">
        <v>6.8999999999999977</v>
      </c>
      <c r="P232" s="631"/>
      <c r="Q232" s="632" t="str">
        <f t="shared" si="30"/>
        <v/>
      </c>
      <c r="R232" s="632" t="str">
        <f t="shared" si="31"/>
        <v/>
      </c>
      <c r="S232" s="633"/>
      <c r="T232" s="725" t="str">
        <f t="shared" si="32"/>
        <v/>
      </c>
    </row>
    <row r="233" spans="1:20">
      <c r="A233" s="726">
        <v>7.1999999999999975</v>
      </c>
      <c r="B233" s="631">
        <v>395</v>
      </c>
      <c r="C233" s="632">
        <f t="shared" si="26"/>
        <v>16.06465</v>
      </c>
      <c r="D233" s="632">
        <f t="shared" si="27"/>
        <v>56.849830253919478</v>
      </c>
      <c r="E233" s="633">
        <v>829</v>
      </c>
      <c r="F233" s="725">
        <f t="shared" si="33"/>
        <v>-0.44299999999999956</v>
      </c>
      <c r="G233" s="729"/>
      <c r="H233" s="726">
        <v>7.1999999999999975</v>
      </c>
      <c r="I233" s="631">
        <v>313</v>
      </c>
      <c r="J233" s="632">
        <f t="shared" si="28"/>
        <v>12.729710000000001</v>
      </c>
      <c r="K233" s="632">
        <f t="shared" si="29"/>
        <v>45.048093340447586</v>
      </c>
      <c r="L233" s="633">
        <v>586.5</v>
      </c>
      <c r="M233" s="725">
        <f t="shared" si="34"/>
        <v>-0.16500000000000001</v>
      </c>
      <c r="N233" s="729"/>
      <c r="O233" s="726">
        <v>7.1999999999999975</v>
      </c>
      <c r="P233" s="631"/>
      <c r="Q233" s="632" t="str">
        <f t="shared" si="30"/>
        <v/>
      </c>
      <c r="R233" s="632" t="str">
        <f t="shared" si="31"/>
        <v/>
      </c>
      <c r="S233" s="633"/>
      <c r="T233" s="725" t="str">
        <f t="shared" si="32"/>
        <v/>
      </c>
    </row>
    <row r="234" spans="1:20">
      <c r="A234" s="726">
        <v>7.4999999999999973</v>
      </c>
      <c r="B234" s="631">
        <v>395</v>
      </c>
      <c r="C234" s="632">
        <f t="shared" si="26"/>
        <v>16.06465</v>
      </c>
      <c r="D234" s="632">
        <f t="shared" si="27"/>
        <v>56.849830253919478</v>
      </c>
      <c r="E234" s="633">
        <v>829</v>
      </c>
      <c r="F234" s="725">
        <f t="shared" si="33"/>
        <v>-0.44299999999999956</v>
      </c>
      <c r="G234" s="729"/>
      <c r="H234" s="726">
        <v>7.4999999999999973</v>
      </c>
      <c r="I234" s="631">
        <v>313</v>
      </c>
      <c r="J234" s="632">
        <f t="shared" si="28"/>
        <v>12.729710000000001</v>
      </c>
      <c r="K234" s="632">
        <f t="shared" si="29"/>
        <v>45.048093340447586</v>
      </c>
      <c r="L234" s="633">
        <v>586.4</v>
      </c>
      <c r="M234" s="725">
        <f t="shared" si="34"/>
        <v>-0.16600000000000023</v>
      </c>
      <c r="N234" s="729"/>
      <c r="O234" s="726">
        <v>7.4999999999999973</v>
      </c>
      <c r="P234" s="631"/>
      <c r="Q234" s="632" t="str">
        <f t="shared" si="30"/>
        <v/>
      </c>
      <c r="R234" s="632" t="str">
        <f t="shared" si="31"/>
        <v/>
      </c>
      <c r="S234" s="633"/>
      <c r="T234" s="725" t="str">
        <f t="shared" si="32"/>
        <v/>
      </c>
    </row>
    <row r="235" spans="1:20">
      <c r="A235" s="726">
        <v>7.7999999999999972</v>
      </c>
      <c r="B235" s="631">
        <v>395</v>
      </c>
      <c r="C235" s="632">
        <f t="shared" si="26"/>
        <v>16.06465</v>
      </c>
      <c r="D235" s="632">
        <f t="shared" si="27"/>
        <v>56.849830253919478</v>
      </c>
      <c r="E235" s="633">
        <v>829</v>
      </c>
      <c r="F235" s="725">
        <f t="shared" si="33"/>
        <v>-0.44299999999999956</v>
      </c>
      <c r="G235" s="729"/>
      <c r="H235" s="726">
        <v>7.7999999999999972</v>
      </c>
      <c r="I235" s="631">
        <v>313</v>
      </c>
      <c r="J235" s="632">
        <f t="shared" si="28"/>
        <v>12.729710000000001</v>
      </c>
      <c r="K235" s="632">
        <f t="shared" si="29"/>
        <v>45.048093340447586</v>
      </c>
      <c r="L235" s="633">
        <v>586.29999999999995</v>
      </c>
      <c r="M235" s="725">
        <f t="shared" si="34"/>
        <v>-0.16700000000000045</v>
      </c>
      <c r="N235" s="729"/>
      <c r="O235" s="726">
        <v>7.7999999999999972</v>
      </c>
      <c r="P235" s="631"/>
      <c r="Q235" s="632" t="str">
        <f t="shared" si="30"/>
        <v/>
      </c>
      <c r="R235" s="632" t="str">
        <f t="shared" si="31"/>
        <v/>
      </c>
      <c r="S235" s="633"/>
      <c r="T235" s="725" t="str">
        <f t="shared" si="32"/>
        <v/>
      </c>
    </row>
    <row r="236" spans="1:20">
      <c r="A236" s="726">
        <v>8.0999999999999979</v>
      </c>
      <c r="B236" s="631">
        <v>395</v>
      </c>
      <c r="C236" s="632">
        <f t="shared" si="26"/>
        <v>16.06465</v>
      </c>
      <c r="D236" s="632">
        <f t="shared" si="27"/>
        <v>56.849830253919478</v>
      </c>
      <c r="E236" s="633">
        <v>829</v>
      </c>
      <c r="F236" s="725">
        <f t="shared" si="33"/>
        <v>-0.44299999999999956</v>
      </c>
      <c r="G236" s="729"/>
      <c r="H236" s="726">
        <v>8.0999999999999979</v>
      </c>
      <c r="I236" s="631">
        <v>313</v>
      </c>
      <c r="J236" s="632">
        <f t="shared" si="28"/>
        <v>12.729710000000001</v>
      </c>
      <c r="K236" s="632">
        <f t="shared" si="29"/>
        <v>45.048093340447586</v>
      </c>
      <c r="L236" s="633">
        <v>586.20000000000005</v>
      </c>
      <c r="M236" s="725">
        <f t="shared" si="34"/>
        <v>-0.16799999999999954</v>
      </c>
      <c r="N236" s="729"/>
      <c r="O236" s="726">
        <v>8.0999999999999979</v>
      </c>
      <c r="P236" s="631"/>
      <c r="Q236" s="632" t="str">
        <f t="shared" si="30"/>
        <v/>
      </c>
      <c r="R236" s="632" t="str">
        <f t="shared" si="31"/>
        <v/>
      </c>
      <c r="S236" s="633"/>
      <c r="T236" s="725" t="str">
        <f t="shared" si="32"/>
        <v/>
      </c>
    </row>
    <row r="237" spans="1:20">
      <c r="A237" s="726">
        <v>8.3999999999999986</v>
      </c>
      <c r="B237" s="631">
        <v>395</v>
      </c>
      <c r="C237" s="632">
        <f t="shared" si="26"/>
        <v>16.06465</v>
      </c>
      <c r="D237" s="632">
        <f t="shared" si="27"/>
        <v>56.849830253919478</v>
      </c>
      <c r="E237" s="633">
        <v>829</v>
      </c>
      <c r="F237" s="725">
        <f t="shared" si="33"/>
        <v>-0.44299999999999956</v>
      </c>
      <c r="G237" s="729"/>
      <c r="H237" s="726">
        <v>8.3999999999999986</v>
      </c>
      <c r="I237" s="631">
        <v>313</v>
      </c>
      <c r="J237" s="632">
        <f t="shared" si="28"/>
        <v>12.729710000000001</v>
      </c>
      <c r="K237" s="632">
        <f t="shared" si="29"/>
        <v>45.048093340447586</v>
      </c>
      <c r="L237" s="633">
        <v>586.1</v>
      </c>
      <c r="M237" s="725">
        <f t="shared" si="34"/>
        <v>-0.16899999999999976</v>
      </c>
      <c r="N237" s="729"/>
      <c r="O237" s="726">
        <v>8.3999999999999986</v>
      </c>
      <c r="P237" s="631"/>
      <c r="Q237" s="632" t="str">
        <f t="shared" si="30"/>
        <v/>
      </c>
      <c r="R237" s="632" t="str">
        <f t="shared" si="31"/>
        <v/>
      </c>
      <c r="S237" s="633"/>
      <c r="T237" s="725" t="str">
        <f t="shared" si="32"/>
        <v/>
      </c>
    </row>
    <row r="238" spans="1:20">
      <c r="A238" s="726">
        <v>8.6999999999999993</v>
      </c>
      <c r="B238" s="631"/>
      <c r="C238" s="632" t="str">
        <f t="shared" ref="C238:C245" si="35">IF(B238="","",$D$198*B238)</f>
        <v/>
      </c>
      <c r="D238" s="632" t="str">
        <f t="shared" ref="D238:D245" si="36">IF(C238="","",C238/$D$196)</f>
        <v/>
      </c>
      <c r="E238" s="633"/>
      <c r="F238" s="725" t="str">
        <f t="shared" ref="F238:F245" si="37">IF(E238="","",-($E$209-E238)/100)</f>
        <v/>
      </c>
      <c r="G238" s="727"/>
      <c r="H238" s="726">
        <v>8.6999999999999993</v>
      </c>
      <c r="I238" s="631"/>
      <c r="J238" s="632" t="str">
        <f t="shared" ref="J238:J245" si="38">IF(I238="","",$D$198*I238)</f>
        <v/>
      </c>
      <c r="K238" s="632" t="str">
        <f t="shared" ref="K238:K245" si="39">IF(J238="","",J238/$D$196)</f>
        <v/>
      </c>
      <c r="L238" s="633"/>
      <c r="M238" s="725" t="str">
        <f t="shared" ref="M238:M245" si="40">IF(L238="","",-($L$209-L238)/100)</f>
        <v/>
      </c>
      <c r="N238" s="727"/>
      <c r="O238" s="726">
        <v>8.6999999999999993</v>
      </c>
      <c r="P238" s="631"/>
      <c r="Q238" s="632" t="str">
        <f t="shared" si="30"/>
        <v/>
      </c>
      <c r="R238" s="632" t="str">
        <f t="shared" si="31"/>
        <v/>
      </c>
      <c r="S238" s="633"/>
      <c r="T238" s="725" t="str">
        <f t="shared" si="32"/>
        <v/>
      </c>
    </row>
    <row r="239" spans="1:20">
      <c r="A239" s="726">
        <v>9</v>
      </c>
      <c r="B239" s="631"/>
      <c r="C239" s="632" t="str">
        <f t="shared" si="35"/>
        <v/>
      </c>
      <c r="D239" s="632" t="str">
        <f t="shared" si="36"/>
        <v/>
      </c>
      <c r="E239" s="633"/>
      <c r="F239" s="725" t="str">
        <f t="shared" si="37"/>
        <v/>
      </c>
      <c r="G239" s="729"/>
      <c r="H239" s="726">
        <v>9</v>
      </c>
      <c r="I239" s="631"/>
      <c r="J239" s="632" t="str">
        <f t="shared" si="38"/>
        <v/>
      </c>
      <c r="K239" s="632" t="str">
        <f t="shared" si="39"/>
        <v/>
      </c>
      <c r="L239" s="633"/>
      <c r="M239" s="725" t="str">
        <f t="shared" si="40"/>
        <v/>
      </c>
      <c r="N239" s="729"/>
      <c r="O239" s="726">
        <v>9</v>
      </c>
      <c r="P239" s="631"/>
      <c r="Q239" s="632" t="str">
        <f t="shared" si="30"/>
        <v/>
      </c>
      <c r="R239" s="632" t="str">
        <f t="shared" si="31"/>
        <v/>
      </c>
      <c r="S239" s="633"/>
      <c r="T239" s="725" t="str">
        <f t="shared" si="32"/>
        <v/>
      </c>
    </row>
    <row r="240" spans="1:20">
      <c r="A240" s="726">
        <v>9.3000000000000007</v>
      </c>
      <c r="B240" s="631"/>
      <c r="C240" s="632" t="str">
        <f t="shared" si="35"/>
        <v/>
      </c>
      <c r="D240" s="632" t="str">
        <f t="shared" si="36"/>
        <v/>
      </c>
      <c r="E240" s="633"/>
      <c r="F240" s="725" t="str">
        <f t="shared" si="37"/>
        <v/>
      </c>
      <c r="G240" s="728"/>
      <c r="H240" s="726">
        <v>9.3000000000000007</v>
      </c>
      <c r="I240" s="631"/>
      <c r="J240" s="632" t="str">
        <f t="shared" si="38"/>
        <v/>
      </c>
      <c r="K240" s="632" t="str">
        <f t="shared" si="39"/>
        <v/>
      </c>
      <c r="L240" s="633"/>
      <c r="M240" s="725" t="str">
        <f t="shared" si="40"/>
        <v/>
      </c>
      <c r="N240" s="728"/>
      <c r="O240" s="726">
        <v>9.3000000000000007</v>
      </c>
      <c r="P240" s="631"/>
      <c r="Q240" s="632" t="str">
        <f t="shared" si="30"/>
        <v/>
      </c>
      <c r="R240" s="632" t="str">
        <f t="shared" si="31"/>
        <v/>
      </c>
      <c r="S240" s="633"/>
      <c r="T240" s="725" t="str">
        <f t="shared" si="32"/>
        <v/>
      </c>
    </row>
    <row r="241" spans="1:20">
      <c r="A241" s="726">
        <v>9.6000000000000014</v>
      </c>
      <c r="B241" s="631"/>
      <c r="C241" s="632" t="str">
        <f t="shared" si="35"/>
        <v/>
      </c>
      <c r="D241" s="632" t="str">
        <f t="shared" si="36"/>
        <v/>
      </c>
      <c r="E241" s="633"/>
      <c r="F241" s="725" t="str">
        <f t="shared" si="37"/>
        <v/>
      </c>
      <c r="G241" s="728"/>
      <c r="H241" s="726">
        <v>9.6000000000000014</v>
      </c>
      <c r="I241" s="631"/>
      <c r="J241" s="632" t="str">
        <f t="shared" si="38"/>
        <v/>
      </c>
      <c r="K241" s="632" t="str">
        <f t="shared" si="39"/>
        <v/>
      </c>
      <c r="L241" s="633"/>
      <c r="M241" s="725" t="str">
        <f t="shared" si="40"/>
        <v/>
      </c>
      <c r="N241" s="728"/>
      <c r="O241" s="726">
        <v>9.6000000000000014</v>
      </c>
      <c r="P241" s="631"/>
      <c r="Q241" s="632" t="str">
        <f t="shared" si="30"/>
        <v/>
      </c>
      <c r="R241" s="632" t="str">
        <f t="shared" si="31"/>
        <v/>
      </c>
      <c r="S241" s="633"/>
      <c r="T241" s="725" t="str">
        <f t="shared" si="32"/>
        <v/>
      </c>
    </row>
    <row r="242" spans="1:20">
      <c r="A242" s="726">
        <v>9.9000000000000021</v>
      </c>
      <c r="B242" s="631"/>
      <c r="C242" s="632" t="str">
        <f t="shared" si="35"/>
        <v/>
      </c>
      <c r="D242" s="632" t="str">
        <f t="shared" si="36"/>
        <v/>
      </c>
      <c r="E242" s="633"/>
      <c r="F242" s="725" t="str">
        <f t="shared" si="37"/>
        <v/>
      </c>
      <c r="G242" s="728"/>
      <c r="H242" s="726">
        <v>9.9000000000000021</v>
      </c>
      <c r="I242" s="631"/>
      <c r="J242" s="632" t="str">
        <f t="shared" si="38"/>
        <v/>
      </c>
      <c r="K242" s="632" t="str">
        <f t="shared" si="39"/>
        <v/>
      </c>
      <c r="L242" s="633"/>
      <c r="M242" s="725" t="str">
        <f t="shared" si="40"/>
        <v/>
      </c>
      <c r="N242" s="728"/>
      <c r="O242" s="726">
        <v>9.9000000000000021</v>
      </c>
      <c r="P242" s="631"/>
      <c r="Q242" s="632" t="str">
        <f t="shared" si="30"/>
        <v/>
      </c>
      <c r="R242" s="632" t="str">
        <f t="shared" si="31"/>
        <v/>
      </c>
      <c r="S242" s="633"/>
      <c r="T242" s="725" t="str">
        <f t="shared" si="32"/>
        <v/>
      </c>
    </row>
    <row r="243" spans="1:20">
      <c r="A243" s="726">
        <v>10.200000000000003</v>
      </c>
      <c r="B243" s="631"/>
      <c r="C243" s="632" t="str">
        <f t="shared" si="35"/>
        <v/>
      </c>
      <c r="D243" s="632" t="str">
        <f t="shared" si="36"/>
        <v/>
      </c>
      <c r="E243" s="633"/>
      <c r="F243" s="725" t="str">
        <f t="shared" si="37"/>
        <v/>
      </c>
      <c r="G243" s="728"/>
      <c r="H243" s="726">
        <v>10.200000000000003</v>
      </c>
      <c r="I243" s="631"/>
      <c r="J243" s="632" t="str">
        <f t="shared" si="38"/>
        <v/>
      </c>
      <c r="K243" s="632" t="str">
        <f t="shared" si="39"/>
        <v/>
      </c>
      <c r="L243" s="633"/>
      <c r="M243" s="725" t="str">
        <f t="shared" si="40"/>
        <v/>
      </c>
      <c r="N243" s="728"/>
      <c r="O243" s="726">
        <v>10.200000000000003</v>
      </c>
      <c r="P243" s="631"/>
      <c r="Q243" s="632" t="str">
        <f t="shared" si="30"/>
        <v/>
      </c>
      <c r="R243" s="632" t="str">
        <f t="shared" si="31"/>
        <v/>
      </c>
      <c r="S243" s="633"/>
      <c r="T243" s="725" t="str">
        <f t="shared" si="32"/>
        <v/>
      </c>
    </row>
    <row r="244" spans="1:20">
      <c r="A244" s="726">
        <v>10.500000000000004</v>
      </c>
      <c r="B244" s="631"/>
      <c r="C244" s="632" t="str">
        <f t="shared" si="35"/>
        <v/>
      </c>
      <c r="D244" s="632" t="str">
        <f t="shared" si="36"/>
        <v/>
      </c>
      <c r="E244" s="633"/>
      <c r="F244" s="725" t="str">
        <f t="shared" si="37"/>
        <v/>
      </c>
      <c r="G244" s="728"/>
      <c r="H244" s="726">
        <v>10.500000000000004</v>
      </c>
      <c r="I244" s="631"/>
      <c r="J244" s="632" t="str">
        <f t="shared" si="38"/>
        <v/>
      </c>
      <c r="K244" s="632" t="str">
        <f t="shared" si="39"/>
        <v/>
      </c>
      <c r="L244" s="633"/>
      <c r="M244" s="725" t="str">
        <f t="shared" si="40"/>
        <v/>
      </c>
      <c r="N244" s="728"/>
      <c r="O244" s="726">
        <v>10.500000000000004</v>
      </c>
      <c r="P244" s="631"/>
      <c r="Q244" s="632" t="str">
        <f t="shared" si="30"/>
        <v/>
      </c>
      <c r="R244" s="632" t="str">
        <f t="shared" si="31"/>
        <v/>
      </c>
      <c r="S244" s="633"/>
      <c r="T244" s="725" t="str">
        <f t="shared" si="32"/>
        <v/>
      </c>
    </row>
    <row r="245" spans="1:20">
      <c r="A245" s="726">
        <v>10.800000000000004</v>
      </c>
      <c r="B245" s="631"/>
      <c r="C245" s="632" t="str">
        <f t="shared" si="35"/>
        <v/>
      </c>
      <c r="D245" s="632" t="str">
        <f t="shared" si="36"/>
        <v/>
      </c>
      <c r="E245" s="633"/>
      <c r="F245" s="725" t="str">
        <f t="shared" si="37"/>
        <v/>
      </c>
      <c r="G245" s="727"/>
      <c r="H245" s="726">
        <v>10.800000000000004</v>
      </c>
      <c r="I245" s="631"/>
      <c r="J245" s="632" t="str">
        <f t="shared" si="38"/>
        <v/>
      </c>
      <c r="K245" s="632" t="str">
        <f t="shared" si="39"/>
        <v/>
      </c>
      <c r="L245" s="633"/>
      <c r="M245" s="725" t="str">
        <f t="shared" si="40"/>
        <v/>
      </c>
      <c r="N245" s="727"/>
      <c r="O245" s="726">
        <v>10.800000000000004</v>
      </c>
      <c r="P245" s="631"/>
      <c r="Q245" s="632" t="str">
        <f t="shared" si="30"/>
        <v/>
      </c>
      <c r="R245" s="632" t="str">
        <f t="shared" si="31"/>
        <v/>
      </c>
      <c r="S245" s="633"/>
      <c r="T245" s="725" t="str">
        <f t="shared" si="32"/>
        <v/>
      </c>
    </row>
    <row r="255" spans="1:20">
      <c r="A255" s="2023" t="s">
        <v>676</v>
      </c>
      <c r="B255" t="s">
        <v>661</v>
      </c>
      <c r="C255" s="335" t="s">
        <v>465</v>
      </c>
      <c r="D255" s="43">
        <f>IF($D$7="",NA(),$D$74)</f>
        <v>17.693806181122916</v>
      </c>
      <c r="E255" s="43">
        <f>IF($D$7="",NA(),$D$135)</f>
        <v>35.387612362245832</v>
      </c>
      <c r="F255" s="43">
        <f>IF(D7="",NA(),$D$200)</f>
        <v>70.775224724491665</v>
      </c>
      <c r="H255" s="335" t="s">
        <v>263</v>
      </c>
      <c r="I255" s="335"/>
      <c r="J255" s="335" t="s">
        <v>497</v>
      </c>
      <c r="K255" s="2">
        <f>IF(D7="","",(INTERCEPT(D256:F256,D255:F255)))</f>
        <v>21.703682031116593</v>
      </c>
      <c r="L255" s="335" t="s">
        <v>465</v>
      </c>
    </row>
    <row r="256" spans="1:20">
      <c r="A256" s="2023"/>
      <c r="B256" t="s">
        <v>470</v>
      </c>
      <c r="C256" s="335" t="s">
        <v>465</v>
      </c>
      <c r="D256" s="43">
        <f>MAX(D85:D122)</f>
        <v>30.943578492639713</v>
      </c>
      <c r="E256" s="43">
        <f>MAX(D146:D182)</f>
        <v>38.370037330873252</v>
      </c>
      <c r="F256" s="43">
        <f>MAX(D209:D245)</f>
        <v>56.849830253919478</v>
      </c>
      <c r="H256" s="335" t="s">
        <v>498</v>
      </c>
      <c r="I256" s="335"/>
      <c r="J256" s="335" t="s">
        <v>499</v>
      </c>
      <c r="K256" s="2">
        <f>IF(D7="","",(DEGREES(ATAN(SLOPE(D256:F256,D255:F255)))))</f>
        <v>26.239975707845183</v>
      </c>
      <c r="L256" s="335" t="s">
        <v>500</v>
      </c>
    </row>
    <row r="258" spans="1:13">
      <c r="A258" s="2023" t="s">
        <v>677</v>
      </c>
      <c r="B258" t="str">
        <f>B255</f>
        <v>Normal stress</v>
      </c>
      <c r="C258" s="335" t="s">
        <v>465</v>
      </c>
      <c r="D258" s="43">
        <f>IF($D$7="",NA(),$D$74)</f>
        <v>17.693806181122916</v>
      </c>
      <c r="E258" s="43">
        <f>IF($D$7="",NA(),$D$135)</f>
        <v>35.387612362245832</v>
      </c>
      <c r="F258" s="43" t="e">
        <f>IF(D10="",NA(),$D$200)</f>
        <v>#N/A</v>
      </c>
      <c r="H258" s="335" t="s">
        <v>263</v>
      </c>
      <c r="I258" s="335"/>
      <c r="J258" s="335" t="s">
        <v>497</v>
      </c>
      <c r="K258" s="2" t="e">
        <f>IF(D7="","",(INTERCEPT(D259:F259,D258:F258)))</f>
        <v>#N/A</v>
      </c>
    </row>
    <row r="259" spans="1:13">
      <c r="A259" s="2023"/>
      <c r="B259" t="s">
        <v>470</v>
      </c>
      <c r="C259" s="335" t="s">
        <v>465</v>
      </c>
      <c r="D259" s="42">
        <f>MAX(K85:K121)</f>
        <v>17.414758128415841</v>
      </c>
      <c r="E259" s="42">
        <f>MAX(K146:K182)</f>
        <v>26.625869865759757</v>
      </c>
      <c r="F259" s="42">
        <f>MAX(K209:K245)</f>
        <v>45.048093340447586</v>
      </c>
      <c r="H259" s="335" t="s">
        <v>498</v>
      </c>
      <c r="I259" s="335"/>
      <c r="J259" s="335" t="s">
        <v>499</v>
      </c>
      <c r="K259" s="2" t="e">
        <f>IF(D7="","",(DEGREES(ATAN(SLOPE(D259:F259,D258:F258)))))</f>
        <v>#N/A</v>
      </c>
    </row>
    <row r="263" spans="1:13">
      <c r="I263" s="335" t="s">
        <v>505</v>
      </c>
      <c r="J263" s="335"/>
    </row>
    <row r="264" spans="1:13">
      <c r="I264" s="335"/>
      <c r="J264" s="335"/>
    </row>
    <row r="266" spans="1:13">
      <c r="I266" s="1956" t="s">
        <v>678</v>
      </c>
      <c r="J266" s="1956"/>
      <c r="L266" s="1956" t="s">
        <v>679</v>
      </c>
      <c r="M266" s="1956"/>
    </row>
    <row r="267" spans="1:13">
      <c r="I267" s="335" t="s">
        <v>558</v>
      </c>
      <c r="J267" s="577">
        <f>K255</f>
        <v>21.703682031116593</v>
      </c>
      <c r="L267" s="335" t="s">
        <v>558</v>
      </c>
      <c r="M267" s="577" t="e">
        <f>K258</f>
        <v>#N/A</v>
      </c>
    </row>
    <row r="268" spans="1:13">
      <c r="I268" s="335" t="s">
        <v>504</v>
      </c>
      <c r="J268" s="335">
        <f>SLOPE(D256:F256,D255:F255)</f>
        <v>0.49292793969917931</v>
      </c>
      <c r="L268" s="335" t="s">
        <v>504</v>
      </c>
      <c r="M268" s="335" t="e">
        <f>SLOPE(D259:F259,D258:F258)</f>
        <v>#N/A</v>
      </c>
    </row>
    <row r="269" spans="1:13">
      <c r="I269" s="335"/>
      <c r="J269" s="335"/>
      <c r="L269" s="335"/>
      <c r="M269" s="335"/>
    </row>
    <row r="270" spans="1:13">
      <c r="I270" s="335" t="s">
        <v>502</v>
      </c>
      <c r="J270" s="335" t="s">
        <v>503</v>
      </c>
      <c r="L270" s="335" t="s">
        <v>502</v>
      </c>
      <c r="M270" s="335" t="s">
        <v>503</v>
      </c>
    </row>
    <row r="271" spans="1:13">
      <c r="I271" s="335">
        <v>0</v>
      </c>
      <c r="J271" s="2">
        <f>IF($D$7="",NA(),($J$267+($J$268*I271)))</f>
        <v>21.703682031116593</v>
      </c>
      <c r="L271" s="335">
        <v>0</v>
      </c>
      <c r="M271" s="2" t="e">
        <f>IF($D$7="",NA(),($M$267+($M$268*L271)))</f>
        <v>#N/A</v>
      </c>
    </row>
    <row r="272" spans="1:13">
      <c r="I272" s="335">
        <v>100</v>
      </c>
      <c r="J272" s="2">
        <f>IF($D$7="",NA(),($J$267+($J$268*I272)))</f>
        <v>70.996476001034523</v>
      </c>
      <c r="L272" s="335">
        <v>100</v>
      </c>
      <c r="M272" s="2" t="e">
        <f>$M$267+($M$268*L272)</f>
        <v>#N/A</v>
      </c>
    </row>
    <row r="286" spans="1:5">
      <c r="A286" t="s">
        <v>900</v>
      </c>
      <c r="C286">
        <v>1</v>
      </c>
      <c r="D286">
        <v>2</v>
      </c>
      <c r="E286">
        <v>3</v>
      </c>
    </row>
    <row r="287" spans="1:5">
      <c r="A287" t="s">
        <v>919</v>
      </c>
      <c r="C287">
        <f>IF($D$7="","",D68)</f>
        <v>5.94</v>
      </c>
      <c r="D287">
        <f>IF($D$7="","",D129)</f>
        <v>5.94</v>
      </c>
      <c r="E287">
        <f>IF($D$7="","",D194)</f>
        <v>5.94</v>
      </c>
    </row>
    <row r="288" spans="1:5">
      <c r="A288" t="s">
        <v>914</v>
      </c>
      <c r="C288">
        <f t="shared" ref="C288:C290" si="41">IF($D$7="","",D69)</f>
        <v>2.4900000000000002</v>
      </c>
      <c r="D288" s="42">
        <f t="shared" ref="D288:D290" si="42">IF($D$7="","",D130)</f>
        <v>2.4900000000000002</v>
      </c>
      <c r="E288" s="42">
        <f t="shared" ref="E288:E290" si="43">IF($D$7="","",D195)</f>
        <v>2.4900000000000002</v>
      </c>
    </row>
    <row r="289" spans="1:7">
      <c r="A289" t="s">
        <v>917</v>
      </c>
      <c r="C289" s="42">
        <f t="shared" si="41"/>
        <v>27.711674638050212</v>
      </c>
      <c r="D289" s="42">
        <f t="shared" si="42"/>
        <v>27.711674638050212</v>
      </c>
      <c r="E289" s="42">
        <f t="shared" si="43"/>
        <v>27.711674638050212</v>
      </c>
    </row>
    <row r="290" spans="1:7">
      <c r="A290" t="s">
        <v>918</v>
      </c>
      <c r="C290" s="42">
        <f t="shared" si="41"/>
        <v>69.002069848745037</v>
      </c>
      <c r="D290" s="42">
        <f t="shared" si="42"/>
        <v>69.002069848745037</v>
      </c>
      <c r="E290" s="42">
        <f t="shared" si="43"/>
        <v>69.002069848745037</v>
      </c>
    </row>
    <row r="291" spans="1:7">
      <c r="A291" t="s">
        <v>530</v>
      </c>
      <c r="C291" s="42">
        <f>IF($D$7="","",F37)</f>
        <v>20.959142736486505</v>
      </c>
      <c r="D291" s="42">
        <f>IF($D$7="","",M37)</f>
        <v>19.423427210312461</v>
      </c>
      <c r="E291" s="42">
        <f>IF($D$7="","",T37)</f>
        <v>13.846140056825842</v>
      </c>
    </row>
    <row r="292" spans="1:7">
      <c r="A292" t="s">
        <v>915</v>
      </c>
      <c r="C292" s="42">
        <f t="shared" ref="C292:C293" si="44">IF($D$7="","",F38)</f>
        <v>1.9925054465956797</v>
      </c>
      <c r="D292" s="42">
        <f t="shared" ref="D292:D293" si="45">IF($D$7="","",M38)</f>
        <v>1.9763465110384693</v>
      </c>
      <c r="E292" s="42">
        <f t="shared" ref="E292:E293" si="46">IF($D$7="","",T38)</f>
        <v>1.8407708678656414</v>
      </c>
    </row>
    <row r="293" spans="1:7">
      <c r="A293" t="s">
        <v>720</v>
      </c>
      <c r="C293" s="42">
        <f t="shared" si="44"/>
        <v>1.6472549337890223</v>
      </c>
      <c r="D293" s="42">
        <f t="shared" si="45"/>
        <v>1.6549068781605085</v>
      </c>
      <c r="E293" s="42">
        <f t="shared" si="46"/>
        <v>1.616893525724129</v>
      </c>
    </row>
    <row r="297" spans="1:7">
      <c r="A297" t="s">
        <v>900</v>
      </c>
      <c r="E297">
        <v>1</v>
      </c>
      <c r="F297">
        <v>2</v>
      </c>
      <c r="G297">
        <v>3</v>
      </c>
    </row>
    <row r="298" spans="1:7">
      <c r="A298" t="s">
        <v>905</v>
      </c>
      <c r="E298" s="42">
        <f>IF($D$7="","",D73)</f>
        <v>5</v>
      </c>
      <c r="F298" s="42">
        <f>IF($D$7="","",D134)</f>
        <v>10</v>
      </c>
      <c r="G298" s="42">
        <f>IF($D$7="","",D199)</f>
        <v>20</v>
      </c>
    </row>
    <row r="299" spans="1:7">
      <c r="A299" t="s">
        <v>906</v>
      </c>
      <c r="E299" s="42">
        <f>IF($D$7="","",D255)</f>
        <v>17.693806181122916</v>
      </c>
      <c r="F299" s="42">
        <f t="shared" ref="F299:G299" si="47">IF($D$7="","",E255)</f>
        <v>35.387612362245832</v>
      </c>
      <c r="G299" s="42">
        <f t="shared" si="47"/>
        <v>70.775224724491665</v>
      </c>
    </row>
    <row r="300" spans="1:7">
      <c r="A300" t="s">
        <v>922</v>
      </c>
      <c r="E300" s="42">
        <f>IF($D$7="","",D256)</f>
        <v>30.943578492639713</v>
      </c>
      <c r="F300" s="42">
        <f t="shared" ref="F300:G300" si="48">IF($D$7="","",E256)</f>
        <v>38.370037330873252</v>
      </c>
      <c r="G300" s="42">
        <f t="shared" si="48"/>
        <v>56.849830253919478</v>
      </c>
    </row>
    <row r="301" spans="1:7">
      <c r="A301" t="s">
        <v>923</v>
      </c>
      <c r="E301" s="42">
        <f>IF($D$7="","",D259)</f>
        <v>17.414758128415841</v>
      </c>
      <c r="F301" s="42">
        <f t="shared" ref="F301:G301" si="49">IF($D$7="","",E259)</f>
        <v>26.625869865759757</v>
      </c>
      <c r="G301" s="42">
        <f t="shared" si="49"/>
        <v>45.048093340447586</v>
      </c>
    </row>
    <row r="305" spans="1:22">
      <c r="A305" s="1566" t="s">
        <v>1719</v>
      </c>
      <c r="B305" s="862"/>
      <c r="C305" s="14"/>
      <c r="D305" s="370"/>
      <c r="E305" s="370"/>
    </row>
    <row r="306" spans="1:22">
      <c r="A306" s="1570" t="s">
        <v>1835</v>
      </c>
      <c r="B306" s="862"/>
      <c r="C306" s="14"/>
      <c r="D306" s="370"/>
      <c r="E306" s="370"/>
    </row>
    <row r="307" spans="1:22">
      <c r="A307" s="1566" t="s">
        <v>1719</v>
      </c>
      <c r="B307" s="862"/>
      <c r="C307" s="14"/>
      <c r="D307" s="370"/>
      <c r="E307" s="370"/>
    </row>
    <row r="308" spans="1:22">
      <c r="A308" s="1566"/>
      <c r="B308" s="862"/>
      <c r="C308" s="14"/>
      <c r="D308" s="370"/>
      <c r="E308" s="370"/>
    </row>
    <row r="309" spans="1:22">
      <c r="B309" t="s">
        <v>1611</v>
      </c>
      <c r="C309" s="299" t="str">
        <f>F12</f>
        <v>SLT</v>
      </c>
    </row>
    <row r="310" spans="1:22">
      <c r="B310" s="116"/>
      <c r="H310" s="116"/>
      <c r="N310" s="116"/>
    </row>
    <row r="311" spans="1:22">
      <c r="B311" s="116" t="s">
        <v>1793</v>
      </c>
      <c r="H311" s="116"/>
      <c r="N311" s="116"/>
    </row>
    <row r="312" spans="1:22">
      <c r="B312" s="1866" t="s">
        <v>124</v>
      </c>
      <c r="C312" s="1866"/>
      <c r="D312" s="1866" t="s">
        <v>1783</v>
      </c>
      <c r="E312" s="1867" t="s">
        <v>1788</v>
      </c>
      <c r="F312" s="1867"/>
      <c r="G312" s="1868" t="s">
        <v>1789</v>
      </c>
      <c r="H312" s="1868"/>
      <c r="I312" s="1868"/>
      <c r="J312" s="1868"/>
      <c r="K312" s="1868"/>
      <c r="L312" s="1868"/>
      <c r="M312" s="1868"/>
      <c r="N312" s="1868"/>
      <c r="R312" t="s">
        <v>1841</v>
      </c>
    </row>
    <row r="313" spans="1:22">
      <c r="B313" s="1866"/>
      <c r="C313" s="1866"/>
      <c r="D313" s="1866"/>
      <c r="E313" s="1581" t="s">
        <v>1598</v>
      </c>
      <c r="F313" s="1581" t="s">
        <v>1718</v>
      </c>
      <c r="G313" s="1579" t="s">
        <v>1790</v>
      </c>
      <c r="H313" s="1579" t="s">
        <v>1684</v>
      </c>
      <c r="I313" s="1580" t="s">
        <v>1794</v>
      </c>
      <c r="J313" s="1580" t="s">
        <v>438</v>
      </c>
      <c r="K313" s="1580" t="s">
        <v>1791</v>
      </c>
      <c r="L313" s="1580" t="s">
        <v>1598</v>
      </c>
      <c r="M313" s="1580" t="s">
        <v>1792</v>
      </c>
      <c r="N313" s="1580" t="s">
        <v>1718</v>
      </c>
      <c r="R313" t="s">
        <v>575</v>
      </c>
      <c r="S313" t="s">
        <v>1836</v>
      </c>
      <c r="T313" t="s">
        <v>1607</v>
      </c>
      <c r="U313" t="s">
        <v>1608</v>
      </c>
      <c r="V313" t="s">
        <v>1715</v>
      </c>
    </row>
    <row r="314" spans="1:22" ht="110.25" customHeight="1">
      <c r="B314" s="5" t="s">
        <v>1784</v>
      </c>
      <c r="C314" s="326"/>
      <c r="D314" s="1582">
        <f>K255</f>
        <v>21.703682031116593</v>
      </c>
      <c r="E314" s="3" t="str">
        <f>IF(D314="","CHECK",
IFERROR(
IF(AND(
D314&gt;=INDEX($T$314:$T$317,MATCH(B314,$R$314:$R$317,0)),
D314&lt;=INDEX($U$314:$U$317,MATCH(B314,$R$314:$R$317,0))
),
"PASS",
"REVIEW"),
"CHECK"))</f>
        <v>PASS</v>
      </c>
      <c r="F314" s="5" t="str">
        <f>IFERROR(
INDEX($V$314:$V$317,
MATCH(B314,$R$314:$R$317,0)),
"")</f>
        <v>ASTM D3080 / SNI</v>
      </c>
      <c r="G314" s="1569" t="str" cm="1">
        <f t="array" ref="G314">IFERROR(
INDEX($R$322:$R$341,
MATCH(1,
($Q$322:$Q$341=$B314)*
($U$322:$U$341&gt;=D314)*
($T$322:$T$341&lt;=D314),
0)),
"")</f>
        <v>Sedang</v>
      </c>
      <c r="H314" s="1569" cm="1">
        <f t="array" ref="H314">IFERROR(
INDEX($S$322:$S$341,
MATCH(1,
($Q$322:$Q$341=$B314)*
($U$322:$U$341&gt;=D314)*
($T$322:$T$341&lt;=D314),
0)),
"")</f>
        <v>3</v>
      </c>
      <c r="I314" s="1569" t="str" cm="1">
        <f t="array" ref="I314">IFERROR(
INDEX($S$345:$S$392,
MATCH(1,
($Q$345:$Q$392=$C$309)*
($R$345:$R$392=$B314),
0)),
"")</f>
        <v>Rendah</v>
      </c>
      <c r="J314" s="1569" cm="1">
        <f t="array" ref="J314">IFERROR(
INDEX($T$345:$T$392,
MATCH(1,
($Q$345:$Q$392=$C$309)*
($R$345:$R$392=$B314),
0)),
"")</f>
        <v>2</v>
      </c>
      <c r="K314" s="1569" cm="1">
        <f t="array" ref="K314">IFERROR(
INDEX($U$345:$U$392,
MATCH(1,
($Q$345:$Q$392=$C$309)*
($R$345:$R$392=$B314),
0)),
"")</f>
        <v>3</v>
      </c>
      <c r="L314" s="3" t="str">
        <f>IF(AND(H314&gt;=J314,H314&lt;=K314),"PASS","REVIEW")</f>
        <v>PASS</v>
      </c>
      <c r="M314" s="1569" t="str" cm="1">
        <f t="array" ref="M314">IFERROR(
INDEX($V$345:$V$392,
MATCH(1,
($Q$345:$Q$392=$C$309)*
($R$345:$R$392=$B314),
0)),
"")</f>
        <v>Lanau memiliki kohesi rendah.</v>
      </c>
      <c r="N314" s="1569" t="str" cm="1">
        <f t="array" ref="N314">IFERROR(
INDEX($W$345:$W$392,
MATCH(1,
($Q$345:$Q$392=$C$309)*
($R$345:$R$392=$B314),
0)),
"")</f>
        <v>Das (2016)</v>
      </c>
      <c r="R314" s="5" t="s">
        <v>1784</v>
      </c>
      <c r="S314" t="s">
        <v>465</v>
      </c>
      <c r="T314">
        <v>0</v>
      </c>
      <c r="U314">
        <v>300</v>
      </c>
      <c r="V314" t="s">
        <v>1837</v>
      </c>
    </row>
    <row r="315" spans="1:22" ht="110.25" customHeight="1">
      <c r="B315" s="326" t="s">
        <v>1785</v>
      </c>
      <c r="C315" s="326"/>
      <c r="D315" s="1582">
        <f>K256</f>
        <v>26.239975707845183</v>
      </c>
      <c r="E315" s="3" t="str">
        <f>IF(D315="","CHECK",
IFERROR(
IF(AND(
D315&gt;=INDEX($T$314:$T$317,MATCH(B315,$R$314:$R$317,0)),
D315&lt;=INDEX($U$314:$U$317,MATCH(B315,$R$314:$R$317,0))
),
"PASS",
"REVIEW"),
"CHECK"))</f>
        <v>PASS</v>
      </c>
      <c r="F315" s="5" t="str">
        <f t="shared" ref="F315:F317" si="50">IFERROR(
INDEX($V$314:$V$317,
MATCH(B315,$R$314:$R$317,0)),
"")</f>
        <v>ASTM D3080 / SNI</v>
      </c>
      <c r="G315" s="1569" t="str" cm="1">
        <f t="array" ref="G315">IFERROR(
INDEX($R$322:$R$341,
MATCH(1,
($Q$322:$Q$341=$B315)*
($U$322:$U$341&gt;=D315)*
($T$322:$T$341&lt;=D315),
0)),
"")</f>
        <v>Sedang</v>
      </c>
      <c r="H315" s="1569" cm="1">
        <f t="array" ref="H315">IFERROR(
INDEX($S$322:$S$341,
MATCH(1,
($Q$322:$Q$341=$B315)*
($U$322:$U$341&gt;=D315)*
($T$322:$T$341&lt;=D315),
0)),
"")</f>
        <v>3</v>
      </c>
      <c r="I315" s="1569" t="str" cm="1">
        <f t="array" ref="I315">IFERROR(
INDEX($S$345:$S$392,
MATCH(1,
($Q$345:$Q$392=$C$309)*
($R$345:$R$392=$B315),
0)),
"")</f>
        <v>Sedang</v>
      </c>
      <c r="J315" s="1569" cm="1">
        <f t="array" ref="J315">IFERROR(
INDEX($T$345:$T$392,
MATCH(1,
($Q$345:$Q$392=$C$309)*
($R$345:$R$392=$B315),
0)),
"")</f>
        <v>3</v>
      </c>
      <c r="K315" s="1569" cm="1">
        <f t="array" ref="K315">IFERROR(
INDEX($U$345:$U$392,
MATCH(1,
($Q$345:$Q$392=$C$309)*
($R$345:$R$392=$B315),
0)),
"")</f>
        <v>4</v>
      </c>
      <c r="L315" s="3" t="str">
        <f>IF(AND(H315&gt;=J315,H315&lt;=K315),"PASS","REVIEW")</f>
        <v>PASS</v>
      </c>
      <c r="M315" s="1569" t="str" cm="1">
        <f t="array" ref="M315">IFERROR(
INDEX($V$345:$V$392,
MATCH(1,
($Q$345:$Q$392=$C$309)*
($R$345:$R$392=$B315),
0)),
"")</f>
        <v>Sudut geser umumnya sedang.</v>
      </c>
      <c r="N315" s="1569" t="str" cm="1">
        <f t="array" ref="N315">IFERROR(
INDEX($W$345:$W$392,
MATCH(1,
($Q$345:$Q$392=$C$309)*
($R$345:$R$392=$B315),
0)),
"")</f>
        <v>Das (2016)</v>
      </c>
      <c r="R315" s="5" t="s">
        <v>1785</v>
      </c>
      <c r="S315" t="s">
        <v>1452</v>
      </c>
      <c r="T315">
        <v>0</v>
      </c>
      <c r="U315">
        <v>50</v>
      </c>
      <c r="V315" t="s">
        <v>1837</v>
      </c>
    </row>
    <row r="316" spans="1:22" ht="47.25">
      <c r="B316" t="s">
        <v>1838</v>
      </c>
      <c r="D316" s="42" t="e">
        <f>K258</f>
        <v>#N/A</v>
      </c>
      <c r="E316" s="3" t="e">
        <f t="shared" ref="E316:E317" si="51">IF(D316="","CHECK",
IFERROR(
IF(AND(
D316&gt;=INDEX($T$314:$T$317,MATCH(B316,$R$314:$R$317,0)),
D316&lt;=INDEX($U$314:$U$317,MATCH(B316,$R$314:$R$317,0))
),
"PASS",
"REVIEW"),
"CHECK"))</f>
        <v>#N/A</v>
      </c>
      <c r="F316" s="5" t="str">
        <f t="shared" si="50"/>
        <v>ASTM D3080 / Das (2016)</v>
      </c>
      <c r="G316" s="1569" t="str" cm="1">
        <f t="array" ref="G316">IFERROR(
INDEX($R$322:$R$341,
MATCH(1,
($Q$322:$Q$341=$B316)*
($U$322:$U$341&gt;=D316)*
($T$322:$T$341&lt;=D316),
0)),
"")</f>
        <v/>
      </c>
      <c r="H316" s="1569" t="str" cm="1">
        <f t="array" ref="H316">IFERROR(
INDEX($S$322:$S$341,
MATCH(1,
($Q$322:$Q$341=$B316)*
($U$322:$U$341&gt;=D316)*
($T$322:$T$341&lt;=D316),
0)),
"")</f>
        <v/>
      </c>
      <c r="I316" s="1569" t="str" cm="1">
        <f t="array" ref="I316">IFERROR(
INDEX($S$345:$S$392,
MATCH(1,
($Q$345:$Q$392=$C$309)*
($R$345:$R$392=$B316),
0)),
"")</f>
        <v>Sangat Rendah</v>
      </c>
      <c r="J316" s="1569" cm="1">
        <f t="array" ref="J316">IFERROR(
INDEX($T$345:$T$392,
MATCH(1,
($Q$345:$Q$392=$C$309)*
($R$345:$R$392=$B316),
0)),
"")</f>
        <v>1</v>
      </c>
      <c r="K316" s="1569" cm="1">
        <f t="array" ref="K316">IFERROR(
INDEX($U$345:$U$392,
MATCH(1,
($Q$345:$Q$392=$C$309)*
($R$345:$R$392=$B316),
0)),
"")</f>
        <v>2</v>
      </c>
      <c r="L316" s="3" t="str">
        <f t="shared" ref="L316:L317" si="52">IF(AND(H316&gt;=J316,H316&lt;=K316),"PASS","REVIEW")</f>
        <v>REVIEW</v>
      </c>
      <c r="M316" s="1569" t="str" cm="1">
        <f t="array" ref="M316">IFERROR(
INDEX($V$345:$V$392,
MATCH(1,
($Q$345:$Q$392=$C$309)*
($R$345:$R$392=$B316),
0)),
"")</f>
        <v>Kohesi residual kecil.</v>
      </c>
      <c r="N316" s="1569" t="str" cm="1">
        <f t="array" ref="N316">IFERROR(
INDEX($W$345:$W$392,
MATCH(1,
($Q$345:$Q$392=$C$309)*
($R$345:$R$392=$B316),
0)),
"")</f>
        <v>Head (2006)</v>
      </c>
      <c r="R316" t="s">
        <v>1838</v>
      </c>
      <c r="S316" t="s">
        <v>465</v>
      </c>
      <c r="T316">
        <v>0</v>
      </c>
      <c r="U316">
        <v>200</v>
      </c>
      <c r="V316" t="s">
        <v>1839</v>
      </c>
    </row>
    <row r="317" spans="1:22" ht="94.5">
      <c r="B317" t="s">
        <v>1840</v>
      </c>
      <c r="D317" s="42" t="e">
        <f>K259</f>
        <v>#N/A</v>
      </c>
      <c r="E317" s="3" t="e">
        <f t="shared" si="51"/>
        <v>#N/A</v>
      </c>
      <c r="F317" s="5" t="str">
        <f t="shared" si="50"/>
        <v>ASTM D3080 / Das (2016)</v>
      </c>
      <c r="G317" s="1569" t="str" cm="1">
        <f t="array" ref="G317">IFERROR(
INDEX($R$322:$R$341,
MATCH(1,
($Q$322:$Q$341=$B317)*
($U$322:$U$341&gt;=D317)*
($T$322:$T$341&lt;=D317),
0)),
"")</f>
        <v/>
      </c>
      <c r="H317" s="1569" t="str" cm="1">
        <f t="array" ref="H317">IFERROR(
INDEX($S$322:$S$341,
MATCH(1,
($Q$322:$Q$341=$B317)*
($U$322:$U$341&gt;=D317)*
($T$322:$T$341&lt;=D317),
0)),
"")</f>
        <v/>
      </c>
      <c r="I317" s="1569" t="str" cm="1">
        <f t="array" ref="I317">IFERROR(
INDEX($S$345:$S$392,
MATCH(1,
($Q$345:$Q$392=$C$309)*
($R$345:$R$392=$B317),
0)),
"")</f>
        <v>Sedang</v>
      </c>
      <c r="J317" s="1569" cm="1">
        <f t="array" ref="J317">IFERROR(
INDEX($T$345:$T$392,
MATCH(1,
($Q$345:$Q$392=$C$309)*
($R$345:$R$392=$B317),
0)),
"")</f>
        <v>3</v>
      </c>
      <c r="K317" s="1569" cm="1">
        <f t="array" ref="K317">IFERROR(
INDEX($U$345:$U$392,
MATCH(1,
($Q$345:$Q$392=$C$309)*
($R$345:$R$392=$B317),
0)),
"")</f>
        <v>4</v>
      </c>
      <c r="L317" s="3" t="str">
        <f t="shared" si="52"/>
        <v>REVIEW</v>
      </c>
      <c r="M317" s="1569" t="str" cm="1">
        <f t="array" ref="M317">IFERROR(
INDEX($V$345:$V$392,
MATCH(1,
($Q$345:$Q$392=$C$309)*
($R$345:$R$392=$B317),
0)),
"")</f>
        <v>Sudut geser residual sedikit di bawah peak.</v>
      </c>
      <c r="N317" s="1569" t="str" cm="1">
        <f t="array" ref="N317">IFERROR(
INDEX($W$345:$W$392,
MATCH(1,
($Q$345:$Q$392=$C$309)*
($R$345:$R$392=$B317),
0)),
"")</f>
        <v>Das (2016)</v>
      </c>
      <c r="R317" t="s">
        <v>1840</v>
      </c>
      <c r="S317" t="s">
        <v>1452</v>
      </c>
      <c r="T317">
        <v>0</v>
      </c>
      <c r="U317">
        <v>50</v>
      </c>
      <c r="V317" t="s">
        <v>1839</v>
      </c>
    </row>
    <row r="320" spans="1:22">
      <c r="Q320" t="s">
        <v>1797</v>
      </c>
    </row>
    <row r="321" spans="1:22">
      <c r="A321" s="116" t="s">
        <v>1795</v>
      </c>
      <c r="Q321" t="s">
        <v>575</v>
      </c>
      <c r="R321" t="s">
        <v>1667</v>
      </c>
      <c r="S321" t="s">
        <v>1611</v>
      </c>
      <c r="T321" t="s">
        <v>1607</v>
      </c>
      <c r="U321" t="s">
        <v>1608</v>
      </c>
      <c r="V321" t="s">
        <v>1836</v>
      </c>
    </row>
    <row r="322" spans="1:22">
      <c r="A322" t="s">
        <v>1831</v>
      </c>
      <c r="D322" s="1583" t="str">
        <f>IF(COUNTIF(E314:E317,"REVIEW")&gt;0,
"REVIEW",
"PASS")</f>
        <v>PASS</v>
      </c>
      <c r="Q322" t="s">
        <v>1784</v>
      </c>
      <c r="R322" t="s">
        <v>1680</v>
      </c>
      <c r="S322">
        <v>1</v>
      </c>
      <c r="T322">
        <v>0</v>
      </c>
      <c r="U322">
        <v>5</v>
      </c>
      <c r="V322" t="s">
        <v>465</v>
      </c>
    </row>
    <row r="323" spans="1:22">
      <c r="A323" t="s">
        <v>1832</v>
      </c>
      <c r="D323" s="1583" t="str">
        <f>IF(COUNTIF(L314:L317,"REVIEW")&gt;0,
"REVIEW",
"PASS")</f>
        <v>REVIEW</v>
      </c>
      <c r="Q323" t="s">
        <v>1784</v>
      </c>
      <c r="R323" t="s">
        <v>1670</v>
      </c>
      <c r="S323">
        <v>2</v>
      </c>
      <c r="T323">
        <v>5.01</v>
      </c>
      <c r="U323">
        <v>20</v>
      </c>
      <c r="V323" t="s">
        <v>465</v>
      </c>
    </row>
    <row r="324" spans="1:22">
      <c r="A324" t="s">
        <v>1605</v>
      </c>
      <c r="D324" s="1583" t="str">
        <f>IF(AND(D322="PASS",D323="PASS"),
"PASS",
IF(AND(D322="PASS",D323="REVIEW"),
"REVIEW",
IF(AND(D322="REVIEW",D323="PASS"),
"REVIEW",
"RE-ANALYZE")))</f>
        <v>REVIEW</v>
      </c>
      <c r="Q324" t="s">
        <v>1784</v>
      </c>
      <c r="R324" t="s">
        <v>1672</v>
      </c>
      <c r="S324">
        <v>3</v>
      </c>
      <c r="T324">
        <v>20.010000000000002</v>
      </c>
      <c r="U324">
        <v>50</v>
      </c>
      <c r="V324" t="s">
        <v>465</v>
      </c>
    </row>
    <row r="325" spans="1:22">
      <c r="Q325" t="s">
        <v>1784</v>
      </c>
      <c r="R325" t="s">
        <v>338</v>
      </c>
      <c r="S325">
        <v>4</v>
      </c>
      <c r="T325">
        <v>50.01</v>
      </c>
      <c r="U325">
        <v>100</v>
      </c>
      <c r="V325" t="s">
        <v>465</v>
      </c>
    </row>
    <row r="326" spans="1:22">
      <c r="A326" s="116" t="s">
        <v>1833</v>
      </c>
      <c r="Q326" t="s">
        <v>1784</v>
      </c>
      <c r="R326" t="s">
        <v>1681</v>
      </c>
      <c r="S326">
        <v>5</v>
      </c>
      <c r="T326">
        <v>100.01</v>
      </c>
      <c r="U326">
        <v>300</v>
      </c>
      <c r="V326" t="s">
        <v>465</v>
      </c>
    </row>
    <row r="327" spans="1:22">
      <c r="B327" s="1907" t="str" cm="1">
        <f t="array" ref="B327">IFERROR(
INDEX($T$396:$T$399,
MATCH(1,
($Q$396:$Q$399=D322)*
($R$396:$R$399=D323),
0)),
"")</f>
        <v>Parameter hasil uji berada dalam rentang teoritis, namun terdapat ketidaksesuaian dengan karakteristik umum tanah. Disarankan melakukan peninjauan terhadap identifikasi contoh, kondisi spesimen, atau hasil pengujian.</v>
      </c>
      <c r="C327" s="1907"/>
      <c r="D327" s="1907"/>
      <c r="E327" s="1907"/>
      <c r="F327" s="1907"/>
      <c r="G327" s="1907"/>
      <c r="H327" s="1907"/>
      <c r="I327" s="1907"/>
      <c r="J327" s="1907"/>
      <c r="K327" s="1907"/>
      <c r="L327" s="1907"/>
      <c r="Q327" t="s">
        <v>1785</v>
      </c>
      <c r="R327" t="s">
        <v>1680</v>
      </c>
      <c r="S327">
        <v>1</v>
      </c>
      <c r="T327">
        <v>0</v>
      </c>
      <c r="U327">
        <v>10</v>
      </c>
      <c r="V327" t="s">
        <v>1452</v>
      </c>
    </row>
    <row r="328" spans="1:22">
      <c r="B328" s="1907"/>
      <c r="C328" s="1907"/>
      <c r="D328" s="1907"/>
      <c r="E328" s="1907"/>
      <c r="F328" s="1907"/>
      <c r="G328" s="1907"/>
      <c r="H328" s="1907"/>
      <c r="I328" s="1907"/>
      <c r="J328" s="1907"/>
      <c r="K328" s="1907"/>
      <c r="L328" s="1907"/>
      <c r="Q328" t="s">
        <v>1785</v>
      </c>
      <c r="R328" t="s">
        <v>1670</v>
      </c>
      <c r="S328">
        <v>2</v>
      </c>
      <c r="T328">
        <v>10.01</v>
      </c>
      <c r="U328">
        <v>20</v>
      </c>
      <c r="V328" t="s">
        <v>1452</v>
      </c>
    </row>
    <row r="329" spans="1:22">
      <c r="Q329" t="s">
        <v>1785</v>
      </c>
      <c r="R329" t="s">
        <v>1672</v>
      </c>
      <c r="S329">
        <v>3</v>
      </c>
      <c r="T329">
        <v>20.010000000000002</v>
      </c>
      <c r="U329">
        <v>30</v>
      </c>
      <c r="V329" t="s">
        <v>1452</v>
      </c>
    </row>
    <row r="330" spans="1:22">
      <c r="Q330" t="s">
        <v>1785</v>
      </c>
      <c r="R330" t="s">
        <v>338</v>
      </c>
      <c r="S330">
        <v>4</v>
      </c>
      <c r="T330">
        <v>30.01</v>
      </c>
      <c r="U330">
        <v>40</v>
      </c>
      <c r="V330" t="s">
        <v>1452</v>
      </c>
    </row>
    <row r="331" spans="1:22">
      <c r="A331" t="s">
        <v>1781</v>
      </c>
      <c r="Q331" t="s">
        <v>1785</v>
      </c>
      <c r="R331" t="s">
        <v>1681</v>
      </c>
      <c r="S331">
        <v>5</v>
      </c>
      <c r="T331">
        <v>40.01</v>
      </c>
      <c r="U331">
        <v>50</v>
      </c>
      <c r="V331" t="s">
        <v>1452</v>
      </c>
    </row>
    <row r="332" spans="1:22">
      <c r="A332" t="s">
        <v>1885</v>
      </c>
      <c r="Q332" t="s">
        <v>1838</v>
      </c>
      <c r="R332" t="s">
        <v>1680</v>
      </c>
      <c r="S332">
        <v>1</v>
      </c>
      <c r="T332">
        <v>0</v>
      </c>
      <c r="U332">
        <v>5</v>
      </c>
      <c r="V332" t="s">
        <v>465</v>
      </c>
    </row>
    <row r="333" spans="1:22">
      <c r="A333" t="s">
        <v>1886</v>
      </c>
      <c r="D333" s="1583" t="e">
        <f>IF(OR(D314="",D316=""),"CHECK",
IF(D314&gt;=D316,"PASS","REVIEW"))</f>
        <v>#N/A</v>
      </c>
      <c r="K333" s="1578"/>
      <c r="L333" s="1578"/>
      <c r="M333" s="1578"/>
      <c r="Q333" t="s">
        <v>1838</v>
      </c>
      <c r="R333" t="s">
        <v>1670</v>
      </c>
      <c r="S333">
        <v>2</v>
      </c>
      <c r="T333">
        <v>5.01</v>
      </c>
      <c r="U333">
        <v>20</v>
      </c>
      <c r="V333" t="s">
        <v>465</v>
      </c>
    </row>
    <row r="334" spans="1:22">
      <c r="K334" s="5"/>
      <c r="L334" s="5"/>
      <c r="M334" s="5"/>
      <c r="Q334" t="s">
        <v>1838</v>
      </c>
      <c r="R334" t="s">
        <v>1672</v>
      </c>
      <c r="S334">
        <v>3</v>
      </c>
      <c r="T334">
        <v>20.010000000000002</v>
      </c>
      <c r="U334">
        <v>50</v>
      </c>
      <c r="V334" t="s">
        <v>465</v>
      </c>
    </row>
    <row r="335" spans="1:22">
      <c r="K335" s="5"/>
      <c r="L335" s="5"/>
      <c r="M335" s="5"/>
      <c r="Q335" t="s">
        <v>1838</v>
      </c>
      <c r="R335" t="s">
        <v>338</v>
      </c>
      <c r="S335">
        <v>4</v>
      </c>
      <c r="T335">
        <v>50.01</v>
      </c>
      <c r="U335">
        <v>100</v>
      </c>
      <c r="V335" t="s">
        <v>465</v>
      </c>
    </row>
    <row r="336" spans="1:22">
      <c r="K336" s="5"/>
      <c r="L336" s="5"/>
      <c r="M336" s="5"/>
      <c r="Q336" t="s">
        <v>1838</v>
      </c>
      <c r="R336" t="s">
        <v>1681</v>
      </c>
      <c r="S336">
        <v>5</v>
      </c>
      <c r="T336">
        <v>100.01</v>
      </c>
      <c r="U336">
        <v>200</v>
      </c>
      <c r="V336" t="s">
        <v>465</v>
      </c>
    </row>
    <row r="337" spans="11:23">
      <c r="K337" s="5"/>
      <c r="L337" s="5"/>
      <c r="M337" s="5"/>
      <c r="Q337" t="s">
        <v>1840</v>
      </c>
      <c r="R337" t="s">
        <v>1680</v>
      </c>
      <c r="S337">
        <v>1</v>
      </c>
      <c r="T337">
        <v>0</v>
      </c>
      <c r="U337">
        <v>10</v>
      </c>
      <c r="V337" t="s">
        <v>1452</v>
      </c>
    </row>
    <row r="338" spans="11:23">
      <c r="K338" s="5"/>
      <c r="L338" s="5"/>
      <c r="M338" s="5"/>
      <c r="Q338" t="s">
        <v>1840</v>
      </c>
      <c r="R338" t="s">
        <v>1670</v>
      </c>
      <c r="S338">
        <v>2</v>
      </c>
      <c r="T338">
        <v>10.01</v>
      </c>
      <c r="U338">
        <v>20</v>
      </c>
      <c r="V338" t="s">
        <v>1452</v>
      </c>
    </row>
    <row r="339" spans="11:23">
      <c r="K339" s="5"/>
      <c r="L339" s="5"/>
      <c r="M339" s="5"/>
      <c r="Q339" t="s">
        <v>1840</v>
      </c>
      <c r="R339" t="s">
        <v>1672</v>
      </c>
      <c r="S339">
        <v>3</v>
      </c>
      <c r="T339">
        <v>20.010000000000002</v>
      </c>
      <c r="U339">
        <v>30</v>
      </c>
      <c r="V339" t="s">
        <v>1452</v>
      </c>
    </row>
    <row r="340" spans="11:23">
      <c r="K340" s="5"/>
      <c r="L340" s="5"/>
      <c r="M340" s="5"/>
      <c r="Q340" t="s">
        <v>1840</v>
      </c>
      <c r="R340" t="s">
        <v>338</v>
      </c>
      <c r="S340">
        <v>4</v>
      </c>
      <c r="T340">
        <v>30.01</v>
      </c>
      <c r="U340">
        <v>40</v>
      </c>
      <c r="V340" t="s">
        <v>1452</v>
      </c>
    </row>
    <row r="341" spans="11:23">
      <c r="K341" s="5"/>
      <c r="L341" s="5"/>
      <c r="M341" s="5"/>
      <c r="Q341" t="s">
        <v>1840</v>
      </c>
      <c r="R341" t="s">
        <v>1681</v>
      </c>
      <c r="S341">
        <v>5</v>
      </c>
      <c r="T341">
        <v>40.01</v>
      </c>
      <c r="U341">
        <v>50</v>
      </c>
      <c r="V341" t="s">
        <v>1452</v>
      </c>
    </row>
    <row r="343" spans="11:23">
      <c r="Q343" t="s">
        <v>1798</v>
      </c>
    </row>
    <row r="344" spans="11:23">
      <c r="Q344" t="s">
        <v>1611</v>
      </c>
      <c r="R344" t="s">
        <v>575</v>
      </c>
      <c r="S344" t="s">
        <v>1683</v>
      </c>
      <c r="T344" t="s">
        <v>1607</v>
      </c>
      <c r="U344" t="s">
        <v>1608</v>
      </c>
      <c r="V344" t="s">
        <v>1685</v>
      </c>
      <c r="W344" t="s">
        <v>1715</v>
      </c>
    </row>
    <row r="345" spans="11:23">
      <c r="Q345" t="s">
        <v>1612</v>
      </c>
      <c r="R345" t="s">
        <v>1784</v>
      </c>
      <c r="S345" t="s">
        <v>1771</v>
      </c>
      <c r="T345">
        <v>3</v>
      </c>
      <c r="U345">
        <v>5</v>
      </c>
      <c r="V345" t="s">
        <v>1842</v>
      </c>
      <c r="W345" t="s">
        <v>1843</v>
      </c>
    </row>
    <row r="346" spans="11:23">
      <c r="Q346" t="s">
        <v>1612</v>
      </c>
      <c r="R346" t="s">
        <v>1785</v>
      </c>
      <c r="S346" t="s">
        <v>1742</v>
      </c>
      <c r="T346">
        <v>2</v>
      </c>
      <c r="U346">
        <v>3</v>
      </c>
      <c r="V346" t="s">
        <v>1844</v>
      </c>
      <c r="W346" t="s">
        <v>1716</v>
      </c>
    </row>
    <row r="347" spans="11:23">
      <c r="Q347" t="s">
        <v>1612</v>
      </c>
      <c r="R347" t="s">
        <v>1838</v>
      </c>
      <c r="S347" t="s">
        <v>1670</v>
      </c>
      <c r="T347">
        <v>2</v>
      </c>
      <c r="U347">
        <v>2</v>
      </c>
      <c r="V347" t="s">
        <v>1845</v>
      </c>
      <c r="W347" t="s">
        <v>1846</v>
      </c>
    </row>
    <row r="348" spans="11:23">
      <c r="Q348" t="s">
        <v>1612</v>
      </c>
      <c r="R348" t="s">
        <v>1840</v>
      </c>
      <c r="S348" t="s">
        <v>1742</v>
      </c>
      <c r="T348">
        <v>2</v>
      </c>
      <c r="U348">
        <v>3</v>
      </c>
      <c r="V348" t="s">
        <v>1847</v>
      </c>
      <c r="W348" t="s">
        <v>1846</v>
      </c>
    </row>
    <row r="349" spans="11:23">
      <c r="Q349" t="s">
        <v>1614</v>
      </c>
      <c r="R349" t="s">
        <v>1784</v>
      </c>
      <c r="S349" t="s">
        <v>1672</v>
      </c>
      <c r="T349">
        <v>3</v>
      </c>
      <c r="U349">
        <v>4</v>
      </c>
      <c r="V349" t="s">
        <v>1848</v>
      </c>
      <c r="W349" t="s">
        <v>1716</v>
      </c>
    </row>
    <row r="350" spans="11:23">
      <c r="Q350" t="s">
        <v>1614</v>
      </c>
      <c r="R350" t="s">
        <v>1785</v>
      </c>
      <c r="S350" t="s">
        <v>1672</v>
      </c>
      <c r="T350">
        <v>3</v>
      </c>
      <c r="U350">
        <v>4</v>
      </c>
      <c r="V350" t="s">
        <v>1849</v>
      </c>
      <c r="W350" t="s">
        <v>1716</v>
      </c>
    </row>
    <row r="351" spans="11:23">
      <c r="Q351" t="s">
        <v>1614</v>
      </c>
      <c r="R351" t="s">
        <v>1838</v>
      </c>
      <c r="S351" t="s">
        <v>1670</v>
      </c>
      <c r="T351">
        <v>2</v>
      </c>
      <c r="U351">
        <v>2</v>
      </c>
      <c r="V351" t="s">
        <v>1850</v>
      </c>
      <c r="W351" t="s">
        <v>1846</v>
      </c>
    </row>
    <row r="352" spans="11:23">
      <c r="Q352" t="s">
        <v>1614</v>
      </c>
      <c r="R352" t="s">
        <v>1840</v>
      </c>
      <c r="S352" t="s">
        <v>1672</v>
      </c>
      <c r="T352">
        <v>3</v>
      </c>
      <c r="U352">
        <v>4</v>
      </c>
      <c r="V352" t="s">
        <v>1851</v>
      </c>
      <c r="W352" t="s">
        <v>1716</v>
      </c>
    </row>
    <row r="353" spans="17:23">
      <c r="Q353" t="s">
        <v>1617</v>
      </c>
      <c r="R353" t="s">
        <v>1784</v>
      </c>
      <c r="S353" t="s">
        <v>1672</v>
      </c>
      <c r="T353">
        <v>3</v>
      </c>
      <c r="U353">
        <v>4</v>
      </c>
      <c r="V353" t="s">
        <v>1852</v>
      </c>
      <c r="W353" t="s">
        <v>1716</v>
      </c>
    </row>
    <row r="354" spans="17:23">
      <c r="Q354" t="s">
        <v>1617</v>
      </c>
      <c r="R354" t="s">
        <v>1785</v>
      </c>
      <c r="S354" t="s">
        <v>1742</v>
      </c>
      <c r="T354">
        <v>2</v>
      </c>
      <c r="U354">
        <v>3</v>
      </c>
      <c r="V354" t="s">
        <v>1853</v>
      </c>
      <c r="W354" t="s">
        <v>1716</v>
      </c>
    </row>
    <row r="355" spans="17:23">
      <c r="Q355" t="s">
        <v>1617</v>
      </c>
      <c r="R355" t="s">
        <v>1838</v>
      </c>
      <c r="S355" t="s">
        <v>1670</v>
      </c>
      <c r="T355">
        <v>2</v>
      </c>
      <c r="U355">
        <v>2</v>
      </c>
      <c r="V355" t="s">
        <v>1854</v>
      </c>
      <c r="W355" t="s">
        <v>1846</v>
      </c>
    </row>
    <row r="356" spans="17:23">
      <c r="Q356" t="s">
        <v>1617</v>
      </c>
      <c r="R356" t="s">
        <v>1840</v>
      </c>
      <c r="S356" t="s">
        <v>1742</v>
      </c>
      <c r="T356">
        <v>2</v>
      </c>
      <c r="U356">
        <v>3</v>
      </c>
      <c r="V356" t="s">
        <v>1855</v>
      </c>
      <c r="W356" t="s">
        <v>1846</v>
      </c>
    </row>
    <row r="357" spans="17:23">
      <c r="Q357" t="s">
        <v>1643</v>
      </c>
      <c r="R357" t="s">
        <v>1784</v>
      </c>
      <c r="S357" t="s">
        <v>1672</v>
      </c>
      <c r="T357">
        <v>3</v>
      </c>
      <c r="U357">
        <v>4</v>
      </c>
      <c r="V357" t="s">
        <v>1856</v>
      </c>
      <c r="W357" t="s">
        <v>1716</v>
      </c>
    </row>
    <row r="358" spans="17:23">
      <c r="Q358" t="s">
        <v>1643</v>
      </c>
      <c r="R358" t="s">
        <v>1785</v>
      </c>
      <c r="S358" t="s">
        <v>1771</v>
      </c>
      <c r="T358">
        <v>3</v>
      </c>
      <c r="U358">
        <v>4</v>
      </c>
      <c r="V358" t="s">
        <v>1857</v>
      </c>
      <c r="W358" t="s">
        <v>1716</v>
      </c>
    </row>
    <row r="359" spans="17:23">
      <c r="Q359" t="s">
        <v>1643</v>
      </c>
      <c r="R359" t="s">
        <v>1838</v>
      </c>
      <c r="S359" t="s">
        <v>1670</v>
      </c>
      <c r="T359">
        <v>2</v>
      </c>
      <c r="U359">
        <v>2</v>
      </c>
      <c r="V359" t="s">
        <v>1858</v>
      </c>
      <c r="W359" t="s">
        <v>1846</v>
      </c>
    </row>
    <row r="360" spans="17:23">
      <c r="Q360" t="s">
        <v>1643</v>
      </c>
      <c r="R360" t="s">
        <v>1840</v>
      </c>
      <c r="S360" t="s">
        <v>1771</v>
      </c>
      <c r="T360">
        <v>3</v>
      </c>
      <c r="U360">
        <v>4</v>
      </c>
      <c r="V360" t="s">
        <v>1859</v>
      </c>
      <c r="W360" t="s">
        <v>1716</v>
      </c>
    </row>
    <row r="361" spans="17:23">
      <c r="Q361" t="s">
        <v>1620</v>
      </c>
      <c r="R361" t="s">
        <v>1784</v>
      </c>
      <c r="S361" t="s">
        <v>1680</v>
      </c>
      <c r="T361">
        <v>1</v>
      </c>
      <c r="U361">
        <v>2</v>
      </c>
      <c r="V361" t="s">
        <v>1860</v>
      </c>
      <c r="W361" t="s">
        <v>1716</v>
      </c>
    </row>
    <row r="362" spans="17:23">
      <c r="Q362" t="s">
        <v>1620</v>
      </c>
      <c r="R362" t="s">
        <v>1785</v>
      </c>
      <c r="S362" t="s">
        <v>1743</v>
      </c>
      <c r="T362">
        <v>4</v>
      </c>
      <c r="U362">
        <v>5</v>
      </c>
      <c r="V362" t="s">
        <v>1861</v>
      </c>
      <c r="W362" t="s">
        <v>1716</v>
      </c>
    </row>
    <row r="363" spans="17:23">
      <c r="Q363" t="s">
        <v>1620</v>
      </c>
      <c r="R363" t="s">
        <v>1838</v>
      </c>
      <c r="S363" t="s">
        <v>1680</v>
      </c>
      <c r="T363">
        <v>1</v>
      </c>
      <c r="U363">
        <v>1</v>
      </c>
      <c r="V363" t="s">
        <v>1862</v>
      </c>
      <c r="W363" t="s">
        <v>1846</v>
      </c>
    </row>
    <row r="364" spans="17:23">
      <c r="Q364" t="s">
        <v>1620</v>
      </c>
      <c r="R364" t="s">
        <v>1840</v>
      </c>
      <c r="S364" t="s">
        <v>338</v>
      </c>
      <c r="T364">
        <v>4</v>
      </c>
      <c r="U364">
        <v>4</v>
      </c>
      <c r="V364" t="s">
        <v>1863</v>
      </c>
      <c r="W364" t="s">
        <v>1716</v>
      </c>
    </row>
    <row r="365" spans="17:23">
      <c r="Q365" t="s">
        <v>1621</v>
      </c>
      <c r="R365" t="s">
        <v>1784</v>
      </c>
      <c r="S365" t="s">
        <v>1742</v>
      </c>
      <c r="T365">
        <v>2</v>
      </c>
      <c r="U365">
        <v>3</v>
      </c>
      <c r="V365" t="s">
        <v>1809</v>
      </c>
      <c r="W365" t="s">
        <v>1716</v>
      </c>
    </row>
    <row r="366" spans="17:23">
      <c r="Q366" t="s">
        <v>1621</v>
      </c>
      <c r="R366" t="s">
        <v>1785</v>
      </c>
      <c r="S366" t="s">
        <v>1672</v>
      </c>
      <c r="T366">
        <v>3</v>
      </c>
      <c r="U366">
        <v>4</v>
      </c>
      <c r="V366" t="s">
        <v>1864</v>
      </c>
      <c r="W366" t="s">
        <v>1716</v>
      </c>
    </row>
    <row r="367" spans="17:23">
      <c r="Q367" t="s">
        <v>1621</v>
      </c>
      <c r="R367" t="s">
        <v>1838</v>
      </c>
      <c r="S367" t="s">
        <v>1670</v>
      </c>
      <c r="T367">
        <v>2</v>
      </c>
      <c r="U367">
        <v>2</v>
      </c>
      <c r="V367" t="s">
        <v>1865</v>
      </c>
      <c r="W367" t="s">
        <v>1846</v>
      </c>
    </row>
    <row r="368" spans="17:23">
      <c r="Q368" t="s">
        <v>1621</v>
      </c>
      <c r="R368" t="s">
        <v>1840</v>
      </c>
      <c r="S368" t="s">
        <v>1672</v>
      </c>
      <c r="T368">
        <v>3</v>
      </c>
      <c r="U368">
        <v>4</v>
      </c>
      <c r="V368" t="s">
        <v>1851</v>
      </c>
      <c r="W368" t="s">
        <v>1716</v>
      </c>
    </row>
    <row r="369" spans="17:23">
      <c r="Q369" t="s">
        <v>1623</v>
      </c>
      <c r="R369" t="s">
        <v>1784</v>
      </c>
      <c r="S369" t="s">
        <v>1670</v>
      </c>
      <c r="T369">
        <v>2</v>
      </c>
      <c r="U369">
        <v>3</v>
      </c>
      <c r="V369" t="s">
        <v>1866</v>
      </c>
      <c r="W369" t="s">
        <v>1716</v>
      </c>
    </row>
    <row r="370" spans="17:23">
      <c r="Q370" t="s">
        <v>1623</v>
      </c>
      <c r="R370" t="s">
        <v>1785</v>
      </c>
      <c r="S370" t="s">
        <v>1771</v>
      </c>
      <c r="T370">
        <v>3</v>
      </c>
      <c r="U370">
        <v>4</v>
      </c>
      <c r="V370" t="s">
        <v>1867</v>
      </c>
      <c r="W370" t="s">
        <v>1716</v>
      </c>
    </row>
    <row r="371" spans="17:23">
      <c r="Q371" t="s">
        <v>1623</v>
      </c>
      <c r="R371" t="s">
        <v>1838</v>
      </c>
      <c r="S371" t="s">
        <v>1680</v>
      </c>
      <c r="T371">
        <v>1</v>
      </c>
      <c r="U371">
        <v>2</v>
      </c>
      <c r="V371" t="s">
        <v>1868</v>
      </c>
      <c r="W371" t="s">
        <v>1846</v>
      </c>
    </row>
    <row r="372" spans="17:23">
      <c r="Q372" t="s">
        <v>1623</v>
      </c>
      <c r="R372" t="s">
        <v>1840</v>
      </c>
      <c r="S372" t="s">
        <v>1771</v>
      </c>
      <c r="T372">
        <v>3</v>
      </c>
      <c r="U372">
        <v>4</v>
      </c>
      <c r="V372" t="s">
        <v>1869</v>
      </c>
      <c r="W372" t="s">
        <v>1716</v>
      </c>
    </row>
    <row r="373" spans="17:23">
      <c r="Q373" t="s">
        <v>1649</v>
      </c>
      <c r="R373" t="s">
        <v>1784</v>
      </c>
      <c r="S373" t="s">
        <v>1680</v>
      </c>
      <c r="T373">
        <v>1</v>
      </c>
      <c r="U373">
        <v>2</v>
      </c>
      <c r="V373" t="s">
        <v>1870</v>
      </c>
      <c r="W373" t="s">
        <v>1716</v>
      </c>
    </row>
    <row r="374" spans="17:23">
      <c r="Q374" t="s">
        <v>1649</v>
      </c>
      <c r="R374" t="s">
        <v>1785</v>
      </c>
      <c r="S374" t="s">
        <v>1681</v>
      </c>
      <c r="T374">
        <v>4</v>
      </c>
      <c r="U374">
        <v>5</v>
      </c>
      <c r="V374" t="s">
        <v>1871</v>
      </c>
      <c r="W374" t="s">
        <v>1716</v>
      </c>
    </row>
    <row r="375" spans="17:23">
      <c r="Q375" t="s">
        <v>1649</v>
      </c>
      <c r="R375" t="s">
        <v>1838</v>
      </c>
      <c r="S375" t="s">
        <v>1680</v>
      </c>
      <c r="T375">
        <v>1</v>
      </c>
      <c r="U375">
        <v>1</v>
      </c>
      <c r="V375" t="s">
        <v>1862</v>
      </c>
      <c r="W375" t="s">
        <v>1846</v>
      </c>
    </row>
    <row r="376" spans="17:23">
      <c r="Q376" t="s">
        <v>1649</v>
      </c>
      <c r="R376" t="s">
        <v>1840</v>
      </c>
      <c r="S376" t="s">
        <v>1681</v>
      </c>
      <c r="T376">
        <v>4</v>
      </c>
      <c r="U376">
        <v>5</v>
      </c>
      <c r="V376" t="s">
        <v>1872</v>
      </c>
      <c r="W376" t="s">
        <v>1716</v>
      </c>
    </row>
    <row r="377" spans="17:23">
      <c r="Q377" t="s">
        <v>1690</v>
      </c>
      <c r="R377" t="s">
        <v>1784</v>
      </c>
      <c r="S377" t="s">
        <v>1670</v>
      </c>
      <c r="T377">
        <v>2</v>
      </c>
      <c r="U377">
        <v>3</v>
      </c>
      <c r="V377" t="s">
        <v>1873</v>
      </c>
      <c r="W377" t="s">
        <v>1716</v>
      </c>
    </row>
    <row r="378" spans="17:23">
      <c r="Q378" t="s">
        <v>1690</v>
      </c>
      <c r="R378" t="s">
        <v>1785</v>
      </c>
      <c r="S378" t="s">
        <v>1672</v>
      </c>
      <c r="T378">
        <v>3</v>
      </c>
      <c r="U378">
        <v>4</v>
      </c>
      <c r="V378" t="s">
        <v>1874</v>
      </c>
      <c r="W378" t="s">
        <v>1716</v>
      </c>
    </row>
    <row r="379" spans="17:23">
      <c r="Q379" t="s">
        <v>1690</v>
      </c>
      <c r="R379" t="s">
        <v>1838</v>
      </c>
      <c r="S379" t="s">
        <v>1680</v>
      </c>
      <c r="T379">
        <v>1</v>
      </c>
      <c r="U379">
        <v>2</v>
      </c>
      <c r="V379" t="s">
        <v>1875</v>
      </c>
      <c r="W379" t="s">
        <v>1846</v>
      </c>
    </row>
    <row r="380" spans="17:23">
      <c r="Q380" t="s">
        <v>1690</v>
      </c>
      <c r="R380" t="s">
        <v>1840</v>
      </c>
      <c r="S380" t="s">
        <v>1672</v>
      </c>
      <c r="T380">
        <v>3</v>
      </c>
      <c r="U380">
        <v>4</v>
      </c>
      <c r="V380" t="s">
        <v>1876</v>
      </c>
      <c r="W380" t="s">
        <v>1716</v>
      </c>
    </row>
    <row r="381" spans="17:23">
      <c r="Q381" t="s">
        <v>1626</v>
      </c>
      <c r="R381" t="s">
        <v>1784</v>
      </c>
      <c r="S381" t="s">
        <v>1672</v>
      </c>
      <c r="T381">
        <v>3</v>
      </c>
      <c r="U381">
        <v>4</v>
      </c>
      <c r="V381" t="s">
        <v>1816</v>
      </c>
      <c r="W381" t="s">
        <v>1716</v>
      </c>
    </row>
    <row r="382" spans="17:23">
      <c r="Q382" t="s">
        <v>1626</v>
      </c>
      <c r="R382" t="s">
        <v>1785</v>
      </c>
      <c r="S382" t="s">
        <v>1742</v>
      </c>
      <c r="T382">
        <v>2</v>
      </c>
      <c r="U382">
        <v>3</v>
      </c>
      <c r="V382" t="s">
        <v>1877</v>
      </c>
      <c r="W382" t="s">
        <v>1716</v>
      </c>
    </row>
    <row r="383" spans="17:23">
      <c r="Q383" t="s">
        <v>1626</v>
      </c>
      <c r="R383" t="s">
        <v>1838</v>
      </c>
      <c r="S383" t="s">
        <v>1670</v>
      </c>
      <c r="T383">
        <v>2</v>
      </c>
      <c r="U383">
        <v>2</v>
      </c>
      <c r="V383" t="s">
        <v>1878</v>
      </c>
      <c r="W383" t="s">
        <v>1846</v>
      </c>
    </row>
    <row r="384" spans="17:23">
      <c r="Q384" t="s">
        <v>1626</v>
      </c>
      <c r="R384" t="s">
        <v>1840</v>
      </c>
      <c r="S384" t="s">
        <v>1742</v>
      </c>
      <c r="T384">
        <v>2</v>
      </c>
      <c r="U384">
        <v>3</v>
      </c>
      <c r="V384" t="s">
        <v>1879</v>
      </c>
      <c r="W384" t="s">
        <v>1716</v>
      </c>
    </row>
    <row r="385" spans="17:23">
      <c r="Q385" t="s">
        <v>1628</v>
      </c>
      <c r="R385" t="s">
        <v>1784</v>
      </c>
      <c r="S385" t="s">
        <v>1670</v>
      </c>
      <c r="T385">
        <v>2</v>
      </c>
      <c r="U385">
        <v>3</v>
      </c>
      <c r="V385" t="s">
        <v>1880</v>
      </c>
      <c r="W385" t="s">
        <v>1716</v>
      </c>
    </row>
    <row r="386" spans="17:23">
      <c r="Q386" t="s">
        <v>1628</v>
      </c>
      <c r="R386" t="s">
        <v>1785</v>
      </c>
      <c r="S386" t="s">
        <v>1672</v>
      </c>
      <c r="T386">
        <v>3</v>
      </c>
      <c r="U386">
        <v>4</v>
      </c>
      <c r="V386" t="s">
        <v>1853</v>
      </c>
      <c r="W386" t="s">
        <v>1716</v>
      </c>
    </row>
    <row r="387" spans="17:23">
      <c r="Q387" t="s">
        <v>1628</v>
      </c>
      <c r="R387" t="s">
        <v>1838</v>
      </c>
      <c r="S387" t="s">
        <v>1680</v>
      </c>
      <c r="T387">
        <v>1</v>
      </c>
      <c r="U387">
        <v>2</v>
      </c>
      <c r="V387" t="s">
        <v>1875</v>
      </c>
      <c r="W387" t="s">
        <v>1846</v>
      </c>
    </row>
    <row r="388" spans="17:23">
      <c r="Q388" t="s">
        <v>1628</v>
      </c>
      <c r="R388" t="s">
        <v>1840</v>
      </c>
      <c r="S388" t="s">
        <v>1672</v>
      </c>
      <c r="T388">
        <v>3</v>
      </c>
      <c r="U388">
        <v>4</v>
      </c>
      <c r="V388" t="s">
        <v>1881</v>
      </c>
      <c r="W388" t="s">
        <v>1716</v>
      </c>
    </row>
    <row r="389" spans="17:23">
      <c r="Q389" t="s">
        <v>1630</v>
      </c>
      <c r="R389" t="s">
        <v>1784</v>
      </c>
      <c r="S389" t="s">
        <v>1680</v>
      </c>
      <c r="T389">
        <v>1</v>
      </c>
      <c r="U389">
        <v>1</v>
      </c>
      <c r="V389" t="s">
        <v>1882</v>
      </c>
      <c r="W389" t="s">
        <v>1716</v>
      </c>
    </row>
    <row r="390" spans="17:23">
      <c r="Q390" t="s">
        <v>1630</v>
      </c>
      <c r="R390" t="s">
        <v>1785</v>
      </c>
      <c r="S390" t="s">
        <v>1681</v>
      </c>
      <c r="T390">
        <v>5</v>
      </c>
      <c r="U390">
        <v>5</v>
      </c>
      <c r="V390" t="s">
        <v>1883</v>
      </c>
      <c r="W390" t="s">
        <v>1716</v>
      </c>
    </row>
    <row r="391" spans="17:23">
      <c r="Q391" t="s">
        <v>1630</v>
      </c>
      <c r="R391" t="s">
        <v>1838</v>
      </c>
      <c r="S391" t="s">
        <v>1680</v>
      </c>
      <c r="T391">
        <v>1</v>
      </c>
      <c r="U391">
        <v>1</v>
      </c>
      <c r="V391" t="s">
        <v>1862</v>
      </c>
      <c r="W391" t="s">
        <v>1846</v>
      </c>
    </row>
    <row r="392" spans="17:23">
      <c r="Q392" t="s">
        <v>1630</v>
      </c>
      <c r="R392" t="s">
        <v>1840</v>
      </c>
      <c r="S392" t="s">
        <v>1681</v>
      </c>
      <c r="T392">
        <v>5</v>
      </c>
      <c r="U392">
        <v>5</v>
      </c>
      <c r="V392" t="s">
        <v>1884</v>
      </c>
      <c r="W392" t="s">
        <v>1716</v>
      </c>
    </row>
    <row r="395" spans="17:23">
      <c r="Q395" t="s">
        <v>1822</v>
      </c>
      <c r="R395" t="s">
        <v>1823</v>
      </c>
      <c r="S395" t="s">
        <v>1824</v>
      </c>
      <c r="T395" t="s">
        <v>1786</v>
      </c>
    </row>
    <row r="396" spans="17:23">
      <c r="Q396" t="s">
        <v>1733</v>
      </c>
      <c r="R396" t="s">
        <v>1733</v>
      </c>
      <c r="S396" t="s">
        <v>1825</v>
      </c>
      <c r="T396" t="s">
        <v>1826</v>
      </c>
    </row>
    <row r="397" spans="17:23">
      <c r="Q397" t="s">
        <v>1733</v>
      </c>
      <c r="R397" t="s">
        <v>1735</v>
      </c>
      <c r="S397" t="s">
        <v>1735</v>
      </c>
      <c r="T397" t="s">
        <v>1827</v>
      </c>
    </row>
    <row r="398" spans="17:23">
      <c r="Q398" t="s">
        <v>1735</v>
      </c>
      <c r="R398" t="s">
        <v>1733</v>
      </c>
      <c r="S398" t="s">
        <v>1735</v>
      </c>
      <c r="T398" t="s">
        <v>1828</v>
      </c>
    </row>
    <row r="399" spans="17:23">
      <c r="Q399" t="s">
        <v>1735</v>
      </c>
      <c r="R399" t="s">
        <v>1735</v>
      </c>
      <c r="S399" t="s">
        <v>1829</v>
      </c>
      <c r="T399" t="s">
        <v>1830</v>
      </c>
    </row>
  </sheetData>
  <mergeCells count="21">
    <mergeCell ref="B312:C313"/>
    <mergeCell ref="D312:D313"/>
    <mergeCell ref="E312:F312"/>
    <mergeCell ref="G312:N312"/>
    <mergeCell ref="B327:L328"/>
    <mergeCell ref="A7:C7"/>
    <mergeCell ref="A258:A259"/>
    <mergeCell ref="I266:J266"/>
    <mergeCell ref="L266:M266"/>
    <mergeCell ref="A9:C9"/>
    <mergeCell ref="A10:C10"/>
    <mergeCell ref="A79:T79"/>
    <mergeCell ref="A140:T140"/>
    <mergeCell ref="A203:T203"/>
    <mergeCell ref="A255:A256"/>
    <mergeCell ref="L9:N9"/>
    <mergeCell ref="L10:N10"/>
    <mergeCell ref="A11:C11"/>
    <mergeCell ref="A12:C12"/>
    <mergeCell ref="L12:N12"/>
    <mergeCell ref="A13:C13"/>
  </mergeCells>
  <conditionalFormatting sqref="D322:D324 D333">
    <cfRule type="expression" dxfId="201" priority="5">
      <formula>ISNUMBER(SEARCH("RE-ANALYZE",$D322))</formula>
    </cfRule>
    <cfRule type="expression" dxfId="200" priority="6">
      <formula>ISNUMBER(SEARCH("REVIEW",$D322))</formula>
    </cfRule>
    <cfRule type="expression" dxfId="199" priority="7">
      <formula>ISNUMBER(SEARCH("CHECK",$D322))</formula>
    </cfRule>
    <cfRule type="expression" dxfId="198" priority="8">
      <formula>ISNUMBER(SEARCH("PASS",$D322))</formula>
    </cfRule>
  </conditionalFormatting>
  <conditionalFormatting sqref="E314:E317">
    <cfRule type="expression" dxfId="197" priority="13">
      <formula>ISNUMBER(SEARCH("RE-ANALYZE",$E314))</formula>
    </cfRule>
    <cfRule type="expression" dxfId="196" priority="14">
      <formula>ISNUMBER(SEARCH("REVIEW",$E314))</formula>
    </cfRule>
    <cfRule type="expression" dxfId="195" priority="15">
      <formula>ISNUMBER(SEARCH("CHECK",$E314))</formula>
    </cfRule>
    <cfRule type="expression" dxfId="194" priority="16">
      <formula>ISNUMBER(SEARCH("PASS",$E314))</formula>
    </cfRule>
  </conditionalFormatting>
  <conditionalFormatting sqref="L314:L317">
    <cfRule type="expression" dxfId="193" priority="9">
      <formula>ISNUMBER(SEARCH("RE-ANALYZE",$L314))</formula>
    </cfRule>
    <cfRule type="expression" dxfId="192" priority="10">
      <formula>ISNUMBER(SEARCH("REVIEW",$L314))</formula>
    </cfRule>
    <cfRule type="expression" dxfId="191" priority="11">
      <formula>ISNUMBER(SEARCH("CHECK",$L314))</formula>
    </cfRule>
    <cfRule type="expression" dxfId="190" priority="12">
      <formula>ISNUMBER(SEARCH("PASS",$L314))</formula>
    </cfRule>
  </conditionalFormatting>
  <dataValidations disablePrompts="1" count="2">
    <dataValidation type="list" allowBlank="1" showInputMessage="1" showErrorMessage="1" sqref="P9" xr:uid="{0AC7A258-5C3A-4DF3-9DFA-B2FA2A183724}">
      <formula1>"RAFLY,RIZKI,NOUFAL"</formula1>
    </dataValidation>
    <dataValidation type="list" allowBlank="1" showInputMessage="1" showErrorMessage="1" sqref="D12" xr:uid="{3C269B6F-0B9F-4320-8495-78A234E573CC}">
      <formula1>$AC$33:$AC$44</formula1>
    </dataValidation>
  </dataValidations>
  <pageMargins left="0.47" right="0.47" top="0.59" bottom="0.51" header="0.28000000000000003" footer="0.28000000000000003"/>
  <pageSetup paperSize="10" scale="53" orientation="landscape" r:id="rId1"/>
  <rowBreaks count="2" manualBreakCount="2">
    <brk id="63" max="21" man="1"/>
    <brk id="253" max="21" man="1"/>
  </rowBreaks>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FD81-5292-4490-995B-8B1C8EED32FA}">
  <sheetPr>
    <tabColor rgb="FFFFC000"/>
  </sheetPr>
  <dimension ref="A1:AE219"/>
  <sheetViews>
    <sheetView view="pageLayout" topLeftCell="A197" zoomScale="69" zoomScaleNormal="100" zoomScaleSheetLayoutView="112" zoomScalePageLayoutView="69" workbookViewId="0">
      <selection activeCell="U207" sqref="U207"/>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17" width="4.875" customWidth="1"/>
    <col min="18" max="18" width="6.375" customWidth="1"/>
    <col min="19"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3"</f>
        <v>:  1 dari 3</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IF('WS_CD Residual '!D7="","",'WS_CD Residual '!D7)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"&amp;IF('WS_CD Residual '!D9="","",'WS_CD Residual '!D9)</f>
        <v xml:space="preserve">:  </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"&amp;IF('WS_CD Residual '!D10="","",'WS_CD Residual '!D10)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"&amp;IF('WS_CD Residual '!D11="","",'WS_CD Residual '!D11)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31">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"&amp;IF('WS_CD Residual '!D12="","",'WS_CD Residual '!D12)</f>
        <v>:  Lanau / Silt</v>
      </c>
      <c r="T17" s="1637"/>
      <c r="U17" s="1637"/>
      <c r="V17" s="1637"/>
      <c r="W17" s="1637"/>
      <c r="X17" s="1638"/>
    </row>
    <row r="18" spans="1:31"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"&amp;IF('WS_CD Residual '!D13="","",'WS_CD Residual '!D13)</f>
        <v xml:space="preserve">:  </v>
      </c>
      <c r="T18" s="1637"/>
      <c r="U18" s="1637"/>
      <c r="V18" s="1637"/>
      <c r="W18" s="1637"/>
      <c r="X18" s="1638"/>
    </row>
    <row r="19" spans="1:31"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31"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31"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31"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"&amp;IF('WS_CD Residual '!O12="","",TEXT('WS_CD Residual '!O12,"dd mmmm yyyy"))</f>
        <v xml:space="preserve">:  </v>
      </c>
      <c r="T22" s="1637"/>
      <c r="U22" s="1637"/>
      <c r="V22" s="1637"/>
      <c r="W22" s="1637"/>
      <c r="X22" s="1638"/>
    </row>
    <row r="23" spans="1:31"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31"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31"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31">
      <c r="A26" s="1706" t="str">
        <f>'WS_CD Residual '!A2</f>
        <v>UJI KUAT GESER LANGSUNG -TERKONSOLIDASI TERDRAINASE (CD) - KONDISI RESIDUAL</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INDUK'!$BS$46</f>
        <v>2813:2008</v>
      </c>
      <c r="W26" s="1704"/>
      <c r="X26" s="1704"/>
    </row>
    <row r="27" spans="1:31">
      <c r="A27" s="1650" t="str">
        <f>'WS_CD Residual '!A3</f>
        <v>DIRECT SHEAR TEST- CONSOLIDATED DRAINED (CD) - RESIDUAL CONDITION</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31"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31">
      <c r="A29" s="541" t="s">
        <v>1362</v>
      </c>
      <c r="B29" s="673"/>
      <c r="C29" s="673"/>
      <c r="D29" s="673"/>
      <c r="E29" s="673"/>
      <c r="F29" s="673"/>
      <c r="G29" s="673"/>
      <c r="H29" s="673"/>
      <c r="I29" s="674"/>
      <c r="J29" s="673"/>
      <c r="K29" s="673"/>
      <c r="L29" s="879"/>
      <c r="M29" s="1329"/>
      <c r="N29" s="541" t="s">
        <v>1430</v>
      </c>
      <c r="O29" s="541"/>
      <c r="P29" s="541"/>
      <c r="Q29" s="541"/>
      <c r="R29" s="541"/>
      <c r="S29" s="541"/>
      <c r="T29" s="541"/>
      <c r="U29" s="541"/>
      <c r="V29" s="1330"/>
      <c r="W29" s="541"/>
      <c r="X29" s="1330"/>
    </row>
    <row r="30" spans="1:31">
      <c r="A30" s="2027" t="s">
        <v>1431</v>
      </c>
      <c r="B30" s="2027"/>
      <c r="C30" s="2027"/>
      <c r="D30" s="2027"/>
      <c r="E30" s="2027"/>
      <c r="F30" s="2027"/>
      <c r="G30" s="2027"/>
      <c r="H30" s="1869">
        <v>1</v>
      </c>
      <c r="I30" s="1869"/>
      <c r="J30" s="1869">
        <v>2</v>
      </c>
      <c r="K30" s="1869"/>
      <c r="L30" s="1334">
        <v>3</v>
      </c>
      <c r="M30" s="335"/>
      <c r="N30" s="2027" t="s">
        <v>1431</v>
      </c>
      <c r="O30" s="2027"/>
      <c r="P30" s="2027"/>
      <c r="Q30" s="2027"/>
      <c r="R30" s="2027"/>
      <c r="S30" s="1869">
        <v>1</v>
      </c>
      <c r="T30" s="1869"/>
      <c r="U30" s="1869">
        <v>2</v>
      </c>
      <c r="V30" s="1869"/>
      <c r="W30" s="1869">
        <v>3</v>
      </c>
      <c r="X30" s="1869"/>
      <c r="AA30" s="13"/>
      <c r="AC30" s="804"/>
      <c r="AE30" s="804"/>
    </row>
    <row r="31" spans="1:31">
      <c r="A31" s="2034" t="s">
        <v>1432</v>
      </c>
      <c r="B31" s="2034"/>
      <c r="C31" s="2034"/>
      <c r="D31" s="2034"/>
      <c r="E31" s="2034"/>
      <c r="F31" s="2034"/>
      <c r="G31" s="2034"/>
      <c r="H31" s="1876">
        <f>'WS_CD Residual '!C287</f>
        <v>5.94</v>
      </c>
      <c r="I31" s="1876"/>
      <c r="J31" s="1876">
        <f>'WS_CD Residual '!D287</f>
        <v>5.94</v>
      </c>
      <c r="K31" s="1876"/>
      <c r="L31" s="1876">
        <f>'WS_CD Residual '!E287</f>
        <v>5.94</v>
      </c>
      <c r="M31" s="335"/>
      <c r="N31" s="2034" t="s">
        <v>1470</v>
      </c>
      <c r="O31" s="2034"/>
      <c r="P31" s="2034"/>
      <c r="Q31" s="2034"/>
      <c r="R31" s="2034"/>
      <c r="S31" s="1876">
        <f>'WS_CD Residual '!E298</f>
        <v>5</v>
      </c>
      <c r="T31" s="1876"/>
      <c r="U31" s="1876">
        <f>'WS_CD Residual '!F298</f>
        <v>10</v>
      </c>
      <c r="V31" s="1876"/>
      <c r="W31" s="1876">
        <f>'WS_CD Residual '!G298</f>
        <v>20</v>
      </c>
      <c r="X31" s="1876"/>
      <c r="AA31" s="803"/>
      <c r="AC31" s="803"/>
      <c r="AE31" s="803"/>
    </row>
    <row r="32" spans="1:31">
      <c r="A32" s="2034"/>
      <c r="B32" s="2034"/>
      <c r="C32" s="2034"/>
      <c r="D32" s="2034"/>
      <c r="E32" s="2034"/>
      <c r="F32" s="2034"/>
      <c r="G32" s="2034"/>
      <c r="H32" s="1876"/>
      <c r="I32" s="1876"/>
      <c r="J32" s="1876"/>
      <c r="K32" s="1876"/>
      <c r="L32" s="1876"/>
      <c r="M32" s="335"/>
      <c r="N32" s="2034"/>
      <c r="O32" s="2034"/>
      <c r="P32" s="2034"/>
      <c r="Q32" s="2034"/>
      <c r="R32" s="2034"/>
      <c r="S32" s="1876"/>
      <c r="T32" s="1876"/>
      <c r="U32" s="1876"/>
      <c r="V32" s="1876"/>
      <c r="W32" s="1876"/>
      <c r="X32" s="1876"/>
      <c r="AA32" s="803"/>
      <c r="AC32" s="803"/>
      <c r="AE32" s="803"/>
    </row>
    <row r="33" spans="1:31" ht="15.95" customHeight="1">
      <c r="A33" s="2034" t="s">
        <v>1433</v>
      </c>
      <c r="B33" s="2034"/>
      <c r="C33" s="2034"/>
      <c r="D33" s="2034"/>
      <c r="E33" s="2034"/>
      <c r="F33" s="2034"/>
      <c r="G33" s="2034"/>
      <c r="H33" s="1876">
        <f>'WS_CD Residual '!C288</f>
        <v>2.4900000000000002</v>
      </c>
      <c r="I33" s="1876"/>
      <c r="J33" s="1876">
        <f>'WS_CD Residual '!D288</f>
        <v>2.4900000000000002</v>
      </c>
      <c r="K33" s="1876"/>
      <c r="L33" s="1876">
        <f>'WS_CD Residual '!E288</f>
        <v>2.4900000000000002</v>
      </c>
      <c r="M33" s="335"/>
      <c r="N33" s="2034" t="s">
        <v>1434</v>
      </c>
      <c r="O33" s="2034"/>
      <c r="P33" s="2034"/>
      <c r="Q33" s="2034"/>
      <c r="R33" s="2034"/>
      <c r="S33" s="1876">
        <f>'WS_CD Residual '!E299</f>
        <v>17.693806181122916</v>
      </c>
      <c r="T33" s="1876"/>
      <c r="U33" s="1876">
        <f>'WS_CD Residual '!F299</f>
        <v>35.387612362245832</v>
      </c>
      <c r="V33" s="1876"/>
      <c r="W33" s="1876">
        <f>'WS_CD Residual '!G299</f>
        <v>70.775224724491665</v>
      </c>
      <c r="X33" s="1876"/>
      <c r="AA33" s="803"/>
      <c r="AC33" s="803"/>
      <c r="AE33" s="803"/>
    </row>
    <row r="34" spans="1:31">
      <c r="A34" s="2034"/>
      <c r="B34" s="2034"/>
      <c r="C34" s="2034"/>
      <c r="D34" s="2034"/>
      <c r="E34" s="2034"/>
      <c r="F34" s="2034"/>
      <c r="G34" s="2034"/>
      <c r="H34" s="1876"/>
      <c r="I34" s="1876"/>
      <c r="J34" s="1876"/>
      <c r="K34" s="1876"/>
      <c r="L34" s="1876"/>
      <c r="M34" s="335"/>
      <c r="N34" s="2034"/>
      <c r="O34" s="2034"/>
      <c r="P34" s="2034"/>
      <c r="Q34" s="2034"/>
      <c r="R34" s="2034"/>
      <c r="S34" s="1876"/>
      <c r="T34" s="1876"/>
      <c r="U34" s="1876"/>
      <c r="V34" s="1876"/>
      <c r="W34" s="1876"/>
      <c r="X34" s="1876"/>
      <c r="AA34" s="803"/>
      <c r="AC34" s="803"/>
      <c r="AE34" s="803"/>
    </row>
    <row r="35" spans="1:31" ht="15.95" customHeight="1">
      <c r="A35" s="2034" t="s">
        <v>1435</v>
      </c>
      <c r="B35" s="2034"/>
      <c r="C35" s="2034"/>
      <c r="D35" s="2034"/>
      <c r="E35" s="2034"/>
      <c r="F35" s="2034"/>
      <c r="G35" s="2034"/>
      <c r="H35" s="1876">
        <f>'WS_CD Residual '!C289</f>
        <v>27.711674638050212</v>
      </c>
      <c r="I35" s="1876"/>
      <c r="J35" s="1876">
        <f>'WS_CD Residual '!D289</f>
        <v>27.711674638050212</v>
      </c>
      <c r="K35" s="1876"/>
      <c r="L35" s="1876">
        <f>'WS_CD Residual '!E289</f>
        <v>27.711674638050212</v>
      </c>
      <c r="M35" s="335"/>
      <c r="N35" s="2034" t="s">
        <v>1436</v>
      </c>
      <c r="O35" s="2034"/>
      <c r="P35" s="2034"/>
      <c r="Q35" s="2034"/>
      <c r="R35" s="2034"/>
      <c r="S35" s="1876">
        <f>'WS_CD Residual '!E300</f>
        <v>30.943578492639713</v>
      </c>
      <c r="T35" s="1876"/>
      <c r="U35" s="1876">
        <f>'WS_CD Residual '!F300</f>
        <v>38.370037330873252</v>
      </c>
      <c r="V35" s="1876"/>
      <c r="W35" s="1876">
        <f>'WS_CD Residual '!G300</f>
        <v>56.849830253919478</v>
      </c>
      <c r="X35" s="1876"/>
      <c r="AA35" s="803"/>
      <c r="AC35" s="803"/>
      <c r="AE35" s="803"/>
    </row>
    <row r="36" spans="1:31">
      <c r="A36" s="2034"/>
      <c r="B36" s="2034"/>
      <c r="C36" s="2034"/>
      <c r="D36" s="2034"/>
      <c r="E36" s="2034"/>
      <c r="F36" s="2034"/>
      <c r="G36" s="2034"/>
      <c r="H36" s="1876"/>
      <c r="I36" s="1876"/>
      <c r="J36" s="1876"/>
      <c r="K36" s="1876"/>
      <c r="L36" s="1876"/>
      <c r="M36" s="335"/>
      <c r="N36" s="2034"/>
      <c r="O36" s="2034"/>
      <c r="P36" s="2034"/>
      <c r="Q36" s="2034"/>
      <c r="R36" s="2034"/>
      <c r="S36" s="1876"/>
      <c r="T36" s="1876"/>
      <c r="U36" s="1876"/>
      <c r="V36" s="1876"/>
      <c r="W36" s="1876"/>
      <c r="X36" s="1876"/>
      <c r="Z36" s="335"/>
      <c r="AA36" s="1312" t="str">
        <f>"LHU No.            : "&amp; IF('DATA INDUK'!$H$17="","",'DATA INDUK'!$H$17)</f>
        <v>LHU No.            : 23/MGS/53/II/2026</v>
      </c>
      <c r="AC36" s="803"/>
      <c r="AE36" s="803"/>
    </row>
    <row r="37" spans="1:31" ht="15.95" customHeight="1">
      <c r="A37" s="2034" t="s">
        <v>1437</v>
      </c>
      <c r="B37" s="2034"/>
      <c r="C37" s="2034"/>
      <c r="D37" s="2034"/>
      <c r="E37" s="2034"/>
      <c r="F37" s="2034"/>
      <c r="G37" s="2034"/>
      <c r="H37" s="1876">
        <f>'WS_CD Residual '!C290</f>
        <v>69.002069848745037</v>
      </c>
      <c r="I37" s="1876"/>
      <c r="J37" s="1876">
        <f>'WS_CD Residual '!D290</f>
        <v>69.002069848745037</v>
      </c>
      <c r="K37" s="1876"/>
      <c r="L37" s="1876">
        <f>'WS_CD Residual '!E290</f>
        <v>69.002069848745037</v>
      </c>
      <c r="N37" s="2034" t="s">
        <v>1438</v>
      </c>
      <c r="O37" s="2034"/>
      <c r="P37" s="2034"/>
      <c r="Q37" s="2034"/>
      <c r="R37" s="2034"/>
      <c r="S37" s="1876">
        <f>'WS_CD Residual '!E301</f>
        <v>17.414758128415841</v>
      </c>
      <c r="T37" s="1876"/>
      <c r="U37" s="1876">
        <f>'WS_CD Residual '!F301</f>
        <v>26.625869865759757</v>
      </c>
      <c r="V37" s="1876"/>
      <c r="W37" s="1876">
        <f>'WS_CD Residual '!G301</f>
        <v>45.048093340447586</v>
      </c>
      <c r="X37" s="1876"/>
      <c r="Z37" s="335"/>
      <c r="AA37" s="338" t="str">
        <f>"LAB ID.         : "&amp;'Template LHU_CBRsoaked'!$N$13&amp;""</f>
        <v>LAB ID.         : 26-001-DS-001</v>
      </c>
      <c r="AC37" s="803"/>
      <c r="AE37" s="803"/>
    </row>
    <row r="38" spans="1:31">
      <c r="A38" s="2034"/>
      <c r="B38" s="2034"/>
      <c r="C38" s="2034"/>
      <c r="D38" s="2034"/>
      <c r="E38" s="2034"/>
      <c r="F38" s="2034"/>
      <c r="G38" s="2034"/>
      <c r="H38" s="1876"/>
      <c r="I38" s="1876"/>
      <c r="J38" s="1876"/>
      <c r="K38" s="1876"/>
      <c r="L38" s="1876"/>
      <c r="N38" s="2034"/>
      <c r="O38" s="2034"/>
      <c r="P38" s="2034"/>
      <c r="Q38" s="2034"/>
      <c r="R38" s="2034"/>
      <c r="S38" s="1876"/>
      <c r="T38" s="1876"/>
      <c r="U38" s="1876"/>
      <c r="V38" s="1876"/>
      <c r="W38" s="1876"/>
      <c r="X38" s="1876"/>
      <c r="Z38" s="335" t="s">
        <v>1442</v>
      </c>
      <c r="AA38" s="338" t="str">
        <f>"TEST TYPE   : "&amp;Z38&amp;""</f>
        <v>TEST TYPE   : Direct Shear (CD-Residual)</v>
      </c>
    </row>
    <row r="39" spans="1:31">
      <c r="A39" s="2027" t="s">
        <v>1439</v>
      </c>
      <c r="B39" s="2027"/>
      <c r="C39" s="2027"/>
      <c r="D39" s="2027"/>
      <c r="E39" s="2027"/>
      <c r="F39" s="2027"/>
      <c r="G39" s="2027"/>
      <c r="H39" s="1876">
        <f>'WS_CD Residual '!C291</f>
        <v>20.959142736486505</v>
      </c>
      <c r="I39" s="1876"/>
      <c r="J39" s="1876">
        <f>'WS_CD Residual '!D291</f>
        <v>19.423427210312461</v>
      </c>
      <c r="K39" s="1876"/>
      <c r="L39" s="12">
        <f>'WS_CD Residual '!E291</f>
        <v>13.846140056825842</v>
      </c>
      <c r="M39" s="710"/>
      <c r="N39" s="710"/>
      <c r="O39" s="710"/>
      <c r="P39" s="710"/>
      <c r="Q39" s="710"/>
      <c r="R39" s="710"/>
      <c r="S39" s="710"/>
      <c r="T39" s="710"/>
      <c r="U39" s="710"/>
      <c r="V39" s="710"/>
      <c r="W39" s="710"/>
      <c r="X39" s="710"/>
      <c r="Z39" s="1310"/>
      <c r="AA39" s="338" t="str">
        <f>"DATE            : "&amp;TEXT('DATA INDUK'!$H$19,"yyyy-mm-dd")</f>
        <v>DATE            : 2026-01-29</v>
      </c>
    </row>
    <row r="40" spans="1:31">
      <c r="A40" s="2027" t="s">
        <v>1440</v>
      </c>
      <c r="B40" s="2027"/>
      <c r="C40" s="2027"/>
      <c r="D40" s="2027"/>
      <c r="E40" s="2027"/>
      <c r="F40" s="2027"/>
      <c r="G40" s="2027"/>
      <c r="H40" s="1876">
        <f>'WS_CD Residual '!C292</f>
        <v>1.9925054465956797</v>
      </c>
      <c r="I40" s="1876"/>
      <c r="J40" s="1876">
        <f>'WS_CD Residual '!D292</f>
        <v>1.9763465110384693</v>
      </c>
      <c r="K40" s="1876"/>
      <c r="L40" s="12">
        <f>'WS_CD Residual '!E292</f>
        <v>1.8407708678656414</v>
      </c>
      <c r="P40" s="540"/>
      <c r="AA40" s="4"/>
    </row>
    <row r="41" spans="1:31">
      <c r="A41" s="2027" t="s">
        <v>1441</v>
      </c>
      <c r="B41" s="2027"/>
      <c r="C41" s="2027"/>
      <c r="D41" s="2027"/>
      <c r="E41" s="2027"/>
      <c r="F41" s="2027"/>
      <c r="G41" s="2027"/>
      <c r="H41" s="1876">
        <f>'WS_CD Residual '!C293</f>
        <v>1.6472549337890223</v>
      </c>
      <c r="I41" s="1876"/>
      <c r="J41" s="1876">
        <f>'WS_CD Residual '!D293</f>
        <v>1.6549068781605085</v>
      </c>
      <c r="K41" s="1876"/>
      <c r="L41" s="12">
        <f>'WS_CD Residual '!E293</f>
        <v>1.616893525724129</v>
      </c>
      <c r="AA41" s="4"/>
    </row>
    <row r="42" spans="1:31">
      <c r="Z42" s="1210"/>
      <c r="AA42" s="4"/>
    </row>
    <row r="43" spans="1:31">
      <c r="A43" s="541" t="s">
        <v>184</v>
      </c>
      <c r="B43" s="541"/>
      <c r="C43" s="541"/>
      <c r="D43" s="541"/>
      <c r="E43" s="541"/>
      <c r="F43" s="541"/>
      <c r="G43" s="541"/>
      <c r="H43" s="541"/>
      <c r="I43" s="859"/>
      <c r="J43" s="541"/>
      <c r="K43" s="541"/>
      <c r="L43" s="541"/>
      <c r="M43" s="541"/>
      <c r="N43" s="541"/>
      <c r="O43" s="541"/>
      <c r="P43" s="541"/>
      <c r="Q43" s="541"/>
      <c r="R43" s="541"/>
      <c r="S43" s="541"/>
      <c r="T43" s="541"/>
      <c r="U43" s="541"/>
      <c r="V43" s="541"/>
      <c r="W43" s="541"/>
      <c r="X43" s="541"/>
    </row>
    <row r="44" spans="1:31">
      <c r="A44" s="540" t="s">
        <v>1443</v>
      </c>
      <c r="B44" s="540"/>
      <c r="C44" s="540"/>
      <c r="D44" s="540"/>
      <c r="E44" s="540"/>
      <c r="F44" s="540"/>
      <c r="G44" s="540"/>
      <c r="H44" s="540"/>
      <c r="I44" s="976"/>
      <c r="J44" s="540"/>
      <c r="K44" s="540"/>
      <c r="L44" s="15"/>
      <c r="M44" s="15"/>
      <c r="N44" s="15"/>
      <c r="O44" s="15"/>
    </row>
    <row r="45" spans="1:31">
      <c r="A45" s="1248" t="s">
        <v>1444</v>
      </c>
      <c r="B45" s="1248"/>
      <c r="C45" s="1248"/>
      <c r="D45" s="1248"/>
      <c r="E45" s="1248"/>
      <c r="F45" s="1248"/>
      <c r="G45" s="1248"/>
      <c r="H45" s="1248"/>
      <c r="I45" s="1331"/>
      <c r="J45" s="1248"/>
      <c r="K45" s="1248"/>
      <c r="L45" s="15"/>
      <c r="M45" s="15"/>
      <c r="N45" s="15"/>
      <c r="O45" s="15"/>
    </row>
    <row r="50" spans="1:23">
      <c r="A50" s="13"/>
    </row>
    <row r="59" spans="1:23">
      <c r="T59" s="20" t="s">
        <v>1537</v>
      </c>
    </row>
    <row r="60" spans="1:23">
      <c r="C60" s="1768" t="s">
        <v>623</v>
      </c>
      <c r="D60" s="1769"/>
      <c r="E60" s="1769"/>
      <c r="F60" s="1769"/>
      <c r="G60" s="1770"/>
      <c r="H60" s="1768" t="s">
        <v>292</v>
      </c>
      <c r="I60" s="1769"/>
      <c r="J60" s="1769"/>
      <c r="K60" s="1769"/>
      <c r="L60" s="1769"/>
      <c r="M60" s="1768" t="s">
        <v>294</v>
      </c>
      <c r="N60" s="1769"/>
      <c r="O60" s="1769"/>
      <c r="P60" s="1769"/>
      <c r="Q60" s="1769"/>
      <c r="R60" s="1770"/>
      <c r="T60" s="328"/>
      <c r="U60" s="329"/>
      <c r="V60" s="329"/>
      <c r="W60" s="330"/>
    </row>
    <row r="61" spans="1:23" ht="15.95" customHeight="1">
      <c r="C61" s="1771" t="s">
        <v>624</v>
      </c>
      <c r="D61" s="1646"/>
      <c r="E61" s="1646"/>
      <c r="F61" s="1646"/>
      <c r="G61" s="1772"/>
      <c r="H61" s="1773" t="s">
        <v>293</v>
      </c>
      <c r="I61" s="1652"/>
      <c r="J61" s="1652"/>
      <c r="K61" s="1652"/>
      <c r="L61" s="1652"/>
      <c r="M61" s="1773" t="s">
        <v>295</v>
      </c>
      <c r="N61" s="1652"/>
      <c r="O61" s="1652"/>
      <c r="P61" s="1652"/>
      <c r="Q61" s="1652"/>
      <c r="R61" s="1774"/>
      <c r="T61" s="357"/>
      <c r="W61" s="331"/>
    </row>
    <row r="62" spans="1:23" ht="15.95" customHeight="1">
      <c r="C62" s="357"/>
      <c r="D62" s="359"/>
      <c r="E62" s="359"/>
      <c r="F62" s="359"/>
      <c r="G62" s="360"/>
      <c r="H62" s="357"/>
      <c r="I62"/>
      <c r="K62" s="4"/>
      <c r="M62" s="357"/>
      <c r="R62" s="331"/>
      <c r="T62" s="357"/>
      <c r="W62" s="331"/>
    </row>
    <row r="63" spans="1:23">
      <c r="C63" s="357"/>
      <c r="G63" s="331"/>
      <c r="H63" s="357"/>
      <c r="I63"/>
      <c r="K63" s="4"/>
      <c r="M63" s="357"/>
      <c r="R63" s="331"/>
      <c r="T63" s="357"/>
      <c r="W63" s="331"/>
    </row>
    <row r="64" spans="1:23">
      <c r="C64" s="357"/>
      <c r="G64" s="331"/>
      <c r="H64" s="357"/>
      <c r="I64"/>
      <c r="K64" s="4"/>
      <c r="M64" s="357"/>
      <c r="R64" s="331"/>
      <c r="T64" s="357"/>
      <c r="W64" s="331"/>
    </row>
    <row r="65" spans="1:24">
      <c r="C65" s="1777" t="str">
        <f>'WS_CD Residual '!$O$9</f>
        <v>NOUFAL</v>
      </c>
      <c r="D65" s="1632"/>
      <c r="E65" s="1632"/>
      <c r="F65" s="1632"/>
      <c r="G65" s="1778"/>
      <c r="H65" s="1777" t="str">
        <f>IF(C65='WS_CD Residual '!$O$10," - ",'WS_CD Residual '!$O$10)</f>
        <v xml:space="preserve"> - </v>
      </c>
      <c r="I65" s="1632"/>
      <c r="J65" s="1632"/>
      <c r="K65" s="1632"/>
      <c r="L65" s="1632"/>
      <c r="M65" s="1777" t="str">
        <f>'WS_CD Residual '!$O$11</f>
        <v>A.SUMARTADJI</v>
      </c>
      <c r="N65" s="1632"/>
      <c r="O65" s="1632"/>
      <c r="P65" s="1632"/>
      <c r="Q65" s="1632"/>
      <c r="R65" s="1778"/>
      <c r="T65" s="357"/>
      <c r="W65" s="331"/>
    </row>
    <row r="66" spans="1:24" s="15" customFormat="1" ht="12">
      <c r="C66" s="1779" t="s">
        <v>299</v>
      </c>
      <c r="D66" s="1685"/>
      <c r="E66" s="1685"/>
      <c r="F66" s="1685"/>
      <c r="G66" s="1780"/>
      <c r="H66" s="1779" t="s">
        <v>305</v>
      </c>
      <c r="I66" s="1685"/>
      <c r="J66" s="1685"/>
      <c r="K66" s="1685"/>
      <c r="L66" s="1685"/>
      <c r="M66" s="1779" t="s">
        <v>298</v>
      </c>
      <c r="N66" s="1685"/>
      <c r="O66" s="1685"/>
      <c r="P66" s="1685"/>
      <c r="Q66" s="1685"/>
      <c r="R66" s="1780"/>
      <c r="S66" s="364"/>
      <c r="T66" s="366"/>
      <c r="U66" s="364"/>
      <c r="V66" s="364"/>
      <c r="W66" s="365"/>
      <c r="X66" s="364"/>
    </row>
    <row r="67" spans="1:24" ht="15.95" customHeight="1">
      <c r="C67" s="1783" t="s">
        <v>291</v>
      </c>
      <c r="D67" s="1784"/>
      <c r="E67" s="1775">
        <f>IF('DATA INDUK'!$H$19="","",'DATA INDUK'!$H$19-1)</f>
        <v>46050</v>
      </c>
      <c r="F67" s="1775"/>
      <c r="G67" s="1776"/>
      <c r="H67" s="1783" t="s">
        <v>291</v>
      </c>
      <c r="I67" s="1784"/>
      <c r="J67" s="1775">
        <f>IF('DATA INDUK'!$H$19="","",'DATA INDUK'!$H$19-1)</f>
        <v>46050</v>
      </c>
      <c r="K67" s="1775"/>
      <c r="L67" s="1776"/>
      <c r="M67" s="1783" t="s">
        <v>291</v>
      </c>
      <c r="N67" s="1784"/>
      <c r="O67" s="1784"/>
      <c r="P67" s="1775">
        <f>IF('DATA INDUK'!$H$19="","",'DATA INDUK'!$H$19-1)</f>
        <v>46050</v>
      </c>
      <c r="Q67" s="1775"/>
      <c r="R67" s="1776"/>
      <c r="T67" s="332"/>
      <c r="U67" s="333"/>
      <c r="V67" s="333"/>
      <c r="W67" s="334"/>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912" t="str">
        <f>'DATA INDUK'!$BT$46</f>
        <v>23-MINEARTH-RM-LHU-DS-CD RES-R0</v>
      </c>
    </row>
    <row r="75" spans="1:24">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23.25">
      <c r="F78" s="1681" t="s">
        <v>302</v>
      </c>
      <c r="G78" s="1681"/>
      <c r="H78" s="1681"/>
      <c r="I78" s="1681"/>
      <c r="J78" s="1681"/>
      <c r="K78" s="1681"/>
      <c r="L78" s="1681"/>
      <c r="M78" s="1681"/>
      <c r="N78" s="1681"/>
      <c r="O78" s="1681"/>
      <c r="P78" s="1681"/>
      <c r="Q78" s="1681"/>
      <c r="R78" s="1681"/>
      <c r="S78" s="1681"/>
      <c r="T78" s="1681"/>
    </row>
    <row r="79" spans="1:24" ht="20.25">
      <c r="F79" s="1682" t="s">
        <v>1582</v>
      </c>
      <c r="G79" s="1682"/>
      <c r="H79" s="1682"/>
      <c r="I79" s="1682"/>
      <c r="J79" s="1682"/>
      <c r="K79" s="1682"/>
      <c r="L79" s="1682"/>
      <c r="M79" s="1682"/>
      <c r="N79" s="1682"/>
      <c r="O79" s="1682"/>
      <c r="P79" s="1682"/>
      <c r="Q79" s="1682"/>
      <c r="R79" s="1682"/>
      <c r="S79" s="1682"/>
      <c r="T79" s="1682"/>
    </row>
    <row r="80" spans="1:24">
      <c r="F80" s="1683" t="s">
        <v>304</v>
      </c>
      <c r="G80" s="1683"/>
      <c r="H80" s="1683"/>
      <c r="I80" s="1683"/>
      <c r="J80" s="1683"/>
      <c r="K80" s="1683"/>
      <c r="L80" s="1683"/>
      <c r="M80" s="1683"/>
      <c r="N80" s="1683"/>
      <c r="O80" s="1683"/>
      <c r="P80" s="1683"/>
      <c r="Q80" s="1683"/>
      <c r="R80" s="1683"/>
      <c r="S80" s="1683"/>
      <c r="T80" s="1683"/>
    </row>
    <row r="81" spans="1:24" ht="8.1" customHeight="1">
      <c r="A81" s="333"/>
      <c r="B81" s="333"/>
      <c r="C81" s="333"/>
      <c r="D81" s="333"/>
      <c r="E81" s="333"/>
      <c r="F81" s="333"/>
      <c r="G81" s="333"/>
      <c r="H81" s="333"/>
      <c r="I81" s="337"/>
      <c r="J81" s="333"/>
      <c r="K81" s="333"/>
      <c r="L81" s="333"/>
      <c r="M81" s="333"/>
      <c r="N81" s="333"/>
      <c r="O81" s="333"/>
      <c r="P81" s="333"/>
      <c r="Q81" s="333"/>
      <c r="R81" s="333"/>
      <c r="S81" s="333"/>
      <c r="T81" s="333"/>
      <c r="U81" s="333"/>
      <c r="V81" s="333"/>
      <c r="W81" s="333"/>
      <c r="X81" s="333"/>
    </row>
    <row r="82" spans="1:24" ht="8.1" customHeight="1"/>
    <row r="83" spans="1:24">
      <c r="A83" s="1680" t="s">
        <v>1346</v>
      </c>
      <c r="B83" s="1680"/>
      <c r="C83" s="1680"/>
      <c r="D83" s="1680"/>
      <c r="E83" s="656"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5" t="s">
        <v>1347</v>
      </c>
      <c r="B84" s="1635"/>
      <c r="C84" s="1635"/>
      <c r="D84" s="1635"/>
      <c r="E84" s="794" t="str">
        <f>":  "&amp;IF('DATA INDUK'!$H$18="","",'DATA INDUK'!$H$18)</f>
        <v>:  R0</v>
      </c>
      <c r="G84" s="672"/>
      <c r="H84" s="672"/>
      <c r="I84" s="1127"/>
      <c r="J84" s="672" t="s">
        <v>1348</v>
      </c>
      <c r="K84" s="672"/>
      <c r="L84" s="672"/>
      <c r="M84" s="1636" t="str">
        <f>":  "&amp;IF('DATA INDUK'!$H$19="","",TEXT('DATA INDUK'!$H$19,"dd mmmm yyyy"))</f>
        <v>:  29 January 2026</v>
      </c>
      <c r="N84" s="1636"/>
      <c r="O84" s="1636"/>
      <c r="P84" s="1636"/>
      <c r="Q84" s="1636"/>
      <c r="R84" s="1194"/>
      <c r="S84" s="1127"/>
      <c r="T84" s="1649" t="s">
        <v>1349</v>
      </c>
      <c r="U84" s="1649"/>
      <c r="V84" s="1649"/>
      <c r="W84" s="1635" t="str">
        <f>":  2 dari 3"</f>
        <v>:  2 dari 3</v>
      </c>
      <c r="X84" s="1635"/>
    </row>
    <row r="85" spans="1:24" ht="8.1" customHeight="1"/>
    <row r="86" spans="1:24">
      <c r="A86" s="2032" t="str">
        <f>A26</f>
        <v>UJI KUAT GESER LANGSUNG -TERKONSOLIDASI TERDRAINASE (CD) - KONDISI RESIDUAL</v>
      </c>
      <c r="B86" s="2032"/>
      <c r="C86" s="2032"/>
      <c r="D86" s="2032"/>
      <c r="E86" s="2032"/>
      <c r="F86" s="2032"/>
      <c r="G86" s="2032"/>
      <c r="H86" s="2032"/>
      <c r="I86" s="2032"/>
      <c r="J86" s="2032"/>
      <c r="K86" s="2032"/>
      <c r="L86" s="2032"/>
      <c r="M86" s="2032"/>
      <c r="N86" s="2032"/>
      <c r="O86" s="2032"/>
      <c r="P86" s="2032"/>
      <c r="Q86" s="2032"/>
      <c r="R86" s="2032"/>
      <c r="S86" s="2032"/>
      <c r="T86" s="2032"/>
      <c r="U86" s="2033" t="s">
        <v>2</v>
      </c>
      <c r="V86" s="2028" t="s">
        <v>911</v>
      </c>
      <c r="W86" s="2028"/>
      <c r="X86" s="2028"/>
    </row>
    <row r="87" spans="1:24">
      <c r="A87" s="2029" t="str">
        <f>A27</f>
        <v>DIRECT SHEAR TEST- CONSOLIDATED DRAINED (CD) - RESIDUAL CONDITION</v>
      </c>
      <c r="B87" s="2029"/>
      <c r="C87" s="2029"/>
      <c r="D87" s="2029"/>
      <c r="E87" s="2029"/>
      <c r="F87" s="2029"/>
      <c r="G87" s="2029"/>
      <c r="H87" s="2029"/>
      <c r="I87" s="2029"/>
      <c r="J87" s="2029"/>
      <c r="K87" s="2029"/>
      <c r="L87" s="2029"/>
      <c r="M87" s="2029"/>
      <c r="N87" s="2029"/>
      <c r="O87" s="2029"/>
      <c r="P87" s="2029"/>
      <c r="Q87" s="2029"/>
      <c r="R87" s="2029"/>
      <c r="S87" s="2029"/>
      <c r="T87" s="2029"/>
      <c r="U87" s="2033"/>
      <c r="V87" s="2028"/>
      <c r="W87" s="2028"/>
      <c r="X87" s="2028"/>
    </row>
    <row r="88" spans="1:24">
      <c r="A88" s="540"/>
      <c r="B88" s="657"/>
      <c r="C88" s="657"/>
      <c r="D88" s="657"/>
      <c r="E88" s="657"/>
      <c r="F88" s="657"/>
      <c r="G88" s="657"/>
      <c r="H88" s="657"/>
      <c r="I88" s="657"/>
      <c r="J88" s="657"/>
      <c r="K88" s="657"/>
      <c r="L88" s="657"/>
      <c r="M88" s="657"/>
      <c r="N88" s="657"/>
      <c r="O88" s="657"/>
      <c r="P88" s="657"/>
      <c r="Q88" s="657"/>
      <c r="R88" s="657"/>
      <c r="S88" s="657"/>
      <c r="T88" s="657"/>
      <c r="U88" s="657"/>
      <c r="V88" s="657"/>
      <c r="W88" s="657"/>
      <c r="X88" s="657"/>
    </row>
    <row r="89" spans="1:24">
      <c r="A89" s="540" t="s">
        <v>1443</v>
      </c>
      <c r="B89" s="657"/>
      <c r="C89" s="657"/>
      <c r="D89" s="657"/>
      <c r="E89" s="657"/>
      <c r="F89" s="657"/>
      <c r="G89" s="657"/>
      <c r="H89" s="657"/>
      <c r="I89" s="657"/>
      <c r="J89" s="657"/>
      <c r="K89" s="657"/>
      <c r="L89" s="657"/>
      <c r="M89" s="657"/>
      <c r="N89" s="540" t="s">
        <v>1445</v>
      </c>
      <c r="O89" s="540"/>
      <c r="P89" s="540"/>
      <c r="Q89" s="540"/>
      <c r="R89" s="540"/>
      <c r="S89" s="540"/>
      <c r="T89" s="540"/>
      <c r="U89" s="540"/>
      <c r="V89" s="657"/>
      <c r="W89" s="657"/>
      <c r="X89" s="657"/>
    </row>
    <row r="90" spans="1:24">
      <c r="A90" s="1248" t="s">
        <v>1444</v>
      </c>
      <c r="B90" s="657"/>
      <c r="C90" s="657"/>
      <c r="D90" s="657"/>
      <c r="E90" s="657"/>
      <c r="F90" s="657"/>
      <c r="G90" s="657"/>
      <c r="H90" s="657"/>
      <c r="I90" s="657"/>
      <c r="J90" s="657"/>
      <c r="K90" s="657"/>
      <c r="L90" s="657"/>
      <c r="M90" s="657"/>
      <c r="N90" s="1248" t="s">
        <v>1446</v>
      </c>
      <c r="O90" s="1248"/>
      <c r="P90" s="1248"/>
      <c r="Q90" s="1248"/>
      <c r="R90" s="1248"/>
      <c r="S90" s="1248"/>
      <c r="T90" s="1248"/>
      <c r="U90" s="1248"/>
      <c r="V90" s="657"/>
      <c r="W90" s="657"/>
      <c r="X90" s="657"/>
    </row>
    <row r="91" spans="1:24">
      <c r="A91" s="657"/>
      <c r="B91" s="657"/>
      <c r="C91" s="657"/>
      <c r="D91" s="657"/>
      <c r="E91" s="657"/>
      <c r="F91" s="657"/>
      <c r="G91" s="657"/>
      <c r="H91" s="657"/>
      <c r="I91" s="657"/>
      <c r="J91" s="657"/>
      <c r="K91" s="657"/>
      <c r="L91" s="657"/>
      <c r="M91" s="657"/>
      <c r="N91" s="657"/>
      <c r="O91" s="657"/>
      <c r="P91" s="657"/>
      <c r="Q91" s="657"/>
      <c r="R91" s="657"/>
      <c r="S91" s="657"/>
      <c r="T91" s="657"/>
      <c r="U91" s="657"/>
      <c r="V91" s="657"/>
      <c r="W91" s="657"/>
      <c r="X91" s="657"/>
    </row>
    <row r="92" spans="1:24">
      <c r="A92" s="657"/>
      <c r="B92" s="657"/>
      <c r="C92" s="657"/>
      <c r="D92" s="657"/>
      <c r="E92" s="657"/>
      <c r="F92" s="657"/>
      <c r="G92" s="657"/>
      <c r="H92" s="657"/>
      <c r="I92" s="657"/>
      <c r="J92" s="657"/>
      <c r="K92" s="657"/>
      <c r="L92" s="657"/>
      <c r="M92" s="657"/>
      <c r="N92" s="657"/>
      <c r="O92" s="657"/>
      <c r="P92" s="657"/>
      <c r="Q92" s="657"/>
      <c r="R92" s="657"/>
      <c r="S92" s="657"/>
      <c r="T92" s="657"/>
      <c r="U92" s="657"/>
      <c r="V92" s="657"/>
      <c r="W92" s="657"/>
      <c r="X92" s="657"/>
    </row>
    <row r="93" spans="1:24">
      <c r="A93" s="657"/>
      <c r="B93" s="657"/>
      <c r="C93" s="657"/>
      <c r="D93" s="657"/>
      <c r="E93" s="657"/>
      <c r="F93" s="657"/>
      <c r="G93" s="657"/>
      <c r="H93" s="657"/>
      <c r="I93" s="657"/>
      <c r="J93" s="657"/>
      <c r="K93" s="657"/>
      <c r="L93" s="657"/>
      <c r="M93" s="657"/>
      <c r="N93" s="657"/>
      <c r="O93" s="657"/>
      <c r="P93" s="657"/>
      <c r="Q93" s="657"/>
      <c r="R93" s="657"/>
      <c r="S93" s="657"/>
      <c r="T93" s="657"/>
      <c r="U93" s="657"/>
      <c r="V93" s="657"/>
      <c r="W93" s="657"/>
      <c r="X93" s="657"/>
    </row>
    <row r="94" spans="1:24">
      <c r="A94" s="657"/>
      <c r="B94" s="657"/>
      <c r="C94" s="657"/>
      <c r="D94" s="657"/>
      <c r="E94" s="657"/>
      <c r="F94" s="657"/>
      <c r="G94" s="657"/>
      <c r="H94" s="657"/>
      <c r="I94" s="657"/>
      <c r="J94" s="657"/>
      <c r="K94" s="657"/>
      <c r="L94" s="657"/>
      <c r="M94" s="657"/>
      <c r="N94" s="657"/>
      <c r="O94" s="657"/>
      <c r="P94" s="657"/>
      <c r="Q94" s="657"/>
      <c r="R94" s="657"/>
      <c r="S94" s="657"/>
      <c r="T94" s="657"/>
      <c r="U94" s="657"/>
      <c r="V94" s="657"/>
      <c r="W94" s="657"/>
      <c r="X94" s="657"/>
    </row>
    <row r="95" spans="1:24">
      <c r="A95" s="657"/>
      <c r="B95" s="657"/>
      <c r="C95" s="657"/>
      <c r="D95" s="657"/>
      <c r="E95" s="657"/>
      <c r="F95" s="657"/>
      <c r="G95" s="657"/>
      <c r="H95" s="657"/>
      <c r="I95" s="657"/>
      <c r="J95" s="657"/>
      <c r="K95" s="657"/>
      <c r="L95" s="657"/>
      <c r="M95" s="657"/>
      <c r="N95" s="657"/>
      <c r="O95" s="657"/>
      <c r="P95" s="657"/>
      <c r="Q95" s="657"/>
      <c r="R95" s="657"/>
      <c r="S95" s="657"/>
      <c r="T95" s="657"/>
      <c r="U95" s="657"/>
      <c r="V95" s="657"/>
      <c r="W95" s="657"/>
      <c r="X95" s="657"/>
    </row>
    <row r="96" spans="1:24">
      <c r="A96" s="657"/>
      <c r="B96" s="657"/>
      <c r="C96" s="657"/>
      <c r="D96" s="657"/>
      <c r="E96" s="657"/>
      <c r="F96" s="657"/>
      <c r="G96" s="657"/>
      <c r="H96" s="657"/>
      <c r="I96" s="657"/>
      <c r="J96" s="657"/>
      <c r="K96" s="657"/>
      <c r="L96" s="657"/>
      <c r="M96" s="657"/>
      <c r="N96" s="657"/>
      <c r="O96" s="657"/>
      <c r="P96" s="657"/>
      <c r="Q96" s="657"/>
      <c r="R96" s="657"/>
      <c r="S96" s="657"/>
      <c r="T96" s="657"/>
      <c r="U96" s="657"/>
      <c r="V96" s="657"/>
      <c r="W96" s="657"/>
      <c r="X96" s="657"/>
    </row>
    <row r="97" spans="1:24">
      <c r="A97" s="657"/>
      <c r="B97" s="657"/>
      <c r="C97" s="657"/>
      <c r="D97" s="657"/>
      <c r="E97" s="657"/>
      <c r="F97" s="657"/>
      <c r="G97" s="657"/>
      <c r="H97" s="657"/>
      <c r="I97" s="657"/>
      <c r="J97" s="657"/>
      <c r="K97" s="657"/>
      <c r="L97" s="657"/>
      <c r="M97" s="657"/>
      <c r="N97" s="657"/>
      <c r="O97" s="657"/>
      <c r="P97" s="657"/>
      <c r="Q97" s="657"/>
      <c r="R97" s="657"/>
      <c r="S97" s="657"/>
      <c r="T97" s="657"/>
      <c r="U97" s="657"/>
      <c r="V97" s="657"/>
      <c r="W97" s="657"/>
      <c r="X97" s="657"/>
    </row>
    <row r="98" spans="1:24">
      <c r="A98" s="657"/>
      <c r="B98" s="657"/>
      <c r="C98" s="657"/>
      <c r="D98" s="657"/>
      <c r="E98" s="657"/>
      <c r="F98" s="657"/>
      <c r="G98" s="657"/>
      <c r="H98" s="657"/>
      <c r="I98" s="657"/>
      <c r="J98" s="657"/>
      <c r="K98" s="657"/>
      <c r="L98" s="657"/>
      <c r="M98" s="657"/>
      <c r="N98" s="657"/>
      <c r="O98" s="657"/>
      <c r="P98" s="657"/>
      <c r="Q98" s="657"/>
      <c r="R98" s="657"/>
      <c r="S98" s="657"/>
      <c r="T98" s="657"/>
      <c r="U98" s="657"/>
      <c r="V98" s="657"/>
      <c r="W98" s="657"/>
      <c r="X98" s="657"/>
    </row>
    <row r="99" spans="1:24">
      <c r="A99" s="657"/>
      <c r="B99" s="657"/>
      <c r="C99" s="657"/>
      <c r="D99" s="657"/>
      <c r="E99" s="657"/>
      <c r="F99" s="657"/>
      <c r="G99" s="657"/>
      <c r="H99" s="657"/>
      <c r="I99" s="657"/>
      <c r="J99" s="657"/>
      <c r="K99" s="657"/>
      <c r="L99" s="657"/>
      <c r="M99" s="657"/>
      <c r="N99" s="657"/>
      <c r="O99" s="657"/>
      <c r="P99" s="657"/>
      <c r="Q99" s="657"/>
      <c r="R99" s="657"/>
      <c r="S99" s="657"/>
      <c r="T99" s="657"/>
      <c r="U99" s="657"/>
      <c r="V99" s="657"/>
      <c r="W99" s="657"/>
      <c r="X99" s="657"/>
    </row>
    <row r="100" spans="1:24">
      <c r="A100" s="657"/>
      <c r="B100" s="657"/>
      <c r="C100" s="657"/>
      <c r="D100" s="657"/>
      <c r="E100" s="657"/>
      <c r="F100" s="657"/>
      <c r="G100" s="657"/>
      <c r="H100" s="657"/>
      <c r="I100" s="657"/>
      <c r="J100" s="657"/>
      <c r="K100" s="657"/>
      <c r="L100" s="657"/>
      <c r="M100" s="657"/>
      <c r="N100" s="657"/>
      <c r="O100" s="657"/>
      <c r="P100" s="657"/>
      <c r="Q100" s="657"/>
      <c r="R100" s="657"/>
      <c r="S100" s="657"/>
      <c r="T100" s="657"/>
      <c r="U100" s="657"/>
      <c r="V100" s="657"/>
      <c r="W100" s="657"/>
      <c r="X100" s="657"/>
    </row>
    <row r="101" spans="1:24">
      <c r="A101" s="657"/>
      <c r="B101" s="657"/>
      <c r="C101" s="657"/>
      <c r="D101" s="657"/>
      <c r="E101" s="657"/>
      <c r="F101" s="657"/>
      <c r="G101" s="657"/>
      <c r="H101" s="657"/>
      <c r="I101" s="657"/>
      <c r="J101" s="657"/>
      <c r="K101" s="657"/>
      <c r="L101" s="657"/>
      <c r="M101" s="657"/>
      <c r="N101" s="657"/>
      <c r="O101" s="657"/>
      <c r="P101" s="657"/>
      <c r="Q101" s="657"/>
      <c r="R101" s="657"/>
      <c r="S101" s="657"/>
      <c r="T101" s="657"/>
      <c r="U101" s="657"/>
      <c r="V101" s="657"/>
      <c r="W101" s="657"/>
      <c r="X101" s="657"/>
    </row>
    <row r="102" spans="1:24">
      <c r="A102" s="657"/>
      <c r="B102" s="657"/>
      <c r="C102" s="657"/>
      <c r="D102" s="657"/>
      <c r="E102" s="657"/>
      <c r="F102" s="657"/>
      <c r="G102" s="657"/>
      <c r="H102" s="657"/>
      <c r="I102" s="657"/>
      <c r="J102" s="657"/>
      <c r="K102" s="657"/>
      <c r="L102" s="657"/>
      <c r="M102" s="657"/>
      <c r="N102" s="657"/>
      <c r="O102" s="657"/>
      <c r="P102" s="657"/>
      <c r="Q102" s="657"/>
      <c r="R102" s="657"/>
      <c r="S102" s="657"/>
      <c r="T102" s="657"/>
      <c r="U102" s="657"/>
      <c r="V102" s="657"/>
      <c r="W102" s="657"/>
      <c r="X102" s="657"/>
    </row>
    <row r="103" spans="1:24">
      <c r="A103" s="657"/>
      <c r="B103" s="657"/>
      <c r="C103" s="657"/>
      <c r="D103" s="657"/>
      <c r="E103" s="657"/>
      <c r="F103" s="657"/>
      <c r="G103" s="657"/>
      <c r="H103" s="657"/>
      <c r="I103" s="657"/>
      <c r="J103" s="657"/>
      <c r="K103" s="657"/>
      <c r="L103" s="657"/>
      <c r="M103" s="657"/>
      <c r="N103" s="657"/>
      <c r="O103" s="657"/>
      <c r="P103" s="657"/>
      <c r="Q103" s="657"/>
      <c r="R103" s="657"/>
      <c r="S103" s="657"/>
      <c r="T103" s="657"/>
      <c r="U103" s="657"/>
      <c r="V103" s="657"/>
      <c r="W103" s="657"/>
      <c r="X103" s="657"/>
    </row>
    <row r="104" spans="1:24">
      <c r="A104" s="710"/>
      <c r="B104" s="973"/>
      <c r="C104" s="973"/>
      <c r="D104" s="973"/>
      <c r="E104" s="973"/>
      <c r="F104" s="973"/>
      <c r="G104" s="973"/>
      <c r="H104" s="973"/>
      <c r="I104" s="973"/>
      <c r="J104" s="973"/>
      <c r="K104" s="973"/>
      <c r="L104" s="657"/>
      <c r="M104" s="657"/>
      <c r="N104" s="657"/>
      <c r="O104" s="657"/>
      <c r="P104" s="657"/>
      <c r="Q104" s="657"/>
      <c r="R104" s="657"/>
      <c r="S104" s="657"/>
      <c r="T104" s="657"/>
      <c r="U104" s="657"/>
      <c r="V104" s="657"/>
      <c r="W104" s="657"/>
      <c r="X104" s="657"/>
    </row>
    <row r="105" spans="1:24">
      <c r="A105" s="1332" t="s">
        <v>1447</v>
      </c>
      <c r="B105" s="1333"/>
      <c r="C105" s="1333"/>
      <c r="D105" s="1333"/>
      <c r="E105" s="1333"/>
      <c r="F105" s="1333"/>
      <c r="G105" s="1333"/>
      <c r="H105" s="1333"/>
      <c r="I105" s="1333"/>
      <c r="J105" s="1333"/>
      <c r="K105" s="1333"/>
      <c r="L105" s="1333"/>
      <c r="M105" s="1333"/>
      <c r="N105" s="1333"/>
      <c r="O105" s="1333"/>
      <c r="P105" s="1333"/>
      <c r="Q105" s="1333"/>
      <c r="R105" s="1333"/>
      <c r="S105" s="1333"/>
      <c r="T105" s="1333"/>
      <c r="U105" s="1333"/>
      <c r="V105" s="1333"/>
      <c r="W105" s="1333"/>
      <c r="X105" s="1333"/>
    </row>
    <row r="106" spans="1:24">
      <c r="K106" s="657"/>
      <c r="L106" s="657"/>
      <c r="M106" s="657"/>
      <c r="N106" s="657"/>
      <c r="O106" s="657"/>
      <c r="P106" s="657"/>
      <c r="Q106" s="657"/>
      <c r="R106" s="657"/>
      <c r="S106" s="657"/>
      <c r="T106" s="657"/>
      <c r="U106" s="657"/>
      <c r="V106" s="657"/>
      <c r="W106" s="657"/>
      <c r="X106" s="657"/>
    </row>
    <row r="107" spans="1:24">
      <c r="D107" s="2030" t="s">
        <v>1448</v>
      </c>
      <c r="E107" s="2030"/>
      <c r="F107" s="2030"/>
      <c r="G107" s="2030"/>
      <c r="H107" s="2030"/>
      <c r="I107" s="2030"/>
      <c r="J107" s="2030"/>
      <c r="K107" s="2030"/>
      <c r="L107" s="2031" t="s">
        <v>1449</v>
      </c>
      <c r="M107" s="2031"/>
      <c r="N107" s="2031"/>
      <c r="O107" s="657"/>
      <c r="P107" s="657"/>
      <c r="Q107" s="657"/>
      <c r="R107" s="657"/>
      <c r="S107" s="657"/>
      <c r="T107" s="657"/>
      <c r="U107" s="657"/>
      <c r="V107" s="657"/>
      <c r="W107" s="657"/>
      <c r="X107" s="657"/>
    </row>
    <row r="108" spans="1:24">
      <c r="D108" s="2030"/>
      <c r="E108" s="2030"/>
      <c r="F108" s="2030"/>
      <c r="G108" s="2030"/>
      <c r="H108" s="2030"/>
      <c r="I108" s="2030"/>
      <c r="J108" s="2030"/>
      <c r="K108" s="2030"/>
      <c r="L108" s="2031"/>
      <c r="M108" s="2031"/>
      <c r="N108" s="2031"/>
      <c r="O108" s="657"/>
      <c r="P108" s="657"/>
      <c r="Q108" s="657"/>
      <c r="R108" s="657"/>
      <c r="S108" s="657"/>
      <c r="T108" s="657"/>
      <c r="U108" s="657"/>
      <c r="V108" s="657"/>
      <c r="W108" s="657"/>
      <c r="X108" s="657"/>
    </row>
    <row r="109" spans="1:24">
      <c r="D109" s="2027" t="s">
        <v>1450</v>
      </c>
      <c r="E109" s="2027"/>
      <c r="F109" s="2027"/>
      <c r="G109" s="2027"/>
      <c r="H109" s="2027"/>
      <c r="I109" s="2027"/>
      <c r="J109" s="2027"/>
      <c r="K109" s="2027"/>
      <c r="L109" s="789">
        <f>'WS_CD Residual '!K255</f>
        <v>21.703682031116593</v>
      </c>
      <c r="M109" s="2027" t="s">
        <v>465</v>
      </c>
      <c r="N109" s="2027"/>
      <c r="O109" s="657"/>
      <c r="P109" s="657"/>
      <c r="Q109" s="657"/>
      <c r="R109" s="657"/>
      <c r="S109" s="657"/>
      <c r="T109" s="657"/>
      <c r="U109" s="657"/>
      <c r="V109" s="657"/>
      <c r="W109" s="657"/>
      <c r="X109" s="657"/>
    </row>
    <row r="110" spans="1:24">
      <c r="A110" s="13"/>
      <c r="C110" s="803"/>
      <c r="D110" s="2027" t="s">
        <v>1451</v>
      </c>
      <c r="E110" s="2027"/>
      <c r="F110" s="2027"/>
      <c r="G110" s="2027"/>
      <c r="H110" s="2027"/>
      <c r="I110" s="2027"/>
      <c r="J110" s="2027"/>
      <c r="K110" s="2027"/>
      <c r="L110" s="789">
        <f>'WS_CD Residual '!K256</f>
        <v>26.239975707845183</v>
      </c>
      <c r="M110" s="2027" t="s">
        <v>1452</v>
      </c>
      <c r="N110" s="2027"/>
    </row>
    <row r="111" spans="1:24">
      <c r="A111" s="657"/>
      <c r="C111" s="657"/>
      <c r="D111" s="2027" t="s">
        <v>1453</v>
      </c>
      <c r="E111" s="2027"/>
      <c r="F111" s="2027"/>
      <c r="G111" s="2027"/>
      <c r="H111" s="2027"/>
      <c r="I111" s="2027"/>
      <c r="J111" s="2027"/>
      <c r="K111" s="2027"/>
      <c r="L111" s="789" t="e">
        <f>'WS_CD Residual '!K258</f>
        <v>#N/A</v>
      </c>
      <c r="M111" s="2027" t="s">
        <v>465</v>
      </c>
      <c r="N111" s="2027"/>
    </row>
    <row r="112" spans="1:24">
      <c r="A112" s="657"/>
      <c r="C112" s="657"/>
      <c r="D112" s="2027" t="s">
        <v>1454</v>
      </c>
      <c r="E112" s="2027"/>
      <c r="F112" s="2027"/>
      <c r="G112" s="2027"/>
      <c r="H112" s="2027"/>
      <c r="I112" s="2027"/>
      <c r="J112" s="2027"/>
      <c r="K112" s="2027"/>
      <c r="L112" s="789" t="e">
        <f>'WS_CD Residual '!K259</f>
        <v>#N/A</v>
      </c>
      <c r="M112" s="2027" t="s">
        <v>1452</v>
      </c>
      <c r="N112" s="2027"/>
    </row>
    <row r="113" spans="1:24">
      <c r="A113" s="657"/>
      <c r="C113" s="657"/>
      <c r="D113" s="657"/>
      <c r="E113" s="657"/>
      <c r="F113" s="657"/>
      <c r="G113" s="657"/>
      <c r="H113" s="657"/>
      <c r="I113" s="657"/>
      <c r="J113" s="657"/>
      <c r="K113" s="657"/>
      <c r="L113" s="657"/>
      <c r="M113" s="657"/>
      <c r="N113" s="4"/>
    </row>
    <row r="114" spans="1:24">
      <c r="A114" s="657"/>
      <c r="B114" s="657"/>
      <c r="C114" s="657"/>
      <c r="D114" s="657"/>
      <c r="E114" s="657"/>
      <c r="F114" s="657"/>
      <c r="G114" s="657"/>
      <c r="H114" s="657"/>
      <c r="I114" s="657"/>
      <c r="J114" s="657"/>
      <c r="K114" s="657"/>
      <c r="L114" s="657"/>
      <c r="M114" s="657"/>
      <c r="N114" s="4"/>
    </row>
    <row r="115" spans="1:24">
      <c r="A115" s="973"/>
      <c r="B115" s="973"/>
      <c r="C115" s="973"/>
      <c r="D115" s="973"/>
      <c r="E115" s="973"/>
      <c r="F115" s="973"/>
      <c r="G115" s="973"/>
      <c r="H115" s="973"/>
      <c r="I115" s="973"/>
      <c r="J115" s="657"/>
      <c r="K115" s="657"/>
      <c r="L115" s="657"/>
      <c r="M115" s="657"/>
    </row>
    <row r="116" spans="1:24">
      <c r="A116" s="13"/>
      <c r="B116" s="13"/>
      <c r="C116" s="803"/>
      <c r="D116" s="803"/>
      <c r="E116" s="803"/>
      <c r="F116" s="13"/>
      <c r="G116" s="13"/>
      <c r="H116" s="803"/>
      <c r="I116" s="803"/>
      <c r="J116" s="657"/>
      <c r="K116" s="657"/>
      <c r="L116" s="657"/>
      <c r="M116" s="657"/>
    </row>
    <row r="117" spans="1:24">
      <c r="A117" s="13"/>
      <c r="B117" s="13"/>
      <c r="C117" s="803"/>
      <c r="D117" s="803"/>
      <c r="E117" s="803"/>
      <c r="F117" s="13"/>
      <c r="G117" s="13"/>
      <c r="H117" s="803"/>
      <c r="I117" s="803"/>
      <c r="J117" s="657"/>
      <c r="K117" s="657"/>
      <c r="L117" s="657"/>
      <c r="M117" s="657"/>
      <c r="N117" s="657"/>
      <c r="O117" s="657"/>
      <c r="P117" s="657"/>
      <c r="Q117" s="657"/>
      <c r="R117" s="657"/>
      <c r="S117" s="657"/>
      <c r="T117" s="657"/>
      <c r="U117" s="657"/>
      <c r="V117" s="657"/>
      <c r="W117" s="657"/>
      <c r="X117" s="657"/>
    </row>
    <row r="118" spans="1:24">
      <c r="A118" s="13"/>
      <c r="B118" s="13"/>
      <c r="C118" s="803"/>
      <c r="D118" s="803"/>
      <c r="E118" s="803"/>
      <c r="F118" s="13"/>
      <c r="G118" s="13"/>
      <c r="H118" s="803"/>
      <c r="I118" s="803"/>
      <c r="J118" s="657"/>
      <c r="K118" s="657"/>
      <c r="L118" s="657"/>
      <c r="M118" s="657"/>
      <c r="N118" s="657"/>
      <c r="O118" s="657"/>
      <c r="P118" s="657"/>
      <c r="Q118" s="657"/>
      <c r="R118" s="657"/>
      <c r="S118" s="657"/>
      <c r="T118" s="657"/>
      <c r="U118" s="657"/>
      <c r="V118" s="657"/>
      <c r="W118" s="657"/>
      <c r="X118" s="657"/>
    </row>
    <row r="119" spans="1:24">
      <c r="A119" s="657"/>
      <c r="B119" s="657"/>
      <c r="C119" s="657"/>
      <c r="D119" s="657"/>
      <c r="E119" s="657"/>
      <c r="F119" s="657"/>
      <c r="G119" s="657"/>
      <c r="H119" s="657"/>
      <c r="I119" s="657"/>
      <c r="J119" s="657"/>
      <c r="K119" s="657"/>
      <c r="L119" s="657"/>
      <c r="M119" s="657"/>
      <c r="N119" s="657"/>
      <c r="O119" s="657"/>
      <c r="P119" s="657"/>
      <c r="Q119" s="657"/>
      <c r="R119" s="657"/>
      <c r="S119" s="657"/>
      <c r="T119" s="657"/>
      <c r="U119" s="657"/>
      <c r="V119" s="657"/>
      <c r="W119" s="657"/>
      <c r="X119" s="657"/>
    </row>
    <row r="120" spans="1:24">
      <c r="A120" s="657"/>
      <c r="B120" s="657"/>
      <c r="C120" s="657"/>
      <c r="D120" s="657"/>
      <c r="E120" s="657"/>
      <c r="F120" s="657"/>
      <c r="G120" s="657"/>
      <c r="H120" s="657"/>
      <c r="I120" s="657"/>
      <c r="J120" s="657"/>
      <c r="K120" s="657"/>
      <c r="L120" s="657"/>
      <c r="M120" s="657"/>
      <c r="N120" s="657"/>
      <c r="O120" s="657"/>
      <c r="P120" s="657"/>
      <c r="Q120" s="657"/>
      <c r="R120" s="657"/>
      <c r="S120" s="657"/>
      <c r="T120" s="657"/>
      <c r="U120" s="657"/>
      <c r="V120" s="657"/>
      <c r="W120" s="657"/>
      <c r="X120" s="657"/>
    </row>
    <row r="121" spans="1:24">
      <c r="A121" s="657"/>
      <c r="B121" s="657"/>
      <c r="C121" s="657"/>
      <c r="D121" s="657"/>
      <c r="E121" s="657"/>
      <c r="F121" s="657"/>
      <c r="G121" s="657"/>
      <c r="H121" s="657"/>
      <c r="I121" s="657"/>
      <c r="J121" s="657"/>
      <c r="K121" s="657"/>
      <c r="L121" s="657"/>
      <c r="M121" s="657"/>
      <c r="N121" s="657"/>
      <c r="O121" s="657"/>
      <c r="P121" s="657"/>
      <c r="Q121" s="657"/>
      <c r="R121" s="657"/>
      <c r="S121" s="657"/>
      <c r="T121" s="657"/>
      <c r="U121" s="657"/>
      <c r="V121" s="657"/>
      <c r="W121" s="657"/>
      <c r="X121" s="657"/>
    </row>
    <row r="122" spans="1:24">
      <c r="A122" s="657"/>
      <c r="B122" s="657"/>
      <c r="C122" s="657"/>
      <c r="D122" s="657"/>
      <c r="E122" s="657"/>
      <c r="F122" s="657"/>
      <c r="G122" s="657"/>
      <c r="H122" s="657"/>
      <c r="I122" s="657"/>
      <c r="J122" s="657"/>
      <c r="K122" s="657"/>
      <c r="L122" s="657"/>
      <c r="M122" s="657"/>
      <c r="N122" s="657"/>
      <c r="O122" s="657"/>
      <c r="P122" s="657"/>
      <c r="Q122" s="657"/>
      <c r="R122" s="657"/>
      <c r="S122" s="657"/>
      <c r="T122" s="657"/>
      <c r="U122" s="657"/>
      <c r="V122" s="657"/>
      <c r="W122" s="657"/>
      <c r="X122" s="657"/>
    </row>
    <row r="123" spans="1:24">
      <c r="A123" s="657"/>
      <c r="B123" s="657"/>
      <c r="C123" s="657"/>
      <c r="D123" s="657"/>
      <c r="E123" s="657"/>
      <c r="F123" s="657"/>
      <c r="G123" s="657"/>
      <c r="H123" s="657"/>
      <c r="I123" s="657"/>
      <c r="J123" s="657"/>
      <c r="K123" s="657"/>
      <c r="L123" s="657"/>
      <c r="M123" s="657"/>
      <c r="N123" s="657"/>
      <c r="O123" s="657"/>
      <c r="P123" s="657"/>
      <c r="Q123" s="657"/>
      <c r="R123" s="657"/>
      <c r="S123" s="657"/>
      <c r="T123" s="657"/>
      <c r="U123" s="657"/>
      <c r="V123" s="657"/>
      <c r="W123" s="657"/>
      <c r="X123" s="657"/>
    </row>
    <row r="124" spans="1:24">
      <c r="A124" s="531"/>
    </row>
    <row r="125" spans="1:24">
      <c r="B125" s="775"/>
      <c r="C125" s="775"/>
      <c r="D125" s="775"/>
    </row>
    <row r="126" spans="1:24">
      <c r="B126" s="775"/>
      <c r="C126" s="775"/>
      <c r="D126" s="775"/>
    </row>
    <row r="127" spans="1:24">
      <c r="B127" s="775"/>
      <c r="C127" s="775"/>
      <c r="D127" s="775"/>
    </row>
    <row r="130" spans="1:24">
      <c r="T130" s="20" t="s">
        <v>1537</v>
      </c>
    </row>
    <row r="131" spans="1:24">
      <c r="C131" s="1768" t="s">
        <v>623</v>
      </c>
      <c r="D131" s="1769"/>
      <c r="E131" s="1769"/>
      <c r="F131" s="1769"/>
      <c r="G131" s="1770"/>
      <c r="H131" s="1768" t="s">
        <v>292</v>
      </c>
      <c r="I131" s="1769"/>
      <c r="J131" s="1769"/>
      <c r="K131" s="1769"/>
      <c r="L131" s="1769"/>
      <c r="M131" s="1768" t="s">
        <v>294</v>
      </c>
      <c r="N131" s="1769"/>
      <c r="O131" s="1769"/>
      <c r="P131" s="1769"/>
      <c r="Q131" s="1769"/>
      <c r="R131" s="1770"/>
      <c r="T131" s="328"/>
      <c r="U131" s="329"/>
      <c r="V131" s="329"/>
      <c r="W131" s="330"/>
    </row>
    <row r="132" spans="1:24">
      <c r="C132" s="1771" t="s">
        <v>624</v>
      </c>
      <c r="D132" s="1646"/>
      <c r="E132" s="1646"/>
      <c r="F132" s="1646"/>
      <c r="G132" s="1772"/>
      <c r="H132" s="1773" t="s">
        <v>293</v>
      </c>
      <c r="I132" s="1652"/>
      <c r="J132" s="1652"/>
      <c r="K132" s="1652"/>
      <c r="L132" s="1652"/>
      <c r="M132" s="1773" t="s">
        <v>295</v>
      </c>
      <c r="N132" s="1652"/>
      <c r="O132" s="1652"/>
      <c r="P132" s="1652"/>
      <c r="Q132" s="1652"/>
      <c r="R132" s="1774"/>
      <c r="T132" s="357"/>
      <c r="W132" s="331"/>
    </row>
    <row r="133" spans="1:24">
      <c r="C133" s="357"/>
      <c r="D133" s="359"/>
      <c r="E133" s="359"/>
      <c r="F133" s="359"/>
      <c r="G133" s="360"/>
      <c r="H133" s="357"/>
      <c r="I133"/>
      <c r="K133" s="4"/>
      <c r="M133" s="357"/>
      <c r="R133" s="331"/>
      <c r="T133" s="357"/>
      <c r="W133" s="331"/>
    </row>
    <row r="134" spans="1:24">
      <c r="C134" s="357"/>
      <c r="G134" s="331"/>
      <c r="H134" s="357"/>
      <c r="I134"/>
      <c r="K134" s="4"/>
      <c r="M134" s="357"/>
      <c r="R134" s="331"/>
      <c r="T134" s="357"/>
      <c r="W134" s="331"/>
    </row>
    <row r="135" spans="1:24">
      <c r="C135" s="357"/>
      <c r="G135" s="331"/>
      <c r="H135" s="357"/>
      <c r="I135"/>
      <c r="K135" s="4"/>
      <c r="M135" s="357"/>
      <c r="R135" s="331"/>
      <c r="T135" s="357"/>
      <c r="W135" s="331"/>
    </row>
    <row r="136" spans="1:24">
      <c r="C136" s="1777" t="str">
        <f>C65</f>
        <v>NOUFAL</v>
      </c>
      <c r="D136" s="1632"/>
      <c r="E136" s="1632"/>
      <c r="F136" s="1632"/>
      <c r="G136" s="1778"/>
      <c r="H136" s="1777" t="str">
        <f>H65</f>
        <v xml:space="preserve"> - </v>
      </c>
      <c r="I136" s="1632"/>
      <c r="J136" s="1632"/>
      <c r="K136" s="1632"/>
      <c r="L136" s="1632"/>
      <c r="M136" s="1777" t="str">
        <f>M65</f>
        <v>A.SUMARTADJI</v>
      </c>
      <c r="N136" s="1632"/>
      <c r="O136" s="1632"/>
      <c r="P136" s="1632"/>
      <c r="Q136" s="1632"/>
      <c r="R136" s="1778"/>
      <c r="T136" s="357"/>
      <c r="W136" s="331"/>
    </row>
    <row r="137" spans="1:24">
      <c r="A137" s="15"/>
      <c r="B137" s="15"/>
      <c r="C137" s="1779" t="s">
        <v>299</v>
      </c>
      <c r="D137" s="1685"/>
      <c r="E137" s="1685"/>
      <c r="F137" s="1685"/>
      <c r="G137" s="1780"/>
      <c r="H137" s="1779" t="s">
        <v>305</v>
      </c>
      <c r="I137" s="1685"/>
      <c r="J137" s="1685"/>
      <c r="K137" s="1685"/>
      <c r="L137" s="1685"/>
      <c r="M137" s="1779" t="s">
        <v>298</v>
      </c>
      <c r="N137" s="1685"/>
      <c r="O137" s="1685"/>
      <c r="P137" s="1685"/>
      <c r="Q137" s="1685"/>
      <c r="R137" s="1780"/>
      <c r="S137" s="364"/>
      <c r="T137" s="366"/>
      <c r="U137" s="364"/>
      <c r="V137" s="364"/>
      <c r="W137" s="365"/>
      <c r="X137" s="364"/>
    </row>
    <row r="138" spans="1:24">
      <c r="C138" s="1781" t="s">
        <v>291</v>
      </c>
      <c r="D138" s="1782"/>
      <c r="E138" s="2025">
        <v>46050</v>
      </c>
      <c r="F138" s="2025"/>
      <c r="G138" s="2026"/>
      <c r="H138" s="1783" t="s">
        <v>291</v>
      </c>
      <c r="I138" s="1784"/>
      <c r="J138" s="1775">
        <v>46050</v>
      </c>
      <c r="K138" s="1775"/>
      <c r="L138" s="1776"/>
      <c r="M138" s="1783" t="s">
        <v>291</v>
      </c>
      <c r="N138" s="1784"/>
      <c r="O138" s="1784"/>
      <c r="P138" s="1775">
        <v>46050</v>
      </c>
      <c r="Q138" s="1775"/>
      <c r="R138" s="1776"/>
      <c r="T138" s="332"/>
      <c r="U138" s="333"/>
      <c r="V138" s="333"/>
      <c r="W138" s="334"/>
    </row>
    <row r="139" spans="1:24" ht="8.1" customHeight="1">
      <c r="B139" s="353"/>
      <c r="C139" s="353"/>
      <c r="D139" s="353"/>
      <c r="E139" s="353"/>
      <c r="F139" s="353"/>
      <c r="G139" s="353"/>
      <c r="J139" s="353"/>
      <c r="K139" s="353"/>
      <c r="L139" s="353"/>
      <c r="M139" s="353"/>
      <c r="N139" s="353"/>
      <c r="O139" s="353"/>
      <c r="P139" s="19"/>
    </row>
    <row r="140" spans="1:24" ht="15.75" customHeight="1">
      <c r="A140" s="1691" t="s">
        <v>899</v>
      </c>
      <c r="B140" s="1692"/>
      <c r="C140" s="1693"/>
      <c r="D140" s="965" t="s">
        <v>895</v>
      </c>
      <c r="E140" s="915"/>
      <c r="F140" s="916"/>
      <c r="G140" s="916"/>
      <c r="H140" s="916"/>
      <c r="I140" s="917"/>
      <c r="J140" s="916"/>
      <c r="K140" s="916"/>
      <c r="L140" s="918"/>
      <c r="M140" s="951" t="s">
        <v>90</v>
      </c>
      <c r="N140" s="916" t="s">
        <v>891</v>
      </c>
      <c r="O140" s="920"/>
      <c r="P140" s="920"/>
      <c r="Q140" s="920"/>
      <c r="R140" s="921"/>
      <c r="S140" s="921"/>
      <c r="T140" s="921"/>
      <c r="U140" s="921"/>
      <c r="V140" s="921"/>
      <c r="W140" s="921"/>
      <c r="X140" s="922"/>
    </row>
    <row r="141" spans="1:24">
      <c r="A141" s="1694"/>
      <c r="B141" s="1695"/>
      <c r="C141" s="1696"/>
      <c r="D141" s="966" t="s">
        <v>904</v>
      </c>
      <c r="E141" s="923"/>
      <c r="F141" s="923"/>
      <c r="G141" s="923"/>
      <c r="H141" s="923"/>
      <c r="I141" s="923"/>
      <c r="J141" s="923"/>
      <c r="K141" s="923"/>
      <c r="L141" s="924"/>
      <c r="M141" s="952" t="s">
        <v>90</v>
      </c>
      <c r="N141" s="926" t="s">
        <v>912</v>
      </c>
      <c r="O141" s="927"/>
      <c r="P141" s="927"/>
      <c r="Q141" s="927"/>
      <c r="R141" s="928"/>
      <c r="S141" s="928"/>
      <c r="T141" s="928"/>
      <c r="U141" s="928"/>
      <c r="V141" s="928"/>
      <c r="W141" s="928"/>
      <c r="X141" s="929"/>
    </row>
    <row r="142" spans="1:24">
      <c r="A142" s="1694"/>
      <c r="B142" s="1695"/>
      <c r="C142" s="1696"/>
      <c r="D142" s="966" t="s">
        <v>1580</v>
      </c>
      <c r="E142" s="923"/>
      <c r="F142" s="923"/>
      <c r="G142" s="923"/>
      <c r="H142" s="923"/>
      <c r="I142" s="923"/>
      <c r="J142" s="923"/>
      <c r="K142" s="923"/>
      <c r="L142" s="924"/>
      <c r="M142" s="953"/>
      <c r="N142" s="926" t="s">
        <v>1581</v>
      </c>
      <c r="O142" s="927"/>
      <c r="P142" s="927"/>
      <c r="Q142" s="927"/>
      <c r="R142" s="928"/>
      <c r="S142" s="928"/>
      <c r="T142" s="928"/>
      <c r="U142" s="928"/>
      <c r="V142" s="928"/>
      <c r="W142" s="928"/>
      <c r="X142" s="929"/>
    </row>
    <row r="143" spans="1:24">
      <c r="A143" s="1694"/>
      <c r="B143" s="1695"/>
      <c r="C143" s="1696"/>
      <c r="D143" s="966" t="s">
        <v>1322</v>
      </c>
      <c r="E143" s="923"/>
      <c r="F143" s="923"/>
      <c r="G143" s="923"/>
      <c r="H143" s="923"/>
      <c r="I143" s="923"/>
      <c r="J143" s="923"/>
      <c r="K143" s="923"/>
      <c r="L143" s="924"/>
      <c r="M143" s="952" t="s">
        <v>90</v>
      </c>
      <c r="N143" s="926" t="s">
        <v>898</v>
      </c>
      <c r="O143" s="931"/>
      <c r="P143" s="932"/>
      <c r="Q143" s="933"/>
      <c r="R143" s="934"/>
      <c r="S143" s="934"/>
      <c r="T143" s="934"/>
      <c r="U143" s="934"/>
      <c r="V143" s="934"/>
      <c r="W143" s="934"/>
      <c r="X143" s="935"/>
    </row>
    <row r="144" spans="1:24">
      <c r="A144" s="1697"/>
      <c r="B144" s="1698"/>
      <c r="C144" s="1699"/>
      <c r="D144" s="967" t="s">
        <v>897</v>
      </c>
      <c r="E144" s="936"/>
      <c r="F144" s="936"/>
      <c r="G144" s="936"/>
      <c r="H144" s="936"/>
      <c r="I144" s="936"/>
      <c r="J144" s="936"/>
      <c r="K144" s="936"/>
      <c r="L144" s="937"/>
      <c r="M144" s="954"/>
      <c r="N144" s="939" t="s">
        <v>894</v>
      </c>
      <c r="O144" s="940"/>
      <c r="P144" s="940"/>
      <c r="Q144" s="940"/>
      <c r="R144" s="940"/>
      <c r="S144" s="941"/>
      <c r="T144" s="940"/>
      <c r="U144" s="940"/>
      <c r="V144" s="941"/>
      <c r="W144" s="941"/>
      <c r="X144" s="942"/>
    </row>
    <row r="145" spans="1:24" ht="12" customHeight="1">
      <c r="B145" s="353"/>
      <c r="C145" s="353"/>
      <c r="D145" s="353"/>
      <c r="E145" s="353"/>
      <c r="F145" s="353"/>
      <c r="G145" s="353"/>
      <c r="J145" s="353"/>
      <c r="K145" s="353"/>
      <c r="L145" s="353"/>
      <c r="M145" s="353"/>
      <c r="N145" s="353"/>
      <c r="O145" s="353"/>
      <c r="P145" s="19"/>
      <c r="T145" s="912" t="str">
        <f>$T$74</f>
        <v>23-MINEARTH-RM-LHU-DS-CD RES-R0</v>
      </c>
    </row>
    <row r="146" spans="1:24">
      <c r="A146" s="361" t="s">
        <v>892</v>
      </c>
      <c r="B146" s="893"/>
      <c r="C146" s="893"/>
      <c r="D146" s="893"/>
      <c r="E146" s="893"/>
      <c r="F146" s="893"/>
      <c r="G146" s="893"/>
      <c r="H146" s="893"/>
      <c r="I146" s="894"/>
      <c r="J146" s="893"/>
      <c r="K146" s="361" t="s">
        <v>1330</v>
      </c>
      <c r="L146" s="893"/>
      <c r="M146" s="893"/>
      <c r="N146" s="893"/>
      <c r="O146" s="893"/>
      <c r="P146" s="893"/>
      <c r="Q146" s="893"/>
      <c r="R146" s="893"/>
      <c r="S146" s="361" t="s">
        <v>285</v>
      </c>
      <c r="T146" s="893"/>
      <c r="U146" s="895"/>
      <c r="V146" s="893"/>
      <c r="W146" s="893"/>
      <c r="X146" s="893"/>
    </row>
    <row r="147" spans="1:24">
      <c r="A147" s="361" t="s">
        <v>283</v>
      </c>
      <c r="B147" s="892"/>
      <c r="C147" s="892"/>
      <c r="D147" s="892"/>
      <c r="E147" s="892"/>
      <c r="F147" s="892"/>
      <c r="G147" s="892"/>
      <c r="H147" s="892"/>
      <c r="I147" s="891"/>
      <c r="J147" s="892"/>
      <c r="K147" s="361" t="s">
        <v>296</v>
      </c>
      <c r="L147" s="892"/>
      <c r="M147" s="892"/>
      <c r="N147" s="892"/>
      <c r="O147" s="892"/>
      <c r="P147" s="892"/>
      <c r="Q147" s="892"/>
      <c r="R147" s="892"/>
      <c r="S147" s="361" t="s">
        <v>289</v>
      </c>
      <c r="T147" s="892"/>
      <c r="U147" s="892"/>
      <c r="V147" s="892"/>
      <c r="W147" s="892"/>
      <c r="X147" s="892"/>
    </row>
    <row r="148" spans="1:24">
      <c r="A148" s="892"/>
      <c r="B148" s="361"/>
      <c r="C148" s="361"/>
      <c r="D148" s="361"/>
      <c r="E148" s="361"/>
      <c r="F148" s="361"/>
      <c r="G148" s="361"/>
      <c r="H148" s="336"/>
      <c r="I148" s="891"/>
      <c r="J148" s="336"/>
      <c r="K148" s="892"/>
      <c r="L148" s="336"/>
      <c r="M148" s="336"/>
      <c r="N148" s="336"/>
      <c r="O148" s="336"/>
      <c r="P148" s="892"/>
      <c r="Q148" s="336"/>
      <c r="R148" s="892"/>
      <c r="S148" s="892"/>
      <c r="T148" s="336"/>
      <c r="U148" s="336"/>
      <c r="V148" s="336"/>
      <c r="W148" s="336"/>
      <c r="X148" s="336"/>
    </row>
    <row r="149" spans="1:24" ht="23.25">
      <c r="F149" s="1681" t="s">
        <v>302</v>
      </c>
      <c r="G149" s="1681"/>
      <c r="H149" s="1681"/>
      <c r="I149" s="1681"/>
      <c r="J149" s="1681"/>
      <c r="K149" s="1681"/>
      <c r="L149" s="1681"/>
      <c r="M149" s="1681"/>
      <c r="N149" s="1681"/>
      <c r="O149" s="1681"/>
      <c r="P149" s="1681"/>
      <c r="Q149" s="1681"/>
      <c r="R149" s="1681"/>
      <c r="S149" s="1681"/>
      <c r="T149" s="1681"/>
    </row>
    <row r="150" spans="1:24" ht="20.25">
      <c r="F150" s="1682" t="s">
        <v>1582</v>
      </c>
      <c r="G150" s="1682"/>
      <c r="H150" s="1682"/>
      <c r="I150" s="1682"/>
      <c r="J150" s="1682"/>
      <c r="K150" s="1682"/>
      <c r="L150" s="1682"/>
      <c r="M150" s="1682"/>
      <c r="N150" s="1682"/>
      <c r="O150" s="1682"/>
      <c r="P150" s="1682"/>
      <c r="Q150" s="1682"/>
      <c r="R150" s="1682"/>
      <c r="S150" s="1682"/>
      <c r="T150" s="1682"/>
    </row>
    <row r="151" spans="1:24">
      <c r="F151" s="1683" t="s">
        <v>304</v>
      </c>
      <c r="G151" s="1683"/>
      <c r="H151" s="1683"/>
      <c r="I151" s="1683"/>
      <c r="J151" s="1683"/>
      <c r="K151" s="1683"/>
      <c r="L151" s="1683"/>
      <c r="M151" s="1683"/>
      <c r="N151" s="1683"/>
      <c r="O151" s="1683"/>
      <c r="P151" s="1683"/>
      <c r="Q151" s="1683"/>
      <c r="R151" s="1683"/>
      <c r="S151" s="1683"/>
      <c r="T151" s="1683"/>
    </row>
    <row r="152" spans="1:24">
      <c r="A152" s="333"/>
      <c r="B152" s="333"/>
      <c r="C152" s="333"/>
      <c r="D152" s="333"/>
      <c r="E152" s="333"/>
      <c r="F152" s="333"/>
      <c r="G152" s="333"/>
      <c r="H152" s="333"/>
      <c r="I152" s="337"/>
      <c r="J152" s="333"/>
      <c r="K152" s="333"/>
      <c r="L152" s="333"/>
      <c r="M152" s="333"/>
      <c r="N152" s="333"/>
      <c r="O152" s="333"/>
      <c r="P152" s="333"/>
      <c r="Q152" s="333"/>
      <c r="R152" s="333"/>
      <c r="S152" s="333"/>
      <c r="T152" s="333"/>
      <c r="U152" s="333"/>
      <c r="V152" s="333"/>
      <c r="W152" s="333"/>
      <c r="X152" s="333"/>
    </row>
    <row r="153" spans="1:24" ht="8.1" customHeight="1"/>
    <row r="154" spans="1:24">
      <c r="A154" s="1680" t="s">
        <v>1346</v>
      </c>
      <c r="B154" s="1680"/>
      <c r="C154" s="1680"/>
      <c r="D154" s="1680"/>
      <c r="E154" s="656" t="str">
        <f>":  " &amp; IF('DATA INDUK'!$H$17="","",'DATA INDUK'!$H$17)</f>
        <v>:  23/MGS/53/II/2026</v>
      </c>
      <c r="G154" s="340"/>
      <c r="H154" s="340"/>
      <c r="I154" s="16"/>
      <c r="J154" s="340"/>
      <c r="K154" s="335"/>
      <c r="L154" s="335"/>
      <c r="M154" s="335"/>
      <c r="N154" s="335"/>
      <c r="O154" s="335"/>
      <c r="P154" s="335"/>
      <c r="Q154" s="335"/>
      <c r="R154" s="335"/>
      <c r="S154" s="335"/>
      <c r="T154" s="335"/>
      <c r="U154" s="335"/>
      <c r="V154" s="335"/>
      <c r="W154" s="335"/>
      <c r="X154" s="335"/>
    </row>
    <row r="155" spans="1:24">
      <c r="A155" s="1635" t="s">
        <v>1347</v>
      </c>
      <c r="B155" s="1635"/>
      <c r="C155" s="1635"/>
      <c r="D155" s="1635"/>
      <c r="E155" s="794" t="str">
        <f>":  "&amp;IF('DATA INDUK'!$H$18="","",'DATA INDUK'!$H$18)</f>
        <v>:  R0</v>
      </c>
      <c r="G155" s="672"/>
      <c r="H155" s="672"/>
      <c r="I155" s="1127"/>
      <c r="J155" s="672" t="s">
        <v>1348</v>
      </c>
      <c r="K155" s="672"/>
      <c r="L155" s="672"/>
      <c r="M155" s="1636" t="str">
        <f>":  "&amp;IF('DATA INDUK'!$H$19="","",TEXT('DATA INDUK'!$H$19,"dd mmmm yyyy"))</f>
        <v>:  29 January 2026</v>
      </c>
      <c r="N155" s="1636"/>
      <c r="O155" s="1636"/>
      <c r="P155" s="1636"/>
      <c r="Q155" s="1636"/>
      <c r="R155" s="1194"/>
      <c r="S155" s="1127"/>
      <c r="T155" s="1649" t="s">
        <v>1349</v>
      </c>
      <c r="U155" s="1649"/>
      <c r="V155" s="1649"/>
      <c r="W155" s="1635" t="str">
        <f>":  3 dari 3"</f>
        <v>:  3 dari 3</v>
      </c>
      <c r="X155" s="1635"/>
    </row>
    <row r="157" spans="1:24" ht="23.1" customHeight="1">
      <c r="A157" s="1878" t="s">
        <v>288</v>
      </c>
      <c r="B157" s="1878"/>
      <c r="C157" s="1878"/>
      <c r="D157" s="1878"/>
      <c r="E157" s="1878"/>
      <c r="F157" s="1878"/>
      <c r="G157" s="1878"/>
      <c r="H157" s="1878"/>
      <c r="I157" s="1878"/>
      <c r="J157" s="1878"/>
      <c r="K157" s="1878"/>
      <c r="L157" s="1878"/>
      <c r="M157" s="1878"/>
      <c r="N157" s="1878"/>
      <c r="O157" s="1878"/>
      <c r="P157" s="1878"/>
      <c r="Q157" s="1878"/>
      <c r="R157" s="1878"/>
      <c r="S157" s="1878"/>
      <c r="T157" s="1878"/>
      <c r="U157" s="1878"/>
      <c r="V157" s="1878"/>
      <c r="W157" s="1878"/>
      <c r="X157" s="1878"/>
    </row>
    <row r="159" spans="1:24">
      <c r="A159" s="540" t="s">
        <v>1443</v>
      </c>
      <c r="N159" s="540" t="s">
        <v>1455</v>
      </c>
    </row>
    <row r="160" spans="1:24">
      <c r="A160" s="1248" t="s">
        <v>1444</v>
      </c>
      <c r="B160" s="540"/>
      <c r="C160" s="540"/>
      <c r="D160" s="540"/>
      <c r="E160" s="540"/>
      <c r="F160" s="540"/>
      <c r="G160" s="540"/>
      <c r="H160" s="540"/>
      <c r="I160" s="976"/>
      <c r="J160" s="540"/>
      <c r="K160" s="540"/>
      <c r="L160" s="540"/>
      <c r="M160" s="540"/>
      <c r="N160" s="1248" t="s">
        <v>1456</v>
      </c>
      <c r="O160" s="540"/>
      <c r="P160" s="540"/>
      <c r="Q160" s="540"/>
      <c r="R160" s="540"/>
      <c r="S160" s="540"/>
      <c r="T160" s="540"/>
      <c r="U160" s="540"/>
      <c r="V160" s="540"/>
      <c r="W160" s="540"/>
      <c r="X160" s="540"/>
    </row>
    <row r="176" spans="1:12">
      <c r="A176" s="540"/>
      <c r="L176" s="977"/>
    </row>
    <row r="177" spans="1:12">
      <c r="A177" s="540"/>
      <c r="L177" s="977"/>
    </row>
    <row r="207" spans="1:24">
      <c r="H207" s="686"/>
      <c r="I207" s="687"/>
      <c r="J207" s="686"/>
      <c r="K207" s="686"/>
      <c r="L207" s="686"/>
      <c r="M207" s="686"/>
      <c r="N207" s="686"/>
      <c r="O207" s="686"/>
      <c r="P207" s="686"/>
      <c r="Q207" s="686"/>
      <c r="R207" s="686"/>
      <c r="S207" s="686"/>
      <c r="U207" s="20" t="s">
        <v>1537</v>
      </c>
      <c r="V207" s="686"/>
      <c r="W207" s="686"/>
      <c r="X207" s="686"/>
    </row>
    <row r="208" spans="1:24">
      <c r="A208" s="700" t="s">
        <v>297</v>
      </c>
      <c r="B208" s="338"/>
      <c r="C208" s="338"/>
      <c r="D208" s="4"/>
      <c r="E208" s="4"/>
      <c r="F208" s="4"/>
      <c r="G208" s="690"/>
      <c r="H208" s="1798" t="s">
        <v>623</v>
      </c>
      <c r="I208" s="1798"/>
      <c r="J208" s="1798"/>
      <c r="K208" s="1799"/>
      <c r="L208" s="1800" t="s">
        <v>292</v>
      </c>
      <c r="M208" s="1800"/>
      <c r="N208" s="1800"/>
      <c r="O208" s="1801"/>
      <c r="P208" s="1802" t="s">
        <v>294</v>
      </c>
      <c r="Q208" s="1798"/>
      <c r="R208" s="1798"/>
      <c r="S208" s="1799"/>
      <c r="U208" s="698"/>
      <c r="V208" s="688"/>
      <c r="W208" s="688"/>
      <c r="X208" s="694"/>
    </row>
    <row r="209" spans="1:27" ht="15.95" customHeight="1">
      <c r="G209" s="691"/>
      <c r="H209" s="1675" t="s">
        <v>844</v>
      </c>
      <c r="I209" s="1675"/>
      <c r="J209" s="1675"/>
      <c r="K209" s="1785"/>
      <c r="L209" s="1675" t="s">
        <v>293</v>
      </c>
      <c r="M209" s="1675"/>
      <c r="N209" s="1675"/>
      <c r="O209" s="1785"/>
      <c r="P209" s="1794" t="s">
        <v>295</v>
      </c>
      <c r="Q209" s="1675"/>
      <c r="R209" s="1675"/>
      <c r="S209" s="1785"/>
      <c r="U209" s="697"/>
      <c r="X209" s="691"/>
    </row>
    <row r="210" spans="1:27">
      <c r="G210" s="691"/>
      <c r="H210" s="1665" t="str">
        <f>C65</f>
        <v>NOUFAL</v>
      </c>
      <c r="I210" s="1665"/>
      <c r="J210" s="1665"/>
      <c r="K210" s="1796"/>
      <c r="O210" s="690"/>
      <c r="P210" s="697"/>
      <c r="S210" s="691"/>
      <c r="U210" s="697"/>
      <c r="X210" s="691"/>
    </row>
    <row r="211" spans="1:27">
      <c r="G211" s="691"/>
      <c r="H211" s="1665"/>
      <c r="I211" s="1665"/>
      <c r="J211" s="1665"/>
      <c r="K211" s="1796"/>
      <c r="O211" s="690"/>
      <c r="P211" s="697"/>
      <c r="S211" s="691"/>
      <c r="U211" s="697"/>
      <c r="X211" s="691"/>
    </row>
    <row r="212" spans="1:27">
      <c r="G212" s="691"/>
      <c r="H212" s="1665"/>
      <c r="I212" s="1665"/>
      <c r="J212" s="1665"/>
      <c r="K212" s="1796"/>
      <c r="O212" s="690"/>
      <c r="P212" s="697"/>
      <c r="S212" s="691"/>
      <c r="U212" s="697"/>
      <c r="X212" s="691"/>
    </row>
    <row r="213" spans="1:27">
      <c r="G213" s="691"/>
      <c r="H213" s="1665"/>
      <c r="I213" s="1665"/>
      <c r="J213" s="1665"/>
      <c r="K213" s="1796"/>
      <c r="L213" s="1665" t="str">
        <f>H65</f>
        <v xml:space="preserve"> - </v>
      </c>
      <c r="M213" s="1665"/>
      <c r="N213" s="1665"/>
      <c r="O213" s="1796"/>
      <c r="P213" s="1797" t="str">
        <f>M65</f>
        <v>A.SUMARTADJI</v>
      </c>
      <c r="Q213" s="1665"/>
      <c r="R213" s="1665"/>
      <c r="S213" s="1796"/>
      <c r="U213" s="697"/>
      <c r="X213" s="691"/>
    </row>
    <row r="214" spans="1:27">
      <c r="G214" s="691"/>
      <c r="H214" s="1668" t="str">
        <f>C66</f>
        <v>Teknisi/Analis</v>
      </c>
      <c r="I214" s="1668"/>
      <c r="J214" s="1668"/>
      <c r="K214" s="1755"/>
      <c r="L214" s="1668" t="str">
        <f>H66</f>
        <v>Koordinator Teknis</v>
      </c>
      <c r="M214" s="1668"/>
      <c r="N214" s="1668"/>
      <c r="O214" s="1755"/>
      <c r="P214" s="1754" t="str">
        <f>M66</f>
        <v>Kepala Laboratorium</v>
      </c>
      <c r="Q214" s="1668"/>
      <c r="R214" s="1668"/>
      <c r="S214" s="1755"/>
      <c r="U214" s="699"/>
      <c r="V214" s="358"/>
      <c r="W214" s="358"/>
      <c r="X214" s="695"/>
      <c r="Y214" s="358"/>
      <c r="Z214" s="358"/>
      <c r="AA214" s="358"/>
    </row>
    <row r="215" spans="1:27" ht="15.95" customHeight="1">
      <c r="G215" s="691"/>
      <c r="H215" s="1803" t="s">
        <v>291</v>
      </c>
      <c r="I215" s="1803"/>
      <c r="J215" s="1804">
        <f>E67</f>
        <v>46050</v>
      </c>
      <c r="K215" s="1805"/>
      <c r="L215" s="1806" t="s">
        <v>300</v>
      </c>
      <c r="M215" s="1806"/>
      <c r="N215" s="1807">
        <f>J67</f>
        <v>46050</v>
      </c>
      <c r="O215" s="1808"/>
      <c r="P215" s="1809" t="s">
        <v>301</v>
      </c>
      <c r="Q215" s="1810"/>
      <c r="R215" s="1792">
        <f>P67</f>
        <v>46050</v>
      </c>
      <c r="S215" s="1793"/>
      <c r="U215" s="692"/>
      <c r="V215" s="693"/>
      <c r="W215" s="693"/>
      <c r="X215" s="696"/>
    </row>
    <row r="216" spans="1:27" ht="8.1" customHeight="1">
      <c r="H216" s="688"/>
      <c r="I216" s="689"/>
      <c r="J216" s="688"/>
      <c r="K216" s="688"/>
      <c r="L216" s="688"/>
      <c r="M216" s="688"/>
      <c r="N216" s="688"/>
      <c r="O216" s="688"/>
      <c r="P216" s="688"/>
      <c r="Q216" s="688"/>
      <c r="R216" s="688"/>
      <c r="S216" s="688"/>
    </row>
    <row r="217" spans="1:27" ht="18" customHeight="1">
      <c r="B217" s="356"/>
      <c r="C217" s="356"/>
      <c r="D217" s="356"/>
      <c r="E217" s="356"/>
      <c r="T217" s="860" t="str">
        <f>$T$145</f>
        <v>23-MINEARTH-RM-LHU-DS-CD RES-R0</v>
      </c>
      <c r="U217" s="367"/>
      <c r="V217" s="367"/>
      <c r="W217" s="367"/>
      <c r="X217" s="367"/>
    </row>
    <row r="218" spans="1:27" ht="18" customHeight="1">
      <c r="A218" s="362"/>
      <c r="B218" s="362"/>
      <c r="C218" s="362"/>
      <c r="D218" s="362"/>
      <c r="E218" s="362"/>
    </row>
    <row r="219" spans="1:27" ht="8.1" customHeight="1"/>
  </sheetData>
  <mergeCells count="173">
    <mergeCell ref="N22:R23"/>
    <mergeCell ref="S22:X23"/>
    <mergeCell ref="S14:X14"/>
    <mergeCell ref="N15:R16"/>
    <mergeCell ref="S15:X16"/>
    <mergeCell ref="N17:R17"/>
    <mergeCell ref="S17:X17"/>
    <mergeCell ref="N18:R19"/>
    <mergeCell ref="S18:X19"/>
    <mergeCell ref="N20:R21"/>
    <mergeCell ref="S20:X21"/>
    <mergeCell ref="A19:D20"/>
    <mergeCell ref="E19:L20"/>
    <mergeCell ref="A21:D22"/>
    <mergeCell ref="E21:L22"/>
    <mergeCell ref="A83:D83"/>
    <mergeCell ref="A84:D84"/>
    <mergeCell ref="M84:Q84"/>
    <mergeCell ref="T84:V84"/>
    <mergeCell ref="W84:X84"/>
    <mergeCell ref="A26:T26"/>
    <mergeCell ref="U26:U27"/>
    <mergeCell ref="V26:X27"/>
    <mergeCell ref="A27:T27"/>
    <mergeCell ref="N31:R32"/>
    <mergeCell ref="S31:T32"/>
    <mergeCell ref="U31:V32"/>
    <mergeCell ref="W31:X32"/>
    <mergeCell ref="A30:G30"/>
    <mergeCell ref="H30:I30"/>
    <mergeCell ref="J30:K30"/>
    <mergeCell ref="N30:R30"/>
    <mergeCell ref="S30:T30"/>
    <mergeCell ref="U30:V30"/>
    <mergeCell ref="U33:V34"/>
    <mergeCell ref="A17:L17"/>
    <mergeCell ref="W30:X30"/>
    <mergeCell ref="A31:G32"/>
    <mergeCell ref="A9:L9"/>
    <mergeCell ref="A12:L12"/>
    <mergeCell ref="N12:X12"/>
    <mergeCell ref="F1:T1"/>
    <mergeCell ref="F2:T2"/>
    <mergeCell ref="F3:T3"/>
    <mergeCell ref="A6:D6"/>
    <mergeCell ref="A7:D7"/>
    <mergeCell ref="M7:Q7"/>
    <mergeCell ref="T7:V7"/>
    <mergeCell ref="W7:X7"/>
    <mergeCell ref="A13:D13"/>
    <mergeCell ref="E13:L13"/>
    <mergeCell ref="A14:D14"/>
    <mergeCell ref="E14:L14"/>
    <mergeCell ref="N13:R13"/>
    <mergeCell ref="S13:X13"/>
    <mergeCell ref="N14:R14"/>
    <mergeCell ref="H31:I32"/>
    <mergeCell ref="J31:K32"/>
    <mergeCell ref="L31:L32"/>
    <mergeCell ref="W33:X34"/>
    <mergeCell ref="A35:G36"/>
    <mergeCell ref="H35:I36"/>
    <mergeCell ref="J35:K36"/>
    <mergeCell ref="L35:L36"/>
    <mergeCell ref="N35:R36"/>
    <mergeCell ref="S35:T36"/>
    <mergeCell ref="U35:V36"/>
    <mergeCell ref="W35:X36"/>
    <mergeCell ref="A33:G34"/>
    <mergeCell ref="H33:I34"/>
    <mergeCell ref="J33:K34"/>
    <mergeCell ref="L33:L34"/>
    <mergeCell ref="N33:R34"/>
    <mergeCell ref="S33:T34"/>
    <mergeCell ref="U37:V38"/>
    <mergeCell ref="W37:X38"/>
    <mergeCell ref="A39:G39"/>
    <mergeCell ref="H39:I39"/>
    <mergeCell ref="J39:K39"/>
    <mergeCell ref="A40:G40"/>
    <mergeCell ref="H40:I40"/>
    <mergeCell ref="J40:K40"/>
    <mergeCell ref="A37:G38"/>
    <mergeCell ref="H37:I38"/>
    <mergeCell ref="J37:K38"/>
    <mergeCell ref="L37:L38"/>
    <mergeCell ref="N37:R38"/>
    <mergeCell ref="S37:T38"/>
    <mergeCell ref="C61:G61"/>
    <mergeCell ref="H61:L61"/>
    <mergeCell ref="M61:R61"/>
    <mergeCell ref="C65:G65"/>
    <mergeCell ref="H65:L65"/>
    <mergeCell ref="M65:R65"/>
    <mergeCell ref="A41:G41"/>
    <mergeCell ref="H41:I41"/>
    <mergeCell ref="J41:K41"/>
    <mergeCell ref="C60:G60"/>
    <mergeCell ref="H60:L60"/>
    <mergeCell ref="M60:R60"/>
    <mergeCell ref="A69:C73"/>
    <mergeCell ref="F78:T78"/>
    <mergeCell ref="F79:T79"/>
    <mergeCell ref="F80:T80"/>
    <mergeCell ref="D110:K110"/>
    <mergeCell ref="M110:N110"/>
    <mergeCell ref="D111:K111"/>
    <mergeCell ref="M111:N111"/>
    <mergeCell ref="C66:G66"/>
    <mergeCell ref="H66:L66"/>
    <mergeCell ref="M66:R66"/>
    <mergeCell ref="C67:D67"/>
    <mergeCell ref="E67:G67"/>
    <mergeCell ref="H67:I67"/>
    <mergeCell ref="J67:L67"/>
    <mergeCell ref="M67:O67"/>
    <mergeCell ref="P67:R67"/>
    <mergeCell ref="D112:K112"/>
    <mergeCell ref="M112:N112"/>
    <mergeCell ref="V86:X87"/>
    <mergeCell ref="A87:T87"/>
    <mergeCell ref="D107:K108"/>
    <mergeCell ref="L107:N108"/>
    <mergeCell ref="D109:K109"/>
    <mergeCell ref="M109:N109"/>
    <mergeCell ref="C136:G136"/>
    <mergeCell ref="H136:L136"/>
    <mergeCell ref="M136:R136"/>
    <mergeCell ref="A86:T86"/>
    <mergeCell ref="U86:U87"/>
    <mergeCell ref="C137:G137"/>
    <mergeCell ref="H137:L137"/>
    <mergeCell ref="M137:R137"/>
    <mergeCell ref="C131:G131"/>
    <mergeCell ref="H131:L131"/>
    <mergeCell ref="M131:R131"/>
    <mergeCell ref="C132:G132"/>
    <mergeCell ref="H132:L132"/>
    <mergeCell ref="M132:R132"/>
    <mergeCell ref="A140:C144"/>
    <mergeCell ref="F149:T149"/>
    <mergeCell ref="F150:T150"/>
    <mergeCell ref="F151:T151"/>
    <mergeCell ref="C138:D138"/>
    <mergeCell ref="E138:G138"/>
    <mergeCell ref="H138:I138"/>
    <mergeCell ref="J138:L138"/>
    <mergeCell ref="M138:O138"/>
    <mergeCell ref="P138:R138"/>
    <mergeCell ref="A154:D154"/>
    <mergeCell ref="H209:K209"/>
    <mergeCell ref="L209:O209"/>
    <mergeCell ref="P209:S209"/>
    <mergeCell ref="H210:K213"/>
    <mergeCell ref="L213:O213"/>
    <mergeCell ref="P213:S213"/>
    <mergeCell ref="A157:X157"/>
    <mergeCell ref="H208:K208"/>
    <mergeCell ref="L208:O208"/>
    <mergeCell ref="P208:S208"/>
    <mergeCell ref="A155:D155"/>
    <mergeCell ref="M155:Q155"/>
    <mergeCell ref="T155:V155"/>
    <mergeCell ref="W155:X155"/>
    <mergeCell ref="H214:K214"/>
    <mergeCell ref="L214:O214"/>
    <mergeCell ref="P214:S214"/>
    <mergeCell ref="H215:I215"/>
    <mergeCell ref="J215:K215"/>
    <mergeCell ref="L215:M215"/>
    <mergeCell ref="N215:O215"/>
    <mergeCell ref="P215:Q215"/>
    <mergeCell ref="R215:S215"/>
  </mergeCells>
  <pageMargins left="0.72" right="0.47" top="0.59" bottom="0.51" header="0.28000000000000003" footer="0.28000000000000003"/>
  <pageSetup paperSize="9" scale="69" orientation="portrait" r:id="rId1"/>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6BBE-0723-7A4D-B9DB-FB02DF4675E8}">
  <dimension ref="A1:Y219"/>
  <sheetViews>
    <sheetView topLeftCell="A170" zoomScale="71" zoomScaleNormal="71" workbookViewId="0">
      <selection activeCell="A162" sqref="A162"/>
    </sheetView>
  </sheetViews>
  <sheetFormatPr defaultColWidth="11" defaultRowHeight="15.75"/>
  <sheetData>
    <row r="1" spans="1:21" ht="18">
      <c r="A1" s="708" t="s">
        <v>701</v>
      </c>
      <c r="B1" s="708"/>
      <c r="C1" s="708"/>
      <c r="D1" s="708"/>
      <c r="E1" s="708"/>
      <c r="F1" s="708"/>
      <c r="G1" s="708"/>
      <c r="H1" s="708"/>
      <c r="I1" s="708"/>
      <c r="J1" s="708"/>
      <c r="K1" s="708"/>
      <c r="L1" s="708"/>
      <c r="M1" s="708"/>
      <c r="N1" s="708"/>
      <c r="O1" s="708"/>
      <c r="P1" s="708"/>
      <c r="Q1" s="708"/>
      <c r="R1" s="708"/>
      <c r="S1" s="708"/>
      <c r="T1" s="708"/>
      <c r="U1" s="708"/>
    </row>
    <row r="2" spans="1:21" ht="23.25">
      <c r="A2" s="663" t="s">
        <v>1422</v>
      </c>
      <c r="B2" s="663"/>
      <c r="C2" s="663"/>
      <c r="D2" s="663"/>
      <c r="E2" s="663"/>
      <c r="F2" s="663"/>
      <c r="G2" s="663"/>
      <c r="H2" s="663"/>
      <c r="I2" s="663"/>
      <c r="J2" s="663"/>
      <c r="K2" s="663"/>
      <c r="L2" s="663"/>
      <c r="M2" s="663"/>
      <c r="N2" s="663"/>
      <c r="O2" s="663"/>
      <c r="P2" s="663"/>
      <c r="Q2" s="663"/>
      <c r="R2" s="663"/>
      <c r="S2" s="663"/>
      <c r="T2" s="663"/>
      <c r="U2" s="663"/>
    </row>
    <row r="3" spans="1:21" ht="23.25">
      <c r="A3" s="664" t="s">
        <v>1423</v>
      </c>
      <c r="B3" s="662"/>
      <c r="C3" s="662"/>
      <c r="D3" s="662"/>
      <c r="E3" s="662"/>
      <c r="F3" s="662"/>
      <c r="G3" s="662"/>
      <c r="H3" s="662"/>
      <c r="I3" s="662"/>
      <c r="J3" s="662"/>
      <c r="K3" s="662"/>
      <c r="L3" s="662"/>
      <c r="M3" s="662"/>
      <c r="N3" s="662"/>
      <c r="O3" s="662"/>
      <c r="P3" s="662"/>
      <c r="Q3" s="662"/>
      <c r="R3" s="662"/>
      <c r="S3" s="662"/>
      <c r="T3" s="662"/>
      <c r="U3" s="662"/>
    </row>
    <row r="4" spans="1:21" ht="23.25">
      <c r="A4" s="709"/>
      <c r="B4" s="709" t="s">
        <v>796</v>
      </c>
      <c r="C4" s="709"/>
      <c r="D4" s="709"/>
      <c r="E4" s="709"/>
      <c r="F4" s="709"/>
      <c r="G4" s="709"/>
      <c r="H4" s="709"/>
      <c r="I4" s="709"/>
      <c r="J4" s="709"/>
      <c r="K4" s="709"/>
      <c r="L4" s="709"/>
      <c r="M4" s="709"/>
      <c r="N4" s="709"/>
      <c r="O4" s="709"/>
      <c r="P4" s="709"/>
      <c r="Q4" s="709"/>
      <c r="R4" s="709"/>
      <c r="S4" s="709"/>
      <c r="T4" s="709"/>
      <c r="U4" s="616"/>
    </row>
    <row r="5" spans="1:21">
      <c r="A5" s="335" t="s">
        <v>788</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 t="s">
        <v>775</v>
      </c>
      <c r="B7" s="1"/>
      <c r="C7" s="1"/>
      <c r="D7" s="539" t="str">
        <f>IFERROR(INDEX('DATA INDUK'!$H$27:$H$152,MATCH(ROW(D1),'DATA INDUK'!$BD$27:$BD$152,0)),"")</f>
        <v>26-001-DS-001</v>
      </c>
      <c r="E7" s="13"/>
      <c r="F7" s="13"/>
      <c r="G7" s="13"/>
      <c r="H7" s="15"/>
      <c r="I7" s="15"/>
      <c r="J7" s="15"/>
      <c r="K7" s="15"/>
      <c r="L7" s="15"/>
      <c r="M7" s="15"/>
      <c r="N7" s="15"/>
      <c r="O7" s="15"/>
      <c r="P7" s="15"/>
      <c r="Q7" s="15"/>
      <c r="R7" s="15"/>
      <c r="S7" s="15"/>
      <c r="T7" s="335"/>
      <c r="U7" s="335"/>
    </row>
    <row r="8" spans="1:21">
      <c r="A8" s="13"/>
      <c r="B8" s="13"/>
      <c r="C8" s="13"/>
      <c r="D8" s="540"/>
      <c r="E8" s="15"/>
      <c r="F8" s="15"/>
      <c r="G8" s="15"/>
      <c r="H8" s="15"/>
      <c r="I8" s="15"/>
      <c r="J8" s="15"/>
      <c r="K8" s="15"/>
      <c r="L8" s="15"/>
      <c r="M8" s="15"/>
      <c r="N8" s="15"/>
      <c r="O8" s="15"/>
      <c r="P8" s="15"/>
      <c r="Q8" s="15"/>
      <c r="R8" s="15"/>
      <c r="S8" s="15"/>
      <c r="T8" s="15"/>
      <c r="U8" s="335"/>
    </row>
    <row r="9" spans="1:21">
      <c r="A9" s="1"/>
      <c r="B9" s="1"/>
      <c r="C9" s="1"/>
      <c r="D9" s="13"/>
      <c r="E9" s="15"/>
      <c r="F9" s="15"/>
      <c r="G9" s="15"/>
      <c r="H9" s="15"/>
      <c r="I9" s="15"/>
      <c r="J9" s="15"/>
      <c r="K9" s="15"/>
      <c r="L9" s="1" t="s">
        <v>703</v>
      </c>
      <c r="M9" s="1"/>
      <c r="N9" s="1"/>
      <c r="O9" s="15" t="str">
        <f>IF($D$7="","",P9)</f>
        <v>RAFLY</v>
      </c>
      <c r="P9" s="588" t="s">
        <v>1054</v>
      </c>
      <c r="Q9" s="15"/>
      <c r="R9" s="15"/>
      <c r="S9" s="15"/>
      <c r="T9" s="15" t="str">
        <f>"TTD_"&amp;O9&amp;""</f>
        <v>TTD_RAFLY</v>
      </c>
      <c r="U9" s="335"/>
    </row>
    <row r="10" spans="1:21">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c r="U10" s="335"/>
    </row>
    <row r="11" spans="1:21">
      <c r="A11" s="1" t="s">
        <v>778</v>
      </c>
      <c r="B11" s="1"/>
      <c r="C11" s="1"/>
      <c r="D11" s="13" t="str">
        <f>IFERROR(INDEX('DATA INDUK'!$D$27:$D$152,MATCH(ROW(D1),'DATA INDUK'!$BD$27:$BD$152,0)),"")</f>
        <v>Disturbed Sample</v>
      </c>
      <c r="E11" s="15"/>
      <c r="F11" s="15" t="s">
        <v>1659</v>
      </c>
      <c r="G11" s="15"/>
      <c r="H11" s="15"/>
      <c r="I11" s="15"/>
      <c r="J11" s="15"/>
      <c r="K11" s="15"/>
      <c r="L11" s="13" t="s">
        <v>716</v>
      </c>
      <c r="M11" s="15"/>
      <c r="N11" s="15"/>
      <c r="O11" s="15" t="str">
        <f t="shared" si="0"/>
        <v>A.SUMARTADJI</v>
      </c>
      <c r="P11" s="588" t="s">
        <v>766</v>
      </c>
      <c r="Q11" s="15"/>
      <c r="R11" s="15"/>
      <c r="S11" s="15"/>
      <c r="T11" s="15" t="str">
        <f>"TTD_"&amp;O11&amp;""</f>
        <v>TTD_A.SUMARTADJI</v>
      </c>
      <c r="U11" s="335"/>
    </row>
    <row r="12" spans="1:21">
      <c r="A12" s="1" t="s">
        <v>779</v>
      </c>
      <c r="B12" s="1"/>
      <c r="C12" s="1"/>
      <c r="D12" s="1573" t="s">
        <v>1197</v>
      </c>
      <c r="E12" s="15"/>
      <c r="F12" s="15" t="str">
        <f>IFERROR(INDEX($O$24:$O$35,
MATCH(D12,$R$24:$R$35,0)),
"CHECK DESKRIPSI")</f>
        <v>SLT</v>
      </c>
      <c r="G12" s="15"/>
      <c r="H12" s="15"/>
      <c r="I12" s="15"/>
      <c r="J12" s="15"/>
      <c r="K12" s="15"/>
      <c r="L12" s="1" t="s">
        <v>705</v>
      </c>
      <c r="M12" s="1"/>
      <c r="N12" s="1"/>
      <c r="O12" s="715"/>
      <c r="P12" s="15"/>
      <c r="Q12" s="15"/>
      <c r="R12" s="15"/>
      <c r="S12" s="15"/>
      <c r="T12" s="335"/>
      <c r="U12" s="335"/>
    </row>
    <row r="13" spans="1:21">
      <c r="A13" s="1" t="s">
        <v>780</v>
      </c>
      <c r="B13" s="1"/>
      <c r="C13" s="1"/>
      <c r="D13" s="714"/>
      <c r="E13" s="15"/>
      <c r="F13" s="15"/>
      <c r="G13" s="15"/>
      <c r="H13" s="15"/>
      <c r="I13" s="15"/>
      <c r="J13" s="15"/>
      <c r="K13" s="15"/>
      <c r="L13" s="15"/>
      <c r="M13" s="15"/>
      <c r="N13" s="15"/>
      <c r="O13" s="15"/>
      <c r="P13" s="15"/>
      <c r="Q13" s="15"/>
      <c r="R13" s="15"/>
      <c r="S13" s="15"/>
      <c r="T13" s="335"/>
      <c r="U13" s="335"/>
    </row>
    <row r="14" spans="1:21"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c r="U14" s="668"/>
    </row>
    <row r="22" spans="2:19">
      <c r="B22" s="214" t="s">
        <v>220</v>
      </c>
      <c r="C22" s="215"/>
      <c r="D22" s="215"/>
      <c r="E22" s="215"/>
      <c r="F22" s="234">
        <v>1</v>
      </c>
      <c r="G22" s="241">
        <v>2</v>
      </c>
      <c r="H22" s="243">
        <v>3</v>
      </c>
      <c r="J22" s="217"/>
      <c r="L22" s="248"/>
      <c r="M22" s="248"/>
      <c r="O22" s="370" t="s">
        <v>1641</v>
      </c>
      <c r="P22" s="370"/>
      <c r="Q22" s="370"/>
      <c r="R22" s="370"/>
      <c r="S22" s="370"/>
    </row>
    <row r="23" spans="2:19">
      <c r="B23" s="216" t="s">
        <v>440</v>
      </c>
      <c r="C23" s="216"/>
      <c r="D23" s="216"/>
      <c r="E23" s="216"/>
      <c r="F23" s="217"/>
      <c r="G23" s="218"/>
      <c r="H23" s="219"/>
      <c r="J23" s="217"/>
      <c r="L23" s="218"/>
      <c r="M23" s="249"/>
      <c r="O23" s="370" t="s">
        <v>1611</v>
      </c>
      <c r="P23" s="370" t="s">
        <v>1642</v>
      </c>
      <c r="Q23" s="370" t="s">
        <v>1632</v>
      </c>
      <c r="R23" s="370" t="s">
        <v>1633</v>
      </c>
      <c r="S23" s="370"/>
    </row>
    <row r="24" spans="2:19">
      <c r="B24" s="220" t="s">
        <v>221</v>
      </c>
      <c r="C24" s="221"/>
      <c r="D24" s="221"/>
      <c r="E24" s="222" t="s">
        <v>45</v>
      </c>
      <c r="F24" s="246">
        <v>3.8</v>
      </c>
      <c r="G24" s="246">
        <f>F24</f>
        <v>3.8</v>
      </c>
      <c r="H24" s="246">
        <f>G24</f>
        <v>3.8</v>
      </c>
      <c r="J24" s="236"/>
      <c r="L24" s="250"/>
      <c r="M24" s="250"/>
      <c r="O24" s="370" t="s">
        <v>1612</v>
      </c>
      <c r="P24" s="370" t="s">
        <v>1613</v>
      </c>
      <c r="Q24" s="370" t="s">
        <v>1610</v>
      </c>
      <c r="R24" s="370" t="s">
        <v>1510</v>
      </c>
      <c r="S24" s="370"/>
    </row>
    <row r="25" spans="2:19">
      <c r="B25" s="223" t="s">
        <v>222</v>
      </c>
      <c r="C25" s="224"/>
      <c r="D25" s="224"/>
      <c r="E25" s="225" t="s">
        <v>45</v>
      </c>
      <c r="F25" s="247">
        <v>7.6</v>
      </c>
      <c r="G25" s="247">
        <f>F25</f>
        <v>7.6</v>
      </c>
      <c r="H25" s="247">
        <f>G25</f>
        <v>7.6</v>
      </c>
      <c r="J25" s="236"/>
      <c r="L25" s="250"/>
      <c r="M25" s="250"/>
      <c r="O25" s="370" t="s">
        <v>1614</v>
      </c>
      <c r="P25" s="370" t="s">
        <v>1615</v>
      </c>
      <c r="Q25" s="370" t="s">
        <v>1634</v>
      </c>
      <c r="R25" s="370" t="s">
        <v>1635</v>
      </c>
      <c r="S25" s="370"/>
    </row>
    <row r="26" spans="2:19">
      <c r="B26" s="226" t="s">
        <v>223</v>
      </c>
      <c r="C26" s="227"/>
      <c r="D26" s="227"/>
      <c r="E26" s="228" t="s">
        <v>121</v>
      </c>
      <c r="F26" s="235">
        <f>PI()*(F24/2)^2</f>
        <v>11.341149479459153</v>
      </c>
      <c r="G26" s="235">
        <f>PI()*(G24/2)^2</f>
        <v>11.341149479459153</v>
      </c>
      <c r="H26" s="235">
        <f>PI()*(H24/2)^2</f>
        <v>11.341149479459153</v>
      </c>
      <c r="J26" s="251"/>
      <c r="L26" s="251"/>
      <c r="M26" s="251"/>
      <c r="O26" s="370" t="s">
        <v>1617</v>
      </c>
      <c r="P26" s="370" t="s">
        <v>1618</v>
      </c>
      <c r="Q26" s="370" t="s">
        <v>1636</v>
      </c>
      <c r="R26" s="370" t="s">
        <v>1637</v>
      </c>
      <c r="S26" s="370"/>
    </row>
    <row r="27" spans="2:19">
      <c r="B27" s="229"/>
      <c r="C27" s="229"/>
      <c r="D27" s="229"/>
      <c r="E27" s="230" t="s">
        <v>782</v>
      </c>
      <c r="F27" s="721">
        <f>F26/10000</f>
        <v>1.1341149479459152E-3</v>
      </c>
      <c r="G27" s="721">
        <f>G26/10000</f>
        <v>1.1341149479459152E-3</v>
      </c>
      <c r="H27" s="721">
        <f>H26/10000</f>
        <v>1.1341149479459152E-3</v>
      </c>
      <c r="J27" s="251"/>
      <c r="L27" s="251"/>
      <c r="M27" s="251"/>
      <c r="O27" s="370" t="s">
        <v>1643</v>
      </c>
      <c r="P27" s="370" t="s">
        <v>1644</v>
      </c>
      <c r="Q27" s="370" t="s">
        <v>1645</v>
      </c>
      <c r="R27" s="370" t="s">
        <v>1646</v>
      </c>
      <c r="S27" s="370"/>
    </row>
    <row r="28" spans="2:19">
      <c r="B28" s="229" t="s">
        <v>849</v>
      </c>
      <c r="C28" s="229"/>
      <c r="D28" s="229"/>
      <c r="E28" s="230" t="s">
        <v>104</v>
      </c>
      <c r="F28" s="721">
        <f>F26*F25</f>
        <v>86.192736043889553</v>
      </c>
      <c r="G28" s="721">
        <f t="shared" ref="G28:H28" si="1">G26*G25</f>
        <v>86.192736043889553</v>
      </c>
      <c r="H28" s="721">
        <f t="shared" si="1"/>
        <v>86.192736043889553</v>
      </c>
      <c r="J28" s="251"/>
      <c r="L28" s="251"/>
      <c r="M28" s="251"/>
      <c r="O28" s="370" t="s">
        <v>1620</v>
      </c>
      <c r="P28" s="370" t="s">
        <v>1616</v>
      </c>
      <c r="Q28" s="370" t="s">
        <v>509</v>
      </c>
      <c r="R28" s="370" t="s">
        <v>1638</v>
      </c>
      <c r="S28" s="370"/>
    </row>
    <row r="29" spans="2:19">
      <c r="B29" s="229"/>
      <c r="C29" s="229"/>
      <c r="D29" s="229"/>
      <c r="E29" s="230"/>
      <c r="F29" s="236"/>
      <c r="G29" s="242"/>
      <c r="H29" s="244"/>
      <c r="J29" s="236"/>
      <c r="L29" s="242"/>
      <c r="M29" s="242"/>
      <c r="O29" s="370" t="s">
        <v>1621</v>
      </c>
      <c r="P29" s="370" t="s">
        <v>1622</v>
      </c>
      <c r="Q29" s="370" t="s">
        <v>1639</v>
      </c>
      <c r="R29" s="370" t="s">
        <v>1640</v>
      </c>
      <c r="S29" s="370"/>
    </row>
    <row r="30" spans="2:19">
      <c r="B30" s="220" t="s">
        <v>224</v>
      </c>
      <c r="C30" s="221"/>
      <c r="D30" s="221"/>
      <c r="E30" s="222" t="s">
        <v>225</v>
      </c>
      <c r="F30" s="237">
        <v>2E-3</v>
      </c>
      <c r="G30" s="237">
        <f t="shared" ref="G30:H32" si="2">F30</f>
        <v>2E-3</v>
      </c>
      <c r="H30" s="237">
        <f t="shared" si="2"/>
        <v>2E-3</v>
      </c>
      <c r="J30" s="236"/>
      <c r="L30" s="252"/>
      <c r="M30" s="252"/>
      <c r="O30" s="370" t="s">
        <v>1623</v>
      </c>
      <c r="P30" s="370" t="s">
        <v>1624</v>
      </c>
      <c r="Q30" s="370" t="s">
        <v>1647</v>
      </c>
      <c r="R30" s="370" t="s">
        <v>1648</v>
      </c>
      <c r="S30" s="370"/>
    </row>
    <row r="31" spans="2:19">
      <c r="B31" s="223" t="s">
        <v>226</v>
      </c>
      <c r="C31" s="224"/>
      <c r="D31" s="224"/>
      <c r="E31" s="225" t="s">
        <v>227</v>
      </c>
      <c r="F31" s="293">
        <v>0.14000000000000001</v>
      </c>
      <c r="G31" s="293">
        <f t="shared" si="2"/>
        <v>0.14000000000000001</v>
      </c>
      <c r="H31" s="293">
        <f t="shared" si="2"/>
        <v>0.14000000000000001</v>
      </c>
      <c r="J31" s="236"/>
      <c r="L31" s="252"/>
      <c r="M31" s="252"/>
      <c r="O31" s="370" t="s">
        <v>1649</v>
      </c>
      <c r="P31" s="370" t="s">
        <v>1650</v>
      </c>
      <c r="Q31" s="370" t="s">
        <v>1651</v>
      </c>
      <c r="R31" s="370" t="s">
        <v>1652</v>
      </c>
      <c r="S31" s="370"/>
    </row>
    <row r="32" spans="2:19">
      <c r="B32" s="226" t="s">
        <v>228</v>
      </c>
      <c r="C32" s="227"/>
      <c r="D32" s="227"/>
      <c r="E32" s="228" t="s">
        <v>229</v>
      </c>
      <c r="F32" s="294">
        <v>0.12064</v>
      </c>
      <c r="G32" s="294">
        <f t="shared" si="2"/>
        <v>0.12064</v>
      </c>
      <c r="H32" s="294">
        <f t="shared" si="2"/>
        <v>0.12064</v>
      </c>
      <c r="J32" s="236"/>
      <c r="L32" s="252"/>
      <c r="M32" s="252"/>
      <c r="O32" s="370" t="s">
        <v>1690</v>
      </c>
      <c r="P32" s="370" t="s">
        <v>1619</v>
      </c>
      <c r="Q32" s="370" t="s">
        <v>510</v>
      </c>
      <c r="R32" s="370" t="s">
        <v>1197</v>
      </c>
      <c r="S32" s="370"/>
    </row>
    <row r="33" spans="2:25">
      <c r="B33" s="229"/>
      <c r="C33" s="229"/>
      <c r="D33" s="229"/>
      <c r="E33" s="230"/>
      <c r="F33" s="236"/>
      <c r="G33" s="236"/>
      <c r="H33" s="236"/>
      <c r="J33" s="236"/>
      <c r="L33" s="242"/>
      <c r="M33" s="242"/>
      <c r="O33" s="370" t="s">
        <v>1626</v>
      </c>
      <c r="P33" s="370" t="s">
        <v>1627</v>
      </c>
      <c r="Q33" s="370" t="s">
        <v>1653</v>
      </c>
      <c r="R33" s="370" t="s">
        <v>1654</v>
      </c>
      <c r="S33" s="370"/>
    </row>
    <row r="34" spans="2:25">
      <c r="J34" s="253"/>
      <c r="L34" s="777"/>
      <c r="M34" s="777"/>
      <c r="O34" s="370" t="s">
        <v>1628</v>
      </c>
      <c r="P34" s="370" t="s">
        <v>1629</v>
      </c>
      <c r="Q34" s="370" t="s">
        <v>1655</v>
      </c>
      <c r="R34" s="370" t="s">
        <v>1656</v>
      </c>
      <c r="S34" s="370"/>
    </row>
    <row r="35" spans="2:25">
      <c r="B35" s="229" t="s">
        <v>792</v>
      </c>
      <c r="C35" s="221"/>
      <c r="D35" s="221"/>
      <c r="E35" s="222" t="s">
        <v>231</v>
      </c>
      <c r="F35" s="237">
        <v>5</v>
      </c>
      <c r="G35" s="237">
        <v>10</v>
      </c>
      <c r="H35" s="245">
        <v>20</v>
      </c>
      <c r="J35" s="255"/>
      <c r="K35" s="335"/>
      <c r="L35" s="778"/>
      <c r="M35" s="779"/>
      <c r="O35" s="370" t="s">
        <v>1630</v>
      </c>
      <c r="P35" s="370" t="s">
        <v>1631</v>
      </c>
      <c r="Q35" s="370" t="s">
        <v>1657</v>
      </c>
      <c r="R35" s="370" t="s">
        <v>1658</v>
      </c>
      <c r="S35" s="370"/>
    </row>
    <row r="36" spans="2:25">
      <c r="B36" s="220" t="s">
        <v>230</v>
      </c>
      <c r="C36" s="722"/>
      <c r="D36" s="722"/>
      <c r="E36" s="723" t="s">
        <v>465</v>
      </c>
      <c r="F36" s="724">
        <v>50</v>
      </c>
      <c r="G36" s="724">
        <v>100</v>
      </c>
      <c r="H36" s="724">
        <v>200</v>
      </c>
      <c r="J36" s="255"/>
      <c r="L36" s="255"/>
      <c r="M36" s="252"/>
      <c r="O36" s="256"/>
    </row>
    <row r="37" spans="2:25">
      <c r="B37" s="223" t="s">
        <v>232</v>
      </c>
      <c r="C37" s="224"/>
      <c r="D37" s="224"/>
      <c r="E37" s="225" t="s">
        <v>465</v>
      </c>
      <c r="F37" s="238">
        <f>MAX(F46:F79)</f>
        <v>54.743606075357981</v>
      </c>
      <c r="G37" s="238">
        <f>MAX(L46:L79)</f>
        <v>73.350173219013399</v>
      </c>
      <c r="H37" s="238">
        <f>MAX(R46:R76)</f>
        <v>119.3916816482534</v>
      </c>
      <c r="J37" s="252"/>
      <c r="L37" s="252"/>
      <c r="M37" s="257"/>
      <c r="O37" s="254"/>
    </row>
    <row r="38" spans="2:25">
      <c r="B38" s="231" t="s">
        <v>233</v>
      </c>
      <c r="C38" s="232"/>
      <c r="D38" s="232"/>
      <c r="E38" s="233" t="s">
        <v>465</v>
      </c>
      <c r="F38" s="239">
        <f>F37+F36</f>
        <v>104.74360607535797</v>
      </c>
      <c r="G38" s="239">
        <f>G37+G36</f>
        <v>173.35017321901341</v>
      </c>
      <c r="H38" s="239">
        <f>H37+H36</f>
        <v>319.39168164825338</v>
      </c>
    </row>
    <row r="40" spans="2:25">
      <c r="B40" s="258" t="s">
        <v>234</v>
      </c>
      <c r="C40" s="259"/>
      <c r="D40" s="259"/>
      <c r="E40" s="259"/>
      <c r="F40" s="260"/>
      <c r="G40" s="229"/>
      <c r="H40" s="258" t="s">
        <v>235</v>
      </c>
      <c r="I40" s="259"/>
      <c r="J40" s="259"/>
      <c r="K40" s="259"/>
      <c r="L40" s="260"/>
      <c r="M40" s="229"/>
      <c r="N40" s="258" t="s">
        <v>236</v>
      </c>
      <c r="O40" s="259"/>
      <c r="P40" s="259"/>
      <c r="Q40" s="259"/>
      <c r="R40" s="260"/>
    </row>
    <row r="41" spans="2:25">
      <c r="B41" s="261" t="s">
        <v>240</v>
      </c>
      <c r="C41" s="262" t="s">
        <v>58</v>
      </c>
      <c r="D41" s="262" t="s">
        <v>120</v>
      </c>
      <c r="E41" s="262" t="s">
        <v>241</v>
      </c>
      <c r="F41" s="263" t="s">
        <v>242</v>
      </c>
      <c r="G41" s="264"/>
      <c r="H41" s="261" t="s">
        <v>240</v>
      </c>
      <c r="I41" s="262" t="s">
        <v>58</v>
      </c>
      <c r="J41" s="262" t="s">
        <v>120</v>
      </c>
      <c r="K41" s="262" t="s">
        <v>241</v>
      </c>
      <c r="L41" s="263" t="s">
        <v>242</v>
      </c>
      <c r="M41" s="264"/>
      <c r="N41" s="261" t="s">
        <v>240</v>
      </c>
      <c r="O41" s="262" t="s">
        <v>58</v>
      </c>
      <c r="P41" s="262" t="s">
        <v>120</v>
      </c>
      <c r="Q41" s="262" t="s">
        <v>241</v>
      </c>
      <c r="R41" s="263" t="s">
        <v>242</v>
      </c>
    </row>
    <row r="42" spans="2:25">
      <c r="B42" s="265" t="s">
        <v>243</v>
      </c>
      <c r="C42" s="266" t="s">
        <v>244</v>
      </c>
      <c r="D42" s="266" t="s">
        <v>245</v>
      </c>
      <c r="E42" s="266" t="s">
        <v>126</v>
      </c>
      <c r="F42" s="267" t="s">
        <v>59</v>
      </c>
      <c r="G42" s="264"/>
      <c r="H42" s="265" t="s">
        <v>243</v>
      </c>
      <c r="I42" s="266" t="s">
        <v>244</v>
      </c>
      <c r="J42" s="266" t="s">
        <v>245</v>
      </c>
      <c r="K42" s="266" t="s">
        <v>126</v>
      </c>
      <c r="L42" s="267" t="s">
        <v>59</v>
      </c>
      <c r="M42" s="264"/>
      <c r="N42" s="265" t="s">
        <v>243</v>
      </c>
      <c r="O42" s="266" t="s">
        <v>244</v>
      </c>
      <c r="P42" s="266" t="s">
        <v>245</v>
      </c>
      <c r="Q42" s="266" t="s">
        <v>126</v>
      </c>
      <c r="R42" s="267" t="s">
        <v>59</v>
      </c>
    </row>
    <row r="43" spans="2:25">
      <c r="B43" s="268" t="s">
        <v>246</v>
      </c>
      <c r="C43" s="269" t="s">
        <v>150</v>
      </c>
      <c r="D43" s="269" t="s">
        <v>247</v>
      </c>
      <c r="E43" s="269" t="s">
        <v>248</v>
      </c>
      <c r="F43" s="270" t="s">
        <v>465</v>
      </c>
      <c r="G43" s="264"/>
      <c r="H43" s="268" t="s">
        <v>246</v>
      </c>
      <c r="I43" s="269" t="s">
        <v>150</v>
      </c>
      <c r="J43" s="269" t="s">
        <v>247</v>
      </c>
      <c r="K43" s="269" t="s">
        <v>248</v>
      </c>
      <c r="L43" s="270" t="s">
        <v>465</v>
      </c>
      <c r="M43" s="264"/>
      <c r="N43" s="268" t="s">
        <v>246</v>
      </c>
      <c r="O43" s="269" t="s">
        <v>150</v>
      </c>
      <c r="P43" s="269" t="s">
        <v>247</v>
      </c>
      <c r="Q43" s="269" t="s">
        <v>248</v>
      </c>
      <c r="R43" s="270" t="s">
        <v>465</v>
      </c>
      <c r="Y43" t="s">
        <v>821</v>
      </c>
    </row>
    <row r="44" spans="2:25">
      <c r="B44" s="271"/>
      <c r="C44" s="272"/>
      <c r="D44" s="272"/>
      <c r="E44" s="272"/>
      <c r="F44" s="272"/>
      <c r="G44" s="272"/>
      <c r="H44" s="272"/>
      <c r="I44" s="272"/>
      <c r="J44" s="272"/>
      <c r="K44" s="272"/>
      <c r="L44" s="272"/>
      <c r="M44" s="272"/>
      <c r="N44" s="272"/>
      <c r="O44" s="272"/>
      <c r="P44" s="272"/>
      <c r="Q44" s="272"/>
      <c r="R44" s="273"/>
    </row>
    <row r="45" spans="2:25">
      <c r="B45" s="274" t="s">
        <v>185</v>
      </c>
      <c r="C45" s="275" t="s">
        <v>237</v>
      </c>
      <c r="D45" s="275" t="s">
        <v>249</v>
      </c>
      <c r="E45" s="275" t="s">
        <v>250</v>
      </c>
      <c r="F45" s="276" t="s">
        <v>251</v>
      </c>
      <c r="G45" s="825"/>
      <c r="H45" s="277" t="s">
        <v>238</v>
      </c>
      <c r="I45" s="278" t="s">
        <v>186</v>
      </c>
      <c r="J45" s="278" t="s">
        <v>252</v>
      </c>
      <c r="K45" s="278" t="s">
        <v>253</v>
      </c>
      <c r="L45" s="279" t="s">
        <v>187</v>
      </c>
      <c r="M45" s="825"/>
      <c r="N45" s="277" t="s">
        <v>239</v>
      </c>
      <c r="O45" s="278" t="s">
        <v>159</v>
      </c>
      <c r="P45" s="278" t="s">
        <v>254</v>
      </c>
      <c r="Q45" s="278" t="s">
        <v>255</v>
      </c>
      <c r="R45" s="279" t="s">
        <v>256</v>
      </c>
      <c r="S45" s="825"/>
      <c r="Y45" t="str">
        <f>"σ₃="&amp;F36&amp;" kPa"</f>
        <v>σ₃=50 kPa</v>
      </c>
    </row>
    <row r="46" spans="2:25">
      <c r="B46" s="280">
        <v>0</v>
      </c>
      <c r="C46" s="291">
        <v>0</v>
      </c>
      <c r="D46" s="281">
        <f>((B46*$F$30)/$F$25)*100</f>
        <v>0</v>
      </c>
      <c r="E46" s="281">
        <f>$F$26/((100-D46)/100)</f>
        <v>11.341149479459153</v>
      </c>
      <c r="F46" s="282">
        <f>IF($D$7="",NA(),(C46*$F$32/E46)*98.065)</f>
        <v>0</v>
      </c>
      <c r="G46" s="230"/>
      <c r="H46" s="280">
        <v>0</v>
      </c>
      <c r="I46" s="291">
        <f>F131</f>
        <v>0</v>
      </c>
      <c r="J46" s="281">
        <f t="shared" ref="J46:J74" si="3">((H46*$F$30)/$F$25)*100</f>
        <v>0</v>
      </c>
      <c r="K46" s="281">
        <f>$G$26/((100-J46)/100)</f>
        <v>11.341149479459153</v>
      </c>
      <c r="L46" s="282">
        <f>IF($D$7="",NA(),(I46*$G$32/K46)*98.065)</f>
        <v>0</v>
      </c>
      <c r="M46" s="230"/>
      <c r="N46" s="280">
        <v>0</v>
      </c>
      <c r="O46" s="291">
        <f>J131</f>
        <v>0</v>
      </c>
      <c r="P46" s="281">
        <f t="shared" ref="P46:P76" si="4">((N46*$H$30)/$H$25)*100</f>
        <v>0</v>
      </c>
      <c r="Q46" s="281">
        <f>$H$26/((100-P46)/100)</f>
        <v>11.341149479459153</v>
      </c>
      <c r="R46" s="282">
        <f>IF($D$7="",NA(),(O46*$H$32/Q46)*98.065)</f>
        <v>0</v>
      </c>
      <c r="S46" s="230"/>
      <c r="Y46" t="str">
        <f>"σ₃="&amp;G36&amp;" kPa"</f>
        <v>σ₃=100 kPa</v>
      </c>
    </row>
    <row r="47" spans="2:25">
      <c r="B47" s="283">
        <f>IF(OR(C46="",),"",B46+20)</f>
        <v>20</v>
      </c>
      <c r="C47" s="292">
        <v>6</v>
      </c>
      <c r="D47" s="281">
        <f>((B47*$F$30)/$F$25)*100</f>
        <v>0.52631578947368429</v>
      </c>
      <c r="E47" s="281">
        <f>$F$26/((100-D47)/100)</f>
        <v>11.401155561361053</v>
      </c>
      <c r="F47" s="282">
        <f t="shared" ref="F47:F72" si="5">IF($D$7="",NA(),(C47*$F$32/E47)*98.065)</f>
        <v>6.2259802717336239</v>
      </c>
      <c r="G47" s="230"/>
      <c r="H47" s="283">
        <f t="shared" ref="H47:H74" si="6">IF(OR(I46="",),"",H46+20)</f>
        <v>20</v>
      </c>
      <c r="I47" s="292">
        <v>15</v>
      </c>
      <c r="J47" s="281">
        <f t="shared" si="3"/>
        <v>0.52631578947368429</v>
      </c>
      <c r="K47" s="281">
        <f t="shared" ref="K47:K74" si="7">$G$26/((100-J47)/100)</f>
        <v>11.401155561361053</v>
      </c>
      <c r="L47" s="282">
        <f t="shared" ref="L47:L74" si="8">IF($D$7="",NA(),(I47*$G$32/K47)*98.065)</f>
        <v>15.564950679334059</v>
      </c>
      <c r="M47" s="230"/>
      <c r="N47" s="283">
        <f>IF(OR(O46="",),"",N46+20)</f>
        <v>20</v>
      </c>
      <c r="O47" s="292">
        <v>33</v>
      </c>
      <c r="P47" s="281">
        <f>((N47*$H$30)/$H$25)*100</f>
        <v>0.52631578947368429</v>
      </c>
      <c r="Q47" s="281">
        <f t="shared" ref="Q47:Q76" si="9">$H$26/((100-P47)/100)</f>
        <v>11.401155561361053</v>
      </c>
      <c r="R47" s="282">
        <f t="shared" ref="R47:R76" si="10">IF($D$7="",NA(),(O47*$H$32/Q47)*98.065)</f>
        <v>34.242891494534931</v>
      </c>
      <c r="S47" s="230"/>
      <c r="Y47" t="str">
        <f>"σ₃="&amp;H36&amp;" kPa"</f>
        <v>σ₃=200 kPa</v>
      </c>
    </row>
    <row r="48" spans="2:25">
      <c r="B48" s="283">
        <f t="shared" ref="B48:B79" si="11">IF(OR(C47="",),"",B47+20)</f>
        <v>40</v>
      </c>
      <c r="C48" s="292">
        <v>11</v>
      </c>
      <c r="D48" s="281">
        <f t="shared" ref="D48:D72" si="12">((B48*$F$30)/$F$25)*100</f>
        <v>1.0526315789473686</v>
      </c>
      <c r="E48" s="281">
        <f t="shared" ref="E48:E72" si="13">$F$26/((100-D48)/100)</f>
        <v>11.461800005836379</v>
      </c>
      <c r="F48" s="282">
        <f t="shared" si="5"/>
        <v>11.353904058152674</v>
      </c>
      <c r="G48" s="230"/>
      <c r="H48" s="283">
        <f t="shared" si="6"/>
        <v>40</v>
      </c>
      <c r="I48" s="292">
        <v>25</v>
      </c>
      <c r="J48" s="281">
        <f t="shared" si="3"/>
        <v>1.0526315789473686</v>
      </c>
      <c r="K48" s="281">
        <f t="shared" si="7"/>
        <v>11.461800005836379</v>
      </c>
      <c r="L48" s="282">
        <f t="shared" si="8"/>
        <v>25.804327404892444</v>
      </c>
      <c r="M48" s="230"/>
      <c r="N48" s="283">
        <f t="shared" ref="N48:N76" si="14">IF(OR(O47="",),"",N47+20)</f>
        <v>40</v>
      </c>
      <c r="O48" s="292">
        <v>45</v>
      </c>
      <c r="P48" s="281">
        <f t="shared" si="4"/>
        <v>1.0526315789473686</v>
      </c>
      <c r="Q48" s="281">
        <f t="shared" si="9"/>
        <v>11.461800005836379</v>
      </c>
      <c r="R48" s="282">
        <f t="shared" si="10"/>
        <v>46.447789328806394</v>
      </c>
      <c r="S48" s="230"/>
    </row>
    <row r="49" spans="2:19">
      <c r="B49" s="283">
        <f t="shared" si="11"/>
        <v>60</v>
      </c>
      <c r="C49" s="292">
        <v>16</v>
      </c>
      <c r="D49" s="281">
        <f t="shared" si="12"/>
        <v>1.5789473684210527</v>
      </c>
      <c r="E49" s="281">
        <f t="shared" si="13"/>
        <v>11.523093053995931</v>
      </c>
      <c r="F49" s="282">
        <f t="shared" si="5"/>
        <v>16.426925020305998</v>
      </c>
      <c r="G49" s="230"/>
      <c r="H49" s="283">
        <f t="shared" si="6"/>
        <v>60</v>
      </c>
      <c r="I49" s="292">
        <v>33</v>
      </c>
      <c r="J49" s="281">
        <f t="shared" si="3"/>
        <v>1.5789473684210527</v>
      </c>
      <c r="K49" s="281">
        <f t="shared" si="7"/>
        <v>11.523093053995931</v>
      </c>
      <c r="L49" s="282">
        <f t="shared" si="8"/>
        <v>33.880532854381116</v>
      </c>
      <c r="M49" s="230"/>
      <c r="N49" s="283">
        <f t="shared" si="14"/>
        <v>60</v>
      </c>
      <c r="O49" s="292">
        <v>55</v>
      </c>
      <c r="P49" s="281">
        <f t="shared" si="4"/>
        <v>1.5789473684210527</v>
      </c>
      <c r="Q49" s="281">
        <f t="shared" si="9"/>
        <v>11.523093053995931</v>
      </c>
      <c r="R49" s="282">
        <f t="shared" si="10"/>
        <v>56.467554757301862</v>
      </c>
      <c r="S49" s="230"/>
    </row>
    <row r="50" spans="2:19">
      <c r="B50" s="283">
        <f t="shared" si="11"/>
        <v>80</v>
      </c>
      <c r="C50" s="292">
        <v>21</v>
      </c>
      <c r="D50" s="281">
        <f t="shared" si="12"/>
        <v>2.1052631578947372</v>
      </c>
      <c r="E50" s="281">
        <f t="shared" si="13"/>
        <v>11.585045167189458</v>
      </c>
      <c r="F50" s="282">
        <f t="shared" si="5"/>
        <v>21.445043158193592</v>
      </c>
      <c r="G50" s="230"/>
      <c r="H50" s="283">
        <f t="shared" si="6"/>
        <v>80</v>
      </c>
      <c r="I50" s="292">
        <v>38</v>
      </c>
      <c r="J50" s="281">
        <f t="shared" si="3"/>
        <v>2.1052631578947372</v>
      </c>
      <c r="K50" s="281">
        <f t="shared" si="7"/>
        <v>11.585045167189458</v>
      </c>
      <c r="L50" s="282">
        <f t="shared" si="8"/>
        <v>38.805316191016971</v>
      </c>
      <c r="M50" s="230"/>
      <c r="N50" s="283">
        <f t="shared" si="14"/>
        <v>80</v>
      </c>
      <c r="O50" s="292">
        <v>63</v>
      </c>
      <c r="P50" s="281">
        <f t="shared" si="4"/>
        <v>2.1052631578947372</v>
      </c>
      <c r="Q50" s="281">
        <f t="shared" si="9"/>
        <v>11.585045167189458</v>
      </c>
      <c r="R50" s="282">
        <f t="shared" si="10"/>
        <v>64.335129474580768</v>
      </c>
      <c r="S50" s="230"/>
    </row>
    <row r="51" spans="2:19">
      <c r="B51" s="283">
        <f t="shared" si="11"/>
        <v>100</v>
      </c>
      <c r="C51" s="292">
        <v>25</v>
      </c>
      <c r="D51" s="281">
        <f t="shared" si="12"/>
        <v>2.6315789473684212</v>
      </c>
      <c r="E51" s="281">
        <f t="shared" si="13"/>
        <v>11.647667032958051</v>
      </c>
      <c r="F51" s="282">
        <f t="shared" si="5"/>
        <v>25.392556222899476</v>
      </c>
      <c r="G51" s="230"/>
      <c r="H51" s="283">
        <f t="shared" si="6"/>
        <v>100</v>
      </c>
      <c r="I51" s="292">
        <v>43</v>
      </c>
      <c r="J51" s="281">
        <f t="shared" si="3"/>
        <v>2.6315789473684212</v>
      </c>
      <c r="K51" s="281">
        <f t="shared" si="7"/>
        <v>11.647667032958051</v>
      </c>
      <c r="L51" s="282">
        <f t="shared" si="8"/>
        <v>43.675196703387094</v>
      </c>
      <c r="M51" s="230"/>
      <c r="N51" s="283">
        <f t="shared" si="14"/>
        <v>100</v>
      </c>
      <c r="O51" s="292">
        <v>69</v>
      </c>
      <c r="P51" s="281">
        <f t="shared" si="4"/>
        <v>2.6315789473684212</v>
      </c>
      <c r="Q51" s="281">
        <f t="shared" si="9"/>
        <v>11.647667032958051</v>
      </c>
      <c r="R51" s="282">
        <f t="shared" si="10"/>
        <v>70.083455175202545</v>
      </c>
      <c r="S51" s="230"/>
    </row>
    <row r="52" spans="2:19">
      <c r="B52" s="283">
        <f t="shared" si="11"/>
        <v>120</v>
      </c>
      <c r="C52" s="292">
        <v>29</v>
      </c>
      <c r="D52" s="281">
        <f t="shared" si="12"/>
        <v>3.1578947368421053</v>
      </c>
      <c r="E52" s="281">
        <f t="shared" si="13"/>
        <v>11.710969571180648</v>
      </c>
      <c r="F52" s="282">
        <f t="shared" si="5"/>
        <v>29.296147028192774</v>
      </c>
      <c r="G52" s="230"/>
      <c r="H52" s="283">
        <f t="shared" si="6"/>
        <v>120</v>
      </c>
      <c r="I52" s="292">
        <v>47</v>
      </c>
      <c r="J52" s="281">
        <f t="shared" si="3"/>
        <v>3.1578947368421053</v>
      </c>
      <c r="K52" s="281">
        <f t="shared" si="7"/>
        <v>11.710969571180648</v>
      </c>
      <c r="L52" s="282">
        <f t="shared" si="8"/>
        <v>47.479962425002086</v>
      </c>
      <c r="M52" s="230"/>
      <c r="N52" s="283">
        <f t="shared" si="14"/>
        <v>120</v>
      </c>
      <c r="O52" s="292">
        <v>75</v>
      </c>
      <c r="P52" s="281">
        <f t="shared" si="4"/>
        <v>3.1578947368421053</v>
      </c>
      <c r="Q52" s="281">
        <f t="shared" si="9"/>
        <v>11.710969571180648</v>
      </c>
      <c r="R52" s="282">
        <f t="shared" si="10"/>
        <v>75.76589748670547</v>
      </c>
      <c r="S52" s="230"/>
    </row>
    <row r="53" spans="2:19">
      <c r="B53" s="283">
        <f t="shared" si="11"/>
        <v>140</v>
      </c>
      <c r="C53" s="292">
        <v>31</v>
      </c>
      <c r="D53" s="281">
        <f t="shared" si="12"/>
        <v>3.6842105263157898</v>
      </c>
      <c r="E53" s="281">
        <f t="shared" si="13"/>
        <v>11.774963940422072</v>
      </c>
      <c r="F53" s="282">
        <f t="shared" si="5"/>
        <v>31.146372205947834</v>
      </c>
      <c r="G53" s="230"/>
      <c r="H53" s="283">
        <f t="shared" si="6"/>
        <v>140</v>
      </c>
      <c r="I53" s="292">
        <v>51</v>
      </c>
      <c r="J53" s="281">
        <f t="shared" si="3"/>
        <v>3.6842105263157898</v>
      </c>
      <c r="K53" s="281">
        <f t="shared" si="7"/>
        <v>11.774963940422072</v>
      </c>
      <c r="L53" s="282">
        <f t="shared" si="8"/>
        <v>51.240805887204502</v>
      </c>
      <c r="M53" s="230"/>
      <c r="N53" s="283">
        <f t="shared" si="14"/>
        <v>140</v>
      </c>
      <c r="O53" s="292">
        <v>80</v>
      </c>
      <c r="P53" s="281">
        <f t="shared" si="4"/>
        <v>3.6842105263157898</v>
      </c>
      <c r="Q53" s="281">
        <f t="shared" si="9"/>
        <v>11.774963940422072</v>
      </c>
      <c r="R53" s="282">
        <f t="shared" si="10"/>
        <v>80.377734725026656</v>
      </c>
      <c r="S53" s="230"/>
    </row>
    <row r="54" spans="2:19">
      <c r="B54" s="283">
        <f t="shared" si="11"/>
        <v>160</v>
      </c>
      <c r="C54" s="292">
        <v>35</v>
      </c>
      <c r="D54" s="281">
        <f t="shared" si="12"/>
        <v>4.2105263157894743</v>
      </c>
      <c r="E54" s="281">
        <f t="shared" si="13"/>
        <v>11.839661544490324</v>
      </c>
      <c r="F54" s="282">
        <f t="shared" si="5"/>
        <v>34.973099057269117</v>
      </c>
      <c r="G54" s="230"/>
      <c r="H54" s="283">
        <f t="shared" si="6"/>
        <v>160</v>
      </c>
      <c r="I54" s="292">
        <v>54</v>
      </c>
      <c r="J54" s="281">
        <f t="shared" si="3"/>
        <v>4.2105263157894743</v>
      </c>
      <c r="K54" s="281">
        <f t="shared" si="7"/>
        <v>11.839661544490324</v>
      </c>
      <c r="L54" s="282">
        <f t="shared" si="8"/>
        <v>53.958495688358063</v>
      </c>
      <c r="M54" s="230"/>
      <c r="N54" s="283">
        <f t="shared" si="14"/>
        <v>160</v>
      </c>
      <c r="O54" s="292">
        <v>85</v>
      </c>
      <c r="P54" s="281">
        <f t="shared" si="4"/>
        <v>4.2105263157894743</v>
      </c>
      <c r="Q54" s="281">
        <f t="shared" si="9"/>
        <v>11.839661544490324</v>
      </c>
      <c r="R54" s="282">
        <f t="shared" si="10"/>
        <v>84.934669139082146</v>
      </c>
      <c r="S54" s="230"/>
    </row>
    <row r="55" spans="2:19">
      <c r="B55" s="283">
        <f t="shared" si="11"/>
        <v>180</v>
      </c>
      <c r="C55" s="292">
        <v>37</v>
      </c>
      <c r="D55" s="281">
        <f t="shared" si="12"/>
        <v>4.7368421052631584</v>
      </c>
      <c r="E55" s="281">
        <f t="shared" si="13"/>
        <v>11.905074039211266</v>
      </c>
      <c r="F55" s="282">
        <f t="shared" si="5"/>
        <v>36.768421410758442</v>
      </c>
      <c r="G55" s="230"/>
      <c r="H55" s="283">
        <f t="shared" si="6"/>
        <v>180</v>
      </c>
      <c r="I55" s="292">
        <v>58</v>
      </c>
      <c r="J55" s="281">
        <f t="shared" si="3"/>
        <v>4.7368421052631584</v>
      </c>
      <c r="K55" s="281">
        <f t="shared" si="7"/>
        <v>11.905074039211266</v>
      </c>
      <c r="L55" s="282">
        <f t="shared" si="8"/>
        <v>57.636984914161879</v>
      </c>
      <c r="M55" s="230"/>
      <c r="N55" s="283">
        <f t="shared" si="14"/>
        <v>180</v>
      </c>
      <c r="O55" s="292">
        <v>89</v>
      </c>
      <c r="P55" s="281">
        <f t="shared" si="4"/>
        <v>4.7368421052631584</v>
      </c>
      <c r="Q55" s="281">
        <f t="shared" si="9"/>
        <v>11.905074039211266</v>
      </c>
      <c r="R55" s="282">
        <f t="shared" si="10"/>
        <v>88.442959609662196</v>
      </c>
      <c r="S55" s="230"/>
    </row>
    <row r="56" spans="2:19">
      <c r="B56" s="283">
        <f t="shared" si="11"/>
        <v>200</v>
      </c>
      <c r="C56" s="292">
        <v>39</v>
      </c>
      <c r="D56" s="281">
        <f t="shared" si="12"/>
        <v>5.2631578947368425</v>
      </c>
      <c r="E56" s="281">
        <f t="shared" si="13"/>
        <v>11.971213339429106</v>
      </c>
      <c r="F56" s="282">
        <f t="shared" si="5"/>
        <v>38.54178263454147</v>
      </c>
      <c r="G56" s="230"/>
      <c r="H56" s="283">
        <f t="shared" si="6"/>
        <v>200</v>
      </c>
      <c r="I56" s="292">
        <v>60</v>
      </c>
      <c r="J56" s="281">
        <f t="shared" si="3"/>
        <v>5.2631578947368425</v>
      </c>
      <c r="K56" s="281">
        <f t="shared" si="7"/>
        <v>11.971213339429106</v>
      </c>
      <c r="L56" s="282">
        <f t="shared" si="8"/>
        <v>59.295050206986879</v>
      </c>
      <c r="M56" s="230"/>
      <c r="N56" s="283">
        <f t="shared" si="14"/>
        <v>200</v>
      </c>
      <c r="O56" s="292">
        <v>94</v>
      </c>
      <c r="P56" s="281">
        <f t="shared" si="4"/>
        <v>5.2631578947368425</v>
      </c>
      <c r="Q56" s="281">
        <f t="shared" si="9"/>
        <v>11.971213339429106</v>
      </c>
      <c r="R56" s="282">
        <f t="shared" si="10"/>
        <v>92.895578657612788</v>
      </c>
      <c r="S56" s="230"/>
    </row>
    <row r="57" spans="2:19">
      <c r="B57" s="283">
        <f t="shared" si="11"/>
        <v>220</v>
      </c>
      <c r="C57" s="292">
        <v>41</v>
      </c>
      <c r="D57" s="281">
        <f t="shared" si="12"/>
        <v>5.7894736842105265</v>
      </c>
      <c r="E57" s="281">
        <f t="shared" si="13"/>
        <v>12.038091626241558</v>
      </c>
      <c r="F57" s="282">
        <f t="shared" si="5"/>
        <v>40.29318272861822</v>
      </c>
      <c r="G57" s="230"/>
      <c r="H57" s="283">
        <f t="shared" si="6"/>
        <v>220</v>
      </c>
      <c r="I57" s="292">
        <v>62</v>
      </c>
      <c r="J57" s="281">
        <f t="shared" si="3"/>
        <v>5.7894736842105265</v>
      </c>
      <c r="K57" s="281">
        <f t="shared" si="7"/>
        <v>12.038091626241558</v>
      </c>
      <c r="L57" s="282">
        <f t="shared" si="8"/>
        <v>60.931154370105602</v>
      </c>
      <c r="M57" s="230"/>
      <c r="N57" s="283">
        <f t="shared" si="14"/>
        <v>220</v>
      </c>
      <c r="O57" s="292">
        <v>100</v>
      </c>
      <c r="P57" s="281">
        <f t="shared" si="4"/>
        <v>5.7894736842105265</v>
      </c>
      <c r="Q57" s="281">
        <f t="shared" si="9"/>
        <v>12.038091626241558</v>
      </c>
      <c r="R57" s="282">
        <f t="shared" si="10"/>
        <v>98.2760554356542</v>
      </c>
      <c r="S57" s="230"/>
    </row>
    <row r="58" spans="2:19">
      <c r="B58" s="283">
        <f t="shared" si="11"/>
        <v>240</v>
      </c>
      <c r="C58" s="292">
        <v>43</v>
      </c>
      <c r="D58" s="281">
        <f t="shared" si="12"/>
        <v>6.3157894736842106</v>
      </c>
      <c r="E58" s="281">
        <f t="shared" si="13"/>
        <v>12.10572135447887</v>
      </c>
      <c r="F58" s="282">
        <f t="shared" si="5"/>
        <v>42.022621692988672</v>
      </c>
      <c r="G58" s="230"/>
      <c r="H58" s="283">
        <f t="shared" si="6"/>
        <v>240</v>
      </c>
      <c r="I58" s="292">
        <v>64</v>
      </c>
      <c r="J58" s="281">
        <f t="shared" si="3"/>
        <v>6.3157894736842106</v>
      </c>
      <c r="K58" s="281">
        <f t="shared" si="7"/>
        <v>12.10572135447887</v>
      </c>
      <c r="L58" s="282">
        <f t="shared" si="8"/>
        <v>62.54529740351802</v>
      </c>
      <c r="M58" s="230"/>
      <c r="N58" s="283">
        <f t="shared" si="14"/>
        <v>240</v>
      </c>
      <c r="O58" s="292">
        <v>102</v>
      </c>
      <c r="P58" s="281">
        <f t="shared" si="4"/>
        <v>6.3157894736842106</v>
      </c>
      <c r="Q58" s="281">
        <f t="shared" si="9"/>
        <v>12.10572135447887</v>
      </c>
      <c r="R58" s="282">
        <f t="shared" si="10"/>
        <v>99.681567736856849</v>
      </c>
      <c r="S58" s="230"/>
    </row>
    <row r="59" spans="2:19">
      <c r="B59" s="283">
        <f t="shared" si="11"/>
        <v>260</v>
      </c>
      <c r="C59" s="292">
        <v>45</v>
      </c>
      <c r="D59" s="281">
        <f t="shared" si="12"/>
        <v>6.8421052631578956</v>
      </c>
      <c r="E59" s="281">
        <f t="shared" si="13"/>
        <v>12.174115260436379</v>
      </c>
      <c r="F59" s="282">
        <f t="shared" si="5"/>
        <v>43.730099527652825</v>
      </c>
      <c r="G59" s="230"/>
      <c r="H59" s="283">
        <f t="shared" si="6"/>
        <v>260</v>
      </c>
      <c r="I59" s="292">
        <v>66</v>
      </c>
      <c r="J59" s="281">
        <f t="shared" si="3"/>
        <v>6.8421052631578956</v>
      </c>
      <c r="K59" s="281">
        <f t="shared" si="7"/>
        <v>12.174115260436379</v>
      </c>
      <c r="L59" s="282">
        <f t="shared" si="8"/>
        <v>64.13747930722414</v>
      </c>
      <c r="M59" s="230"/>
      <c r="N59" s="283">
        <f t="shared" si="14"/>
        <v>260</v>
      </c>
      <c r="O59" s="292">
        <v>105</v>
      </c>
      <c r="P59" s="281">
        <f t="shared" si="4"/>
        <v>6.8421052631578956</v>
      </c>
      <c r="Q59" s="281">
        <f t="shared" si="9"/>
        <v>12.174115260436379</v>
      </c>
      <c r="R59" s="282">
        <f t="shared" si="10"/>
        <v>102.0368988978566</v>
      </c>
      <c r="S59" s="230"/>
    </row>
    <row r="60" spans="2:19">
      <c r="B60" s="283">
        <f t="shared" si="11"/>
        <v>280</v>
      </c>
      <c r="C60" s="292">
        <v>47</v>
      </c>
      <c r="D60" s="281">
        <f t="shared" si="12"/>
        <v>7.3684210526315796</v>
      </c>
      <c r="E60" s="281">
        <f t="shared" si="13"/>
        <v>12.243286369870676</v>
      </c>
      <c r="F60" s="282">
        <f t="shared" si="5"/>
        <v>45.415616232610695</v>
      </c>
      <c r="G60" s="230"/>
      <c r="H60" s="283">
        <f t="shared" si="6"/>
        <v>280</v>
      </c>
      <c r="I60" s="292">
        <v>68</v>
      </c>
      <c r="J60" s="281">
        <f t="shared" si="3"/>
        <v>7.3684210526315796</v>
      </c>
      <c r="K60" s="281">
        <f t="shared" si="7"/>
        <v>12.243286369870676</v>
      </c>
      <c r="L60" s="282">
        <f t="shared" si="8"/>
        <v>65.70770008122399</v>
      </c>
      <c r="M60" s="230"/>
      <c r="N60" s="283">
        <f t="shared" si="14"/>
        <v>280</v>
      </c>
      <c r="O60" s="292">
        <v>110</v>
      </c>
      <c r="P60" s="281">
        <f t="shared" si="4"/>
        <v>7.3684210526315796</v>
      </c>
      <c r="Q60" s="281">
        <f t="shared" si="9"/>
        <v>12.243286369870676</v>
      </c>
      <c r="R60" s="282">
        <f t="shared" si="10"/>
        <v>106.29186777845057</v>
      </c>
      <c r="S60" s="230"/>
    </row>
    <row r="61" spans="2:19">
      <c r="B61" s="283">
        <f t="shared" si="11"/>
        <v>300</v>
      </c>
      <c r="C61" s="292">
        <v>49</v>
      </c>
      <c r="D61" s="281">
        <f t="shared" si="12"/>
        <v>7.8947368421052628</v>
      </c>
      <c r="E61" s="281">
        <f t="shared" si="13"/>
        <v>12.313248006269937</v>
      </c>
      <c r="F61" s="282">
        <f t="shared" si="5"/>
        <v>47.079171807862274</v>
      </c>
      <c r="G61" s="230"/>
      <c r="H61" s="283">
        <f t="shared" si="6"/>
        <v>300</v>
      </c>
      <c r="I61" s="292">
        <v>70</v>
      </c>
      <c r="J61" s="281">
        <f t="shared" si="3"/>
        <v>7.8947368421052628</v>
      </c>
      <c r="K61" s="281">
        <f t="shared" si="7"/>
        <v>12.313248006269937</v>
      </c>
      <c r="L61" s="282">
        <f t="shared" si="8"/>
        <v>67.255959725517528</v>
      </c>
      <c r="M61" s="230"/>
      <c r="N61" s="283">
        <f t="shared" si="14"/>
        <v>300</v>
      </c>
      <c r="O61" s="292">
        <v>113</v>
      </c>
      <c r="P61" s="281">
        <f t="shared" si="4"/>
        <v>7.8947368421052628</v>
      </c>
      <c r="Q61" s="281">
        <f t="shared" si="9"/>
        <v>12.313248006269937</v>
      </c>
      <c r="R61" s="282">
        <f t="shared" si="10"/>
        <v>108.57033498547831</v>
      </c>
      <c r="S61" s="230"/>
    </row>
    <row r="62" spans="2:19">
      <c r="B62" s="283">
        <f t="shared" si="11"/>
        <v>320</v>
      </c>
      <c r="C62" s="292">
        <v>51</v>
      </c>
      <c r="D62" s="281">
        <f t="shared" si="12"/>
        <v>8.4210526315789487</v>
      </c>
      <c r="E62" s="281">
        <f t="shared" si="13"/>
        <v>12.384013799409418</v>
      </c>
      <c r="F62" s="282">
        <f t="shared" si="5"/>
        <v>48.720766253407561</v>
      </c>
      <c r="G62" s="230"/>
      <c r="H62" s="283">
        <f t="shared" si="6"/>
        <v>320</v>
      </c>
      <c r="I62" s="292">
        <v>72</v>
      </c>
      <c r="J62" s="281">
        <f t="shared" si="3"/>
        <v>8.4210526315789487</v>
      </c>
      <c r="K62" s="281">
        <f t="shared" si="7"/>
        <v>12.384013799409418</v>
      </c>
      <c r="L62" s="282">
        <f t="shared" si="8"/>
        <v>68.782258240104795</v>
      </c>
      <c r="M62" s="230"/>
      <c r="N62" s="283">
        <f t="shared" si="14"/>
        <v>320</v>
      </c>
      <c r="O62" s="292">
        <v>115</v>
      </c>
      <c r="P62" s="281">
        <f t="shared" si="4"/>
        <v>8.4210526315789487</v>
      </c>
      <c r="Q62" s="281">
        <f t="shared" si="9"/>
        <v>12.384013799409418</v>
      </c>
      <c r="R62" s="282">
        <f t="shared" si="10"/>
        <v>109.86055135572295</v>
      </c>
      <c r="S62" s="230"/>
    </row>
    <row r="63" spans="2:19">
      <c r="B63" s="283">
        <f t="shared" si="11"/>
        <v>340</v>
      </c>
      <c r="C63" s="292">
        <v>53</v>
      </c>
      <c r="D63" s="281">
        <f t="shared" si="12"/>
        <v>8.9473684210526336</v>
      </c>
      <c r="E63" s="281">
        <f t="shared" si="13"/>
        <v>12.455597694203693</v>
      </c>
      <c r="F63" s="282">
        <f t="shared" si="5"/>
        <v>50.34039956924655</v>
      </c>
      <c r="G63" s="230"/>
      <c r="H63" s="283">
        <f t="shared" si="6"/>
        <v>340</v>
      </c>
      <c r="I63" s="292">
        <v>74</v>
      </c>
      <c r="J63" s="281">
        <f t="shared" si="3"/>
        <v>8.9473684210526336</v>
      </c>
      <c r="K63" s="281">
        <f t="shared" si="7"/>
        <v>12.455597694203693</v>
      </c>
      <c r="L63" s="282">
        <f t="shared" si="8"/>
        <v>70.286595624985765</v>
      </c>
      <c r="M63" s="230"/>
      <c r="N63" s="283">
        <f t="shared" si="14"/>
        <v>340</v>
      </c>
      <c r="O63" s="292">
        <v>118</v>
      </c>
      <c r="P63" s="281">
        <f t="shared" si="4"/>
        <v>8.9473684210526336</v>
      </c>
      <c r="Q63" s="281">
        <f t="shared" si="9"/>
        <v>12.455597694203693</v>
      </c>
      <c r="R63" s="282">
        <f t="shared" si="10"/>
        <v>112.07862545605836</v>
      </c>
      <c r="S63" s="230"/>
    </row>
    <row r="64" spans="2:19">
      <c r="B64" s="283">
        <f t="shared" si="11"/>
        <v>360</v>
      </c>
      <c r="C64" s="292">
        <v>55</v>
      </c>
      <c r="D64" s="281">
        <f t="shared" si="12"/>
        <v>9.4736842105263168</v>
      </c>
      <c r="E64" s="281">
        <f t="shared" si="13"/>
        <v>12.528013959867668</v>
      </c>
      <c r="F64" s="282">
        <f t="shared" si="5"/>
        <v>51.938071755379262</v>
      </c>
      <c r="G64" s="230"/>
      <c r="H64" s="283">
        <f t="shared" si="6"/>
        <v>360</v>
      </c>
      <c r="I64" s="292">
        <v>76</v>
      </c>
      <c r="J64" s="281">
        <f t="shared" si="3"/>
        <v>9.4736842105263168</v>
      </c>
      <c r="K64" s="281">
        <f t="shared" si="7"/>
        <v>12.528013959867668</v>
      </c>
      <c r="L64" s="282">
        <f t="shared" si="8"/>
        <v>71.768971880160422</v>
      </c>
      <c r="M64" s="230"/>
      <c r="N64" s="283">
        <f t="shared" si="14"/>
        <v>360</v>
      </c>
      <c r="O64" s="292">
        <v>120</v>
      </c>
      <c r="P64" s="281">
        <f t="shared" si="4"/>
        <v>9.4736842105263168</v>
      </c>
      <c r="Q64" s="281">
        <f t="shared" si="9"/>
        <v>12.528013959867668</v>
      </c>
      <c r="R64" s="282">
        <f t="shared" si="10"/>
        <v>113.31942928446384</v>
      </c>
      <c r="S64" s="230"/>
    </row>
    <row r="65" spans="2:19">
      <c r="B65" s="283">
        <f t="shared" si="11"/>
        <v>380</v>
      </c>
      <c r="C65" s="292">
        <v>56</v>
      </c>
      <c r="D65" s="281">
        <f t="shared" si="12"/>
        <v>10</v>
      </c>
      <c r="E65" s="281">
        <f t="shared" si="13"/>
        <v>12.601277199399059</v>
      </c>
      <c r="F65" s="282">
        <f t="shared" si="5"/>
        <v>52.574944516861713</v>
      </c>
      <c r="G65" s="230"/>
      <c r="H65" s="283">
        <f t="shared" si="6"/>
        <v>380</v>
      </c>
      <c r="I65" s="292">
        <v>77</v>
      </c>
      <c r="J65" s="281">
        <f t="shared" si="3"/>
        <v>10</v>
      </c>
      <c r="K65" s="281">
        <f t="shared" si="7"/>
        <v>12.601277199399059</v>
      </c>
      <c r="L65" s="282">
        <f t="shared" si="8"/>
        <v>72.290548710684845</v>
      </c>
      <c r="M65" s="230"/>
      <c r="N65" s="283">
        <f t="shared" si="14"/>
        <v>380</v>
      </c>
      <c r="O65" s="292">
        <v>122</v>
      </c>
      <c r="P65" s="281">
        <f t="shared" si="4"/>
        <v>10</v>
      </c>
      <c r="Q65" s="281">
        <f t="shared" si="9"/>
        <v>12.601277199399059</v>
      </c>
      <c r="R65" s="282">
        <f t="shared" si="10"/>
        <v>114.53827198316301</v>
      </c>
      <c r="S65" s="230"/>
    </row>
    <row r="66" spans="2:19">
      <c r="B66" s="283">
        <f t="shared" si="11"/>
        <v>400</v>
      </c>
      <c r="C66" s="292">
        <v>58</v>
      </c>
      <c r="D66" s="281">
        <f t="shared" si="12"/>
        <v>10.526315789473685</v>
      </c>
      <c r="E66" s="281">
        <f t="shared" si="13"/>
        <v>12.675402359395523</v>
      </c>
      <c r="F66" s="282">
        <f t="shared" si="5"/>
        <v>54.134184726008399</v>
      </c>
      <c r="G66" s="230"/>
      <c r="H66" s="283">
        <f t="shared" si="6"/>
        <v>400</v>
      </c>
      <c r="I66" s="292">
        <v>78</v>
      </c>
      <c r="J66" s="281">
        <f t="shared" si="3"/>
        <v>10.526315789473685</v>
      </c>
      <c r="K66" s="281">
        <f t="shared" si="7"/>
        <v>12.675402359395523</v>
      </c>
      <c r="L66" s="282">
        <f t="shared" si="8"/>
        <v>72.801144976356127</v>
      </c>
      <c r="M66" s="230"/>
      <c r="N66" s="283">
        <f t="shared" si="14"/>
        <v>400</v>
      </c>
      <c r="O66" s="292">
        <v>124</v>
      </c>
      <c r="P66" s="281">
        <f t="shared" si="4"/>
        <v>10.526315789473685</v>
      </c>
      <c r="Q66" s="281">
        <f t="shared" si="9"/>
        <v>12.675402359395523</v>
      </c>
      <c r="R66" s="282">
        <f t="shared" si="10"/>
        <v>115.73515355215591</v>
      </c>
      <c r="S66" s="230"/>
    </row>
    <row r="67" spans="2:19">
      <c r="B67" s="283">
        <f t="shared" si="11"/>
        <v>420</v>
      </c>
      <c r="C67" s="292">
        <v>59</v>
      </c>
      <c r="D67" s="281">
        <f t="shared" si="12"/>
        <v>11.052631578947368</v>
      </c>
      <c r="E67" s="281">
        <f t="shared" si="13"/>
        <v>12.75040474022035</v>
      </c>
      <c r="F67" s="282">
        <f t="shared" si="5"/>
        <v>54.743606075357981</v>
      </c>
      <c r="G67" s="230"/>
      <c r="H67" s="283">
        <f t="shared" si="6"/>
        <v>420</v>
      </c>
      <c r="I67" s="292">
        <v>79</v>
      </c>
      <c r="J67" s="281">
        <f t="shared" si="3"/>
        <v>11.052631578947368</v>
      </c>
      <c r="K67" s="281">
        <f t="shared" si="7"/>
        <v>12.75040474022035</v>
      </c>
      <c r="L67" s="282">
        <f t="shared" si="8"/>
        <v>73.300760677174239</v>
      </c>
      <c r="M67" s="230"/>
      <c r="N67" s="283">
        <f t="shared" si="14"/>
        <v>420</v>
      </c>
      <c r="O67" s="292">
        <v>126</v>
      </c>
      <c r="P67" s="281">
        <f t="shared" si="4"/>
        <v>11.052631578947368</v>
      </c>
      <c r="Q67" s="281">
        <f t="shared" si="9"/>
        <v>12.75040474022035</v>
      </c>
      <c r="R67" s="282">
        <f t="shared" si="10"/>
        <v>116.91007399144246</v>
      </c>
      <c r="S67" s="230"/>
    </row>
    <row r="68" spans="2:19">
      <c r="B68" s="283">
        <f t="shared" si="11"/>
        <v>440</v>
      </c>
      <c r="C68" s="292">
        <v>59</v>
      </c>
      <c r="D68" s="281">
        <f t="shared" si="12"/>
        <v>11.578947368421053</v>
      </c>
      <c r="E68" s="281">
        <f t="shared" si="13"/>
        <v>12.826300006531186</v>
      </c>
      <c r="F68" s="282">
        <f t="shared" si="5"/>
        <v>54.419679412190177</v>
      </c>
      <c r="G68" s="230"/>
      <c r="H68" s="283">
        <f t="shared" si="6"/>
        <v>440</v>
      </c>
      <c r="I68" s="292">
        <v>79.5</v>
      </c>
      <c r="J68" s="281">
        <f t="shared" si="3"/>
        <v>11.578947368421053</v>
      </c>
      <c r="K68" s="281">
        <f t="shared" si="7"/>
        <v>12.826300006531186</v>
      </c>
      <c r="L68" s="282">
        <f t="shared" si="8"/>
        <v>73.328212089307115</v>
      </c>
      <c r="M68" s="230"/>
      <c r="N68" s="283">
        <f t="shared" si="14"/>
        <v>440</v>
      </c>
      <c r="O68" s="292">
        <v>128</v>
      </c>
      <c r="P68" s="281">
        <f t="shared" si="4"/>
        <v>11.578947368421053</v>
      </c>
      <c r="Q68" s="281">
        <f t="shared" si="9"/>
        <v>12.826300006531186</v>
      </c>
      <c r="R68" s="282">
        <f t="shared" si="10"/>
        <v>118.06303330102277</v>
      </c>
      <c r="S68" s="230"/>
    </row>
    <row r="69" spans="2:19">
      <c r="B69" s="283">
        <f t="shared" si="11"/>
        <v>460</v>
      </c>
      <c r="C69" s="292">
        <v>59</v>
      </c>
      <c r="D69" s="281">
        <f t="shared" si="12"/>
        <v>12.105263157894738</v>
      </c>
      <c r="E69" s="281">
        <f t="shared" si="13"/>
        <v>12.90310419818706</v>
      </c>
      <c r="F69" s="282">
        <f t="shared" si="5"/>
        <v>54.095752749022381</v>
      </c>
      <c r="G69" s="230"/>
      <c r="H69" s="283">
        <f t="shared" si="6"/>
        <v>460</v>
      </c>
      <c r="I69" s="292">
        <v>80</v>
      </c>
      <c r="J69" s="281">
        <f t="shared" si="3"/>
        <v>12.105263157894738</v>
      </c>
      <c r="K69" s="281">
        <f t="shared" si="7"/>
        <v>12.90310419818706</v>
      </c>
      <c r="L69" s="282">
        <f t="shared" si="8"/>
        <v>73.350173219013399</v>
      </c>
      <c r="M69" s="230"/>
      <c r="N69" s="283">
        <f t="shared" si="14"/>
        <v>460</v>
      </c>
      <c r="O69" s="292">
        <v>130</v>
      </c>
      <c r="P69" s="281">
        <f t="shared" si="4"/>
        <v>12.105263157894738</v>
      </c>
      <c r="Q69" s="281">
        <f t="shared" si="9"/>
        <v>12.90310419818706</v>
      </c>
      <c r="R69" s="282">
        <f t="shared" si="10"/>
        <v>119.1940314808968</v>
      </c>
      <c r="S69" s="230"/>
    </row>
    <row r="70" spans="2:19">
      <c r="B70" s="283">
        <f t="shared" si="11"/>
        <v>480</v>
      </c>
      <c r="C70" s="292">
        <v>59</v>
      </c>
      <c r="D70" s="281">
        <f t="shared" si="12"/>
        <v>12.631578947368421</v>
      </c>
      <c r="E70" s="281">
        <f t="shared" si="13"/>
        <v>12.980833741549635</v>
      </c>
      <c r="F70" s="282">
        <f t="shared" si="5"/>
        <v>53.771826085854578</v>
      </c>
      <c r="G70" s="230"/>
      <c r="H70" s="283">
        <f t="shared" si="6"/>
        <v>480</v>
      </c>
      <c r="I70" s="292">
        <v>80</v>
      </c>
      <c r="J70" s="281">
        <f t="shared" si="3"/>
        <v>12.631578947368421</v>
      </c>
      <c r="K70" s="281">
        <f t="shared" si="7"/>
        <v>12.980833741549635</v>
      </c>
      <c r="L70" s="282">
        <f t="shared" si="8"/>
        <v>72.910950624887562</v>
      </c>
      <c r="M70" s="230"/>
      <c r="N70" s="283">
        <f t="shared" si="14"/>
        <v>480</v>
      </c>
      <c r="O70" s="292">
        <v>131</v>
      </c>
      <c r="P70" s="281">
        <f t="shared" si="4"/>
        <v>12.631578947368421</v>
      </c>
      <c r="Q70" s="281">
        <f t="shared" si="9"/>
        <v>12.980833741549635</v>
      </c>
      <c r="R70" s="282">
        <f t="shared" si="10"/>
        <v>119.3916816482534</v>
      </c>
      <c r="S70" s="230"/>
    </row>
    <row r="71" spans="2:19">
      <c r="B71" s="283">
        <f t="shared" si="11"/>
        <v>500</v>
      </c>
      <c r="C71" s="292">
        <v>59</v>
      </c>
      <c r="D71" s="281">
        <f t="shared" si="12"/>
        <v>13.157894736842104</v>
      </c>
      <c r="E71" s="281">
        <f t="shared" si="13"/>
        <v>13.059505461195389</v>
      </c>
      <c r="F71" s="282">
        <f t="shared" si="5"/>
        <v>53.447899422686788</v>
      </c>
      <c r="G71" s="230"/>
      <c r="H71" s="283">
        <f t="shared" si="6"/>
        <v>500</v>
      </c>
      <c r="I71" s="292">
        <v>80</v>
      </c>
      <c r="J71" s="281">
        <f t="shared" si="3"/>
        <v>13.157894736842104</v>
      </c>
      <c r="K71" s="281">
        <f t="shared" si="7"/>
        <v>13.059505461195389</v>
      </c>
      <c r="L71" s="282">
        <f t="shared" si="8"/>
        <v>72.471728030761739</v>
      </c>
      <c r="M71" s="230"/>
      <c r="N71" s="283">
        <f t="shared" si="14"/>
        <v>500</v>
      </c>
      <c r="O71" s="292">
        <v>131.5</v>
      </c>
      <c r="P71" s="281">
        <f t="shared" si="4"/>
        <v>13.157894736842104</v>
      </c>
      <c r="Q71" s="281">
        <f t="shared" si="9"/>
        <v>13.059505461195389</v>
      </c>
      <c r="R71" s="282">
        <f t="shared" si="10"/>
        <v>119.12540295056462</v>
      </c>
      <c r="S71" s="230"/>
    </row>
    <row r="72" spans="2:19">
      <c r="B72" s="283">
        <f t="shared" si="11"/>
        <v>520</v>
      </c>
      <c r="C72" s="292">
        <v>59</v>
      </c>
      <c r="D72" s="281">
        <f t="shared" si="12"/>
        <v>13.684210526315791</v>
      </c>
      <c r="E72" s="281">
        <f t="shared" si="13"/>
        <v>13.139136592056337</v>
      </c>
      <c r="F72" s="282">
        <f t="shared" si="5"/>
        <v>53.123972759518985</v>
      </c>
      <c r="G72" s="230"/>
      <c r="H72" s="283">
        <f t="shared" si="6"/>
        <v>520</v>
      </c>
      <c r="I72" s="292">
        <v>80</v>
      </c>
      <c r="J72" s="281">
        <f t="shared" si="3"/>
        <v>13.684210526315791</v>
      </c>
      <c r="K72" s="281">
        <f t="shared" si="7"/>
        <v>13.139136592056337</v>
      </c>
      <c r="L72" s="282">
        <f t="shared" si="8"/>
        <v>72.032505436635915</v>
      </c>
      <c r="M72" s="230"/>
      <c r="N72" s="283">
        <f t="shared" si="14"/>
        <v>520</v>
      </c>
      <c r="O72" s="292">
        <v>132</v>
      </c>
      <c r="P72" s="281">
        <f t="shared" si="4"/>
        <v>13.684210526315791</v>
      </c>
      <c r="Q72" s="281">
        <f t="shared" si="9"/>
        <v>13.139136592056337</v>
      </c>
      <c r="R72" s="282">
        <f t="shared" si="10"/>
        <v>118.85363397044927</v>
      </c>
      <c r="S72" s="230"/>
    </row>
    <row r="73" spans="2:19">
      <c r="B73" s="283"/>
      <c r="C73" s="284"/>
      <c r="D73" s="285"/>
      <c r="E73" s="285"/>
      <c r="F73" s="286"/>
      <c r="G73" s="230"/>
      <c r="H73" s="283">
        <f t="shared" si="6"/>
        <v>540</v>
      </c>
      <c r="I73" s="292">
        <v>80</v>
      </c>
      <c r="J73" s="281">
        <f t="shared" si="3"/>
        <v>14.210526315789476</v>
      </c>
      <c r="K73" s="281">
        <f t="shared" si="7"/>
        <v>13.219744792007603</v>
      </c>
      <c r="L73" s="282">
        <f t="shared" si="8"/>
        <v>71.593282842510078</v>
      </c>
      <c r="M73" s="230"/>
      <c r="N73" s="283">
        <f t="shared" si="14"/>
        <v>540</v>
      </c>
      <c r="O73" s="292">
        <v>132</v>
      </c>
      <c r="P73" s="281">
        <f t="shared" si="4"/>
        <v>14.210526315789476</v>
      </c>
      <c r="Q73" s="281">
        <f t="shared" si="9"/>
        <v>13.219744792007603</v>
      </c>
      <c r="R73" s="282">
        <f t="shared" si="10"/>
        <v>118.12891669014164</v>
      </c>
      <c r="S73" s="230"/>
    </row>
    <row r="74" spans="2:19">
      <c r="B74" s="283" t="str">
        <f t="shared" si="11"/>
        <v/>
      </c>
      <c r="C74" s="284" t="str">
        <f t="shared" ref="C74:C79" si="15">IF(C159="","",C159)</f>
        <v/>
      </c>
      <c r="D74" s="285" t="str">
        <f t="shared" ref="D74:D79" si="16">IF(B74="","",((B74*$I$45)/$I$42)*100)</f>
        <v/>
      </c>
      <c r="E74" s="285" t="str">
        <f t="shared" ref="E74:E79" si="17">IF(D74="","",($I$43/((100-D74)/100)))</f>
        <v/>
      </c>
      <c r="F74" s="286" t="str">
        <f t="shared" ref="F74:F79" si="18">IF(E74="","",(C74*$I$47)/E74)</f>
        <v/>
      </c>
      <c r="G74" s="230"/>
      <c r="H74" s="283">
        <f t="shared" si="6"/>
        <v>560</v>
      </c>
      <c r="I74" s="284">
        <v>80</v>
      </c>
      <c r="J74" s="281">
        <f t="shared" si="3"/>
        <v>14.736842105263159</v>
      </c>
      <c r="K74" s="281">
        <f t="shared" si="7"/>
        <v>13.301348154921229</v>
      </c>
      <c r="L74" s="282">
        <f t="shared" si="8"/>
        <v>71.154060248384269</v>
      </c>
      <c r="M74" s="230"/>
      <c r="N74" s="283">
        <f t="shared" si="14"/>
        <v>560</v>
      </c>
      <c r="O74" s="292">
        <v>132</v>
      </c>
      <c r="P74" s="281">
        <f t="shared" si="4"/>
        <v>14.736842105263159</v>
      </c>
      <c r="Q74" s="281">
        <f t="shared" si="9"/>
        <v>13.301348154921229</v>
      </c>
      <c r="R74" s="282">
        <f t="shared" si="10"/>
        <v>117.40419940983404</v>
      </c>
      <c r="S74" s="230"/>
    </row>
    <row r="75" spans="2:19">
      <c r="B75" s="283" t="str">
        <f t="shared" si="11"/>
        <v/>
      </c>
      <c r="C75" s="284" t="str">
        <f t="shared" si="15"/>
        <v/>
      </c>
      <c r="D75" s="285" t="str">
        <f t="shared" si="16"/>
        <v/>
      </c>
      <c r="E75" s="285" t="str">
        <f t="shared" si="17"/>
        <v/>
      </c>
      <c r="F75" s="286" t="str">
        <f t="shared" si="18"/>
        <v/>
      </c>
      <c r="G75" s="230"/>
      <c r="H75" s="283"/>
      <c r="I75" s="284"/>
      <c r="J75" s="285"/>
      <c r="K75" s="285"/>
      <c r="L75" s="286"/>
      <c r="M75" s="216"/>
      <c r="N75" s="283">
        <f t="shared" si="14"/>
        <v>580</v>
      </c>
      <c r="O75" s="292">
        <v>132</v>
      </c>
      <c r="P75" s="281">
        <f t="shared" si="4"/>
        <v>15.263157894736842</v>
      </c>
      <c r="Q75" s="281">
        <f t="shared" si="9"/>
        <v>13.383965224206454</v>
      </c>
      <c r="R75" s="282">
        <f t="shared" si="10"/>
        <v>116.67948212952639</v>
      </c>
      <c r="S75" s="230"/>
    </row>
    <row r="76" spans="2:19">
      <c r="B76" s="283" t="str">
        <f t="shared" si="11"/>
        <v/>
      </c>
      <c r="C76" s="284" t="str">
        <f t="shared" si="15"/>
        <v/>
      </c>
      <c r="D76" s="285" t="str">
        <f t="shared" si="16"/>
        <v/>
      </c>
      <c r="E76" s="285" t="str">
        <f t="shared" si="17"/>
        <v/>
      </c>
      <c r="F76" s="286" t="str">
        <f t="shared" si="18"/>
        <v/>
      </c>
      <c r="G76" s="230"/>
      <c r="H76" s="283" t="str">
        <f>IF(OR(I75="",),"",H75+20)</f>
        <v/>
      </c>
      <c r="I76" s="284" t="str">
        <f>IF(F161="","",F161)</f>
        <v/>
      </c>
      <c r="J76" s="285" t="str">
        <f>IF(H76="","",((H76*$J$45)/$J$42)*100)</f>
        <v/>
      </c>
      <c r="K76" s="285" t="str">
        <f>IF(J76="","",$J$43/((100-J76)/100))</f>
        <v/>
      </c>
      <c r="L76" s="286" t="str">
        <f>IF(K76="","",(I76*$J$47)/K76)</f>
        <v/>
      </c>
      <c r="M76" s="216"/>
      <c r="N76" s="283">
        <f t="shared" si="14"/>
        <v>600</v>
      </c>
      <c r="O76" s="292">
        <v>132</v>
      </c>
      <c r="P76" s="281">
        <f t="shared" si="4"/>
        <v>15.789473684210526</v>
      </c>
      <c r="Q76" s="281">
        <f t="shared" si="9"/>
        <v>13.467615006857743</v>
      </c>
      <c r="R76" s="282">
        <f t="shared" si="10"/>
        <v>115.9547648492188</v>
      </c>
      <c r="S76" s="230"/>
    </row>
    <row r="77" spans="2:19">
      <c r="B77" s="283" t="str">
        <f t="shared" si="11"/>
        <v/>
      </c>
      <c r="C77" s="284" t="str">
        <f t="shared" si="15"/>
        <v/>
      </c>
      <c r="D77" s="285" t="str">
        <f t="shared" si="16"/>
        <v/>
      </c>
      <c r="E77" s="285" t="str">
        <f t="shared" si="17"/>
        <v/>
      </c>
      <c r="F77" s="286" t="str">
        <f t="shared" si="18"/>
        <v/>
      </c>
      <c r="G77" s="230"/>
      <c r="H77" s="283" t="str">
        <f>IF(OR(I76="",),"",H76+20)</f>
        <v/>
      </c>
      <c r="I77" s="284" t="str">
        <f>IF(F162="","",F162)</f>
        <v/>
      </c>
      <c r="J77" s="285" t="str">
        <f>IF(H77="","",((H77*$J$45)/$J$42)*100)</f>
        <v/>
      </c>
      <c r="K77" s="285" t="str">
        <f>IF(J77="","",$J$43/((100-J77)/100))</f>
        <v/>
      </c>
      <c r="L77" s="286" t="str">
        <f>IF(K77="","",(I77*$J$47)/K77)</f>
        <v/>
      </c>
      <c r="M77" s="216"/>
      <c r="N77" s="283" t="str">
        <f>IF(J162=0,"",N76+20)</f>
        <v/>
      </c>
      <c r="O77" s="284" t="str">
        <f>IF(J162="","",J162)</f>
        <v/>
      </c>
      <c r="P77" s="285" t="str">
        <f>IF(N77="","",((N77*$K$45)/$K$42)*100)</f>
        <v/>
      </c>
      <c r="Q77" s="285" t="str">
        <f>IF(P77="","",$K$43/((100-P77)/100))</f>
        <v/>
      </c>
      <c r="R77" s="286" t="str">
        <f>IF(Q77="","",(O77*$J$47)/Q77)</f>
        <v/>
      </c>
    </row>
    <row r="78" spans="2:19">
      <c r="B78" s="283" t="str">
        <f t="shared" si="11"/>
        <v/>
      </c>
      <c r="C78" s="284" t="str">
        <f t="shared" si="15"/>
        <v/>
      </c>
      <c r="D78" s="285" t="str">
        <f t="shared" si="16"/>
        <v/>
      </c>
      <c r="E78" s="285" t="str">
        <f t="shared" si="17"/>
        <v/>
      </c>
      <c r="F78" s="286" t="str">
        <f t="shared" si="18"/>
        <v/>
      </c>
      <c r="G78" s="230"/>
      <c r="H78" s="283" t="str">
        <f>IF(OR(I77="",),"",H77+20)</f>
        <v/>
      </c>
      <c r="I78" s="284" t="str">
        <f>IF(F163="","",F163)</f>
        <v/>
      </c>
      <c r="J78" s="285" t="str">
        <f>IF(H78="","",((H78*$J$45)/$J$42)*100)</f>
        <v/>
      </c>
      <c r="K78" s="285" t="str">
        <f>IF(J78="","",$J$43/((100-J78)/100))</f>
        <v/>
      </c>
      <c r="L78" s="286" t="str">
        <f>IF(K78="","",(I78*$J$47)/K78)</f>
        <v/>
      </c>
      <c r="M78" s="216"/>
      <c r="N78" s="283" t="str">
        <f>IF(J163=0,"",N77+20)</f>
        <v/>
      </c>
      <c r="O78" s="284" t="str">
        <f>IF(J163="","",J163)</f>
        <v/>
      </c>
      <c r="P78" s="285" t="str">
        <f>IF(N78="","",((N78*$K$45)/$K$42)*100)</f>
        <v/>
      </c>
      <c r="Q78" s="285" t="str">
        <f>IF(P78="","",$K$43/((100-P78)/100))</f>
        <v/>
      </c>
      <c r="R78" s="286" t="str">
        <f>IF(Q78="","",(O78*$J$47)/Q78)</f>
        <v/>
      </c>
    </row>
    <row r="79" spans="2:19">
      <c r="B79" s="290" t="str">
        <f t="shared" si="11"/>
        <v/>
      </c>
      <c r="C79" s="288" t="str">
        <f t="shared" si="15"/>
        <v>SLT</v>
      </c>
      <c r="D79" s="289" t="str">
        <f t="shared" si="16"/>
        <v/>
      </c>
      <c r="E79" s="289" t="str">
        <f t="shared" si="17"/>
        <v/>
      </c>
      <c r="F79" s="240" t="str">
        <f t="shared" si="18"/>
        <v/>
      </c>
      <c r="G79" s="230"/>
      <c r="H79" s="283" t="str">
        <f>IF(OR(I78="",),"",H78+20)</f>
        <v/>
      </c>
      <c r="I79" s="288" t="str">
        <f>IF(F164="","",F164)</f>
        <v/>
      </c>
      <c r="J79" s="289" t="str">
        <f>IF(H79="","",((H79*$J$45)/$J$42)*100)</f>
        <v/>
      </c>
      <c r="K79" s="289" t="str">
        <f>IF(J79="","",$J$43/((100-J79)/100))</f>
        <v/>
      </c>
      <c r="L79" s="240" t="str">
        <f>IF(K79="","",(I79*$J$47)/K79)</f>
        <v/>
      </c>
      <c r="M79" s="216"/>
      <c r="N79" s="287" t="str">
        <f>IF(J164=0,"",N78+20)</f>
        <v/>
      </c>
      <c r="O79" s="288" t="str">
        <f>IF(J164="","",J164)</f>
        <v/>
      </c>
      <c r="P79" s="289" t="str">
        <f>IF(N79="","",((N79*$K$45)/$K$42)*100)</f>
        <v/>
      </c>
      <c r="Q79" s="289" t="str">
        <f>IF(P79="","",$K$43/((100-P79)/100))</f>
        <v/>
      </c>
      <c r="R79" s="240" t="str">
        <f>IF(Q79="","",(O79*$J$47)/Q79)</f>
        <v/>
      </c>
    </row>
    <row r="80" spans="2:19">
      <c r="C80" t="s">
        <v>793</v>
      </c>
      <c r="E80" s="780">
        <f>INDEX(D46:D79,MATCH(F37,F46:F79,0))</f>
        <v>11.052631578947368</v>
      </c>
      <c r="K80" s="780">
        <f>INDEX(J46:J79,MATCH(G37,L46:L79,0))</f>
        <v>12.105263157894738</v>
      </c>
      <c r="Q80" s="780">
        <f>INDEX(P46:P79,MATCH(H37,R46:R79,0))</f>
        <v>12.631578947368421</v>
      </c>
    </row>
    <row r="81" spans="2:17">
      <c r="E81" s="252"/>
      <c r="K81" s="252"/>
      <c r="Q81" s="252"/>
    </row>
    <row r="82" spans="2:17">
      <c r="D82" s="781" t="s">
        <v>797</v>
      </c>
      <c r="E82" s="43">
        <f>F36</f>
        <v>50</v>
      </c>
      <c r="H82" t="s">
        <v>258</v>
      </c>
      <c r="I82" s="43">
        <f>G36</f>
        <v>100</v>
      </c>
      <c r="N82" t="s">
        <v>258</v>
      </c>
      <c r="O82" s="43">
        <f>H36</f>
        <v>200</v>
      </c>
    </row>
    <row r="83" spans="2:17">
      <c r="D83" s="300" t="s">
        <v>794</v>
      </c>
      <c r="E83" s="43">
        <f>F38</f>
        <v>104.74360607535797</v>
      </c>
      <c r="H83" t="s">
        <v>257</v>
      </c>
      <c r="I83" s="43">
        <f>G38</f>
        <v>173.35017321901341</v>
      </c>
      <c r="N83" t="s">
        <v>257</v>
      </c>
      <c r="O83" s="43">
        <f>H38</f>
        <v>319.39168164825338</v>
      </c>
    </row>
    <row r="84" spans="2:17">
      <c r="D84" t="s">
        <v>170</v>
      </c>
      <c r="E84">
        <f>(E82+E83)/2</f>
        <v>77.371803037678987</v>
      </c>
      <c r="H84" t="s">
        <v>170</v>
      </c>
      <c r="I84">
        <f>(I82+I83)/2</f>
        <v>136.67508660950671</v>
      </c>
      <c r="N84" t="s">
        <v>170</v>
      </c>
      <c r="O84">
        <f>(O82+O83)/2</f>
        <v>259.69584082412666</v>
      </c>
    </row>
    <row r="85" spans="2:17">
      <c r="D85" t="s">
        <v>173</v>
      </c>
      <c r="E85">
        <f>(E83-E82)/2</f>
        <v>27.371803037678987</v>
      </c>
      <c r="H85" t="s">
        <v>173</v>
      </c>
      <c r="I85">
        <f>(I83-I82)/2</f>
        <v>36.675086609506707</v>
      </c>
      <c r="N85" t="s">
        <v>173</v>
      </c>
      <c r="O85">
        <f>(O83-O82)/2</f>
        <v>59.695840824126691</v>
      </c>
    </row>
    <row r="89" spans="2:17">
      <c r="B89" t="s">
        <v>176</v>
      </c>
      <c r="C89" s="160" t="s">
        <v>177</v>
      </c>
      <c r="D89" s="160" t="s">
        <v>98</v>
      </c>
      <c r="E89" s="824"/>
      <c r="H89" t="s">
        <v>176</v>
      </c>
      <c r="I89" s="160" t="s">
        <v>177</v>
      </c>
      <c r="J89" s="160" t="s">
        <v>98</v>
      </c>
      <c r="K89" s="824"/>
      <c r="M89" t="s">
        <v>176</v>
      </c>
      <c r="N89" s="160" t="s">
        <v>177</v>
      </c>
      <c r="O89" s="160" t="s">
        <v>98</v>
      </c>
      <c r="P89" s="824"/>
    </row>
    <row r="90" spans="2:17">
      <c r="B90">
        <v>0</v>
      </c>
      <c r="C90" s="42">
        <f>$E$84+$E$85*COS(RADIANS(B90))</f>
        <v>104.74360607535797</v>
      </c>
      <c r="D90">
        <f>IF($D$7="",NA(),$E$85*SIN(RADIANS(B90)))</f>
        <v>0</v>
      </c>
      <c r="E90" s="230"/>
      <c r="H90">
        <v>0</v>
      </c>
      <c r="I90" s="42">
        <f>$I$84+$I$85*COS(RADIANS(H90))</f>
        <v>173.35017321901341</v>
      </c>
      <c r="J90">
        <f>IF($D$7="",NA(),$I$85*SIN(RADIANS(H90)))</f>
        <v>0</v>
      </c>
      <c r="K90" s="230"/>
      <c r="M90">
        <v>0</v>
      </c>
      <c r="N90" s="42">
        <f>$O$84+$O$85*COS(RADIANS(M90))</f>
        <v>319.39168164825332</v>
      </c>
      <c r="O90">
        <f>IF($D$7="",NA(),$O$85*SIN(RADIANS(M90)))</f>
        <v>0</v>
      </c>
      <c r="P90" s="230"/>
    </row>
    <row r="91" spans="2:17">
      <c r="B91">
        <f>B90+5</f>
        <v>5</v>
      </c>
      <c r="C91" s="42">
        <f t="shared" ref="C91:C126" si="19">$E$84+$E$85*COS(RADIANS(B91))</f>
        <v>104.63944810102633</v>
      </c>
      <c r="D91">
        <f t="shared" ref="D91:D126" si="20">IF($D$7="",NA(),$E$85*SIN(RADIANS(B91)))</f>
        <v>2.3856098240915182</v>
      </c>
      <c r="E91" s="230"/>
      <c r="H91">
        <f>H90+5</f>
        <v>5</v>
      </c>
      <c r="I91" s="42">
        <f t="shared" ref="I91:I126" si="21">$I$84+$I$85*COS(RADIANS(H91))</f>
        <v>173.21061344195286</v>
      </c>
      <c r="J91">
        <f t="shared" ref="J91:J126" si="22">IF($D$7="",NA(),$I$85*SIN(RADIANS(H91)))</f>
        <v>3.1964444137862493</v>
      </c>
      <c r="K91" s="230"/>
      <c r="M91">
        <f>M90+5</f>
        <v>5</v>
      </c>
      <c r="N91" s="42">
        <f t="shared" ref="N91:N126" si="23">$O$84+$O$85*COS(RADIANS(M91))</f>
        <v>319.16452095125044</v>
      </c>
      <c r="O91">
        <f t="shared" ref="O91:O126" si="24">IF($D$7="",NA(),$O$85*SIN(RADIANS(M91)))</f>
        <v>5.2028353459727361</v>
      </c>
      <c r="P91" s="230"/>
    </row>
    <row r="92" spans="2:17">
      <c r="B92">
        <f t="shared" ref="B92:B126" si="25">B91+5</f>
        <v>10</v>
      </c>
      <c r="C92" s="42">
        <f t="shared" si="19"/>
        <v>104.32776688310835</v>
      </c>
      <c r="D92">
        <f t="shared" si="20"/>
        <v>4.7530637169511039</v>
      </c>
      <c r="E92" s="230"/>
      <c r="H92">
        <f t="shared" ref="H92:H126" si="26">H91+5</f>
        <v>10</v>
      </c>
      <c r="I92" s="42">
        <f t="shared" si="21"/>
        <v>172.79299624494314</v>
      </c>
      <c r="J92">
        <f t="shared" si="22"/>
        <v>6.368561955517678</v>
      </c>
      <c r="K92" s="230"/>
      <c r="M92">
        <f t="shared" ref="M92:M126" si="27">M91+5</f>
        <v>10</v>
      </c>
      <c r="N92" s="42">
        <f t="shared" si="23"/>
        <v>318.4847676903093</v>
      </c>
      <c r="O92">
        <f t="shared" si="24"/>
        <v>10.366073973404744</v>
      </c>
      <c r="P92" s="230"/>
    </row>
    <row r="93" spans="2:17">
      <c r="B93">
        <f t="shared" si="25"/>
        <v>15</v>
      </c>
      <c r="C93" s="42">
        <f t="shared" si="19"/>
        <v>103.8109345038707</v>
      </c>
      <c r="D93">
        <f t="shared" si="20"/>
        <v>7.084343924946352</v>
      </c>
      <c r="E93" s="230"/>
      <c r="H93">
        <f t="shared" si="26"/>
        <v>15</v>
      </c>
      <c r="I93" s="42">
        <f t="shared" si="21"/>
        <v>172.10049994701762</v>
      </c>
      <c r="J93">
        <f t="shared" si="22"/>
        <v>9.4922108953247708</v>
      </c>
      <c r="K93" s="230"/>
      <c r="M93">
        <f t="shared" si="27"/>
        <v>15</v>
      </c>
      <c r="N93" s="42">
        <f t="shared" si="23"/>
        <v>317.35759519819192</v>
      </c>
      <c r="O93">
        <f t="shared" si="24"/>
        <v>15.450420518692544</v>
      </c>
      <c r="P93" s="230"/>
    </row>
    <row r="94" spans="2:17">
      <c r="B94">
        <f t="shared" si="25"/>
        <v>20</v>
      </c>
      <c r="C94" s="42">
        <f t="shared" si="19"/>
        <v>103.09288436979125</v>
      </c>
      <c r="D94">
        <f t="shared" si="20"/>
        <v>9.3617079980289422</v>
      </c>
      <c r="E94" s="230"/>
      <c r="H94">
        <f t="shared" si="26"/>
        <v>20</v>
      </c>
      <c r="I94" s="42">
        <f t="shared" si="21"/>
        <v>171.13839486314424</v>
      </c>
      <c r="J94">
        <f t="shared" si="22"/>
        <v>12.543618378664798</v>
      </c>
      <c r="K94" s="230"/>
      <c r="M94">
        <f t="shared" si="27"/>
        <v>20</v>
      </c>
      <c r="N94" s="42">
        <f t="shared" si="23"/>
        <v>315.79158193816869</v>
      </c>
      <c r="O94">
        <f t="shared" si="24"/>
        <v>20.417180034614116</v>
      </c>
      <c r="P94" s="230"/>
    </row>
    <row r="95" spans="2:17">
      <c r="B95">
        <f t="shared" si="25"/>
        <v>25</v>
      </c>
      <c r="C95" s="42">
        <f t="shared" si="19"/>
        <v>102.17908127596088</v>
      </c>
      <c r="D95">
        <f t="shared" si="20"/>
        <v>11.56782382049269</v>
      </c>
      <c r="E95" s="230"/>
      <c r="H95">
        <f t="shared" si="26"/>
        <v>25</v>
      </c>
      <c r="I95" s="42">
        <f t="shared" si="21"/>
        <v>169.9140031939462</v>
      </c>
      <c r="J95">
        <f t="shared" si="22"/>
        <v>15.499561352099327</v>
      </c>
      <c r="K95" s="230"/>
      <c r="M95">
        <f t="shared" si="27"/>
        <v>25</v>
      </c>
      <c r="N95" s="42">
        <f t="shared" si="23"/>
        <v>313.798646216733</v>
      </c>
      <c r="O95">
        <f t="shared" si="24"/>
        <v>25.228552482241906</v>
      </c>
      <c r="P95" s="230"/>
    </row>
    <row r="96" spans="2:17">
      <c r="B96">
        <f t="shared" si="25"/>
        <v>30</v>
      </c>
      <c r="C96" s="42">
        <f t="shared" si="19"/>
        <v>101.07647981569306</v>
      </c>
      <c r="D96">
        <f t="shared" si="20"/>
        <v>13.685901518839492</v>
      </c>
      <c r="E96" s="230"/>
      <c r="H96">
        <f t="shared" si="26"/>
        <v>30</v>
      </c>
      <c r="I96" s="42">
        <f t="shared" si="21"/>
        <v>168.43664329933401</v>
      </c>
      <c r="J96">
        <f t="shared" si="22"/>
        <v>18.33754330475335</v>
      </c>
      <c r="K96" s="230"/>
      <c r="M96">
        <f t="shared" si="27"/>
        <v>30</v>
      </c>
      <c r="N96" s="42">
        <f t="shared" si="23"/>
        <v>311.39395547809255</v>
      </c>
      <c r="O96">
        <f t="shared" si="24"/>
        <v>29.847920412063342</v>
      </c>
      <c r="P96" s="230"/>
    </row>
    <row r="97" spans="2:16">
      <c r="B97">
        <f t="shared" si="25"/>
        <v>35</v>
      </c>
      <c r="C97" s="42">
        <f t="shared" si="19"/>
        <v>99.793471451869365</v>
      </c>
      <c r="D97">
        <f t="shared" si="20"/>
        <v>15.69982124285465</v>
      </c>
      <c r="E97" s="230"/>
      <c r="H97">
        <f t="shared" si="26"/>
        <v>35</v>
      </c>
      <c r="I97" s="42">
        <f t="shared" si="21"/>
        <v>166.71755878015995</v>
      </c>
      <c r="J97">
        <f t="shared" si="22"/>
        <v>21.035965480346825</v>
      </c>
      <c r="K97" s="230"/>
      <c r="M97">
        <f t="shared" si="27"/>
        <v>35</v>
      </c>
      <c r="N97" s="42">
        <f t="shared" si="23"/>
        <v>308.59581087076032</v>
      </c>
      <c r="O97">
        <f t="shared" si="24"/>
        <v>34.240127644881881</v>
      </c>
      <c r="P97" s="230"/>
    </row>
    <row r="98" spans="2:16">
      <c r="B98">
        <f t="shared" si="25"/>
        <v>40</v>
      </c>
      <c r="C98" s="42">
        <f t="shared" si="19"/>
        <v>98.339820652840132</v>
      </c>
      <c r="D98">
        <f t="shared" si="20"/>
        <v>17.594255847400429</v>
      </c>
      <c r="E98" s="230"/>
      <c r="H98">
        <f t="shared" si="26"/>
        <v>40</v>
      </c>
      <c r="I98" s="42">
        <f t="shared" si="21"/>
        <v>164.76983290762655</v>
      </c>
      <c r="J98">
        <f t="shared" si="22"/>
        <v>23.57429125677162</v>
      </c>
      <c r="K98" s="230"/>
      <c r="M98">
        <f t="shared" si="27"/>
        <v>40</v>
      </c>
      <c r="N98" s="42">
        <f t="shared" si="23"/>
        <v>305.42550796476394</v>
      </c>
      <c r="O98">
        <f t="shared" si="24"/>
        <v>38.371746831568522</v>
      </c>
      <c r="P98" s="230"/>
    </row>
    <row r="99" spans="2:16">
      <c r="B99">
        <f t="shared" si="25"/>
        <v>45</v>
      </c>
      <c r="C99" s="42">
        <f t="shared" si="19"/>
        <v>96.726590578924345</v>
      </c>
      <c r="D99">
        <f t="shared" si="20"/>
        <v>19.354787541245351</v>
      </c>
      <c r="E99" s="230"/>
      <c r="H99">
        <f t="shared" si="26"/>
        <v>45</v>
      </c>
      <c r="I99" s="42">
        <f t="shared" si="21"/>
        <v>162.60828905169285</v>
      </c>
      <c r="J99">
        <f t="shared" si="22"/>
        <v>25.933202442186136</v>
      </c>
      <c r="K99" s="230"/>
      <c r="M99">
        <f t="shared" si="27"/>
        <v>45</v>
      </c>
      <c r="N99" s="42">
        <f t="shared" si="23"/>
        <v>301.90717467949941</v>
      </c>
      <c r="O99">
        <f t="shared" si="24"/>
        <v>42.211333855372722</v>
      </c>
      <c r="P99" s="230"/>
    </row>
    <row r="100" spans="2:16">
      <c r="B100">
        <f t="shared" si="25"/>
        <v>50</v>
      </c>
      <c r="C100" s="42">
        <f t="shared" si="19"/>
        <v>94.96605888507942</v>
      </c>
      <c r="D100">
        <f t="shared" si="20"/>
        <v>20.968017615161152</v>
      </c>
      <c r="E100" s="230"/>
      <c r="H100">
        <f t="shared" si="26"/>
        <v>50</v>
      </c>
      <c r="I100" s="42">
        <f t="shared" si="21"/>
        <v>160.24937786627834</v>
      </c>
      <c r="J100">
        <f t="shared" si="22"/>
        <v>28.094746298119851</v>
      </c>
      <c r="K100" s="230"/>
      <c r="M100">
        <f t="shared" si="27"/>
        <v>50</v>
      </c>
      <c r="N100" s="42">
        <f t="shared" si="23"/>
        <v>298.06758765569521</v>
      </c>
      <c r="O100">
        <f t="shared" si="24"/>
        <v>45.729667140637282</v>
      </c>
      <c r="P100" s="230"/>
    </row>
    <row r="101" spans="2:16">
      <c r="B101">
        <f t="shared" si="25"/>
        <v>55</v>
      </c>
      <c r="C101" s="42">
        <f t="shared" si="19"/>
        <v>93.071624280533641</v>
      </c>
      <c r="D101">
        <f t="shared" si="20"/>
        <v>22.421668414190378</v>
      </c>
      <c r="E101" s="230"/>
      <c r="H101">
        <f t="shared" si="26"/>
        <v>55</v>
      </c>
      <c r="I101" s="42">
        <f t="shared" si="21"/>
        <v>157.71105208985352</v>
      </c>
      <c r="J101">
        <f t="shared" si="22"/>
        <v>30.042472170653248</v>
      </c>
      <c r="K101" s="230"/>
      <c r="M101">
        <f t="shared" si="27"/>
        <v>55</v>
      </c>
      <c r="N101" s="42">
        <f t="shared" si="23"/>
        <v>293.93596846900857</v>
      </c>
      <c r="O101">
        <f t="shared" si="24"/>
        <v>48.899970046633634</v>
      </c>
      <c r="P101" s="230"/>
    </row>
    <row r="102" spans="2:16">
      <c r="B102">
        <f t="shared" si="25"/>
        <v>60</v>
      </c>
      <c r="C102" s="42">
        <f t="shared" si="19"/>
        <v>91.057704556518487</v>
      </c>
      <c r="D102">
        <f t="shared" si="20"/>
        <v>23.704676778014068</v>
      </c>
      <c r="E102" s="230"/>
      <c r="H102">
        <f t="shared" si="26"/>
        <v>60</v>
      </c>
      <c r="I102" s="42">
        <f t="shared" si="21"/>
        <v>155.01262991426006</v>
      </c>
      <c r="J102">
        <f t="shared" si="22"/>
        <v>31.761556689827302</v>
      </c>
      <c r="K102" s="230"/>
      <c r="M102">
        <f t="shared" si="27"/>
        <v>60</v>
      </c>
      <c r="N102" s="42">
        <f t="shared" si="23"/>
        <v>289.54376123618999</v>
      </c>
      <c r="O102">
        <f t="shared" si="24"/>
        <v>51.698114653965888</v>
      </c>
      <c r="P102" s="230"/>
    </row>
    <row r="103" spans="2:16">
      <c r="B103">
        <f t="shared" si="25"/>
        <v>65</v>
      </c>
      <c r="C103" s="42">
        <f t="shared" si="19"/>
        <v>88.939626858171678</v>
      </c>
      <c r="D103">
        <f t="shared" si="20"/>
        <v>24.807278238281896</v>
      </c>
      <c r="E103" s="230"/>
      <c r="H103">
        <f t="shared" si="26"/>
        <v>65</v>
      </c>
      <c r="I103" s="42">
        <f t="shared" si="21"/>
        <v>152.17464796160604</v>
      </c>
      <c r="J103">
        <f t="shared" si="22"/>
        <v>33.238916584439494</v>
      </c>
      <c r="K103" s="230"/>
      <c r="M103">
        <f t="shared" si="27"/>
        <v>65</v>
      </c>
      <c r="N103" s="42">
        <f t="shared" si="23"/>
        <v>284.92439330636859</v>
      </c>
      <c r="O103">
        <f t="shared" si="24"/>
        <v>54.102805392606363</v>
      </c>
      <c r="P103" s="230"/>
    </row>
    <row r="104" spans="2:16">
      <c r="B104">
        <f t="shared" si="25"/>
        <v>70</v>
      </c>
      <c r="C104" s="42">
        <f t="shared" si="19"/>
        <v>86.733511035707934</v>
      </c>
      <c r="D104">
        <f t="shared" si="20"/>
        <v>25.721081332112252</v>
      </c>
      <c r="E104" s="230"/>
      <c r="H104">
        <f t="shared" si="26"/>
        <v>70</v>
      </c>
      <c r="I104" s="42">
        <f t="shared" si="21"/>
        <v>149.21870498817151</v>
      </c>
      <c r="J104">
        <f t="shared" si="22"/>
        <v>34.463308253637528</v>
      </c>
      <c r="K104" s="230"/>
      <c r="M104">
        <f t="shared" si="27"/>
        <v>70</v>
      </c>
      <c r="N104" s="42">
        <f t="shared" si="23"/>
        <v>280.11302085874081</v>
      </c>
      <c r="O104">
        <f t="shared" si="24"/>
        <v>56.095741114042028</v>
      </c>
      <c r="P104" s="230"/>
    </row>
    <row r="105" spans="2:16">
      <c r="B105">
        <f t="shared" si="25"/>
        <v>75</v>
      </c>
      <c r="C105" s="42">
        <f t="shared" si="19"/>
        <v>84.45614696262534</v>
      </c>
      <c r="D105">
        <f t="shared" si="20"/>
        <v>26.439131466191707</v>
      </c>
      <c r="E105" s="230"/>
      <c r="H105">
        <f t="shared" si="26"/>
        <v>75</v>
      </c>
      <c r="I105" s="42">
        <f t="shared" si="21"/>
        <v>146.16729750483148</v>
      </c>
      <c r="J105">
        <f t="shared" si="22"/>
        <v>35.425413337510911</v>
      </c>
      <c r="K105" s="230"/>
      <c r="M105">
        <f t="shared" si="27"/>
        <v>75</v>
      </c>
      <c r="N105" s="42">
        <f t="shared" si="23"/>
        <v>275.14626134281923</v>
      </c>
      <c r="O105">
        <f t="shared" si="24"/>
        <v>57.661754374065268</v>
      </c>
      <c r="P105" s="230"/>
    </row>
    <row r="106" spans="2:16">
      <c r="B106">
        <f t="shared" si="25"/>
        <v>80</v>
      </c>
      <c r="C106" s="42">
        <f t="shared" si="19"/>
        <v>82.124866754630091</v>
      </c>
      <c r="D106">
        <f t="shared" si="20"/>
        <v>26.955963845429373</v>
      </c>
      <c r="E106" s="230"/>
      <c r="H106">
        <f t="shared" si="26"/>
        <v>80</v>
      </c>
      <c r="I106" s="42">
        <f t="shared" si="21"/>
        <v>143.0436485650244</v>
      </c>
      <c r="J106">
        <f t="shared" si="22"/>
        <v>36.117909635436419</v>
      </c>
      <c r="K106" s="230"/>
      <c r="M106">
        <f t="shared" si="27"/>
        <v>80</v>
      </c>
      <c r="N106" s="42">
        <f t="shared" si="23"/>
        <v>270.06191479753141</v>
      </c>
      <c r="O106">
        <f t="shared" si="24"/>
        <v>58.788926866182642</v>
      </c>
      <c r="P106" s="230"/>
    </row>
    <row r="107" spans="2:16">
      <c r="B107">
        <f t="shared" si="25"/>
        <v>85</v>
      </c>
      <c r="C107" s="42">
        <f t="shared" si="19"/>
        <v>79.757412861770504</v>
      </c>
      <c r="D107">
        <f t="shared" si="20"/>
        <v>27.267645063347342</v>
      </c>
      <c r="E107" s="230"/>
      <c r="H107">
        <f t="shared" si="26"/>
        <v>85</v>
      </c>
      <c r="I107" s="42">
        <f t="shared" si="21"/>
        <v>139.87153102329296</v>
      </c>
      <c r="J107">
        <f t="shared" si="22"/>
        <v>36.535526832446152</v>
      </c>
      <c r="K107" s="230"/>
      <c r="M107">
        <f t="shared" si="27"/>
        <v>85</v>
      </c>
      <c r="N107" s="42">
        <f t="shared" si="23"/>
        <v>264.89867617009941</v>
      </c>
      <c r="O107">
        <f t="shared" si="24"/>
        <v>59.46868012712379</v>
      </c>
      <c r="P107" s="230"/>
    </row>
    <row r="108" spans="2:16">
      <c r="B108">
        <f t="shared" si="25"/>
        <v>90</v>
      </c>
      <c r="C108" s="42">
        <f t="shared" si="19"/>
        <v>77.371803037678987</v>
      </c>
      <c r="D108">
        <f t="shared" si="20"/>
        <v>27.371803037678987</v>
      </c>
      <c r="E108" s="230"/>
      <c r="H108">
        <f t="shared" si="26"/>
        <v>90</v>
      </c>
      <c r="I108" s="42">
        <f t="shared" si="21"/>
        <v>136.67508660950671</v>
      </c>
      <c r="J108">
        <f t="shared" si="22"/>
        <v>36.675086609506707</v>
      </c>
      <c r="K108" s="230"/>
      <c r="M108">
        <f t="shared" si="27"/>
        <v>90</v>
      </c>
      <c r="N108" s="42">
        <f t="shared" si="23"/>
        <v>259.69584082412666</v>
      </c>
      <c r="O108">
        <f t="shared" si="24"/>
        <v>59.695840824126691</v>
      </c>
      <c r="P108" s="230"/>
    </row>
    <row r="109" spans="2:16">
      <c r="B109">
        <f t="shared" si="25"/>
        <v>95</v>
      </c>
      <c r="C109" s="42">
        <f t="shared" si="19"/>
        <v>74.98619321358747</v>
      </c>
      <c r="D109">
        <f t="shared" si="20"/>
        <v>27.267645063347342</v>
      </c>
      <c r="E109" s="230"/>
      <c r="H109">
        <f t="shared" si="26"/>
        <v>95</v>
      </c>
      <c r="I109" s="42">
        <f t="shared" si="21"/>
        <v>133.47864219572045</v>
      </c>
      <c r="J109">
        <f t="shared" si="22"/>
        <v>36.535526832446152</v>
      </c>
      <c r="K109" s="230"/>
      <c r="M109">
        <f t="shared" si="27"/>
        <v>95</v>
      </c>
      <c r="N109" s="42">
        <f t="shared" si="23"/>
        <v>254.49300547815392</v>
      </c>
      <c r="O109">
        <f t="shared" si="24"/>
        <v>59.46868012712379</v>
      </c>
      <c r="P109" s="230"/>
    </row>
    <row r="110" spans="2:16">
      <c r="B110">
        <f t="shared" si="25"/>
        <v>100</v>
      </c>
      <c r="C110" s="42">
        <f t="shared" si="19"/>
        <v>72.618739320727883</v>
      </c>
      <c r="D110">
        <f t="shared" si="20"/>
        <v>26.955963845429373</v>
      </c>
      <c r="E110" s="230"/>
      <c r="H110">
        <f t="shared" si="26"/>
        <v>100</v>
      </c>
      <c r="I110" s="42">
        <f t="shared" si="21"/>
        <v>130.30652465398902</v>
      </c>
      <c r="J110">
        <f t="shared" si="22"/>
        <v>36.117909635436419</v>
      </c>
      <c r="K110" s="230"/>
      <c r="M110">
        <f t="shared" si="27"/>
        <v>100</v>
      </c>
      <c r="N110" s="42">
        <f t="shared" si="23"/>
        <v>249.32976685072191</v>
      </c>
      <c r="O110">
        <f t="shared" si="24"/>
        <v>58.788926866182642</v>
      </c>
      <c r="P110" s="230"/>
    </row>
    <row r="111" spans="2:16">
      <c r="B111">
        <f t="shared" si="25"/>
        <v>105</v>
      </c>
      <c r="C111" s="42">
        <f t="shared" si="19"/>
        <v>70.287459112732634</v>
      </c>
      <c r="D111">
        <f t="shared" si="20"/>
        <v>26.439131466191707</v>
      </c>
      <c r="E111" s="230"/>
      <c r="H111">
        <f t="shared" si="26"/>
        <v>105</v>
      </c>
      <c r="I111" s="42">
        <f t="shared" si="21"/>
        <v>127.18287571418193</v>
      </c>
      <c r="J111">
        <f t="shared" si="22"/>
        <v>35.425413337510911</v>
      </c>
      <c r="K111" s="230"/>
      <c r="M111">
        <f t="shared" si="27"/>
        <v>105</v>
      </c>
      <c r="N111" s="42">
        <f t="shared" si="23"/>
        <v>244.24542030543412</v>
      </c>
      <c r="O111">
        <f t="shared" si="24"/>
        <v>57.661754374065268</v>
      </c>
      <c r="P111" s="230"/>
    </row>
    <row r="112" spans="2:16">
      <c r="B112">
        <f t="shared" si="25"/>
        <v>110</v>
      </c>
      <c r="C112" s="42">
        <f t="shared" si="19"/>
        <v>68.010095039650039</v>
      </c>
      <c r="D112">
        <f t="shared" si="20"/>
        <v>25.721081332112256</v>
      </c>
      <c r="E112" s="230"/>
      <c r="H112">
        <f t="shared" si="26"/>
        <v>110</v>
      </c>
      <c r="I112" s="42">
        <f t="shared" si="21"/>
        <v>124.1314682308419</v>
      </c>
      <c r="J112">
        <f t="shared" si="22"/>
        <v>34.463308253637535</v>
      </c>
      <c r="K112" s="230"/>
      <c r="M112">
        <f t="shared" si="27"/>
        <v>110</v>
      </c>
      <c r="N112" s="42">
        <f t="shared" si="23"/>
        <v>239.27866078951254</v>
      </c>
      <c r="O112">
        <f t="shared" si="24"/>
        <v>56.095741114042035</v>
      </c>
      <c r="P112" s="230"/>
    </row>
    <row r="113" spans="2:16">
      <c r="B113">
        <f t="shared" si="25"/>
        <v>115</v>
      </c>
      <c r="C113" s="42">
        <f t="shared" si="19"/>
        <v>65.803979217186296</v>
      </c>
      <c r="D113">
        <f t="shared" si="20"/>
        <v>24.807278238281899</v>
      </c>
      <c r="E113" s="230"/>
      <c r="H113">
        <f t="shared" si="26"/>
        <v>115</v>
      </c>
      <c r="I113" s="42">
        <f t="shared" si="21"/>
        <v>121.17552525740739</v>
      </c>
      <c r="J113">
        <f t="shared" si="22"/>
        <v>33.238916584439501</v>
      </c>
      <c r="K113" s="230"/>
      <c r="M113">
        <f t="shared" si="27"/>
        <v>115</v>
      </c>
      <c r="N113" s="42">
        <f t="shared" si="23"/>
        <v>234.46728834188477</v>
      </c>
      <c r="O113">
        <f t="shared" si="24"/>
        <v>54.102805392606371</v>
      </c>
      <c r="P113" s="230"/>
    </row>
    <row r="114" spans="2:16">
      <c r="B114">
        <f t="shared" si="25"/>
        <v>120</v>
      </c>
      <c r="C114" s="42">
        <f t="shared" si="19"/>
        <v>63.685901518839501</v>
      </c>
      <c r="D114">
        <f t="shared" si="20"/>
        <v>23.704676778014072</v>
      </c>
      <c r="E114" s="230"/>
      <c r="H114">
        <f t="shared" si="26"/>
        <v>120</v>
      </c>
      <c r="I114" s="42">
        <f t="shared" si="21"/>
        <v>118.33754330475335</v>
      </c>
      <c r="J114">
        <f t="shared" si="22"/>
        <v>31.761556689827305</v>
      </c>
      <c r="K114" s="230"/>
      <c r="M114">
        <f t="shared" si="27"/>
        <v>120</v>
      </c>
      <c r="N114" s="42">
        <f t="shared" si="23"/>
        <v>229.84792041206333</v>
      </c>
      <c r="O114">
        <f t="shared" si="24"/>
        <v>51.698114653965895</v>
      </c>
      <c r="P114" s="230"/>
    </row>
    <row r="115" spans="2:16">
      <c r="B115">
        <f t="shared" si="25"/>
        <v>125</v>
      </c>
      <c r="C115" s="42">
        <f t="shared" si="19"/>
        <v>61.671981794824333</v>
      </c>
      <c r="D115">
        <f t="shared" si="20"/>
        <v>22.421668414190375</v>
      </c>
      <c r="E115" s="230"/>
      <c r="H115">
        <f t="shared" si="26"/>
        <v>125</v>
      </c>
      <c r="I115" s="42">
        <f t="shared" si="21"/>
        <v>115.63912112915988</v>
      </c>
      <c r="J115">
        <f t="shared" si="22"/>
        <v>30.042472170653244</v>
      </c>
      <c r="K115" s="230"/>
      <c r="M115">
        <f t="shared" si="27"/>
        <v>125</v>
      </c>
      <c r="N115" s="42">
        <f t="shared" si="23"/>
        <v>225.45571317924478</v>
      </c>
      <c r="O115">
        <f t="shared" si="24"/>
        <v>48.899970046633626</v>
      </c>
      <c r="P115" s="230"/>
    </row>
    <row r="116" spans="2:16">
      <c r="B116">
        <f t="shared" si="25"/>
        <v>130</v>
      </c>
      <c r="C116" s="42">
        <f t="shared" si="19"/>
        <v>59.777547190278554</v>
      </c>
      <c r="D116">
        <f t="shared" si="20"/>
        <v>20.968017615161152</v>
      </c>
      <c r="E116" s="230"/>
      <c r="H116">
        <f t="shared" si="26"/>
        <v>130</v>
      </c>
      <c r="I116" s="42">
        <f t="shared" si="21"/>
        <v>113.10079535273508</v>
      </c>
      <c r="J116">
        <f t="shared" si="22"/>
        <v>28.094746298119851</v>
      </c>
      <c r="K116" s="230"/>
      <c r="M116">
        <f t="shared" si="27"/>
        <v>130</v>
      </c>
      <c r="N116" s="42">
        <f t="shared" si="23"/>
        <v>221.32409399255812</v>
      </c>
      <c r="O116">
        <f t="shared" si="24"/>
        <v>45.729667140637282</v>
      </c>
      <c r="P116" s="230"/>
    </row>
    <row r="117" spans="2:16">
      <c r="B117">
        <f t="shared" si="25"/>
        <v>135</v>
      </c>
      <c r="C117" s="42">
        <f t="shared" si="19"/>
        <v>58.017015496433636</v>
      </c>
      <c r="D117">
        <f t="shared" si="20"/>
        <v>19.354787541245354</v>
      </c>
      <c r="E117" s="230"/>
      <c r="H117">
        <f t="shared" si="26"/>
        <v>135</v>
      </c>
      <c r="I117" s="42">
        <f t="shared" si="21"/>
        <v>110.74188416732056</v>
      </c>
      <c r="J117">
        <f t="shared" si="22"/>
        <v>25.93320244218614</v>
      </c>
      <c r="K117" s="230"/>
      <c r="M117">
        <f t="shared" si="27"/>
        <v>135</v>
      </c>
      <c r="N117" s="42">
        <f t="shared" si="23"/>
        <v>217.48450696875395</v>
      </c>
      <c r="O117">
        <f t="shared" si="24"/>
        <v>42.211333855372729</v>
      </c>
      <c r="P117" s="230"/>
    </row>
    <row r="118" spans="2:16">
      <c r="B118">
        <f t="shared" si="25"/>
        <v>140</v>
      </c>
      <c r="C118" s="42">
        <f t="shared" si="19"/>
        <v>56.403785422517842</v>
      </c>
      <c r="D118">
        <f t="shared" si="20"/>
        <v>17.594255847400436</v>
      </c>
      <c r="E118" s="230"/>
      <c r="H118">
        <f t="shared" si="26"/>
        <v>140</v>
      </c>
      <c r="I118" s="42">
        <f t="shared" si="21"/>
        <v>108.58034031138686</v>
      </c>
      <c r="J118">
        <f t="shared" si="22"/>
        <v>23.574291256771627</v>
      </c>
      <c r="K118" s="230"/>
      <c r="M118">
        <f t="shared" si="27"/>
        <v>140</v>
      </c>
      <c r="N118" s="42">
        <f t="shared" si="23"/>
        <v>213.96617368348939</v>
      </c>
      <c r="O118">
        <f t="shared" si="24"/>
        <v>38.371746831568537</v>
      </c>
      <c r="P118" s="230"/>
    </row>
    <row r="119" spans="2:16">
      <c r="B119">
        <f t="shared" si="25"/>
        <v>145</v>
      </c>
      <c r="C119" s="42">
        <f t="shared" si="19"/>
        <v>54.950134623488609</v>
      </c>
      <c r="D119">
        <f t="shared" si="20"/>
        <v>15.699821242854647</v>
      </c>
      <c r="E119" s="230"/>
      <c r="H119">
        <f t="shared" si="26"/>
        <v>145</v>
      </c>
      <c r="I119" s="42">
        <f t="shared" si="21"/>
        <v>106.63261443885345</v>
      </c>
      <c r="J119">
        <f t="shared" si="22"/>
        <v>21.035965480346821</v>
      </c>
      <c r="K119" s="230"/>
      <c r="M119">
        <f t="shared" si="27"/>
        <v>145</v>
      </c>
      <c r="N119" s="42">
        <f t="shared" si="23"/>
        <v>210.79587077749301</v>
      </c>
      <c r="O119">
        <f t="shared" si="24"/>
        <v>34.240127644881873</v>
      </c>
      <c r="P119" s="230"/>
    </row>
    <row r="120" spans="2:16">
      <c r="B120">
        <f t="shared" si="25"/>
        <v>150</v>
      </c>
      <c r="C120" s="42">
        <f t="shared" si="19"/>
        <v>53.667126259664911</v>
      </c>
      <c r="D120">
        <f t="shared" si="20"/>
        <v>13.685901518839492</v>
      </c>
      <c r="E120" s="230"/>
      <c r="H120">
        <f t="shared" si="26"/>
        <v>150</v>
      </c>
      <c r="I120" s="42">
        <f t="shared" si="21"/>
        <v>104.91352991967941</v>
      </c>
      <c r="J120">
        <f t="shared" si="22"/>
        <v>18.33754330475335</v>
      </c>
      <c r="K120" s="230"/>
      <c r="M120">
        <f t="shared" si="27"/>
        <v>150</v>
      </c>
      <c r="N120" s="42">
        <f t="shared" si="23"/>
        <v>207.99772617016077</v>
      </c>
      <c r="O120">
        <f t="shared" si="24"/>
        <v>29.847920412063342</v>
      </c>
      <c r="P120" s="230"/>
    </row>
    <row r="121" spans="2:16">
      <c r="B121">
        <f t="shared" si="25"/>
        <v>155</v>
      </c>
      <c r="C121" s="42">
        <f t="shared" si="19"/>
        <v>52.564524799397091</v>
      </c>
      <c r="D121">
        <f t="shared" si="20"/>
        <v>11.567823820492691</v>
      </c>
      <c r="E121" s="230"/>
      <c r="H121">
        <f t="shared" si="26"/>
        <v>155</v>
      </c>
      <c r="I121" s="42">
        <f t="shared" si="21"/>
        <v>103.43617002506721</v>
      </c>
      <c r="J121">
        <f t="shared" si="22"/>
        <v>15.499561352099329</v>
      </c>
      <c r="K121" s="230"/>
      <c r="M121">
        <f t="shared" si="27"/>
        <v>155</v>
      </c>
      <c r="N121" s="42">
        <f t="shared" si="23"/>
        <v>205.59303543152029</v>
      </c>
      <c r="O121">
        <f t="shared" si="24"/>
        <v>25.228552482241909</v>
      </c>
      <c r="P121" s="230"/>
    </row>
    <row r="122" spans="2:16">
      <c r="B122">
        <f t="shared" si="25"/>
        <v>160</v>
      </c>
      <c r="C122" s="42">
        <f t="shared" si="19"/>
        <v>51.650721705566738</v>
      </c>
      <c r="D122">
        <f t="shared" si="20"/>
        <v>9.3617079980289457</v>
      </c>
      <c r="E122" s="230"/>
      <c r="H122">
        <f t="shared" si="26"/>
        <v>160</v>
      </c>
      <c r="I122" s="42">
        <f t="shared" si="21"/>
        <v>102.21177835586917</v>
      </c>
      <c r="J122">
        <f t="shared" si="22"/>
        <v>12.543618378664803</v>
      </c>
      <c r="K122" s="230"/>
      <c r="M122">
        <f t="shared" si="27"/>
        <v>160</v>
      </c>
      <c r="N122" s="42">
        <f t="shared" si="23"/>
        <v>203.60009971008463</v>
      </c>
      <c r="O122">
        <f t="shared" si="24"/>
        <v>20.417180034614127</v>
      </c>
      <c r="P122" s="230"/>
    </row>
    <row r="123" spans="2:16">
      <c r="B123">
        <f t="shared" si="25"/>
        <v>165</v>
      </c>
      <c r="C123" s="42">
        <f t="shared" si="19"/>
        <v>50.932671571487283</v>
      </c>
      <c r="D123">
        <f t="shared" si="20"/>
        <v>7.0843439249463591</v>
      </c>
      <c r="E123" s="230"/>
      <c r="H123">
        <f t="shared" si="26"/>
        <v>165</v>
      </c>
      <c r="I123" s="42">
        <f t="shared" si="21"/>
        <v>101.2496732719958</v>
      </c>
      <c r="J123">
        <f t="shared" si="22"/>
        <v>9.4922108953247815</v>
      </c>
      <c r="K123" s="230"/>
      <c r="M123">
        <f t="shared" si="27"/>
        <v>165</v>
      </c>
      <c r="N123" s="42">
        <f t="shared" si="23"/>
        <v>202.03408645006141</v>
      </c>
      <c r="O123">
        <f t="shared" si="24"/>
        <v>15.450420518692562</v>
      </c>
      <c r="P123" s="230"/>
    </row>
    <row r="124" spans="2:16">
      <c r="B124">
        <f t="shared" si="25"/>
        <v>170</v>
      </c>
      <c r="C124" s="42">
        <f t="shared" si="19"/>
        <v>50.415839192249614</v>
      </c>
      <c r="D124">
        <f t="shared" si="20"/>
        <v>4.753063716951103</v>
      </c>
      <c r="E124" s="230"/>
      <c r="H124">
        <f t="shared" si="26"/>
        <v>170</v>
      </c>
      <c r="I124" s="42">
        <f t="shared" si="21"/>
        <v>100.55717697407029</v>
      </c>
      <c r="J124">
        <f t="shared" si="22"/>
        <v>6.3685619555176762</v>
      </c>
      <c r="K124" s="230"/>
      <c r="M124">
        <f t="shared" si="27"/>
        <v>170</v>
      </c>
      <c r="N124" s="42">
        <f t="shared" si="23"/>
        <v>200.90691395794403</v>
      </c>
      <c r="O124">
        <f t="shared" si="24"/>
        <v>10.366073973404742</v>
      </c>
      <c r="P124" s="230"/>
    </row>
    <row r="125" spans="2:16">
      <c r="B125">
        <f t="shared" si="25"/>
        <v>175</v>
      </c>
      <c r="C125" s="42">
        <f t="shared" si="19"/>
        <v>50.104157974331642</v>
      </c>
      <c r="D125">
        <f t="shared" si="20"/>
        <v>2.3856098240915187</v>
      </c>
      <c r="E125" s="230"/>
      <c r="H125">
        <f t="shared" si="26"/>
        <v>175</v>
      </c>
      <c r="I125" s="42">
        <f t="shared" si="21"/>
        <v>100.13955977706055</v>
      </c>
      <c r="J125">
        <f t="shared" si="22"/>
        <v>3.1964444137862502</v>
      </c>
      <c r="K125" s="230"/>
      <c r="M125">
        <f t="shared" si="27"/>
        <v>175</v>
      </c>
      <c r="N125" s="42">
        <f t="shared" si="23"/>
        <v>200.22716069700289</v>
      </c>
      <c r="O125">
        <f t="shared" si="24"/>
        <v>5.2028353459727379</v>
      </c>
      <c r="P125" s="230"/>
    </row>
    <row r="126" spans="2:16">
      <c r="B126">
        <f t="shared" si="25"/>
        <v>180</v>
      </c>
      <c r="C126" s="42">
        <f t="shared" si="19"/>
        <v>50</v>
      </c>
      <c r="D126">
        <f t="shared" si="20"/>
        <v>3.3534522199675483E-15</v>
      </c>
      <c r="E126" s="230"/>
      <c r="H126">
        <f t="shared" si="26"/>
        <v>180</v>
      </c>
      <c r="I126" s="42">
        <f t="shared" si="21"/>
        <v>100</v>
      </c>
      <c r="J126">
        <f t="shared" si="22"/>
        <v>4.4932425693276964E-15</v>
      </c>
      <c r="K126" s="230"/>
      <c r="M126">
        <f t="shared" si="27"/>
        <v>180</v>
      </c>
      <c r="N126" s="42">
        <f t="shared" si="23"/>
        <v>199.99999999999997</v>
      </c>
      <c r="O126">
        <f t="shared" si="24"/>
        <v>7.3136267150149744E-15</v>
      </c>
      <c r="P126" s="230"/>
    </row>
    <row r="131" spans="11:14">
      <c r="K131" t="s">
        <v>258</v>
      </c>
      <c r="L131" t="s">
        <v>257</v>
      </c>
    </row>
    <row r="132" spans="11:14">
      <c r="K132" s="43">
        <f>E82</f>
        <v>50</v>
      </c>
      <c r="L132" s="43">
        <f>E83</f>
        <v>104.74360607535797</v>
      </c>
    </row>
    <row r="133" spans="11:14">
      <c r="K133" s="43">
        <f>I82</f>
        <v>100</v>
      </c>
      <c r="L133" s="43">
        <f>I83</f>
        <v>173.35017321901341</v>
      </c>
    </row>
    <row r="134" spans="11:14">
      <c r="K134" s="43">
        <f>O82</f>
        <v>200</v>
      </c>
      <c r="L134" s="43">
        <f>O83</f>
        <v>319.39168164825338</v>
      </c>
    </row>
    <row r="136" spans="11:14">
      <c r="K136" t="s">
        <v>259</v>
      </c>
      <c r="L136">
        <f>SLOPE(L132:L134,K132:K134)</f>
        <v>1.435191158172602</v>
      </c>
    </row>
    <row r="137" spans="11:14">
      <c r="K137" t="s">
        <v>260</v>
      </c>
      <c r="L137">
        <f>INTERCEPT(L132:L134,K132:K134)</f>
        <v>31.722851860738018</v>
      </c>
    </row>
    <row r="139" spans="11:14">
      <c r="K139" t="s">
        <v>262</v>
      </c>
      <c r="L139" s="42">
        <f>IF($D$7="","",DEGREES(ASIN((L136-1)/(L136+1))))</f>
        <v>10.294585642172942</v>
      </c>
      <c r="M139" t="s">
        <v>500</v>
      </c>
      <c r="N139" s="823"/>
    </row>
    <row r="140" spans="11:14">
      <c r="K140" t="s">
        <v>261</v>
      </c>
      <c r="L140" s="42">
        <f>IF($D$7="","",(L137*(1-SIN(RADIANS(L139))))/(2*COS(RADIANS(L139))))</f>
        <v>13.239980711833137</v>
      </c>
      <c r="M140" t="s">
        <v>465</v>
      </c>
      <c r="N140" s="823"/>
    </row>
    <row r="142" spans="11:14">
      <c r="K142" t="s">
        <v>263</v>
      </c>
      <c r="L142" s="42">
        <f>L140</f>
        <v>13.239980711833137</v>
      </c>
    </row>
    <row r="143" spans="11:14">
      <c r="K143" t="s">
        <v>262</v>
      </c>
      <c r="L143" s="42">
        <f>L139</f>
        <v>10.294585642172942</v>
      </c>
    </row>
    <row r="145" spans="1:13">
      <c r="K145" t="s">
        <v>132</v>
      </c>
      <c r="L145" t="s">
        <v>133</v>
      </c>
      <c r="M145" s="822"/>
    </row>
    <row r="146" spans="1:13">
      <c r="C146" t="s">
        <v>821</v>
      </c>
      <c r="K146">
        <v>0</v>
      </c>
      <c r="L146" s="42">
        <f>IF($D$7="",NA(),$L$142+(K146*TAN(RADIANS($L$143))))</f>
        <v>13.239980711833137</v>
      </c>
      <c r="M146" s="230"/>
    </row>
    <row r="147" spans="1:13">
      <c r="K147">
        <v>50</v>
      </c>
      <c r="L147" s="42">
        <f t="shared" ref="L147:L154" si="28">IF($D$7="",NA(),$L$142+(K147*TAN(RADIANS($L$143))))</f>
        <v>22.321639834821468</v>
      </c>
      <c r="M147" s="230"/>
    </row>
    <row r="148" spans="1:13">
      <c r="C148" t="str">
        <f>"σ₃="&amp;F36&amp;" kPa"</f>
        <v>σ₃=50 kPa</v>
      </c>
      <c r="K148">
        <v>100</v>
      </c>
      <c r="L148" s="42">
        <f t="shared" si="28"/>
        <v>31.403298957809799</v>
      </c>
      <c r="M148" s="230"/>
    </row>
    <row r="149" spans="1:13">
      <c r="C149" t="str">
        <f>"σ₃="&amp;G36&amp;" kPa"</f>
        <v>σ₃=100 kPa</v>
      </c>
      <c r="K149">
        <v>150</v>
      </c>
      <c r="L149" s="42">
        <f t="shared" si="28"/>
        <v>40.48495808079813</v>
      </c>
      <c r="M149" s="230"/>
    </row>
    <row r="150" spans="1:13">
      <c r="C150" t="str">
        <f>"σ₃="&amp;H36&amp;" kPa"</f>
        <v>σ₃=200 kPa</v>
      </c>
      <c r="K150">
        <v>200</v>
      </c>
      <c r="L150" s="42">
        <f t="shared" si="28"/>
        <v>49.566617203786464</v>
      </c>
      <c r="M150" s="230"/>
    </row>
    <row r="151" spans="1:13">
      <c r="C151" t="s">
        <v>924</v>
      </c>
      <c r="K151">
        <v>250</v>
      </c>
      <c r="L151" s="42">
        <f t="shared" si="28"/>
        <v>58.648276326774791</v>
      </c>
      <c r="M151" s="230"/>
    </row>
    <row r="152" spans="1:13">
      <c r="K152">
        <v>300</v>
      </c>
      <c r="L152" s="42">
        <f t="shared" si="28"/>
        <v>67.729935449763119</v>
      </c>
      <c r="M152" s="230"/>
    </row>
    <row r="153" spans="1:13">
      <c r="K153">
        <v>350</v>
      </c>
      <c r="L153" s="42">
        <f t="shared" si="28"/>
        <v>76.81159457275146</v>
      </c>
      <c r="M153" s="230"/>
    </row>
    <row r="154" spans="1:13">
      <c r="K154">
        <v>400</v>
      </c>
      <c r="L154" s="42">
        <f t="shared" si="28"/>
        <v>85.893253695739787</v>
      </c>
      <c r="M154" s="230"/>
    </row>
    <row r="160" spans="1:13">
      <c r="A160" s="1566" t="s">
        <v>1719</v>
      </c>
      <c r="B160" s="862"/>
      <c r="C160" s="14"/>
      <c r="D160" s="370"/>
      <c r="E160" s="370"/>
    </row>
    <row r="161" spans="1:21">
      <c r="A161" s="1570" t="s">
        <v>1945</v>
      </c>
      <c r="B161" s="862"/>
      <c r="C161" s="14"/>
      <c r="D161" s="370"/>
      <c r="E161" s="370"/>
    </row>
    <row r="162" spans="1:21">
      <c r="A162" s="1566" t="s">
        <v>1719</v>
      </c>
      <c r="B162" s="862"/>
      <c r="C162" s="14"/>
      <c r="D162" s="370"/>
      <c r="E162" s="370"/>
    </row>
    <row r="163" spans="1:21">
      <c r="A163" s="1566"/>
      <c r="B163" s="862"/>
      <c r="C163" s="14"/>
      <c r="D163" s="370"/>
      <c r="E163" s="370"/>
    </row>
    <row r="164" spans="1:21">
      <c r="B164" t="s">
        <v>1611</v>
      </c>
      <c r="C164" s="299" t="str">
        <f>F12</f>
        <v>SLT</v>
      </c>
    </row>
    <row r="165" spans="1:21">
      <c r="B165" s="116"/>
      <c r="H165" s="116"/>
      <c r="N165" s="116"/>
    </row>
    <row r="166" spans="1:21">
      <c r="B166" s="116" t="s">
        <v>1793</v>
      </c>
      <c r="H166" s="116"/>
      <c r="N166" s="116"/>
    </row>
    <row r="167" spans="1:21" ht="25.5" customHeight="1">
      <c r="B167" s="1866" t="s">
        <v>124</v>
      </c>
      <c r="C167" s="1866"/>
      <c r="D167" s="1866" t="s">
        <v>1783</v>
      </c>
      <c r="E167" s="1867" t="s">
        <v>1788</v>
      </c>
      <c r="F167" s="1867"/>
      <c r="G167" s="1868" t="s">
        <v>1789</v>
      </c>
      <c r="H167" s="1868"/>
      <c r="I167" s="1868"/>
      <c r="J167" s="1868"/>
      <c r="K167" s="1868"/>
      <c r="L167" s="1868"/>
      <c r="M167" s="1868"/>
      <c r="N167" s="1868"/>
    </row>
    <row r="168" spans="1:21" ht="25.5">
      <c r="B168" s="1866"/>
      <c r="C168" s="1866"/>
      <c r="D168" s="1866"/>
      <c r="E168" s="1581" t="s">
        <v>1598</v>
      </c>
      <c r="F168" s="1581" t="s">
        <v>1718</v>
      </c>
      <c r="G168" s="1595" t="s">
        <v>1790</v>
      </c>
      <c r="H168" s="1579" t="s">
        <v>1684</v>
      </c>
      <c r="I168" s="1594" t="s">
        <v>1794</v>
      </c>
      <c r="J168" s="1580" t="s">
        <v>438</v>
      </c>
      <c r="K168" s="1580" t="s">
        <v>1791</v>
      </c>
      <c r="L168" s="1580" t="s">
        <v>1598</v>
      </c>
      <c r="M168" s="1580" t="s">
        <v>1792</v>
      </c>
      <c r="N168" s="1580" t="s">
        <v>1718</v>
      </c>
      <c r="R168" t="s">
        <v>575</v>
      </c>
      <c r="S168" t="s">
        <v>1607</v>
      </c>
      <c r="T168" t="s">
        <v>1608</v>
      </c>
      <c r="U168" t="s">
        <v>1715</v>
      </c>
    </row>
    <row r="169" spans="1:21" ht="67.5" customHeight="1">
      <c r="B169" s="2004" t="s">
        <v>1892</v>
      </c>
      <c r="C169" s="2004"/>
      <c r="D169" s="1585">
        <f>L140</f>
        <v>13.239980711833137</v>
      </c>
      <c r="E169" s="3" t="str">
        <f>IF(D169="","CHECK",
IFERROR(
IF(AND(
D169&gt;=INDEX($S$169:$S$170,MATCH(B169,$R$169:$R$170,0)),
D169&lt;=INDEX($T$169:$T$170,MATCH(B169,$R$169:$R$170,0))
),
"PASS",
"REVIEW"),
"CHECK"))</f>
        <v>PASS</v>
      </c>
      <c r="F169" s="1586" t="str">
        <f>IFERROR(
INDEX($U$169:$U$170,
MATCH(B169,$R$169:$R$170,0)),
"")</f>
        <v>ASTM D2850; Das (2016); Head (2006)</v>
      </c>
      <c r="G169" s="1587" t="str" cm="1">
        <f t="array" ref="G169">IFERROR(
INDEX($R$176:$R$185,
MATCH(1,
($Q$176:$Q$185=$B169)*
($U$176:$U$185&gt;=D169)*
($T$176:$T$185&lt;=D169),
0)),
"")</f>
        <v>Rendah</v>
      </c>
      <c r="H169" s="1587" cm="1">
        <f t="array" ref="H169">IFERROR(
INDEX($S$176:$S$185,
MATCH(1,
($Q$176:$Q$185=$B169)*
($U$176:$U$185&gt;=D169)*
($T$176:$T$185&lt;=D169),
0)),
"")</f>
        <v>2</v>
      </c>
      <c r="I169" s="1587" t="str" cm="1">
        <f t="array" ref="I169">IFERROR(
INDEX($Q$189:$Q$212,
MATCH(1,
($O$189:$O$212=$C$164)*
($P$189:$P$212=$B169),
0)),
"")</f>
        <v>Rendah</v>
      </c>
      <c r="J169" s="1587" cm="1">
        <f t="array" ref="J169">IFERROR(
INDEX($R$189:$R$212,
MATCH(1,
($O$189:$O$212=$C$164)*
($P$189:$P$212=$B169),
0)),
"")</f>
        <v>2</v>
      </c>
      <c r="K169" s="1587" cm="1">
        <f t="array" ref="K169">IFERROR(
INDEX($S$189:$S$212,
MATCH(1,
($O$189:$O$212=$C$164)*
($P$189:$P$212=$B169),
0)),
"")</f>
        <v>3</v>
      </c>
      <c r="L169" s="3" t="str">
        <f>IF(AND(H169&gt;=J169,H169&lt;=K169),"PASS","REVIEW")</f>
        <v>PASS</v>
      </c>
      <c r="M169" s="1587" t="str" cm="1">
        <f t="array" ref="M169">IFERROR(
INDEX($T$189:$T$212,
MATCH(1,
($O$189:$O$212=$C$164)*
($P$189:$P$212=$B169),
0)),
"")</f>
        <v>Lanau berkohesi rendah.</v>
      </c>
      <c r="N169" s="1587" t="str" cm="1">
        <f t="array" ref="N169">IFERROR(
INDEX($U$189:$U$212,
MATCH(1,
($O$189:$O$212=$C$164)*
($P$189:$P$212=$B169),
0)),
"")</f>
        <v>Das (2016)</v>
      </c>
      <c r="R169" s="5" t="s">
        <v>1892</v>
      </c>
      <c r="S169">
        <v>0</v>
      </c>
      <c r="T169">
        <v>300</v>
      </c>
      <c r="U169" t="s">
        <v>1942</v>
      </c>
    </row>
    <row r="170" spans="1:21" ht="54" customHeight="1">
      <c r="B170" s="2004" t="s">
        <v>1894</v>
      </c>
      <c r="C170" s="2004"/>
      <c r="D170" s="1585">
        <f>L139</f>
        <v>10.294585642172942</v>
      </c>
      <c r="E170" s="3" t="str">
        <f>IF(D170="","CHECK",
IFERROR(
IF(AND(
D170&gt;=INDEX($S$169:$S$170,MATCH(B170,$R$169:$R$170,0)),
D170&lt;=INDEX($T$169:$T$170,MATCH(B170,$R$169:$R$170,0))
),
"PASS",
"REVIEW"),
"CHECK"))</f>
        <v>PASS</v>
      </c>
      <c r="F170" s="1586" t="str">
        <f>IFERROR(
INDEX($U$169:$U$170,
MATCH(B170,$R$169:$R$170,0)),
"")</f>
        <v>ASTM D2850; Das (2016)</v>
      </c>
      <c r="G170" s="1587" t="str" cm="1">
        <f t="array" ref="G170">IFERROR(
INDEX($R$176:$R$185,
MATCH(1,
($Q$176:$Q$185=$B170)*
($U$176:$U$185&gt;=D170)*
($T$176:$T$185&lt;=D170),
0)),
"")</f>
        <v>Sedang</v>
      </c>
      <c r="H170" s="1587" cm="1">
        <f t="array" ref="H170">IFERROR(
INDEX($S$176:$S$185,
MATCH(1,
($Q$176:$Q$185=$B170)*
($U$176:$U$185&gt;=D170)*
($T$176:$T$185&lt;=D170),
0)),
"")</f>
        <v>3</v>
      </c>
      <c r="I170" s="1587" t="str" cm="1">
        <f t="array" ref="I170">IFERROR(
INDEX($Q$189:$Q$212,
MATCH(1,
($O$189:$O$212=$C$164)*
($P$189:$P$212=$B170),
0)),
"")</f>
        <v>Sedang</v>
      </c>
      <c r="J170" s="1587" cm="1">
        <f t="array" ref="J170">IFERROR(
INDEX($R$189:$R$212,
MATCH(1,
($O$189:$O$212=$C$164)*
($P$189:$P$212=$B170),
0)),
"")</f>
        <v>3</v>
      </c>
      <c r="K170" s="1587" cm="1">
        <f t="array" ref="K170">IFERROR(
INDEX($S$189:$S$212,
MATCH(1,
($O$189:$O$212=$C$164)*
($P$189:$P$212=$B170),
0)),
"")</f>
        <v>4</v>
      </c>
      <c r="L170" s="3" t="str">
        <f>IF(AND(H170&gt;=J170,H170&lt;=K170),"PASS","REVIEW")</f>
        <v>PASS</v>
      </c>
      <c r="M170" s="1587" t="str" cm="1">
        <f t="array" ref="M170">IFERROR(
INDEX($T$189:$T$212,
MATCH(1,
($O$189:$O$212=$C$164)*
($P$189:$P$212=$B170),
0)),
"")</f>
        <v>Sudut geser total sedang.</v>
      </c>
      <c r="N170" s="1587" t="str" cm="1">
        <f t="array" ref="N170">IFERROR(
INDEX($U$189:$U$212,
MATCH(1,
($O$189:$O$212=$C$164)*
($P$189:$P$212=$B170),
0)),
"")</f>
        <v>Das (2016)</v>
      </c>
      <c r="R170" s="5" t="s">
        <v>1894</v>
      </c>
      <c r="S170">
        <v>0</v>
      </c>
      <c r="T170">
        <v>20</v>
      </c>
      <c r="U170" t="s">
        <v>1943</v>
      </c>
    </row>
    <row r="174" spans="1:21">
      <c r="Q174" t="s">
        <v>1797</v>
      </c>
    </row>
    <row r="175" spans="1:21">
      <c r="A175" s="116" t="s">
        <v>1795</v>
      </c>
      <c r="Q175" t="s">
        <v>575</v>
      </c>
      <c r="R175" t="s">
        <v>1667</v>
      </c>
      <c r="S175" t="s">
        <v>1611</v>
      </c>
      <c r="T175" t="s">
        <v>1607</v>
      </c>
      <c r="U175" t="s">
        <v>1608</v>
      </c>
    </row>
    <row r="176" spans="1:21">
      <c r="A176" t="s">
        <v>1831</v>
      </c>
      <c r="D176" s="1583" t="str">
        <f>IF(COUNTIF(E169:E170,"REVIEW")&gt;0,
"REVIEW",
"PASS")</f>
        <v>PASS</v>
      </c>
      <c r="Q176" s="326" t="s">
        <v>1892</v>
      </c>
      <c r="R176" t="s">
        <v>1680</v>
      </c>
      <c r="S176">
        <v>1</v>
      </c>
      <c r="T176">
        <v>0</v>
      </c>
      <c r="U176">
        <v>5</v>
      </c>
    </row>
    <row r="177" spans="1:21">
      <c r="A177" t="s">
        <v>1832</v>
      </c>
      <c r="D177" s="1583" t="str">
        <f>IF(COUNTIF(L169:L170,"REVIEW")&gt;0,
"REVIEW",
"PASS")</f>
        <v>PASS</v>
      </c>
      <c r="Q177" s="326" t="s">
        <v>1892</v>
      </c>
      <c r="R177" t="s">
        <v>1670</v>
      </c>
      <c r="S177">
        <v>2</v>
      </c>
      <c r="T177">
        <v>5.01</v>
      </c>
      <c r="U177">
        <v>20</v>
      </c>
    </row>
    <row r="178" spans="1:21">
      <c r="A178" t="s">
        <v>1605</v>
      </c>
      <c r="D178" s="1583" t="str">
        <f>IF(AND(D176="PASS",D177="PASS"),
"PASS",
IF(AND(D176="PASS",D177="REVIEW"),
"REVIEW",
IF(AND(D176="REVIEW",D177="PASS"),
"REVIEW",
"RE-ANALYZE")))</f>
        <v>PASS</v>
      </c>
      <c r="Q178" s="326" t="s">
        <v>1892</v>
      </c>
      <c r="R178" t="s">
        <v>1672</v>
      </c>
      <c r="S178">
        <v>3</v>
      </c>
      <c r="T178">
        <v>20.010000000000002</v>
      </c>
      <c r="U178">
        <v>50</v>
      </c>
    </row>
    <row r="179" spans="1:21">
      <c r="Q179" s="326" t="s">
        <v>1892</v>
      </c>
      <c r="R179" t="s">
        <v>338</v>
      </c>
      <c r="S179">
        <v>4</v>
      </c>
      <c r="T179">
        <v>50.01</v>
      </c>
      <c r="U179">
        <v>100</v>
      </c>
    </row>
    <row r="180" spans="1:21" ht="15.95" customHeight="1">
      <c r="A180" s="116" t="s">
        <v>1833</v>
      </c>
      <c r="Q180" s="326" t="s">
        <v>1892</v>
      </c>
      <c r="R180" t="s">
        <v>1681</v>
      </c>
      <c r="S180">
        <v>5</v>
      </c>
      <c r="T180">
        <v>100.01</v>
      </c>
      <c r="U180">
        <v>300</v>
      </c>
    </row>
    <row r="181" spans="1:21">
      <c r="B181" s="1907" t="str" cm="1">
        <f t="array" ref="B181">IFERROR(
INDEX($R$216:$R$219,
MATCH(1,
($O$216:$O$219=D176)*
($P$216:$P$219=D177),
0)),
"")</f>
        <v>Parameter kuat geser total berada dalam rentang teoritis dan konsisten dengan karakteristik umum tanah berdasarkan deskripsi megaskopis. Hasil pengujian Triaxial UU dapat diterima secara engineering.</v>
      </c>
      <c r="C181" s="1907"/>
      <c r="D181" s="1907"/>
      <c r="E181" s="1907"/>
      <c r="F181" s="1907"/>
      <c r="G181" s="1907"/>
      <c r="H181" s="1907"/>
      <c r="I181" s="1907"/>
      <c r="J181" s="1907"/>
      <c r="K181" s="1907"/>
      <c r="L181" s="1907"/>
      <c r="Q181" t="s">
        <v>1894</v>
      </c>
      <c r="R181" t="s">
        <v>1680</v>
      </c>
      <c r="S181">
        <v>1</v>
      </c>
      <c r="T181">
        <v>0</v>
      </c>
      <c r="U181">
        <v>5</v>
      </c>
    </row>
    <row r="182" spans="1:21" ht="15.95" customHeight="1">
      <c r="B182" s="1907"/>
      <c r="C182" s="1907"/>
      <c r="D182" s="1907"/>
      <c r="E182" s="1907"/>
      <c r="F182" s="1907"/>
      <c r="G182" s="1907"/>
      <c r="H182" s="1907"/>
      <c r="I182" s="1907"/>
      <c r="J182" s="1907"/>
      <c r="K182" s="1907"/>
      <c r="L182" s="1907"/>
      <c r="Q182" t="s">
        <v>1894</v>
      </c>
      <c r="R182" t="s">
        <v>1670</v>
      </c>
      <c r="S182">
        <v>2</v>
      </c>
      <c r="T182">
        <v>5.01</v>
      </c>
      <c r="U182">
        <v>10</v>
      </c>
    </row>
    <row r="183" spans="1:21">
      <c r="Q183" t="s">
        <v>1894</v>
      </c>
      <c r="R183" t="s">
        <v>1672</v>
      </c>
      <c r="S183">
        <v>3</v>
      </c>
      <c r="T183">
        <v>10.01</v>
      </c>
      <c r="U183">
        <v>15</v>
      </c>
    </row>
    <row r="184" spans="1:21">
      <c r="Q184" t="s">
        <v>1894</v>
      </c>
      <c r="R184" t="s">
        <v>338</v>
      </c>
      <c r="S184">
        <v>4</v>
      </c>
      <c r="T184">
        <v>15.01</v>
      </c>
      <c r="U184">
        <v>20</v>
      </c>
    </row>
    <row r="185" spans="1:21">
      <c r="Q185" t="s">
        <v>1894</v>
      </c>
      <c r="R185" t="s">
        <v>1681</v>
      </c>
      <c r="S185">
        <v>5</v>
      </c>
      <c r="T185">
        <v>20.010000000000002</v>
      </c>
      <c r="U185">
        <v>90</v>
      </c>
    </row>
    <row r="187" spans="1:21">
      <c r="K187" s="1578"/>
      <c r="L187" s="1578"/>
      <c r="M187" s="1578"/>
      <c r="O187" t="s">
        <v>1798</v>
      </c>
    </row>
    <row r="188" spans="1:21">
      <c r="K188" s="5"/>
      <c r="L188" s="5"/>
      <c r="M188" s="5"/>
      <c r="O188" s="1593" t="s">
        <v>1611</v>
      </c>
      <c r="P188" s="1593" t="s">
        <v>575</v>
      </c>
      <c r="Q188" s="1593" t="s">
        <v>1683</v>
      </c>
      <c r="R188" s="1593" t="s">
        <v>1607</v>
      </c>
      <c r="S188" s="1593" t="s">
        <v>1608</v>
      </c>
      <c r="T188" s="1593" t="s">
        <v>1685</v>
      </c>
      <c r="U188" s="1593" t="s">
        <v>1715</v>
      </c>
    </row>
    <row r="189" spans="1:21">
      <c r="K189" s="5"/>
      <c r="L189" s="5"/>
      <c r="M189" s="5"/>
      <c r="O189" t="s">
        <v>1612</v>
      </c>
      <c r="P189" t="s">
        <v>1892</v>
      </c>
      <c r="Q189" t="s">
        <v>1668</v>
      </c>
      <c r="R189">
        <v>3</v>
      </c>
      <c r="S189">
        <v>5</v>
      </c>
      <c r="T189" t="s">
        <v>1902</v>
      </c>
      <c r="U189" t="s">
        <v>1843</v>
      </c>
    </row>
    <row r="190" spans="1:21">
      <c r="K190" s="5"/>
      <c r="L190" s="5"/>
      <c r="M190" s="5"/>
      <c r="O190" t="s">
        <v>1612</v>
      </c>
      <c r="P190" t="s">
        <v>1894</v>
      </c>
      <c r="Q190" t="s">
        <v>1680</v>
      </c>
      <c r="R190">
        <v>1</v>
      </c>
      <c r="S190">
        <v>2</v>
      </c>
      <c r="T190" t="s">
        <v>1903</v>
      </c>
      <c r="U190" t="s">
        <v>1716</v>
      </c>
    </row>
    <row r="191" spans="1:21">
      <c r="K191" s="5"/>
      <c r="L191" s="5"/>
      <c r="M191" s="5"/>
      <c r="O191" t="s">
        <v>1614</v>
      </c>
      <c r="P191" t="s">
        <v>1892</v>
      </c>
      <c r="Q191" t="s">
        <v>1672</v>
      </c>
      <c r="R191">
        <v>3</v>
      </c>
      <c r="S191">
        <v>4</v>
      </c>
      <c r="T191" t="s">
        <v>1906</v>
      </c>
      <c r="U191" t="s">
        <v>1716</v>
      </c>
    </row>
    <row r="192" spans="1:21">
      <c r="K192" s="5"/>
      <c r="L192" s="5"/>
      <c r="M192" s="5"/>
      <c r="O192" t="s">
        <v>1614</v>
      </c>
      <c r="P192" t="s">
        <v>1894</v>
      </c>
      <c r="Q192" t="s">
        <v>1670</v>
      </c>
      <c r="R192">
        <v>2</v>
      </c>
      <c r="S192">
        <v>3</v>
      </c>
      <c r="T192" t="s">
        <v>1907</v>
      </c>
      <c r="U192" t="s">
        <v>1716</v>
      </c>
    </row>
    <row r="193" spans="11:21">
      <c r="K193" s="5"/>
      <c r="L193" s="5"/>
      <c r="M193" s="5"/>
      <c r="O193" t="s">
        <v>1617</v>
      </c>
      <c r="P193" t="s">
        <v>1892</v>
      </c>
      <c r="Q193" t="s">
        <v>1672</v>
      </c>
      <c r="R193">
        <v>3</v>
      </c>
      <c r="S193">
        <v>4</v>
      </c>
      <c r="T193" t="s">
        <v>1910</v>
      </c>
      <c r="U193" t="s">
        <v>1716</v>
      </c>
    </row>
    <row r="194" spans="11:21">
      <c r="K194" s="5"/>
      <c r="L194" s="5"/>
      <c r="M194" s="5"/>
      <c r="O194" t="s">
        <v>1617</v>
      </c>
      <c r="P194" t="s">
        <v>1894</v>
      </c>
      <c r="Q194" t="s">
        <v>1670</v>
      </c>
      <c r="R194">
        <v>2</v>
      </c>
      <c r="S194">
        <v>3</v>
      </c>
      <c r="T194" t="s">
        <v>1911</v>
      </c>
      <c r="U194" t="s">
        <v>1716</v>
      </c>
    </row>
    <row r="195" spans="11:21">
      <c r="K195" s="5"/>
      <c r="L195" s="5"/>
      <c r="M195" s="5"/>
      <c r="O195" t="s">
        <v>1643</v>
      </c>
      <c r="P195" t="s">
        <v>1892</v>
      </c>
      <c r="Q195" t="s">
        <v>1672</v>
      </c>
      <c r="R195">
        <v>3</v>
      </c>
      <c r="S195">
        <v>4</v>
      </c>
      <c r="T195" t="s">
        <v>1913</v>
      </c>
      <c r="U195" t="s">
        <v>1716</v>
      </c>
    </row>
    <row r="196" spans="11:21">
      <c r="O196" t="s">
        <v>1643</v>
      </c>
      <c r="P196" t="s">
        <v>1894</v>
      </c>
      <c r="Q196" t="s">
        <v>1672</v>
      </c>
      <c r="R196">
        <v>3</v>
      </c>
      <c r="S196">
        <v>4</v>
      </c>
      <c r="T196" t="s">
        <v>1914</v>
      </c>
      <c r="U196" t="s">
        <v>1716</v>
      </c>
    </row>
    <row r="197" spans="11:21">
      <c r="O197" t="s">
        <v>1620</v>
      </c>
      <c r="P197" t="s">
        <v>1892</v>
      </c>
      <c r="Q197" t="s">
        <v>1680</v>
      </c>
      <c r="R197">
        <v>1</v>
      </c>
      <c r="S197">
        <v>1</v>
      </c>
      <c r="T197" t="s">
        <v>1916</v>
      </c>
      <c r="U197" t="s">
        <v>1716</v>
      </c>
    </row>
    <row r="198" spans="11:21">
      <c r="O198" t="s">
        <v>1620</v>
      </c>
      <c r="P198" t="s">
        <v>1894</v>
      </c>
      <c r="Q198" t="s">
        <v>338</v>
      </c>
      <c r="R198">
        <v>4</v>
      </c>
      <c r="S198">
        <v>5</v>
      </c>
      <c r="T198" t="s">
        <v>1917</v>
      </c>
      <c r="U198" t="s">
        <v>1716</v>
      </c>
    </row>
    <row r="199" spans="11:21">
      <c r="O199" t="s">
        <v>1621</v>
      </c>
      <c r="P199" t="s">
        <v>1892</v>
      </c>
      <c r="Q199" t="s">
        <v>1675</v>
      </c>
      <c r="R199">
        <v>2</v>
      </c>
      <c r="S199">
        <v>3</v>
      </c>
      <c r="T199" t="s">
        <v>1920</v>
      </c>
      <c r="U199" t="s">
        <v>1716</v>
      </c>
    </row>
    <row r="200" spans="11:21">
      <c r="O200" t="s">
        <v>1621</v>
      </c>
      <c r="P200" t="s">
        <v>1894</v>
      </c>
      <c r="Q200" t="s">
        <v>1672</v>
      </c>
      <c r="R200">
        <v>3</v>
      </c>
      <c r="S200">
        <v>4</v>
      </c>
      <c r="T200" t="s">
        <v>1921</v>
      </c>
      <c r="U200" t="s">
        <v>1716</v>
      </c>
    </row>
    <row r="201" spans="11:21">
      <c r="O201" t="s">
        <v>1623</v>
      </c>
      <c r="P201" t="s">
        <v>1892</v>
      </c>
      <c r="Q201" t="s">
        <v>1670</v>
      </c>
      <c r="R201">
        <v>2</v>
      </c>
      <c r="S201">
        <v>3</v>
      </c>
      <c r="T201" t="s">
        <v>1923</v>
      </c>
      <c r="U201" t="s">
        <v>1716</v>
      </c>
    </row>
    <row r="202" spans="11:21">
      <c r="O202" t="s">
        <v>1623</v>
      </c>
      <c r="P202" t="s">
        <v>1894</v>
      </c>
      <c r="Q202" t="s">
        <v>1668</v>
      </c>
      <c r="R202">
        <v>3</v>
      </c>
      <c r="S202">
        <v>4</v>
      </c>
      <c r="T202" t="s">
        <v>1924</v>
      </c>
      <c r="U202" t="s">
        <v>1716</v>
      </c>
    </row>
    <row r="203" spans="11:21">
      <c r="O203" t="s">
        <v>1649</v>
      </c>
      <c r="P203" t="s">
        <v>1892</v>
      </c>
      <c r="Q203" t="s">
        <v>1680</v>
      </c>
      <c r="R203">
        <v>1</v>
      </c>
      <c r="S203">
        <v>1</v>
      </c>
      <c r="T203" t="s">
        <v>1927</v>
      </c>
      <c r="U203" t="s">
        <v>1716</v>
      </c>
    </row>
    <row r="204" spans="11:21">
      <c r="O204" t="s">
        <v>1649</v>
      </c>
      <c r="P204" t="s">
        <v>1894</v>
      </c>
      <c r="Q204" t="s">
        <v>1681</v>
      </c>
      <c r="R204">
        <v>4</v>
      </c>
      <c r="S204">
        <v>5</v>
      </c>
      <c r="T204" t="s">
        <v>1928</v>
      </c>
      <c r="U204" t="s">
        <v>1716</v>
      </c>
    </row>
    <row r="205" spans="11:21">
      <c r="O205" t="s">
        <v>1690</v>
      </c>
      <c r="P205" t="s">
        <v>1892</v>
      </c>
      <c r="Q205" t="s">
        <v>1670</v>
      </c>
      <c r="R205">
        <v>2</v>
      </c>
      <c r="S205">
        <v>3</v>
      </c>
      <c r="T205" t="s">
        <v>1929</v>
      </c>
      <c r="U205" t="s">
        <v>1716</v>
      </c>
    </row>
    <row r="206" spans="11:21">
      <c r="O206" t="s">
        <v>1690</v>
      </c>
      <c r="P206" t="s">
        <v>1894</v>
      </c>
      <c r="Q206" t="s">
        <v>1672</v>
      </c>
      <c r="R206">
        <v>3</v>
      </c>
      <c r="S206">
        <v>4</v>
      </c>
      <c r="T206" t="s">
        <v>1921</v>
      </c>
      <c r="U206" t="s">
        <v>1716</v>
      </c>
    </row>
    <row r="207" spans="11:21">
      <c r="O207" t="s">
        <v>1626</v>
      </c>
      <c r="P207" t="s">
        <v>1892</v>
      </c>
      <c r="Q207" t="s">
        <v>1672</v>
      </c>
      <c r="R207">
        <v>3</v>
      </c>
      <c r="S207">
        <v>4</v>
      </c>
      <c r="T207" t="s">
        <v>1920</v>
      </c>
      <c r="U207" t="s">
        <v>1716</v>
      </c>
    </row>
    <row r="208" spans="11:21">
      <c r="O208" t="s">
        <v>1626</v>
      </c>
      <c r="P208" t="s">
        <v>1894</v>
      </c>
      <c r="Q208" t="s">
        <v>1675</v>
      </c>
      <c r="R208">
        <v>2</v>
      </c>
      <c r="S208">
        <v>3</v>
      </c>
      <c r="T208" t="s">
        <v>1931</v>
      </c>
      <c r="U208" t="s">
        <v>1716</v>
      </c>
    </row>
    <row r="209" spans="15:21">
      <c r="O209" t="s">
        <v>1628</v>
      </c>
      <c r="P209" t="s">
        <v>1892</v>
      </c>
      <c r="Q209" t="s">
        <v>1670</v>
      </c>
      <c r="R209">
        <v>2</v>
      </c>
      <c r="S209">
        <v>3</v>
      </c>
      <c r="T209" t="s">
        <v>1932</v>
      </c>
      <c r="U209" t="s">
        <v>1716</v>
      </c>
    </row>
    <row r="210" spans="15:21">
      <c r="O210" t="s">
        <v>1628</v>
      </c>
      <c r="P210" t="s">
        <v>1894</v>
      </c>
      <c r="Q210" t="s">
        <v>1672</v>
      </c>
      <c r="R210">
        <v>3</v>
      </c>
      <c r="S210">
        <v>4</v>
      </c>
      <c r="T210" t="s">
        <v>1921</v>
      </c>
      <c r="U210" t="s">
        <v>1716</v>
      </c>
    </row>
    <row r="211" spans="15:21">
      <c r="O211" t="s">
        <v>1630</v>
      </c>
      <c r="P211" t="s">
        <v>1892</v>
      </c>
      <c r="Q211" t="s">
        <v>1680</v>
      </c>
      <c r="R211">
        <v>1</v>
      </c>
      <c r="S211">
        <v>1</v>
      </c>
      <c r="T211" t="s">
        <v>1933</v>
      </c>
      <c r="U211" t="s">
        <v>1716</v>
      </c>
    </row>
    <row r="212" spans="15:21">
      <c r="O212" t="s">
        <v>1630</v>
      </c>
      <c r="P212" t="s">
        <v>1894</v>
      </c>
      <c r="Q212" t="s">
        <v>1681</v>
      </c>
      <c r="R212">
        <v>5</v>
      </c>
      <c r="S212">
        <v>5</v>
      </c>
      <c r="T212" t="s">
        <v>1934</v>
      </c>
      <c r="U212" t="s">
        <v>1716</v>
      </c>
    </row>
    <row r="215" spans="15:21">
      <c r="O215" t="s">
        <v>1822</v>
      </c>
      <c r="P215" t="s">
        <v>1823</v>
      </c>
      <c r="Q215" t="s">
        <v>1824</v>
      </c>
      <c r="R215" t="s">
        <v>1786</v>
      </c>
    </row>
    <row r="216" spans="15:21">
      <c r="O216" t="s">
        <v>1733</v>
      </c>
      <c r="P216" t="s">
        <v>1733</v>
      </c>
      <c r="Q216" t="s">
        <v>1825</v>
      </c>
      <c r="R216" t="s">
        <v>1944</v>
      </c>
    </row>
    <row r="217" spans="15:21">
      <c r="O217" t="s">
        <v>1733</v>
      </c>
      <c r="P217" t="s">
        <v>1735</v>
      </c>
      <c r="Q217" t="s">
        <v>1735</v>
      </c>
      <c r="R217" t="s">
        <v>1938</v>
      </c>
    </row>
    <row r="218" spans="15:21">
      <c r="O218" t="s">
        <v>1735</v>
      </c>
      <c r="P218" t="s">
        <v>1733</v>
      </c>
      <c r="Q218" t="s">
        <v>1735</v>
      </c>
      <c r="R218" t="s">
        <v>1939</v>
      </c>
    </row>
    <row r="219" spans="15:21">
      <c r="O219" t="s">
        <v>1735</v>
      </c>
      <c r="P219" t="s">
        <v>1735</v>
      </c>
      <c r="Q219" t="s">
        <v>1829</v>
      </c>
      <c r="R219" t="s">
        <v>1940</v>
      </c>
    </row>
  </sheetData>
  <mergeCells count="16">
    <mergeCell ref="B170:C170"/>
    <mergeCell ref="B181:L182"/>
    <mergeCell ref="B167:C168"/>
    <mergeCell ref="D167:D168"/>
    <mergeCell ref="E167:F167"/>
    <mergeCell ref="G167:N167"/>
    <mergeCell ref="B169:C169"/>
    <mergeCell ref="A13:C13"/>
    <mergeCell ref="L9:N9"/>
    <mergeCell ref="L10:N10"/>
    <mergeCell ref="L12:N12"/>
    <mergeCell ref="A7:C7"/>
    <mergeCell ref="A9:C9"/>
    <mergeCell ref="A10:C10"/>
    <mergeCell ref="A11:C11"/>
    <mergeCell ref="A12:C12"/>
  </mergeCells>
  <conditionalFormatting sqref="D176:D178">
    <cfRule type="expression" dxfId="189" priority="1">
      <formula>ISNUMBER(SEARCH("RE-ANALYZE",$D176))</formula>
    </cfRule>
    <cfRule type="expression" dxfId="188" priority="2">
      <formula>ISNUMBER(SEARCH("REVIEW",$D176))</formula>
    </cfRule>
    <cfRule type="expression" dxfId="187" priority="3">
      <formula>ISNUMBER(SEARCH("CHECK",$D176))</formula>
    </cfRule>
    <cfRule type="expression" dxfId="186" priority="4">
      <formula>ISNUMBER(SEARCH("PASS",$D176))</formula>
    </cfRule>
  </conditionalFormatting>
  <conditionalFormatting sqref="E169:E170">
    <cfRule type="expression" dxfId="185" priority="9">
      <formula>ISNUMBER(SEARCH("RE-ANALYZE",$E169))</formula>
    </cfRule>
    <cfRule type="expression" dxfId="184" priority="10">
      <formula>ISNUMBER(SEARCH("REVIEW",$E169))</formula>
    </cfRule>
    <cfRule type="expression" dxfId="183" priority="11">
      <formula>ISNUMBER(SEARCH("CHECK",$E169))</formula>
    </cfRule>
    <cfRule type="expression" dxfId="182" priority="12">
      <formula>ISNUMBER(SEARCH("PASS",$E169))</formula>
    </cfRule>
  </conditionalFormatting>
  <conditionalFormatting sqref="L169:L170">
    <cfRule type="expression" dxfId="181" priority="5">
      <formula>ISNUMBER(SEARCH("RE-ANALYZE",$L169))</formula>
    </cfRule>
    <cfRule type="expression" dxfId="180" priority="6">
      <formula>ISNUMBER(SEARCH("REVIEW",$L169))</formula>
    </cfRule>
    <cfRule type="expression" dxfId="179" priority="7">
      <formula>ISNUMBER(SEARCH("CHECK",$L169))</formula>
    </cfRule>
    <cfRule type="expression" dxfId="178" priority="8">
      <formula>ISNUMBER(SEARCH("PASS",$L169))</formula>
    </cfRule>
  </conditionalFormatting>
  <dataValidations count="2">
    <dataValidation type="list" allowBlank="1" showInputMessage="1" showErrorMessage="1" sqref="P9" xr:uid="{A55402C4-E2AF-4A06-BFEF-12A01B7C1098}">
      <formula1>"RAFLY,RIZKI,NOUFAL"</formula1>
    </dataValidation>
    <dataValidation type="list" allowBlank="1" showInputMessage="1" showErrorMessage="1" sqref="D12" xr:uid="{2B9732FC-3104-409C-ACC1-0861D0F486A2}">
      <formula1>$R$24:$R$35</formula1>
    </dataValidation>
  </dataValidations>
  <pageMargins left="0.7" right="0.7" top="0.75" bottom="0.75" header="0.3" footer="0.3"/>
  <pageSetup paperSize="14" orientation="portrait" horizontalDpi="0" verticalDpi="0"/>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5EDD-B7DE-2846-B74F-6BF6D63B9B05}">
  <sheetPr>
    <tabColor rgb="FFFFC000"/>
  </sheetPr>
  <dimension ref="A1:AJ150"/>
  <sheetViews>
    <sheetView view="pageBreakPreview" topLeftCell="A53" zoomScale="106" zoomScaleNormal="100" zoomScaleSheetLayoutView="106" workbookViewId="0">
      <selection activeCell="M58" sqref="M58:O58"/>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8" ht="23.25">
      <c r="F1" s="1681" t="s">
        <v>302</v>
      </c>
      <c r="G1" s="1681"/>
      <c r="H1" s="1681"/>
      <c r="I1" s="1681"/>
      <c r="J1" s="1681"/>
      <c r="K1" s="1681"/>
      <c r="L1" s="1681"/>
      <c r="M1" s="1681"/>
      <c r="N1" s="1681"/>
      <c r="O1" s="1681"/>
      <c r="P1" s="1681"/>
      <c r="Q1" s="1681"/>
      <c r="R1" s="1681"/>
      <c r="S1" s="1681"/>
      <c r="T1" s="1681"/>
    </row>
    <row r="2" spans="1:28" ht="20.25">
      <c r="F2" s="1682" t="s">
        <v>1582</v>
      </c>
      <c r="G2" s="1682"/>
      <c r="H2" s="1682"/>
      <c r="I2" s="1682"/>
      <c r="J2" s="1682"/>
      <c r="K2" s="1682"/>
      <c r="L2" s="1682"/>
      <c r="M2" s="1682"/>
      <c r="N2" s="1682"/>
      <c r="O2" s="1682"/>
      <c r="P2" s="1682"/>
      <c r="Q2" s="1682"/>
      <c r="R2" s="1682"/>
      <c r="S2" s="1682"/>
      <c r="T2" s="1682"/>
    </row>
    <row r="3" spans="1:28">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8" ht="8.1" customHeight="1"/>
    <row r="5" spans="1:28" ht="8.1" customHeight="1"/>
    <row r="6" spans="1:28"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8">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8"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8">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8"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8">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8">
      <c r="A12" s="1707" t="str">
        <f>'DATA INDUK'!H2</f>
        <v>BSI Candrian Waste Dump Extension Study</v>
      </c>
      <c r="B12" s="1708"/>
      <c r="C12" s="1708"/>
      <c r="D12" s="1708"/>
      <c r="E12" s="1708"/>
      <c r="F12" s="1708"/>
      <c r="G12" s="1708"/>
      <c r="H12" s="1708"/>
      <c r="I12" s="1708"/>
      <c r="J12" s="1708"/>
      <c r="K12" s="1708"/>
      <c r="L12" s="1709"/>
      <c r="M12" s="340"/>
      <c r="N12" s="1701" t="str">
        <f>IF('WS-TRX-UU'!D7="","",'WS-TRX-UU'!D7)</f>
        <v>26-001-DS-001</v>
      </c>
      <c r="O12" s="1702"/>
      <c r="P12" s="1702"/>
      <c r="Q12" s="1702"/>
      <c r="R12" s="1702"/>
      <c r="S12" s="1702"/>
      <c r="T12" s="1702"/>
      <c r="U12" s="1702"/>
      <c r="V12" s="1702"/>
      <c r="W12" s="1702"/>
      <c r="X12" s="1703"/>
    </row>
    <row r="13" spans="1:28">
      <c r="A13" s="1634" t="s">
        <v>1490</v>
      </c>
      <c r="B13" s="1635"/>
      <c r="C13" s="1635"/>
      <c r="D13" s="1635"/>
      <c r="E13" s="1635" t="str">
        <f>'DATA INDUK'!H3</f>
        <v>Banyuwangi - JAWA TIMUR</v>
      </c>
      <c r="F13" s="1635"/>
      <c r="G13" s="1635"/>
      <c r="H13" s="1635"/>
      <c r="I13" s="1635"/>
      <c r="J13" s="1635"/>
      <c r="K13" s="1635"/>
      <c r="L13" s="1648"/>
      <c r="M13" s="340"/>
      <c r="N13" s="1641" t="s">
        <v>1492</v>
      </c>
      <c r="O13" s="1637"/>
      <c r="P13" s="1637"/>
      <c r="Q13" s="1637"/>
      <c r="R13" s="1637"/>
      <c r="S13" s="1637" t="str">
        <f>":  "&amp;IF('WS-TRX-UU'!D9="","",'WS-TRX-UU'!D9)</f>
        <v xml:space="preserve">:  </v>
      </c>
      <c r="T13" s="1637"/>
      <c r="U13" s="1637"/>
      <c r="V13" s="1637"/>
      <c r="W13" s="1637"/>
      <c r="X13" s="1638"/>
      <c r="Z13" s="335"/>
      <c r="AA13" s="1312" t="str">
        <f>"LHU No.            : "&amp; IF('DATA INDUK'!$H$17="","",'DATA INDUK'!$H$17)</f>
        <v>LHU No.            : 23/MGS/53/II/2026</v>
      </c>
      <c r="AB13" s="335"/>
    </row>
    <row r="14" spans="1:28">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"&amp;IF('WS-TRX-UU'!D10="","",'WS-TRX-UU'!D10)</f>
        <v>#N/A</v>
      </c>
      <c r="T14" s="1637"/>
      <c r="U14" s="1637"/>
      <c r="V14" s="1637"/>
      <c r="W14" s="1637"/>
      <c r="X14" s="1638"/>
      <c r="Z14" s="335"/>
      <c r="AA14" s="338" t="str">
        <f>"LAB ID.         : "&amp;'Template LHU_CBRsoaked'!$N$13&amp;""</f>
        <v>LAB ID.         : 26-001-DS-001</v>
      </c>
      <c r="AB14" s="335"/>
    </row>
    <row r="15" spans="1:28"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"&amp;IF('WS-TRX-UU'!D11="","",'WS-TRX-UU'!D11)</f>
        <v>:  Disturbed Sample</v>
      </c>
      <c r="T15" s="1637"/>
      <c r="U15" s="1637"/>
      <c r="V15" s="1637"/>
      <c r="W15" s="1637"/>
      <c r="X15" s="1638"/>
      <c r="Z15" s="335" t="s">
        <v>1429</v>
      </c>
      <c r="AA15" s="338" t="str">
        <f>"TEST TYPE   : "&amp;Z15&amp;""</f>
        <v>TEST TYPE   : Triaxial (UU)</v>
      </c>
      <c r="AB15" s="335"/>
    </row>
    <row r="16" spans="1:28"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c r="Z16" s="1310"/>
      <c r="AA16" s="338" t="str">
        <f>"DATE            : "&amp;TEXT('DATA INDUK'!$H$19,"yyyy-mm-dd")</f>
        <v>DATE            : 2026-01-29</v>
      </c>
      <c r="AB16" s="335"/>
    </row>
    <row r="17" spans="1:36">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"&amp;IF('WS-TRX-UU'!D12="","",'WS-TRX-UU'!D12)</f>
        <v>:  Lanau / Silt</v>
      </c>
      <c r="T17" s="1637"/>
      <c r="U17" s="1637"/>
      <c r="V17" s="1637"/>
      <c r="W17" s="1637"/>
      <c r="X17" s="1638"/>
    </row>
    <row r="18" spans="1:36"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"&amp;IF('WS-TRX-UU'!D13="","",'WS-TRX-UU'!D13)</f>
        <v xml:space="preserve">:  </v>
      </c>
      <c r="T18" s="1637"/>
      <c r="U18" s="1637"/>
      <c r="V18" s="1637"/>
      <c r="W18" s="1637"/>
      <c r="X18" s="1638"/>
    </row>
    <row r="19" spans="1:36"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36"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INDUK'!H12="","",TEXT('DATA INDUK'!H12,"dd mmmm yyyy"))</f>
        <v>:  18 July 1905</v>
      </c>
      <c r="T20" s="1637"/>
      <c r="U20" s="1637"/>
      <c r="V20" s="1637"/>
      <c r="W20" s="1637"/>
      <c r="X20" s="1638"/>
    </row>
    <row r="21" spans="1:36"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36"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"&amp;IF('WS-TRX-UU'!O12="","",TEXT('WS-TRX-UU'!O12,"dd mmmm yyyy"))</f>
        <v xml:space="preserve">:  </v>
      </c>
      <c r="T22" s="1637"/>
      <c r="U22" s="1637"/>
      <c r="V22" s="1637"/>
      <c r="W22" s="1637"/>
      <c r="X22" s="1638"/>
    </row>
    <row r="23" spans="1:36"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36"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36"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36">
      <c r="A26" s="1706" t="str">
        <f>'WS-TRX-UU'!A2</f>
        <v>UJI TRIAKSIAL - TIDAK TERKONSOLIDASI TIDAK TERDRAINASE (UU)</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INDUK'!$BS$37</f>
        <v>4813:2015</v>
      </c>
      <c r="W26" s="1704"/>
      <c r="X26" s="1704"/>
    </row>
    <row r="27" spans="1:36">
      <c r="A27" s="1650" t="str">
        <f>'WS-TRX-UU'!A3</f>
        <v>TRIAXIAL TEST - UNCONSOLIDATED UNDRAINED ((UU)</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36"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36">
      <c r="A29" s="541" t="s">
        <v>1404</v>
      </c>
      <c r="B29" s="673"/>
      <c r="C29" s="673"/>
      <c r="D29" s="673"/>
      <c r="E29" s="673"/>
      <c r="F29" s="673"/>
      <c r="G29" s="673"/>
      <c r="H29" s="673"/>
      <c r="I29" s="674"/>
      <c r="J29" s="673"/>
      <c r="K29" s="673"/>
      <c r="L29" s="335"/>
      <c r="N29" s="541" t="s">
        <v>1147</v>
      </c>
      <c r="O29" s="541"/>
      <c r="P29" s="541"/>
      <c r="Q29" s="541"/>
      <c r="R29" s="541"/>
      <c r="S29" s="541"/>
      <c r="T29" s="541"/>
      <c r="U29" s="541"/>
      <c r="V29" s="541"/>
      <c r="W29" s="541"/>
      <c r="X29" s="826"/>
    </row>
    <row r="30" spans="1:36">
      <c r="A30" s="1637" t="s">
        <v>1414</v>
      </c>
      <c r="B30" s="1637"/>
      <c r="C30" s="1637"/>
      <c r="D30" s="1637"/>
      <c r="E30" s="1637"/>
      <c r="F30" s="1637"/>
      <c r="G30" s="1637"/>
      <c r="H30" s="2040">
        <v>1</v>
      </c>
      <c r="I30" s="2040"/>
      <c r="J30" s="804">
        <v>2</v>
      </c>
      <c r="K30" s="804"/>
      <c r="L30" s="804">
        <v>3</v>
      </c>
      <c r="M30" s="15"/>
      <c r="N30" s="13" t="s">
        <v>1414</v>
      </c>
      <c r="O30" s="13"/>
      <c r="P30" s="13"/>
      <c r="Q30" s="13"/>
      <c r="R30" s="13"/>
      <c r="S30" s="1320">
        <v>1</v>
      </c>
      <c r="T30" s="13"/>
      <c r="U30" s="1320">
        <v>2</v>
      </c>
      <c r="W30" s="1320">
        <v>3</v>
      </c>
      <c r="X30" s="15"/>
    </row>
    <row r="31" spans="1:36">
      <c r="A31" s="15" t="s">
        <v>1415</v>
      </c>
      <c r="B31" s="13"/>
      <c r="C31" s="13"/>
      <c r="D31" s="13"/>
      <c r="E31" s="13"/>
      <c r="H31" s="803">
        <f>'WS-TRX-UU'!D180</f>
        <v>0</v>
      </c>
      <c r="J31" s="803">
        <f>'WS-TRX-UU'!E180</f>
        <v>0</v>
      </c>
      <c r="K31" s="803"/>
      <c r="L31" s="803">
        <f>'WS-TRX-UU'!F180</f>
        <v>0</v>
      </c>
      <c r="M31" s="15"/>
      <c r="N31" s="1813" t="s">
        <v>1409</v>
      </c>
      <c r="O31" s="1813"/>
      <c r="P31" s="1813"/>
      <c r="Q31" s="1813"/>
      <c r="R31" s="1813"/>
      <c r="S31" s="2035">
        <f>'WS-TRX-UU'!K180</f>
        <v>0</v>
      </c>
      <c r="T31" s="2035"/>
      <c r="U31" s="2035">
        <f>'WS-TRX-UU'!L180</f>
        <v>0</v>
      </c>
      <c r="V31" s="2035"/>
      <c r="W31" s="2035">
        <f>'WS-TRX-UU'!M180</f>
        <v>0</v>
      </c>
      <c r="X31" s="2035"/>
      <c r="AB31" s="798"/>
      <c r="AD31" s="798"/>
      <c r="AH31" s="1321"/>
      <c r="AJ31" s="1321"/>
    </row>
    <row r="32" spans="1:36" ht="15" customHeight="1">
      <c r="A32" s="15" t="s">
        <v>1416</v>
      </c>
      <c r="B32" s="13"/>
      <c r="C32" s="13"/>
      <c r="D32" s="13"/>
      <c r="E32" s="13"/>
      <c r="H32" s="803">
        <f>'WS-TRX-UU'!D181</f>
        <v>0</v>
      </c>
      <c r="J32" s="803">
        <f>'WS-TRX-UU'!E181</f>
        <v>0</v>
      </c>
      <c r="K32" s="803"/>
      <c r="L32" s="803">
        <f>'WS-TRX-UU'!F181</f>
        <v>0</v>
      </c>
      <c r="M32" s="782"/>
      <c r="N32" s="1813"/>
      <c r="O32" s="1813"/>
      <c r="P32" s="1813"/>
      <c r="Q32" s="1813"/>
      <c r="R32" s="1813"/>
      <c r="S32" s="2035"/>
      <c r="T32" s="2035"/>
      <c r="U32" s="2035"/>
      <c r="V32" s="2035"/>
      <c r="W32" s="2035"/>
      <c r="X32" s="2035"/>
      <c r="AB32" s="797"/>
      <c r="AD32" s="797"/>
      <c r="AH32" s="807"/>
      <c r="AJ32" s="807"/>
    </row>
    <row r="33" spans="1:36" ht="15.95" customHeight="1">
      <c r="A33" s="15" t="s">
        <v>1417</v>
      </c>
      <c r="B33" s="13"/>
      <c r="C33" s="13"/>
      <c r="D33" s="13"/>
      <c r="E33" s="13"/>
      <c r="H33" s="803">
        <f>'WS-TRX-UU'!D182</f>
        <v>0</v>
      </c>
      <c r="J33" s="803">
        <f>'WS-TRX-UU'!E182</f>
        <v>0</v>
      </c>
      <c r="K33" s="803"/>
      <c r="L33" s="803">
        <f>'WS-TRX-UU'!F182</f>
        <v>0</v>
      </c>
      <c r="M33" s="782"/>
      <c r="N33" s="1813" t="s">
        <v>1410</v>
      </c>
      <c r="O33" s="1813"/>
      <c r="P33" s="1813"/>
      <c r="Q33" s="1813"/>
      <c r="R33" s="1813"/>
      <c r="S33" s="2035">
        <f>'WS-TRX-UU'!K181</f>
        <v>0</v>
      </c>
      <c r="T33" s="2035"/>
      <c r="U33" s="2035">
        <f>'WS-TRX-UU'!L181</f>
        <v>0</v>
      </c>
      <c r="V33" s="2035"/>
      <c r="W33" s="2035">
        <f>'WS-TRX-UU'!M181</f>
        <v>0</v>
      </c>
      <c r="X33" s="2035"/>
      <c r="AB33" s="797"/>
      <c r="AD33" s="797"/>
      <c r="AH33" s="816"/>
      <c r="AJ33" s="816"/>
    </row>
    <row r="34" spans="1:36" ht="21.75" customHeight="1">
      <c r="A34" s="15" t="s">
        <v>1418</v>
      </c>
      <c r="B34" s="13"/>
      <c r="C34" s="13"/>
      <c r="D34" s="13"/>
      <c r="E34" s="13"/>
      <c r="H34" s="803">
        <f>'WS-TRX-UU'!D183</f>
        <v>0</v>
      </c>
      <c r="J34" s="803">
        <f>'WS-TRX-UU'!E183</f>
        <v>0</v>
      </c>
      <c r="K34" s="803"/>
      <c r="L34" s="803">
        <f>'WS-TRX-UU'!F183</f>
        <v>0</v>
      </c>
      <c r="M34" s="782"/>
      <c r="N34" s="1813"/>
      <c r="O34" s="1813"/>
      <c r="P34" s="1813"/>
      <c r="Q34" s="1813"/>
      <c r="R34" s="1813"/>
      <c r="S34" s="2035"/>
      <c r="T34" s="2035"/>
      <c r="U34" s="2035"/>
      <c r="V34" s="2035"/>
      <c r="W34" s="2035"/>
      <c r="X34" s="2035"/>
      <c r="AB34" s="797"/>
      <c r="AD34" s="797"/>
      <c r="AH34" s="810"/>
      <c r="AJ34" s="810"/>
    </row>
    <row r="35" spans="1:36" ht="15.95" customHeight="1">
      <c r="A35" s="15" t="s">
        <v>1419</v>
      </c>
      <c r="B35" s="13"/>
      <c r="C35" s="13"/>
      <c r="D35" s="13"/>
      <c r="E35" s="13"/>
      <c r="H35" s="803">
        <f>'WS-TRX-UU'!D184</f>
        <v>0</v>
      </c>
      <c r="J35" s="803">
        <f>'WS-TRX-UU'!E184</f>
        <v>0</v>
      </c>
      <c r="K35" s="803"/>
      <c r="L35" s="803">
        <f>'WS-TRX-UU'!F184</f>
        <v>0</v>
      </c>
      <c r="M35" s="782"/>
      <c r="N35" s="1813" t="s">
        <v>1411</v>
      </c>
      <c r="O35" s="1813"/>
      <c r="P35" s="1813"/>
      <c r="Q35" s="1813"/>
      <c r="R35" s="1813"/>
      <c r="S35" s="2035">
        <f>'WS-TRX-UU'!K182</f>
        <v>0</v>
      </c>
      <c r="T35" s="2035"/>
      <c r="U35" s="2035">
        <f>'WS-TRX-UU'!L182</f>
        <v>0</v>
      </c>
      <c r="V35" s="2035"/>
      <c r="W35" s="2035">
        <f>'WS-TRX-UU'!M182</f>
        <v>0</v>
      </c>
      <c r="X35" s="2035"/>
      <c r="AB35" s="797"/>
      <c r="AD35" s="797"/>
      <c r="AH35" s="1323"/>
      <c r="AJ35" s="1323"/>
    </row>
    <row r="36" spans="1:36" ht="22.5" customHeight="1">
      <c r="A36" s="15" t="s">
        <v>1420</v>
      </c>
      <c r="B36" s="13"/>
      <c r="C36" s="13"/>
      <c r="D36" s="13"/>
      <c r="E36" s="13"/>
      <c r="H36" s="803">
        <f>'WS-TRX-UU'!D185</f>
        <v>0</v>
      </c>
      <c r="J36" s="803">
        <f>'WS-TRX-UU'!E185</f>
        <v>0</v>
      </c>
      <c r="K36" s="803"/>
      <c r="L36" s="803">
        <f>'WS-TRX-UU'!F185</f>
        <v>0</v>
      </c>
      <c r="M36" s="15"/>
      <c r="N36" s="1813"/>
      <c r="O36" s="1813"/>
      <c r="P36" s="1813"/>
      <c r="Q36" s="1813"/>
      <c r="R36" s="1813"/>
      <c r="S36" s="2035"/>
      <c r="T36" s="2035"/>
      <c r="U36" s="2035"/>
      <c r="V36" s="2035"/>
      <c r="W36" s="2035"/>
      <c r="X36" s="2035"/>
      <c r="AB36" s="797"/>
      <c r="AD36" s="797"/>
      <c r="AH36" s="1323"/>
      <c r="AJ36" s="1323"/>
    </row>
    <row r="37" spans="1:36">
      <c r="A37" s="15" t="s">
        <v>1421</v>
      </c>
      <c r="B37" s="13"/>
      <c r="C37" s="13"/>
      <c r="D37" s="13"/>
      <c r="E37" s="13"/>
      <c r="H37" s="803">
        <f>'WS-TRX-UU'!D186</f>
        <v>0</v>
      </c>
      <c r="J37" s="803">
        <f>'WS-TRX-UU'!E186</f>
        <v>0</v>
      </c>
      <c r="K37" s="803"/>
      <c r="L37" s="803">
        <f>'WS-TRX-UU'!F186</f>
        <v>0</v>
      </c>
      <c r="M37" s="1176"/>
      <c r="N37" s="1813" t="s">
        <v>1412</v>
      </c>
      <c r="O37" s="1813"/>
      <c r="P37" s="1813"/>
      <c r="Q37" s="1813"/>
      <c r="R37" s="1813"/>
      <c r="S37" s="2035">
        <f>'WS-TRX-UU'!K183</f>
        <v>0</v>
      </c>
      <c r="T37" s="2035"/>
      <c r="U37" s="2035">
        <f>'WS-TRX-UU'!L183</f>
        <v>0</v>
      </c>
      <c r="V37" s="2035"/>
      <c r="W37" s="2035">
        <f>'WS-TRX-UU'!M183</f>
        <v>0</v>
      </c>
      <c r="X37" s="2035"/>
      <c r="AB37" s="797"/>
      <c r="AD37" s="797"/>
      <c r="AH37" s="1322"/>
      <c r="AJ37" s="1322"/>
    </row>
    <row r="38" spans="1:36">
      <c r="N38" s="1813"/>
      <c r="O38" s="1813"/>
      <c r="P38" s="1813"/>
      <c r="Q38" s="1813"/>
      <c r="R38" s="1813"/>
      <c r="S38" s="2035"/>
      <c r="T38" s="2035"/>
      <c r="U38" s="2035"/>
      <c r="V38" s="2035"/>
      <c r="W38" s="2035"/>
      <c r="X38" s="2035"/>
      <c r="AB38" s="797"/>
      <c r="AD38" s="797"/>
      <c r="AH38" s="1322"/>
      <c r="AJ38" s="1322"/>
    </row>
    <row r="39" spans="1:36">
      <c r="B39" s="710"/>
      <c r="C39" s="710"/>
      <c r="D39" s="710"/>
      <c r="E39" s="710"/>
      <c r="F39" s="710"/>
      <c r="G39" s="710"/>
      <c r="H39" s="710"/>
      <c r="I39" s="710"/>
      <c r="J39" s="710"/>
      <c r="K39" s="710"/>
      <c r="L39" s="710"/>
      <c r="M39" s="710"/>
      <c r="N39" s="1813" t="s">
        <v>1413</v>
      </c>
      <c r="O39" s="1813"/>
      <c r="P39" s="1813"/>
      <c r="Q39" s="1813"/>
      <c r="R39" s="1813"/>
      <c r="S39" s="2035">
        <f>'WS-TRX-UU'!K184</f>
        <v>0</v>
      </c>
      <c r="T39" s="2035"/>
      <c r="U39" s="2035">
        <f>'WS-TRX-UU'!L184</f>
        <v>0</v>
      </c>
      <c r="V39" s="2035"/>
      <c r="W39" s="2035">
        <f>'WS-TRX-UU'!M184</f>
        <v>0</v>
      </c>
      <c r="X39" s="2035"/>
    </row>
    <row r="40" spans="1:36">
      <c r="A40" s="540"/>
      <c r="B40" s="540"/>
      <c r="C40" s="540"/>
      <c r="D40" s="540"/>
      <c r="E40" s="540"/>
      <c r="F40" s="15"/>
      <c r="H40" s="540"/>
      <c r="I40" s="976"/>
      <c r="J40" s="540"/>
      <c r="L40" s="540"/>
      <c r="M40" s="540"/>
      <c r="N40" s="1813"/>
      <c r="O40" s="1813"/>
      <c r="P40" s="1813"/>
      <c r="Q40" s="1813"/>
      <c r="R40" s="1813"/>
      <c r="S40" s="2035"/>
      <c r="T40" s="2035"/>
      <c r="U40" s="2035"/>
      <c r="V40" s="2035"/>
      <c r="W40" s="2035"/>
      <c r="X40" s="2035"/>
    </row>
    <row r="42" spans="1:36">
      <c r="A42" s="541" t="s">
        <v>184</v>
      </c>
      <c r="B42" s="877"/>
      <c r="C42" s="877"/>
      <c r="D42" s="877"/>
      <c r="E42" s="877"/>
      <c r="F42" s="877"/>
      <c r="G42" s="877"/>
      <c r="H42" s="877"/>
      <c r="I42" s="878"/>
      <c r="J42" s="877"/>
      <c r="K42" s="877"/>
      <c r="L42" s="877"/>
      <c r="M42" s="877"/>
      <c r="N42" s="877"/>
      <c r="O42" s="877"/>
      <c r="P42" s="877"/>
      <c r="Q42" s="877"/>
      <c r="R42" s="877"/>
      <c r="S42" s="877"/>
      <c r="T42" s="877"/>
      <c r="U42" s="877"/>
      <c r="V42" s="877"/>
      <c r="W42" s="877"/>
      <c r="X42" s="877"/>
    </row>
    <row r="43" spans="1:36">
      <c r="A43" s="540" t="s">
        <v>1424</v>
      </c>
      <c r="B43" s="1247"/>
      <c r="C43" s="1247"/>
      <c r="D43" s="1247"/>
      <c r="E43" s="1247"/>
      <c r="F43" s="1247"/>
      <c r="G43" s="1247"/>
      <c r="H43" s="1247"/>
      <c r="I43" s="1326"/>
      <c r="J43" s="1127"/>
      <c r="K43" s="540" t="s">
        <v>1426</v>
      </c>
      <c r="L43" s="1127"/>
      <c r="M43" s="1127"/>
      <c r="N43" s="1127"/>
      <c r="O43" s="1127"/>
      <c r="P43" s="1127"/>
      <c r="Q43" s="1127"/>
      <c r="R43" s="1127"/>
      <c r="S43" s="1127"/>
      <c r="T43" s="1127"/>
      <c r="U43" s="1127"/>
      <c r="V43" s="1127"/>
      <c r="W43" s="1127"/>
      <c r="X43" s="1127"/>
    </row>
    <row r="44" spans="1:36">
      <c r="A44" s="1248" t="s">
        <v>1425</v>
      </c>
      <c r="B44" s="1327"/>
      <c r="C44" s="1327"/>
      <c r="D44" s="1327"/>
      <c r="E44" s="1327"/>
      <c r="F44" s="1327"/>
      <c r="G44" s="1327"/>
      <c r="H44" s="1327"/>
      <c r="I44" s="1328"/>
      <c r="J44" s="1327"/>
      <c r="K44" s="1248" t="s">
        <v>1427</v>
      </c>
      <c r="L44" s="1327"/>
      <c r="M44" s="1327"/>
      <c r="N44" s="1327"/>
      <c r="O44" s="1327"/>
      <c r="P44" s="1327"/>
      <c r="Q44" s="1327"/>
      <c r="R44" s="1327"/>
      <c r="S44" s="1327"/>
      <c r="T44" s="1327"/>
      <c r="U44" s="1327"/>
      <c r="V44" s="1327"/>
      <c r="W44" s="1327"/>
      <c r="X44" s="1127"/>
    </row>
    <row r="54" spans="3:24">
      <c r="H54" s="576"/>
      <c r="I54" s="576"/>
      <c r="J54" s="576"/>
      <c r="K54" s="576"/>
      <c r="L54" s="576"/>
      <c r="M54" s="576"/>
      <c r="N54" s="576"/>
      <c r="O54" s="576"/>
      <c r="P54" s="576"/>
      <c r="Q54" s="576"/>
      <c r="R54" s="576"/>
      <c r="S54" s="576"/>
      <c r="T54" s="576"/>
      <c r="U54" s="576"/>
      <c r="V54" s="576"/>
      <c r="W54" s="576"/>
      <c r="X54" s="576"/>
    </row>
    <row r="55" spans="3:24" ht="16.5" thickBot="1">
      <c r="J55" s="541" t="s">
        <v>1403</v>
      </c>
      <c r="K55" s="877"/>
      <c r="L55" s="877"/>
      <c r="M55" s="877"/>
      <c r="N55" s="877"/>
      <c r="O55" s="1174"/>
      <c r="P55" s="1174"/>
      <c r="Q55" s="1174"/>
      <c r="R55" s="1174"/>
      <c r="S55" s="1174"/>
      <c r="T55" s="1174"/>
      <c r="U55" s="1174"/>
      <c r="V55" s="1174"/>
      <c r="W55" s="1174"/>
      <c r="X55" s="1174"/>
    </row>
    <row r="56" spans="3:24">
      <c r="H56" s="1324"/>
      <c r="I56" s="1324"/>
      <c r="J56" s="2036" t="s">
        <v>575</v>
      </c>
      <c r="K56" s="1914"/>
      <c r="L56" s="2037"/>
      <c r="M56" s="2038" t="s">
        <v>1428</v>
      </c>
      <c r="N56" s="1632"/>
      <c r="O56" s="1632"/>
      <c r="R56" s="15"/>
      <c r="T56" s="15"/>
      <c r="U56" s="15"/>
    </row>
    <row r="57" spans="3:24" ht="16.5" thickBot="1">
      <c r="H57" s="1325"/>
      <c r="I57" s="1325"/>
      <c r="J57" s="2036" t="s">
        <v>925</v>
      </c>
      <c r="K57" s="1914"/>
      <c r="L57" s="2037"/>
      <c r="M57" s="2039">
        <f>'WS-TRX-UU'!L140</f>
        <v>13.239980711833137</v>
      </c>
      <c r="N57" s="2035"/>
      <c r="O57" s="2035"/>
    </row>
    <row r="58" spans="3:24" ht="16.5" thickBot="1">
      <c r="H58" s="1325"/>
      <c r="I58" s="1325"/>
      <c r="J58" s="2036" t="s">
        <v>926</v>
      </c>
      <c r="K58" s="1914"/>
      <c r="L58" s="2037"/>
      <c r="M58" s="2039">
        <f>'WS-TRX-UU'!L139</f>
        <v>10.294585642172942</v>
      </c>
      <c r="N58" s="2035"/>
      <c r="O58" s="2035"/>
    </row>
    <row r="59" spans="3:24">
      <c r="T59" s="20" t="s">
        <v>1537</v>
      </c>
    </row>
    <row r="60" spans="3:24">
      <c r="C60" s="1768" t="s">
        <v>623</v>
      </c>
      <c r="D60" s="1769"/>
      <c r="E60" s="1769"/>
      <c r="F60" s="1769"/>
      <c r="G60" s="1770"/>
      <c r="H60" s="1768" t="s">
        <v>292</v>
      </c>
      <c r="I60" s="1769"/>
      <c r="J60" s="1769"/>
      <c r="K60" s="1769"/>
      <c r="L60" s="1769"/>
      <c r="M60" s="1768" t="s">
        <v>294</v>
      </c>
      <c r="N60" s="1769"/>
      <c r="O60" s="1769"/>
      <c r="P60" s="1769"/>
      <c r="Q60" s="1769"/>
      <c r="R60" s="1770"/>
      <c r="T60" s="328"/>
      <c r="U60" s="329"/>
      <c r="V60" s="329"/>
      <c r="W60" s="330"/>
    </row>
    <row r="61" spans="3:24" ht="15.95" customHeight="1">
      <c r="C61" s="1771" t="s">
        <v>624</v>
      </c>
      <c r="D61" s="1646"/>
      <c r="E61" s="1646"/>
      <c r="F61" s="1646"/>
      <c r="G61" s="1772"/>
      <c r="H61" s="1773" t="s">
        <v>293</v>
      </c>
      <c r="I61" s="1652"/>
      <c r="J61" s="1652"/>
      <c r="K61" s="1652"/>
      <c r="L61" s="1652"/>
      <c r="M61" s="1773" t="s">
        <v>295</v>
      </c>
      <c r="N61" s="1652"/>
      <c r="O61" s="1652"/>
      <c r="P61" s="1652"/>
      <c r="Q61" s="1652"/>
      <c r="R61" s="1774"/>
      <c r="T61" s="357"/>
      <c r="W61" s="331"/>
    </row>
    <row r="62" spans="3:24" ht="15.95" customHeight="1">
      <c r="C62" s="357"/>
      <c r="D62" s="359"/>
      <c r="E62" s="359"/>
      <c r="F62" s="359"/>
      <c r="G62" s="360"/>
      <c r="H62" s="357"/>
      <c r="I62"/>
      <c r="K62" s="4"/>
      <c r="M62" s="357"/>
      <c r="R62" s="331"/>
      <c r="T62" s="357"/>
      <c r="W62" s="331"/>
    </row>
    <row r="63" spans="3:24">
      <c r="C63" s="357"/>
      <c r="G63" s="331"/>
      <c r="H63" s="357"/>
      <c r="I63"/>
      <c r="K63" s="4"/>
      <c r="M63" s="357"/>
      <c r="R63" s="331"/>
      <c r="T63" s="357"/>
      <c r="W63" s="331"/>
    </row>
    <row r="64" spans="3:24">
      <c r="C64" s="357"/>
      <c r="G64" s="331"/>
      <c r="H64" s="357"/>
      <c r="I64"/>
      <c r="K64" s="4"/>
      <c r="M64" s="357"/>
      <c r="R64" s="331"/>
      <c r="T64" s="357"/>
      <c r="W64" s="331"/>
    </row>
    <row r="65" spans="1:24">
      <c r="C65" s="1777" t="str">
        <f>'WS-TRX-UU'!O9</f>
        <v>RAFLY</v>
      </c>
      <c r="D65" s="1632"/>
      <c r="E65" s="1632"/>
      <c r="F65" s="1632"/>
      <c r="G65" s="1778"/>
      <c r="H65" s="1777" t="str">
        <f>IF(C65='WS-TRX-UU'!O10," - ",'WS-TRX-UU'!O10)</f>
        <v>NOUFAL</v>
      </c>
      <c r="I65" s="1632"/>
      <c r="J65" s="1632"/>
      <c r="K65" s="1632"/>
      <c r="L65" s="1632"/>
      <c r="M65" s="1777" t="str">
        <f>'WS-TRX-UU'!O11</f>
        <v>A.SUMARTADJI</v>
      </c>
      <c r="N65" s="1632"/>
      <c r="O65" s="1632"/>
      <c r="P65" s="1632"/>
      <c r="Q65" s="1632"/>
      <c r="R65" s="1778"/>
      <c r="T65" s="357"/>
      <c r="W65" s="331"/>
    </row>
    <row r="66" spans="1:24" s="15" customFormat="1" ht="12">
      <c r="C66" s="1779" t="s">
        <v>299</v>
      </c>
      <c r="D66" s="1685"/>
      <c r="E66" s="1685"/>
      <c r="F66" s="1685"/>
      <c r="G66" s="1780"/>
      <c r="H66" s="1779" t="s">
        <v>305</v>
      </c>
      <c r="I66" s="1685"/>
      <c r="J66" s="1685"/>
      <c r="K66" s="1685"/>
      <c r="L66" s="1685"/>
      <c r="M66" s="1779" t="s">
        <v>298</v>
      </c>
      <c r="N66" s="1685"/>
      <c r="O66" s="1685"/>
      <c r="P66" s="1685"/>
      <c r="Q66" s="1685"/>
      <c r="R66" s="1780"/>
      <c r="S66" s="364"/>
      <c r="T66" s="366"/>
      <c r="U66" s="364"/>
      <c r="V66" s="364"/>
      <c r="W66" s="365"/>
      <c r="X66" s="364"/>
    </row>
    <row r="67" spans="1:24" ht="15.95" customHeight="1">
      <c r="C67" s="1781" t="s">
        <v>291</v>
      </c>
      <c r="D67" s="1782"/>
      <c r="E67" s="2025" t="str">
        <f>IF($N$7="","",$N$7-1)</f>
        <v/>
      </c>
      <c r="F67" s="2025"/>
      <c r="G67" s="2026"/>
      <c r="H67" s="1783" t="s">
        <v>291</v>
      </c>
      <c r="I67" s="1784"/>
      <c r="J67" s="1775" t="str">
        <f>IF($N$7="","",$N$7-1)</f>
        <v/>
      </c>
      <c r="K67" s="1775"/>
      <c r="L67" s="1776"/>
      <c r="M67" s="1783" t="s">
        <v>291</v>
      </c>
      <c r="N67" s="1784"/>
      <c r="O67" s="1784"/>
      <c r="P67" s="1775" t="str">
        <f>IF($N$7="","",$N$7-1)</f>
        <v/>
      </c>
      <c r="Q67" s="1775"/>
      <c r="R67" s="1776"/>
      <c r="T67" s="332"/>
      <c r="U67" s="333"/>
      <c r="V67" s="333"/>
      <c r="W67" s="334"/>
    </row>
    <row r="68" spans="1:24" ht="8.1" customHeight="1">
      <c r="B68" s="353"/>
      <c r="C68" s="353"/>
      <c r="D68" s="353"/>
      <c r="E68" s="353"/>
      <c r="F68" s="353"/>
      <c r="G68" s="353"/>
      <c r="J68" s="353"/>
      <c r="K68" s="353"/>
      <c r="L68" s="353"/>
      <c r="M68" s="353"/>
      <c r="N68" s="353"/>
      <c r="O68" s="353"/>
      <c r="P68" s="19"/>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912" t="str">
        <f>'DATA INDUK'!$BT$37</f>
        <v>23-MINEARTH-RM-LHU-TRX-UU-R0</v>
      </c>
    </row>
    <row r="75" spans="1:24">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c r="A78" s="353"/>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2"</f>
        <v>:  2 dari 2</v>
      </c>
      <c r="X85" s="1635"/>
    </row>
    <row r="86" spans="1:24" ht="8.1" customHeight="1"/>
    <row r="87" spans="1:24">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138" spans="1:24">
      <c r="H138" s="686"/>
      <c r="I138" s="687"/>
      <c r="J138" s="686"/>
      <c r="K138" s="686"/>
      <c r="L138" s="686"/>
      <c r="M138" s="686"/>
      <c r="N138" s="686"/>
      <c r="O138" s="686"/>
      <c r="P138" s="686"/>
      <c r="Q138" s="686"/>
      <c r="R138" s="686"/>
      <c r="S138" s="686"/>
      <c r="U138" s="20" t="s">
        <v>1537</v>
      </c>
      <c r="V138" s="686"/>
      <c r="W138" s="686"/>
      <c r="X138" s="686"/>
    </row>
    <row r="139" spans="1:24">
      <c r="A139" s="700" t="s">
        <v>297</v>
      </c>
      <c r="B139" s="338"/>
      <c r="C139" s="338"/>
      <c r="D139" s="4"/>
      <c r="E139" s="4"/>
      <c r="F139" s="4"/>
      <c r="G139" s="690"/>
      <c r="H139" s="1798" t="s">
        <v>623</v>
      </c>
      <c r="I139" s="1798"/>
      <c r="J139" s="1798"/>
      <c r="K139" s="1799"/>
      <c r="L139" s="1800" t="s">
        <v>292</v>
      </c>
      <c r="M139" s="1800"/>
      <c r="N139" s="1800"/>
      <c r="O139" s="1801"/>
      <c r="P139" s="1802" t="s">
        <v>294</v>
      </c>
      <c r="Q139" s="1798"/>
      <c r="R139" s="1798"/>
      <c r="S139" s="1799"/>
      <c r="U139" s="698"/>
      <c r="V139" s="688"/>
      <c r="W139" s="688"/>
      <c r="X139" s="694"/>
    </row>
    <row r="140" spans="1:24" ht="15.95" customHeight="1">
      <c r="G140" s="691"/>
      <c r="H140" s="1675" t="s">
        <v>624</v>
      </c>
      <c r="I140" s="1675"/>
      <c r="J140" s="1675"/>
      <c r="K140" s="1785"/>
      <c r="L140" s="1675" t="s">
        <v>293</v>
      </c>
      <c r="M140" s="1675"/>
      <c r="N140" s="1675"/>
      <c r="O140" s="1785"/>
      <c r="P140" s="1794" t="s">
        <v>295</v>
      </c>
      <c r="Q140" s="1675"/>
      <c r="R140" s="1675"/>
      <c r="S140" s="1785"/>
      <c r="U140" s="697"/>
      <c r="X140" s="691"/>
    </row>
    <row r="141" spans="1:24">
      <c r="G141" s="691"/>
      <c r="I141" s="911"/>
      <c r="J141" s="911"/>
      <c r="K141" s="1121"/>
      <c r="O141" s="690"/>
      <c r="P141" s="697"/>
      <c r="S141" s="691"/>
      <c r="U141" s="697"/>
      <c r="X141" s="691"/>
    </row>
    <row r="142" spans="1:24">
      <c r="G142" s="691"/>
      <c r="H142" s="911"/>
      <c r="I142" s="911"/>
      <c r="J142" s="911"/>
      <c r="K142" s="1121"/>
      <c r="O142" s="690"/>
      <c r="P142" s="697"/>
      <c r="S142" s="691"/>
      <c r="U142" s="697"/>
      <c r="X142" s="691"/>
    </row>
    <row r="143" spans="1:24">
      <c r="G143" s="691"/>
      <c r="H143" s="911"/>
      <c r="I143" s="911"/>
      <c r="J143" s="911"/>
      <c r="K143" s="1121"/>
      <c r="O143" s="690"/>
      <c r="P143" s="697"/>
      <c r="S143" s="691"/>
      <c r="U143" s="697"/>
      <c r="X143" s="691"/>
    </row>
    <row r="144" spans="1:24">
      <c r="G144" s="691"/>
      <c r="H144" s="1797" t="str">
        <f>C65</f>
        <v>RAFLY</v>
      </c>
      <c r="I144" s="1665"/>
      <c r="J144" s="1665"/>
      <c r="K144" s="1796"/>
      <c r="L144" s="1665" t="str">
        <f>H65</f>
        <v>NOUFAL</v>
      </c>
      <c r="M144" s="1665"/>
      <c r="N144" s="1665"/>
      <c r="O144" s="1796"/>
      <c r="P144" s="1797" t="str">
        <f>M65</f>
        <v>A.SUMARTADJI</v>
      </c>
      <c r="Q144" s="1665"/>
      <c r="R144" s="1665"/>
      <c r="S144" s="1796"/>
      <c r="U144" s="697"/>
      <c r="X144" s="691"/>
    </row>
    <row r="145" spans="1:27">
      <c r="G145" s="691"/>
      <c r="H145" s="1668" t="str">
        <f>C66</f>
        <v>Teknisi/Analis</v>
      </c>
      <c r="I145" s="1668"/>
      <c r="J145" s="1668"/>
      <c r="K145" s="1755"/>
      <c r="L145" s="1668" t="str">
        <f>H66</f>
        <v>Koordinator Teknis</v>
      </c>
      <c r="M145" s="1668"/>
      <c r="N145" s="1668"/>
      <c r="O145" s="1755"/>
      <c r="P145" s="1754" t="str">
        <f>M66</f>
        <v>Kepala Laboratorium</v>
      </c>
      <c r="Q145" s="1668"/>
      <c r="R145" s="1668"/>
      <c r="S145" s="1755"/>
      <c r="U145" s="699"/>
      <c r="V145" s="358"/>
      <c r="W145" s="358"/>
      <c r="X145" s="695"/>
      <c r="Y145" s="358"/>
      <c r="Z145" s="358"/>
      <c r="AA145" s="358"/>
    </row>
    <row r="146" spans="1:27" ht="15.95" customHeight="1">
      <c r="G146" s="691"/>
      <c r="H146" s="1803" t="s">
        <v>291</v>
      </c>
      <c r="I146" s="1803"/>
      <c r="J146" s="1804" t="str">
        <f>E67</f>
        <v/>
      </c>
      <c r="K146" s="1805"/>
      <c r="L146" s="1806" t="s">
        <v>300</v>
      </c>
      <c r="M146" s="1806"/>
      <c r="N146" s="1807" t="str">
        <f>J67</f>
        <v/>
      </c>
      <c r="O146" s="1808"/>
      <c r="P146" s="1809" t="s">
        <v>301</v>
      </c>
      <c r="Q146" s="1810"/>
      <c r="R146" s="1792" t="str">
        <f>P67</f>
        <v/>
      </c>
      <c r="S146" s="1793"/>
      <c r="U146" s="692"/>
      <c r="V146" s="693"/>
      <c r="W146" s="693"/>
      <c r="X146" s="696"/>
    </row>
    <row r="147" spans="1:27" ht="8.1" customHeight="1">
      <c r="H147" s="688"/>
      <c r="I147" s="689"/>
      <c r="J147" s="688"/>
      <c r="K147" s="688"/>
      <c r="L147" s="688"/>
      <c r="M147" s="688"/>
      <c r="N147" s="688"/>
      <c r="O147" s="688"/>
      <c r="P147" s="688"/>
      <c r="Q147" s="688"/>
      <c r="R147" s="688"/>
      <c r="S147" s="688"/>
    </row>
    <row r="148" spans="1:27" ht="18" customHeight="1">
      <c r="B148" s="356"/>
      <c r="C148" s="356"/>
      <c r="D148" s="356"/>
      <c r="E148" s="356"/>
      <c r="T148" s="860" t="str">
        <f>$T$74</f>
        <v>23-MINEARTH-RM-LHU-TRX-UU-R0</v>
      </c>
      <c r="U148" s="367"/>
      <c r="V148" s="367"/>
      <c r="W148" s="367"/>
      <c r="X148" s="367"/>
    </row>
    <row r="149" spans="1:27" ht="18" customHeight="1">
      <c r="A149" s="362"/>
      <c r="B149" s="362"/>
      <c r="C149" s="362"/>
      <c r="D149" s="362"/>
      <c r="E149" s="362"/>
    </row>
    <row r="150" spans="1:27" ht="8.1" customHeight="1"/>
  </sheetData>
  <mergeCells count="112">
    <mergeCell ref="N17:R17"/>
    <mergeCell ref="S17:X17"/>
    <mergeCell ref="N18:R19"/>
    <mergeCell ref="S18:X19"/>
    <mergeCell ref="N20:R21"/>
    <mergeCell ref="S20:X21"/>
    <mergeCell ref="N22:R23"/>
    <mergeCell ref="S22:X23"/>
    <mergeCell ref="H146:I146"/>
    <mergeCell ref="J146:K146"/>
    <mergeCell ref="L146:M146"/>
    <mergeCell ref="N146:O146"/>
    <mergeCell ref="P146:Q146"/>
    <mergeCell ref="R146:S146"/>
    <mergeCell ref="H140:K140"/>
    <mergeCell ref="L140:O140"/>
    <mergeCell ref="P140:S140"/>
    <mergeCell ref="L144:O144"/>
    <mergeCell ref="P144:S144"/>
    <mergeCell ref="H30:I30"/>
    <mergeCell ref="F79:T79"/>
    <mergeCell ref="F80:T80"/>
    <mergeCell ref="F81:T81"/>
    <mergeCell ref="C61:G61"/>
    <mergeCell ref="J58:L58"/>
    <mergeCell ref="M57:O57"/>
    <mergeCell ref="M58:O58"/>
    <mergeCell ref="N37:R38"/>
    <mergeCell ref="A85:D85"/>
    <mergeCell ref="M85:Q85"/>
    <mergeCell ref="T85:V85"/>
    <mergeCell ref="H145:K145"/>
    <mergeCell ref="L145:O145"/>
    <mergeCell ref="P145:S145"/>
    <mergeCell ref="H139:K139"/>
    <mergeCell ref="L139:O139"/>
    <mergeCell ref="P139:S139"/>
    <mergeCell ref="A87:X87"/>
    <mergeCell ref="W85:X85"/>
    <mergeCell ref="H144:K144"/>
    <mergeCell ref="A26:T26"/>
    <mergeCell ref="U26:U27"/>
    <mergeCell ref="V26:X27"/>
    <mergeCell ref="A27:T27"/>
    <mergeCell ref="F1:T1"/>
    <mergeCell ref="F2:T2"/>
    <mergeCell ref="F3:T3"/>
    <mergeCell ref="A9:L9"/>
    <mergeCell ref="A12:L12"/>
    <mergeCell ref="N12:X12"/>
    <mergeCell ref="A17:L17"/>
    <mergeCell ref="A6:D6"/>
    <mergeCell ref="A7:D7"/>
    <mergeCell ref="M7:Q7"/>
    <mergeCell ref="T7:V7"/>
    <mergeCell ref="W7:X7"/>
    <mergeCell ref="A13:D13"/>
    <mergeCell ref="E13:L13"/>
    <mergeCell ref="N13:R13"/>
    <mergeCell ref="S13:X13"/>
    <mergeCell ref="N14:R14"/>
    <mergeCell ref="S14:X14"/>
    <mergeCell ref="N15:R16"/>
    <mergeCell ref="S15:X16"/>
    <mergeCell ref="S35:T36"/>
    <mergeCell ref="S37:T38"/>
    <mergeCell ref="S39:T40"/>
    <mergeCell ref="A69:C73"/>
    <mergeCell ref="P67:R67"/>
    <mergeCell ref="C65:G65"/>
    <mergeCell ref="H65:L65"/>
    <mergeCell ref="M65:R65"/>
    <mergeCell ref="C66:G66"/>
    <mergeCell ref="H66:L66"/>
    <mergeCell ref="M66:R66"/>
    <mergeCell ref="C67:D67"/>
    <mergeCell ref="E67:G67"/>
    <mergeCell ref="H67:I67"/>
    <mergeCell ref="J67:L67"/>
    <mergeCell ref="M67:O67"/>
    <mergeCell ref="C60:G60"/>
    <mergeCell ref="H60:L60"/>
    <mergeCell ref="M60:R60"/>
    <mergeCell ref="H61:L61"/>
    <mergeCell ref="M61:R61"/>
    <mergeCell ref="J56:L56"/>
    <mergeCell ref="M56:O56"/>
    <mergeCell ref="J57:L57"/>
    <mergeCell ref="A14:D14"/>
    <mergeCell ref="E14:L14"/>
    <mergeCell ref="A19:D20"/>
    <mergeCell ref="E19:L20"/>
    <mergeCell ref="A21:D22"/>
    <mergeCell ref="E21:L22"/>
    <mergeCell ref="A84:D84"/>
    <mergeCell ref="W31:X32"/>
    <mergeCell ref="U33:V34"/>
    <mergeCell ref="W33:X34"/>
    <mergeCell ref="U35:V36"/>
    <mergeCell ref="W35:X36"/>
    <mergeCell ref="U37:V38"/>
    <mergeCell ref="W37:X38"/>
    <mergeCell ref="U39:V40"/>
    <mergeCell ref="W39:X40"/>
    <mergeCell ref="A30:G30"/>
    <mergeCell ref="N31:R32"/>
    <mergeCell ref="N33:R34"/>
    <mergeCell ref="N35:R36"/>
    <mergeCell ref="N39:R40"/>
    <mergeCell ref="S31:T32"/>
    <mergeCell ref="U31:V32"/>
    <mergeCell ref="S33:T34"/>
  </mergeCells>
  <pageMargins left="0.72" right="0.47" top="0.59" bottom="0.51" header="0.28000000000000003" footer="0.28000000000000003"/>
  <pageSetup paperSize="9" scale="68" orientation="portrait" r:id="rId1"/>
  <rowBreaks count="1" manualBreakCount="1">
    <brk id="77" max="23" man="1"/>
  </rowBreaks>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50E9-7AF6-6A49-B33C-7E23623E4CFD}">
  <dimension ref="A1:BC445"/>
  <sheetViews>
    <sheetView topLeftCell="E359" zoomScale="68" zoomScaleNormal="68" workbookViewId="0">
      <selection activeCell="M344" sqref="M344"/>
    </sheetView>
  </sheetViews>
  <sheetFormatPr defaultColWidth="11" defaultRowHeight="15.75"/>
  <cols>
    <col min="3" max="3" width="14.625" bestFit="1" customWidth="1"/>
    <col min="4" max="4" width="11.375" bestFit="1" customWidth="1"/>
    <col min="14" max="14" width="13.625" bestFit="1" customWidth="1"/>
    <col min="17" max="17" width="11.625" bestFit="1" customWidth="1"/>
    <col min="26" max="26" width="13.625" bestFit="1" customWidth="1"/>
  </cols>
  <sheetData>
    <row r="1" spans="1:21" ht="18">
      <c r="A1" s="708" t="s">
        <v>701</v>
      </c>
      <c r="B1" s="708"/>
      <c r="C1" s="708"/>
      <c r="D1" s="708"/>
      <c r="E1" s="708"/>
      <c r="F1" s="708"/>
      <c r="G1" s="708"/>
      <c r="H1" s="708"/>
      <c r="I1" s="708"/>
      <c r="J1" s="708"/>
      <c r="K1" s="708"/>
      <c r="L1" s="708"/>
      <c r="M1" s="708"/>
      <c r="N1" s="708"/>
      <c r="O1" s="708"/>
      <c r="P1" s="708"/>
      <c r="Q1" s="708"/>
      <c r="R1" s="708"/>
      <c r="S1" s="708"/>
      <c r="T1" s="708"/>
    </row>
    <row r="2" spans="1:21" ht="23.25">
      <c r="A2" s="663" t="s">
        <v>806</v>
      </c>
      <c r="B2" s="663"/>
      <c r="C2" s="663"/>
      <c r="D2" s="663"/>
      <c r="E2" s="663"/>
      <c r="F2" s="663"/>
      <c r="G2" s="663"/>
      <c r="H2" s="663"/>
      <c r="I2" s="663"/>
      <c r="J2" s="663"/>
      <c r="K2" s="663"/>
      <c r="L2" s="663"/>
      <c r="M2" s="663"/>
      <c r="N2" s="663"/>
      <c r="O2" s="663"/>
      <c r="P2" s="663"/>
      <c r="Q2" s="663"/>
      <c r="R2" s="663"/>
      <c r="S2" s="663"/>
      <c r="T2" s="663"/>
    </row>
    <row r="3" spans="1:21" ht="23.25">
      <c r="A3" s="664" t="s">
        <v>807</v>
      </c>
      <c r="B3" s="662"/>
      <c r="C3" s="662"/>
      <c r="D3" s="662"/>
      <c r="E3" s="662"/>
      <c r="F3" s="662"/>
      <c r="G3" s="662"/>
      <c r="H3" s="662"/>
      <c r="I3" s="662"/>
      <c r="J3" s="662"/>
      <c r="K3" s="662"/>
      <c r="L3" s="662"/>
      <c r="M3" s="662"/>
      <c r="N3" s="662"/>
      <c r="O3" s="662"/>
      <c r="P3" s="662"/>
      <c r="Q3" s="662"/>
      <c r="R3" s="662"/>
      <c r="S3" s="662"/>
      <c r="T3" s="662"/>
    </row>
    <row r="4" spans="1:21">
      <c r="A4" s="709"/>
      <c r="B4" s="709"/>
      <c r="C4" s="709"/>
      <c r="D4" s="709"/>
      <c r="E4" s="709"/>
      <c r="F4" s="709"/>
      <c r="G4" s="709"/>
      <c r="H4" s="709"/>
      <c r="I4" s="709"/>
      <c r="J4" s="709"/>
      <c r="K4" s="709"/>
      <c r="L4" s="709"/>
      <c r="M4" s="709"/>
      <c r="N4" s="709"/>
      <c r="O4" s="709"/>
      <c r="P4" s="709"/>
      <c r="Q4" s="709"/>
      <c r="R4" s="709"/>
      <c r="S4" s="709"/>
      <c r="T4" s="709"/>
    </row>
    <row r="5" spans="1:21">
      <c r="A5" s="335" t="s">
        <v>837</v>
      </c>
      <c r="B5" s="335"/>
      <c r="C5" s="335"/>
      <c r="D5" s="335"/>
      <c r="E5" s="335"/>
      <c r="F5" s="335"/>
      <c r="G5" s="335"/>
      <c r="H5" s="335"/>
      <c r="I5" s="335"/>
      <c r="J5" s="335"/>
      <c r="K5" s="335"/>
      <c r="L5" s="335"/>
      <c r="M5" s="335"/>
      <c r="N5" s="335"/>
      <c r="O5" s="335"/>
      <c r="P5" s="335"/>
      <c r="Q5" s="335"/>
      <c r="R5" s="335"/>
      <c r="S5" s="335"/>
      <c r="T5" s="335"/>
    </row>
    <row r="6" spans="1:21">
      <c r="A6" s="335"/>
      <c r="B6" s="335"/>
      <c r="C6" s="335"/>
      <c r="D6" s="335"/>
      <c r="E6" s="335"/>
      <c r="F6" s="335"/>
      <c r="G6" s="335"/>
      <c r="H6" s="335"/>
      <c r="I6" s="335"/>
      <c r="J6" s="335"/>
      <c r="K6" s="335"/>
      <c r="L6" s="335"/>
      <c r="M6" s="335"/>
      <c r="N6" s="335"/>
      <c r="O6" s="335"/>
      <c r="P6" s="335"/>
      <c r="Q6" s="335"/>
      <c r="R6" s="335"/>
      <c r="S6" s="335"/>
      <c r="T6" s="335"/>
    </row>
    <row r="7" spans="1:21">
      <c r="A7" s="1" t="s">
        <v>775</v>
      </c>
      <c r="B7" s="1"/>
      <c r="C7" s="1"/>
      <c r="D7" s="539" t="str">
        <f>IFERROR(INDEX('DATA INDUK'!$H$27:$H$152,MATCH(ROW(D1),'DATA INDUK'!$BE$27:$BE$152,0)),"")</f>
        <v>26-001-DS-001</v>
      </c>
      <c r="E7" s="13"/>
      <c r="F7" s="13"/>
      <c r="G7" s="13"/>
      <c r="H7" s="15"/>
      <c r="I7" s="15"/>
      <c r="J7" s="15"/>
      <c r="K7" s="15"/>
      <c r="L7" s="15"/>
      <c r="M7" s="15"/>
      <c r="N7" s="15"/>
      <c r="O7" s="15"/>
      <c r="P7" s="15"/>
      <c r="Q7" s="15"/>
      <c r="R7" s="15"/>
      <c r="S7" s="15"/>
      <c r="T7" s="335"/>
    </row>
    <row r="8" spans="1:21">
      <c r="A8" s="13"/>
      <c r="B8" s="13"/>
      <c r="C8" s="13"/>
      <c r="D8" s="540"/>
      <c r="E8" s="15"/>
      <c r="F8" s="15"/>
      <c r="G8" s="15"/>
      <c r="H8" s="15"/>
      <c r="I8" s="15"/>
      <c r="J8" s="15"/>
      <c r="K8" s="15"/>
      <c r="L8" s="15"/>
      <c r="M8" s="15"/>
      <c r="N8" s="15"/>
      <c r="O8" s="15"/>
      <c r="P8" s="15"/>
      <c r="Q8" s="15"/>
      <c r="R8" s="15"/>
      <c r="S8" s="15"/>
      <c r="T8" s="15"/>
      <c r="U8" s="335"/>
    </row>
    <row r="9" spans="1:21">
      <c r="A9" s="1" t="s">
        <v>776</v>
      </c>
      <c r="B9" s="1"/>
      <c r="C9" s="1"/>
      <c r="D9" s="13" t="str">
        <f>IFERROR(INDEX('DATA INDUK'!$C$27:$C$152,MATCH(ROW(D1),'DATA INDUK'!$BE$27:$BE$152,0)),"")</f>
        <v>BH-04R1-SPT 15</v>
      </c>
      <c r="E9" s="15"/>
      <c r="F9" s="15"/>
      <c r="G9" s="15"/>
      <c r="H9" s="15"/>
      <c r="I9" s="15"/>
      <c r="J9" s="15"/>
      <c r="K9" s="15"/>
      <c r="L9" s="1" t="s">
        <v>703</v>
      </c>
      <c r="M9" s="1"/>
      <c r="N9" s="1"/>
      <c r="O9" s="15" t="str">
        <f>IF($D$7="","",P9)</f>
        <v>RIZKI</v>
      </c>
      <c r="P9" s="588" t="s">
        <v>1055</v>
      </c>
      <c r="Q9" s="15"/>
      <c r="R9" s="15"/>
      <c r="S9" s="15"/>
      <c r="T9" s="15" t="str">
        <f>"TTD_"&amp;O9&amp;""</f>
        <v>TTD_RIZKI</v>
      </c>
      <c r="U9" s="335"/>
    </row>
    <row r="10" spans="1:21" ht="36" customHeight="1">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c r="U10" s="335"/>
    </row>
    <row r="11" spans="1:21">
      <c r="A11" s="1" t="s">
        <v>778</v>
      </c>
      <c r="B11" s="1"/>
      <c r="C11" s="1"/>
      <c r="D11" s="13" t="str">
        <f>IFERROR(INDEX('DATA INDUK'!$D$27:$D$152,MATCH(ROW(D1),'DATA INDUK'!$BE$27:$BE$152,0)),"")</f>
        <v>Disturbed Sample</v>
      </c>
      <c r="E11" s="15"/>
      <c r="F11" s="1520" t="s">
        <v>1659</v>
      </c>
      <c r="G11" s="15"/>
      <c r="H11" s="15"/>
      <c r="I11" s="15"/>
      <c r="J11" s="15"/>
      <c r="K11" s="15"/>
      <c r="L11" s="13" t="s">
        <v>716</v>
      </c>
      <c r="M11" s="15"/>
      <c r="N11" s="15"/>
      <c r="O11" s="15" t="str">
        <f t="shared" si="0"/>
        <v>A.SUMARTADJI</v>
      </c>
      <c r="P11" s="588" t="s">
        <v>766</v>
      </c>
      <c r="Q11" s="15"/>
      <c r="R11" s="15"/>
      <c r="S11" s="15"/>
      <c r="T11" s="15" t="str">
        <f>"TTD_"&amp;O11&amp;""</f>
        <v>TTD_A.SUMARTADJI</v>
      </c>
      <c r="U11" s="335"/>
    </row>
    <row r="12" spans="1:21">
      <c r="A12" s="1" t="s">
        <v>779</v>
      </c>
      <c r="B12" s="1"/>
      <c r="C12" s="1"/>
      <c r="D12" s="1573" t="s">
        <v>1510</v>
      </c>
      <c r="E12" s="15"/>
      <c r="F12" s="1520" t="str">
        <f>IFERROR(INDEX($AY$44:$AY$55,
MATCH(D12,$BB$44:$BB$55,0)),
"CHECK DESKRIPSI")</f>
        <v>CL</v>
      </c>
      <c r="G12" s="15"/>
      <c r="H12" s="15"/>
      <c r="I12" s="15"/>
      <c r="J12" s="15"/>
      <c r="K12" s="15"/>
      <c r="L12" s="1" t="s">
        <v>705</v>
      </c>
      <c r="M12" s="1"/>
      <c r="N12" s="1"/>
      <c r="O12" s="715"/>
      <c r="P12" s="15"/>
      <c r="Q12" s="15"/>
      <c r="R12" s="15"/>
      <c r="S12" s="15"/>
      <c r="T12" s="335"/>
    </row>
    <row r="13" spans="1:21">
      <c r="A13" s="1" t="s">
        <v>780</v>
      </c>
      <c r="B13" s="1"/>
      <c r="C13" s="1"/>
      <c r="D13" s="714"/>
      <c r="E13" s="15"/>
      <c r="F13" s="15"/>
      <c r="G13" s="15"/>
      <c r="H13" s="15"/>
      <c r="I13" s="15"/>
      <c r="J13" s="15"/>
      <c r="K13" s="15"/>
      <c r="L13" s="15"/>
      <c r="M13" s="15"/>
      <c r="N13" s="15"/>
      <c r="O13" s="15"/>
      <c r="P13" s="15"/>
      <c r="Q13" s="15"/>
      <c r="R13" s="15"/>
      <c r="S13" s="15"/>
      <c r="T13" s="335"/>
    </row>
    <row r="14" spans="1:21"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21">
      <c r="A15" s="539"/>
      <c r="B15" s="539"/>
      <c r="C15" s="539"/>
      <c r="D15" s="540"/>
      <c r="E15" s="540"/>
      <c r="F15" s="540"/>
      <c r="G15" s="540"/>
      <c r="H15" s="540"/>
      <c r="I15" s="540"/>
      <c r="J15" s="540"/>
      <c r="K15" s="540"/>
      <c r="L15" s="540"/>
      <c r="M15" s="540"/>
      <c r="N15" s="540"/>
      <c r="O15" s="540"/>
      <c r="P15" s="540"/>
      <c r="Q15" s="540"/>
      <c r="R15" s="540"/>
      <c r="S15" s="540"/>
      <c r="T15" s="531"/>
    </row>
    <row r="16" spans="1:21">
      <c r="A16" s="539"/>
      <c r="B16" s="539"/>
      <c r="C16" s="539"/>
      <c r="D16" s="540"/>
      <c r="E16" s="540"/>
      <c r="F16" s="540"/>
      <c r="G16" s="540"/>
      <c r="H16" s="540"/>
      <c r="I16" s="540"/>
      <c r="J16" s="540"/>
      <c r="K16" s="540"/>
      <c r="L16" s="540"/>
      <c r="M16" s="540"/>
      <c r="N16" s="540"/>
      <c r="O16" s="540"/>
      <c r="P16" s="540"/>
      <c r="Q16" s="540"/>
      <c r="R16" s="540"/>
      <c r="S16" s="540"/>
      <c r="T16" s="531"/>
    </row>
    <row r="17" spans="1:43">
      <c r="A17" s="539"/>
      <c r="B17" s="116" t="s">
        <v>575</v>
      </c>
      <c r="D17" s="116" t="s">
        <v>798</v>
      </c>
      <c r="E17" s="540"/>
      <c r="F17" s="540"/>
      <c r="G17" s="540"/>
      <c r="H17" s="540"/>
      <c r="I17" s="540"/>
      <c r="J17" s="540"/>
      <c r="K17" s="540"/>
      <c r="L17" s="540"/>
      <c r="M17" s="540"/>
      <c r="N17" s="540"/>
      <c r="O17" s="540"/>
      <c r="P17" s="540"/>
      <c r="Q17" s="540"/>
      <c r="R17" s="540"/>
      <c r="S17" s="540"/>
      <c r="T17" s="531"/>
    </row>
    <row r="18" spans="1:43">
      <c r="A18" s="539"/>
      <c r="B18" t="s">
        <v>799</v>
      </c>
      <c r="D18" t="s">
        <v>800</v>
      </c>
      <c r="E18" s="540"/>
      <c r="F18" s="540"/>
      <c r="G18" s="540" t="s">
        <v>828</v>
      </c>
      <c r="H18" s="540"/>
      <c r="I18" s="540"/>
      <c r="J18" s="540"/>
      <c r="K18" s="540"/>
      <c r="L18" s="540"/>
      <c r="M18" s="540"/>
      <c r="N18" s="540"/>
      <c r="O18" s="540"/>
      <c r="P18" s="540"/>
      <c r="Q18" s="540"/>
      <c r="R18" s="540"/>
      <c r="S18" s="540"/>
      <c r="T18" s="531"/>
    </row>
    <row r="19" spans="1:43">
      <c r="A19" s="539"/>
      <c r="B19" t="s">
        <v>801</v>
      </c>
      <c r="D19" t="str">
        <f>E19</f>
        <v>Yes</v>
      </c>
      <c r="E19" t="s">
        <v>828</v>
      </c>
      <c r="F19" s="540"/>
      <c r="G19" s="540" t="s">
        <v>1</v>
      </c>
      <c r="H19" s="540"/>
      <c r="I19" s="540"/>
      <c r="J19" s="540"/>
      <c r="K19" s="540"/>
      <c r="L19" s="540"/>
      <c r="M19" s="540"/>
      <c r="N19" s="540"/>
      <c r="O19" s="540"/>
      <c r="P19" s="540"/>
      <c r="Q19" s="540"/>
      <c r="R19" s="540"/>
      <c r="S19" s="540"/>
      <c r="T19" s="531"/>
    </row>
    <row r="20" spans="1:43">
      <c r="A20" s="539"/>
      <c r="B20" t="s">
        <v>802</v>
      </c>
      <c r="D20" t="str">
        <f>E20</f>
        <v>Yes</v>
      </c>
      <c r="E20" t="s">
        <v>828</v>
      </c>
      <c r="F20" s="540"/>
      <c r="G20" s="540"/>
      <c r="H20" s="540"/>
      <c r="I20" s="540"/>
      <c r="J20" s="540"/>
      <c r="K20" s="540"/>
      <c r="L20" s="540"/>
      <c r="M20" s="540"/>
      <c r="N20" s="540"/>
      <c r="O20" s="540"/>
      <c r="P20" s="540"/>
      <c r="Q20" s="540"/>
      <c r="R20" s="540"/>
      <c r="S20" s="540"/>
      <c r="T20" s="531"/>
    </row>
    <row r="21" spans="1:43">
      <c r="A21" s="539"/>
      <c r="B21" t="s">
        <v>803</v>
      </c>
      <c r="D21" t="str">
        <f>E21</f>
        <v>With Side drain</v>
      </c>
      <c r="E21" t="s">
        <v>817</v>
      </c>
      <c r="F21" s="540"/>
      <c r="G21" s="540" t="s">
        <v>817</v>
      </c>
      <c r="H21" s="540"/>
      <c r="I21" s="540"/>
      <c r="J21" s="540"/>
      <c r="K21" s="540"/>
      <c r="L21" s="540"/>
      <c r="M21" s="540"/>
      <c r="N21" s="540"/>
      <c r="O21" s="540"/>
      <c r="P21" s="540"/>
      <c r="Q21" s="540"/>
      <c r="R21" s="540"/>
      <c r="S21" s="540"/>
      <c r="T21" s="531"/>
    </row>
    <row r="22" spans="1:43">
      <c r="A22" s="539"/>
      <c r="B22" t="s">
        <v>804</v>
      </c>
      <c r="D22" t="s">
        <v>805</v>
      </c>
      <c r="E22" s="540"/>
      <c r="F22" s="540"/>
      <c r="G22" s="540" t="s">
        <v>829</v>
      </c>
      <c r="H22" s="540"/>
      <c r="I22" s="540"/>
      <c r="J22" s="540"/>
      <c r="K22" s="540"/>
      <c r="L22" s="540"/>
      <c r="M22" s="540"/>
      <c r="N22" s="540"/>
      <c r="O22" s="540"/>
      <c r="P22" s="540"/>
      <c r="Q22" s="540"/>
      <c r="R22" s="540"/>
      <c r="S22" s="540"/>
      <c r="T22" s="531"/>
    </row>
    <row r="23" spans="1:43">
      <c r="A23" s="539"/>
      <c r="B23" s="539"/>
      <c r="C23" s="539"/>
      <c r="D23" s="540"/>
      <c r="E23" s="540"/>
      <c r="F23" s="540"/>
      <c r="G23" s="540"/>
      <c r="H23" s="540"/>
      <c r="I23" s="540"/>
      <c r="J23" s="540"/>
      <c r="K23" s="540"/>
      <c r="L23" s="540"/>
      <c r="M23" s="540"/>
      <c r="N23" s="540"/>
      <c r="O23" s="540"/>
      <c r="P23" s="540"/>
      <c r="Q23" s="540"/>
      <c r="R23" s="540"/>
      <c r="S23" s="540"/>
      <c r="T23" s="531"/>
    </row>
    <row r="25" spans="1:43" s="1498" customFormat="1" ht="25.5" customHeight="1">
      <c r="A25" s="1499" t="s">
        <v>106</v>
      </c>
      <c r="B25" s="1500"/>
      <c r="C25" s="1500"/>
      <c r="D25" s="1500"/>
      <c r="E25" s="1500"/>
      <c r="F25" s="1500"/>
      <c r="G25" s="1500"/>
      <c r="H25" s="1500"/>
      <c r="I25" s="1500"/>
      <c r="J25" s="1500"/>
      <c r="K25" s="1500"/>
      <c r="L25" s="1500"/>
      <c r="M25" s="1500"/>
      <c r="N25" s="1500"/>
      <c r="O25" s="1500"/>
      <c r="P25" s="1500"/>
      <c r="Q25" s="1500"/>
      <c r="R25" s="1500"/>
      <c r="S25" s="1500"/>
      <c r="T25" s="1500"/>
      <c r="U25" s="1500"/>
      <c r="V25" s="1500"/>
      <c r="W25" s="1500"/>
      <c r="X25" s="1500"/>
      <c r="Y25" s="1500"/>
      <c r="Z25" s="1500"/>
      <c r="AA25" s="1500"/>
      <c r="AB25" s="1500"/>
      <c r="AC25" s="1500"/>
      <c r="AD25" s="1500"/>
      <c r="AE25" s="1500"/>
      <c r="AF25" s="1500"/>
      <c r="AG25" s="1500"/>
      <c r="AH25" s="1500"/>
      <c r="AI25" s="1500"/>
      <c r="AJ25" s="1500"/>
      <c r="AK25" s="1500"/>
      <c r="AL25" s="1500"/>
      <c r="AM25" s="1500"/>
      <c r="AN25" s="1500"/>
      <c r="AO25" s="1500"/>
      <c r="AP25" s="1500"/>
      <c r="AQ25" s="1500"/>
    </row>
    <row r="27" spans="1:43">
      <c r="B27" s="75" t="s">
        <v>124</v>
      </c>
      <c r="C27" s="75"/>
      <c r="E27" s="100" t="s">
        <v>118</v>
      </c>
      <c r="F27" s="21"/>
      <c r="G27" s="101" t="s">
        <v>120</v>
      </c>
      <c r="I27" s="2060" t="s">
        <v>1512</v>
      </c>
      <c r="J27" s="2061"/>
      <c r="K27" s="2061"/>
      <c r="L27" s="2062"/>
      <c r="P27" s="75"/>
      <c r="Q27" s="75"/>
      <c r="S27" s="21"/>
      <c r="T27" s="21"/>
      <c r="U27" s="21"/>
      <c r="W27" s="1361"/>
      <c r="X27" s="1361"/>
      <c r="Y27" s="1361"/>
      <c r="Z27" s="1361"/>
      <c r="AA27" s="1956"/>
      <c r="AB27" s="1956"/>
      <c r="AD27" s="75"/>
      <c r="AE27" s="75"/>
      <c r="AG27" s="21"/>
      <c r="AH27" s="21"/>
      <c r="AI27" s="21"/>
      <c r="AK27" s="1361"/>
      <c r="AL27" s="1361"/>
      <c r="AM27" s="1361"/>
      <c r="AN27" s="1361"/>
      <c r="AO27" s="1956"/>
      <c r="AP27" s="1956"/>
    </row>
    <row r="28" spans="1:43">
      <c r="B28" s="2041" t="s">
        <v>119</v>
      </c>
      <c r="C28" s="2041"/>
      <c r="D28" s="102">
        <v>76</v>
      </c>
      <c r="E28" s="21" t="s">
        <v>75</v>
      </c>
      <c r="F28">
        <f>D28/10</f>
        <v>7.6</v>
      </c>
      <c r="G28" s="21" t="s">
        <v>45</v>
      </c>
      <c r="I28" s="2063"/>
      <c r="J28" s="2064"/>
      <c r="K28" s="2064"/>
      <c r="L28" s="2065"/>
      <c r="N28" s="21"/>
      <c r="P28" s="4"/>
      <c r="Q28" s="4"/>
      <c r="S28" s="21"/>
      <c r="U28" s="21"/>
      <c r="W28" s="1361"/>
      <c r="X28" s="1361"/>
      <c r="Y28" s="1361"/>
      <c r="Z28" s="1361"/>
      <c r="AB28" s="21"/>
      <c r="AD28" s="4"/>
      <c r="AE28" s="4"/>
      <c r="AG28" s="21"/>
      <c r="AI28" s="21"/>
      <c r="AK28" s="1361"/>
      <c r="AL28" s="1361"/>
      <c r="AM28" s="1361"/>
      <c r="AN28" s="1361"/>
      <c r="AP28" s="21"/>
    </row>
    <row r="29" spans="1:43">
      <c r="B29" s="2041" t="s">
        <v>125</v>
      </c>
      <c r="C29" s="2041"/>
      <c r="D29" s="106">
        <v>38</v>
      </c>
      <c r="E29" s="103" t="s">
        <v>75</v>
      </c>
      <c r="F29">
        <f>D29/10</f>
        <v>3.8</v>
      </c>
      <c r="G29" s="21" t="s">
        <v>45</v>
      </c>
      <c r="I29" s="2042" t="s">
        <v>110</v>
      </c>
      <c r="J29" s="2043"/>
      <c r="K29" s="2044"/>
      <c r="L29" s="1385">
        <v>145</v>
      </c>
      <c r="N29" s="1362"/>
      <c r="P29" s="4"/>
      <c r="Q29" s="4"/>
      <c r="R29" s="99"/>
      <c r="S29" s="103"/>
      <c r="U29" s="21"/>
      <c r="W29" s="4"/>
      <c r="X29" s="4"/>
      <c r="Y29" s="4"/>
      <c r="AA29" s="1362"/>
      <c r="AB29" s="1362"/>
      <c r="AD29" s="4"/>
      <c r="AE29" s="4"/>
      <c r="AF29" s="99"/>
      <c r="AG29" s="103"/>
      <c r="AI29" s="21"/>
      <c r="AK29" s="4"/>
      <c r="AL29" s="4"/>
      <c r="AM29" s="4"/>
      <c r="AO29" s="1362"/>
      <c r="AP29" s="1362"/>
    </row>
    <row r="30" spans="1:43">
      <c r="B30" s="2041" t="s">
        <v>126</v>
      </c>
      <c r="C30" s="2041"/>
      <c r="D30" s="99">
        <f>(D29^2*3.14)/4</f>
        <v>1133.54</v>
      </c>
      <c r="E30" s="103" t="s">
        <v>107</v>
      </c>
      <c r="F30" s="104">
        <f>(F29^2*3.14)/4</f>
        <v>11.3354</v>
      </c>
      <c r="G30" s="105" t="s">
        <v>121</v>
      </c>
      <c r="I30" s="2042" t="s">
        <v>111</v>
      </c>
      <c r="J30" s="2043"/>
      <c r="K30" s="2044"/>
      <c r="L30" s="108">
        <v>149</v>
      </c>
      <c r="N30" s="1363"/>
      <c r="P30" s="4"/>
      <c r="Q30" s="4"/>
      <c r="R30" s="99"/>
      <c r="S30" s="103"/>
      <c r="T30" s="104"/>
      <c r="U30" s="105"/>
      <c r="W30" s="4"/>
      <c r="X30" s="4"/>
      <c r="Y30" s="4"/>
      <c r="Z30" s="96"/>
      <c r="AA30" s="1363"/>
      <c r="AB30" s="1363"/>
      <c r="AD30" s="4"/>
      <c r="AE30" s="4"/>
      <c r="AF30" s="99"/>
      <c r="AG30" s="103"/>
      <c r="AH30" s="104"/>
      <c r="AI30" s="105"/>
      <c r="AK30" s="4"/>
      <c r="AL30" s="4"/>
      <c r="AM30" s="4"/>
      <c r="AN30" s="96"/>
      <c r="AO30" s="1363"/>
      <c r="AP30" s="1363"/>
    </row>
    <row r="31" spans="1:43">
      <c r="B31" s="2041" t="s">
        <v>127</v>
      </c>
      <c r="C31" s="2041"/>
      <c r="D31" s="99">
        <f>D30*D28</f>
        <v>86149.04</v>
      </c>
      <c r="E31" s="103" t="s">
        <v>122</v>
      </c>
      <c r="F31" s="104">
        <f>F30*F28</f>
        <v>86.149039999999999</v>
      </c>
      <c r="G31" s="105" t="s">
        <v>104</v>
      </c>
      <c r="I31" s="2042" t="s">
        <v>113</v>
      </c>
      <c r="J31" s="2043"/>
      <c r="K31" s="2044"/>
      <c r="L31" s="107">
        <v>94.57</v>
      </c>
      <c r="N31" s="1363"/>
      <c r="P31" s="4"/>
      <c r="Q31" s="4"/>
      <c r="R31" s="99"/>
      <c r="S31" s="103"/>
      <c r="T31" s="104"/>
      <c r="U31" s="105"/>
      <c r="W31" s="4"/>
      <c r="X31" s="4"/>
      <c r="Y31" s="4"/>
      <c r="Z31" s="96"/>
      <c r="AA31" s="1365"/>
      <c r="AB31" s="1363"/>
      <c r="AD31" s="4"/>
      <c r="AE31" s="4"/>
      <c r="AF31" s="99"/>
      <c r="AG31" s="103"/>
      <c r="AH31" s="104"/>
      <c r="AI31" s="105"/>
      <c r="AK31" s="4"/>
      <c r="AL31" s="4"/>
      <c r="AM31" s="4"/>
      <c r="AN31" s="96"/>
      <c r="AO31" s="1365"/>
      <c r="AP31" s="1363"/>
    </row>
    <row r="32" spans="1:43">
      <c r="B32" s="2041" t="s">
        <v>73</v>
      </c>
      <c r="C32" s="2041"/>
      <c r="D32" s="42">
        <f>L33/F31</f>
        <v>1.7295607704972684</v>
      </c>
      <c r="E32" t="s">
        <v>123</v>
      </c>
      <c r="F32" s="42"/>
      <c r="I32" s="2042" t="s">
        <v>114</v>
      </c>
      <c r="J32" s="2043"/>
      <c r="K32" s="2044"/>
      <c r="L32" s="1386">
        <f>IFERROR(VLOOKUP(L29,$AT$42:$AU$184,2,0),0)</f>
        <v>0</v>
      </c>
      <c r="N32" s="1364"/>
      <c r="P32" s="4"/>
      <c r="Q32" s="4"/>
      <c r="R32" s="78"/>
      <c r="S32" s="78"/>
      <c r="T32" s="78"/>
      <c r="W32" s="4"/>
      <c r="X32" s="4"/>
      <c r="Y32" s="4"/>
      <c r="Z32" s="96"/>
      <c r="AA32" s="1366"/>
      <c r="AB32" s="1364"/>
      <c r="AD32" s="4"/>
      <c r="AE32" s="4"/>
      <c r="AF32" s="78"/>
      <c r="AG32" s="78"/>
      <c r="AH32" s="78"/>
      <c r="AK32" s="4"/>
      <c r="AL32" s="4"/>
      <c r="AM32" s="4"/>
      <c r="AN32" s="96"/>
      <c r="AO32" s="1366"/>
      <c r="AP32" s="1364"/>
    </row>
    <row r="33" spans="1:55">
      <c r="B33" s="2041" t="s">
        <v>108</v>
      </c>
      <c r="C33" s="2041"/>
      <c r="D33" s="42">
        <f>L36</f>
        <v>57.55525007930634</v>
      </c>
      <c r="E33" t="s">
        <v>34</v>
      </c>
      <c r="I33" s="2042" t="s">
        <v>115</v>
      </c>
      <c r="J33" s="2043"/>
      <c r="K33" s="2044"/>
      <c r="L33" s="98">
        <f>L30-L32</f>
        <v>149</v>
      </c>
      <c r="N33" s="42"/>
      <c r="P33" s="4"/>
      <c r="Q33" s="4"/>
      <c r="R33" s="78"/>
      <c r="S33" s="21"/>
      <c r="T33" s="21"/>
      <c r="W33" s="4"/>
      <c r="X33" s="4"/>
      <c r="Y33" s="4"/>
      <c r="AA33" s="42"/>
      <c r="AB33" s="42"/>
      <c r="AD33" s="4"/>
      <c r="AE33" s="4"/>
      <c r="AF33" s="78"/>
      <c r="AG33" s="21"/>
      <c r="AH33" s="21"/>
      <c r="AK33" s="4"/>
      <c r="AL33" s="4"/>
      <c r="AM33" s="4"/>
      <c r="AO33" s="42"/>
      <c r="AP33" s="42"/>
    </row>
    <row r="34" spans="1:55">
      <c r="B34" s="2041" t="s">
        <v>109</v>
      </c>
      <c r="C34" s="2041"/>
      <c r="D34" s="42">
        <f>D32/(1+(D33/100))</f>
        <v>1.0977487386974942</v>
      </c>
      <c r="E34" t="s">
        <v>123</v>
      </c>
      <c r="F34" s="42"/>
      <c r="I34" s="2042" t="s">
        <v>116</v>
      </c>
      <c r="J34" s="2043"/>
      <c r="K34" s="2044"/>
      <c r="L34" s="98">
        <f>L31-L32</f>
        <v>94.57</v>
      </c>
      <c r="N34" s="42"/>
      <c r="P34" s="4"/>
      <c r="Q34" s="4"/>
      <c r="R34" s="78"/>
      <c r="S34" s="78"/>
      <c r="T34" s="78"/>
      <c r="W34" s="4"/>
      <c r="X34" s="4"/>
      <c r="Y34" s="4"/>
      <c r="AA34" s="42"/>
      <c r="AB34" s="42"/>
      <c r="AD34" s="4"/>
      <c r="AE34" s="4"/>
      <c r="AF34" s="78"/>
      <c r="AG34" s="78"/>
      <c r="AH34" s="78"/>
      <c r="AK34" s="4"/>
      <c r="AL34" s="4"/>
      <c r="AM34" s="4"/>
      <c r="AO34" s="42"/>
      <c r="AP34" s="42"/>
    </row>
    <row r="35" spans="1:55">
      <c r="E35" s="96"/>
      <c r="F35" s="42"/>
      <c r="I35" s="2042" t="s">
        <v>117</v>
      </c>
      <c r="J35" s="2043"/>
      <c r="K35" s="2044"/>
      <c r="L35" s="98">
        <f>L33-L34</f>
        <v>54.430000000000007</v>
      </c>
      <c r="N35" s="42"/>
      <c r="S35" s="96"/>
      <c r="T35" s="42"/>
      <c r="W35" s="4"/>
      <c r="X35" s="4"/>
      <c r="Y35" s="4"/>
      <c r="Z35" s="96"/>
      <c r="AA35" s="42"/>
      <c r="AB35" s="42"/>
      <c r="AG35" s="96"/>
      <c r="AH35" s="42"/>
      <c r="AK35" s="4"/>
      <c r="AL35" s="4"/>
      <c r="AM35" s="4"/>
      <c r="AN35" s="96"/>
      <c r="AO35" s="42"/>
      <c r="AP35" s="42"/>
    </row>
    <row r="36" spans="1:55">
      <c r="E36" s="96"/>
      <c r="F36" s="42"/>
      <c r="I36" s="2042" t="s">
        <v>108</v>
      </c>
      <c r="J36" s="2043"/>
      <c r="K36" s="2044"/>
      <c r="L36" s="98">
        <f>(L35/L34)*100</f>
        <v>57.55525007930634</v>
      </c>
      <c r="N36" s="42"/>
      <c r="S36" s="96"/>
      <c r="T36" s="42"/>
      <c r="W36" s="4"/>
      <c r="X36" s="4"/>
      <c r="Y36" s="4"/>
      <c r="Z36" s="96"/>
      <c r="AA36" s="42"/>
      <c r="AB36" s="42"/>
      <c r="AG36" s="96"/>
      <c r="AH36" s="42"/>
      <c r="AK36" s="4"/>
      <c r="AL36" s="4"/>
      <c r="AM36" s="4"/>
      <c r="AN36" s="96"/>
      <c r="AO36" s="42"/>
      <c r="AP36" s="42"/>
    </row>
    <row r="37" spans="1:55">
      <c r="E37" s="96"/>
      <c r="F37" s="42"/>
    </row>
    <row r="38" spans="1:55">
      <c r="E38" s="96"/>
      <c r="F38" s="42"/>
    </row>
    <row r="39" spans="1:55" s="1498" customFormat="1" ht="25.5" customHeight="1">
      <c r="A39" s="1499" t="s">
        <v>76</v>
      </c>
      <c r="B39" s="1500"/>
      <c r="C39" s="1500"/>
      <c r="D39" s="1500"/>
      <c r="E39" s="1500"/>
      <c r="F39" s="1500"/>
      <c r="G39" s="1500"/>
      <c r="H39" s="1500"/>
      <c r="I39" s="1500"/>
      <c r="J39" s="1500"/>
      <c r="K39" s="1500"/>
      <c r="L39" s="1500"/>
      <c r="M39" s="1500"/>
      <c r="N39" s="1500"/>
      <c r="O39" s="1500"/>
      <c r="P39" s="1500"/>
      <c r="Q39" s="1500"/>
      <c r="R39" s="1500"/>
      <c r="S39" s="1500"/>
      <c r="T39" s="1500"/>
      <c r="U39" s="1500"/>
      <c r="V39" s="1500"/>
      <c r="W39" s="1500"/>
      <c r="X39" s="1500"/>
      <c r="Y39" s="1500"/>
      <c r="Z39" s="1500"/>
      <c r="AA39" s="1500"/>
      <c r="AB39" s="1500"/>
      <c r="AC39" s="1500"/>
      <c r="AD39" s="1500"/>
      <c r="AE39" s="1500"/>
      <c r="AF39" s="1500"/>
      <c r="AG39" s="1500"/>
      <c r="AH39" s="1500"/>
      <c r="AI39" s="1500"/>
      <c r="AJ39" s="1500"/>
      <c r="AK39" s="1500"/>
      <c r="AL39" s="1500"/>
      <c r="AM39" s="1500"/>
      <c r="AN39" s="1500"/>
      <c r="AO39" s="1500"/>
      <c r="AP39" s="1500"/>
      <c r="AQ39" s="1500"/>
    </row>
    <row r="41" spans="1:55" ht="31.5" customHeight="1">
      <c r="C41" s="44" t="s">
        <v>77</v>
      </c>
      <c r="D41" s="45" t="s">
        <v>78</v>
      </c>
      <c r="E41" s="45" t="s">
        <v>79</v>
      </c>
      <c r="F41" s="46" t="s">
        <v>80</v>
      </c>
      <c r="G41" s="2055" t="s">
        <v>81</v>
      </c>
      <c r="H41" s="2057" t="s">
        <v>82</v>
      </c>
      <c r="I41" s="2058"/>
      <c r="J41" s="2059"/>
      <c r="K41" s="2052" t="s">
        <v>83</v>
      </c>
      <c r="L41" s="2053"/>
      <c r="M41" s="2053"/>
      <c r="N41" s="2053"/>
      <c r="O41" s="2054"/>
      <c r="P41" s="1319"/>
      <c r="Q41" s="44" t="s">
        <v>77</v>
      </c>
      <c r="R41" s="45" t="s">
        <v>78</v>
      </c>
      <c r="S41" s="45" t="s">
        <v>79</v>
      </c>
      <c r="T41" s="46" t="s">
        <v>80</v>
      </c>
      <c r="U41" s="2055" t="s">
        <v>81</v>
      </c>
      <c r="V41" s="2057" t="s">
        <v>82</v>
      </c>
      <c r="W41" s="2058"/>
      <c r="X41" s="2059"/>
      <c r="Y41" s="2052" t="s">
        <v>83</v>
      </c>
      <c r="Z41" s="2053"/>
      <c r="AA41" s="2053"/>
      <c r="AB41" s="2053"/>
      <c r="AC41" s="2054"/>
      <c r="AE41" s="44" t="s">
        <v>77</v>
      </c>
      <c r="AF41" s="45" t="s">
        <v>78</v>
      </c>
      <c r="AG41" s="45" t="s">
        <v>79</v>
      </c>
      <c r="AH41" s="46" t="s">
        <v>80</v>
      </c>
      <c r="AI41" s="2055" t="s">
        <v>81</v>
      </c>
      <c r="AJ41" s="2057" t="s">
        <v>82</v>
      </c>
      <c r="AK41" s="2058"/>
      <c r="AL41" s="2059"/>
      <c r="AM41" s="2052" t="s">
        <v>83</v>
      </c>
      <c r="AN41" s="2053"/>
      <c r="AO41" s="2053"/>
      <c r="AP41" s="2053"/>
      <c r="AQ41" s="2054"/>
    </row>
    <row r="42" spans="1:55" ht="47.25">
      <c r="C42" s="47" t="s">
        <v>84</v>
      </c>
      <c r="D42" s="48" t="s">
        <v>84</v>
      </c>
      <c r="E42" s="48" t="s">
        <v>84</v>
      </c>
      <c r="F42" s="48" t="s">
        <v>84</v>
      </c>
      <c r="G42" s="2056"/>
      <c r="H42" s="48" t="s">
        <v>85</v>
      </c>
      <c r="I42" s="48" t="s">
        <v>86</v>
      </c>
      <c r="J42" s="48" t="s">
        <v>87</v>
      </c>
      <c r="K42" s="49" t="s">
        <v>85</v>
      </c>
      <c r="L42" s="50" t="s">
        <v>86</v>
      </c>
      <c r="M42" s="168" t="s">
        <v>87</v>
      </c>
      <c r="N42" s="51" t="s">
        <v>88</v>
      </c>
      <c r="O42" s="51" t="s">
        <v>89</v>
      </c>
      <c r="Q42" s="47" t="s">
        <v>84</v>
      </c>
      <c r="R42" s="48" t="s">
        <v>84</v>
      </c>
      <c r="S42" s="48" t="s">
        <v>84</v>
      </c>
      <c r="T42" s="48" t="s">
        <v>84</v>
      </c>
      <c r="U42" s="2056"/>
      <c r="V42" s="48" t="s">
        <v>85</v>
      </c>
      <c r="W42" s="48" t="s">
        <v>86</v>
      </c>
      <c r="X42" s="48" t="s">
        <v>87</v>
      </c>
      <c r="Y42" s="49" t="s">
        <v>85</v>
      </c>
      <c r="Z42" s="50" t="s">
        <v>86</v>
      </c>
      <c r="AA42" s="168" t="s">
        <v>87</v>
      </c>
      <c r="AB42" s="51" t="s">
        <v>88</v>
      </c>
      <c r="AC42" s="51" t="s">
        <v>89</v>
      </c>
      <c r="AE42" s="47" t="s">
        <v>84</v>
      </c>
      <c r="AF42" s="48" t="s">
        <v>84</v>
      </c>
      <c r="AG42" s="48" t="s">
        <v>84</v>
      </c>
      <c r="AH42" s="48" t="s">
        <v>84</v>
      </c>
      <c r="AI42" s="2056"/>
      <c r="AJ42" s="48" t="s">
        <v>85</v>
      </c>
      <c r="AK42" s="48" t="s">
        <v>86</v>
      </c>
      <c r="AL42" s="48" t="s">
        <v>87</v>
      </c>
      <c r="AM42" s="49" t="s">
        <v>85</v>
      </c>
      <c r="AN42" s="50" t="s">
        <v>86</v>
      </c>
      <c r="AO42" s="168" t="s">
        <v>87</v>
      </c>
      <c r="AP42" s="51" t="s">
        <v>88</v>
      </c>
      <c r="AQ42" s="51" t="s">
        <v>89</v>
      </c>
      <c r="AT42" s="1384" t="s">
        <v>366</v>
      </c>
      <c r="AU42" s="1375"/>
      <c r="AY42" s="370" t="s">
        <v>1641</v>
      </c>
      <c r="AZ42" s="370"/>
      <c r="BA42" s="370"/>
      <c r="BB42" s="370"/>
      <c r="BC42" s="370"/>
    </row>
    <row r="43" spans="1:55">
      <c r="C43" s="52"/>
      <c r="D43" s="54"/>
      <c r="E43" s="54"/>
      <c r="F43" s="55"/>
      <c r="G43" s="56"/>
      <c r="H43" s="55"/>
      <c r="I43" s="55"/>
      <c r="J43" s="55"/>
      <c r="K43" s="55"/>
      <c r="L43" s="57"/>
      <c r="M43" s="58"/>
      <c r="N43" s="55"/>
      <c r="O43" s="55"/>
      <c r="Q43" s="52"/>
      <c r="R43" s="54"/>
      <c r="S43" s="54"/>
      <c r="T43" s="55"/>
      <c r="U43" s="56"/>
      <c r="V43" s="55"/>
      <c r="W43" s="55"/>
      <c r="X43" s="55"/>
      <c r="Y43" s="55"/>
      <c r="Z43" s="57"/>
      <c r="AA43" s="58"/>
      <c r="AB43" s="55"/>
      <c r="AC43" s="55"/>
      <c r="AE43" s="52"/>
      <c r="AF43" s="54"/>
      <c r="AG43" s="54"/>
      <c r="AH43" s="55"/>
      <c r="AI43" s="56"/>
      <c r="AJ43" s="55"/>
      <c r="AK43" s="55"/>
      <c r="AL43" s="55"/>
      <c r="AM43" s="55"/>
      <c r="AN43" s="57"/>
      <c r="AO43" s="58"/>
      <c r="AP43" s="55"/>
      <c r="AQ43" s="55"/>
      <c r="AT43" s="1376">
        <v>1</v>
      </c>
      <c r="AU43" s="1377">
        <v>9.0299999999999994</v>
      </c>
      <c r="AY43" s="370" t="s">
        <v>1611</v>
      </c>
      <c r="AZ43" s="370" t="s">
        <v>1642</v>
      </c>
      <c r="BA43" s="370" t="s">
        <v>1632</v>
      </c>
      <c r="BB43" s="370" t="s">
        <v>1633</v>
      </c>
      <c r="BC43" s="370"/>
    </row>
    <row r="44" spans="1:55">
      <c r="C44" s="59">
        <v>0</v>
      </c>
      <c r="D44" s="60">
        <v>0</v>
      </c>
      <c r="E44" s="113">
        <v>0</v>
      </c>
      <c r="F44" s="61"/>
      <c r="G44" s="62"/>
      <c r="H44" s="61"/>
      <c r="I44" s="61"/>
      <c r="J44" s="61"/>
      <c r="K44" s="61"/>
      <c r="L44" s="63"/>
      <c r="M44" s="64"/>
      <c r="N44" s="65"/>
      <c r="O44" s="65"/>
      <c r="Q44" s="59"/>
      <c r="R44" s="60"/>
      <c r="S44" s="60"/>
      <c r="T44" s="61"/>
      <c r="U44" s="62"/>
      <c r="V44" s="61"/>
      <c r="W44" s="61"/>
      <c r="X44" s="61"/>
      <c r="Y44" s="61"/>
      <c r="Z44" s="63"/>
      <c r="AA44" s="64"/>
      <c r="AB44" s="65"/>
      <c r="AC44" s="65"/>
      <c r="AE44" s="59"/>
      <c r="AF44" s="60"/>
      <c r="AG44" s="60"/>
      <c r="AH44" s="61"/>
      <c r="AI44" s="62"/>
      <c r="AJ44" s="61"/>
      <c r="AK44" s="61"/>
      <c r="AL44" s="61"/>
      <c r="AM44" s="61"/>
      <c r="AN44" s="63"/>
      <c r="AO44" s="64"/>
      <c r="AP44" s="65"/>
      <c r="AQ44" s="65"/>
      <c r="AT44" s="1378">
        <v>2</v>
      </c>
      <c r="AU44" s="1379">
        <v>8.8420000000000005</v>
      </c>
      <c r="AY44" s="370" t="s">
        <v>1612</v>
      </c>
      <c r="AZ44" s="370" t="s">
        <v>1613</v>
      </c>
      <c r="BA44" s="370" t="s">
        <v>1610</v>
      </c>
      <c r="BB44" s="370" t="s">
        <v>1510</v>
      </c>
      <c r="BC44" s="370"/>
    </row>
    <row r="45" spans="1:55">
      <c r="C45" s="59">
        <v>50</v>
      </c>
      <c r="D45" s="60" t="s">
        <v>90</v>
      </c>
      <c r="E45" s="113">
        <v>12</v>
      </c>
      <c r="F45" s="61">
        <f>ABS(E45-E44)</f>
        <v>12</v>
      </c>
      <c r="G45" s="66">
        <f>F45/(C45-C44)</f>
        <v>0.24</v>
      </c>
      <c r="H45" s="61"/>
      <c r="I45" s="61"/>
      <c r="J45" s="61"/>
      <c r="K45" s="67"/>
      <c r="L45" s="68"/>
      <c r="M45" s="64"/>
      <c r="N45" s="65"/>
      <c r="O45" s="65"/>
      <c r="Q45" s="1367">
        <v>590</v>
      </c>
      <c r="R45" s="113">
        <v>390</v>
      </c>
      <c r="S45" s="113">
        <v>580</v>
      </c>
      <c r="T45" s="61">
        <f>S45-R45</f>
        <v>190</v>
      </c>
      <c r="U45" s="66">
        <f>T45/(Q45-C54)</f>
        <v>0.6333333333333333</v>
      </c>
      <c r="V45" s="61"/>
      <c r="W45" s="61"/>
      <c r="X45" s="61"/>
      <c r="Y45" s="67"/>
      <c r="Z45" s="68"/>
      <c r="AA45" s="64"/>
      <c r="AB45" s="65"/>
      <c r="AC45" s="65"/>
      <c r="AE45" s="1367">
        <v>790</v>
      </c>
      <c r="AF45" s="113">
        <v>390</v>
      </c>
      <c r="AG45" s="113">
        <v>780</v>
      </c>
      <c r="AH45" s="61">
        <f>AG45-AF45</f>
        <v>390</v>
      </c>
      <c r="AI45" s="66">
        <f>AH45/(AE45-C55)</f>
        <v>0.97499999999999998</v>
      </c>
      <c r="AJ45" s="61"/>
      <c r="AK45" s="61"/>
      <c r="AL45" s="61"/>
      <c r="AM45" s="67"/>
      <c r="AN45" s="68"/>
      <c r="AO45" s="64"/>
      <c r="AP45" s="65"/>
      <c r="AQ45" s="65"/>
      <c r="AT45" s="1378">
        <v>3</v>
      </c>
      <c r="AU45" s="1380">
        <v>9.0410000000000004</v>
      </c>
      <c r="AY45" s="370" t="s">
        <v>1614</v>
      </c>
      <c r="AZ45" s="370" t="s">
        <v>1615</v>
      </c>
      <c r="BA45" s="370" t="s">
        <v>1634</v>
      </c>
      <c r="BB45" s="370" t="s">
        <v>1635</v>
      </c>
      <c r="BC45" s="370"/>
    </row>
    <row r="46" spans="1:55">
      <c r="C46" s="59">
        <v>50</v>
      </c>
      <c r="D46" s="60">
        <v>40</v>
      </c>
      <c r="E46" s="113">
        <v>40</v>
      </c>
      <c r="F46" s="61"/>
      <c r="G46" s="66"/>
      <c r="H46" s="114">
        <v>24.5</v>
      </c>
      <c r="I46" s="115">
        <f>H48</f>
        <v>26.3</v>
      </c>
      <c r="J46" s="62">
        <f>ABS(H46-I46)</f>
        <v>1.8000000000000007</v>
      </c>
      <c r="K46" s="67"/>
      <c r="L46" s="68"/>
      <c r="M46" s="64"/>
      <c r="N46" s="65"/>
      <c r="O46" s="65"/>
      <c r="Q46" s="59"/>
      <c r="R46" s="60"/>
      <c r="S46" s="60"/>
      <c r="T46" s="61"/>
      <c r="U46" s="66"/>
      <c r="V46" s="69"/>
      <c r="W46" s="115"/>
      <c r="X46" s="62"/>
      <c r="Y46" s="67"/>
      <c r="Z46" s="68"/>
      <c r="AA46" s="64"/>
      <c r="AB46" s="65"/>
      <c r="AC46" s="65"/>
      <c r="AE46" s="59"/>
      <c r="AF46" s="60"/>
      <c r="AG46" s="60"/>
      <c r="AH46" s="61"/>
      <c r="AI46" s="66"/>
      <c r="AJ46" s="69"/>
      <c r="AK46" s="115"/>
      <c r="AL46" s="62"/>
      <c r="AM46" s="67"/>
      <c r="AN46" s="68"/>
      <c r="AO46" s="64"/>
      <c r="AP46" s="65"/>
      <c r="AQ46" s="65"/>
      <c r="AT46" s="1381">
        <v>4</v>
      </c>
      <c r="AU46" s="1379">
        <v>8.9359999999999999</v>
      </c>
      <c r="AY46" s="370" t="s">
        <v>1617</v>
      </c>
      <c r="AZ46" s="370" t="s">
        <v>1618</v>
      </c>
      <c r="BA46" s="370" t="s">
        <v>1636</v>
      </c>
      <c r="BB46" s="370" t="s">
        <v>1637</v>
      </c>
      <c r="BC46" s="370"/>
    </row>
    <row r="47" spans="1:55">
      <c r="C47" s="59">
        <v>100</v>
      </c>
      <c r="D47" s="60" t="s">
        <v>90</v>
      </c>
      <c r="E47" s="113">
        <v>59</v>
      </c>
      <c r="F47" s="61">
        <f>ABS(E47-E46)</f>
        <v>19</v>
      </c>
      <c r="G47" s="66">
        <f>F47/(C47-C46)</f>
        <v>0.38</v>
      </c>
      <c r="H47" s="114"/>
      <c r="I47" s="115"/>
      <c r="J47" s="62"/>
      <c r="K47" s="67"/>
      <c r="L47" s="68"/>
      <c r="M47" s="64"/>
      <c r="N47" s="65"/>
      <c r="O47" s="65"/>
      <c r="Q47" s="59"/>
      <c r="R47" s="60"/>
      <c r="S47" s="60"/>
      <c r="T47" s="61"/>
      <c r="U47" s="66"/>
      <c r="V47" s="69"/>
      <c r="W47" s="115"/>
      <c r="X47" s="62"/>
      <c r="Y47" s="67"/>
      <c r="Z47" s="68"/>
      <c r="AA47" s="64"/>
      <c r="AB47" s="65"/>
      <c r="AC47" s="65"/>
      <c r="AE47" s="59"/>
      <c r="AF47" s="60"/>
      <c r="AG47" s="60"/>
      <c r="AH47" s="61"/>
      <c r="AI47" s="66"/>
      <c r="AJ47" s="69"/>
      <c r="AK47" s="115"/>
      <c r="AL47" s="62"/>
      <c r="AM47" s="67"/>
      <c r="AN47" s="68"/>
      <c r="AO47" s="64"/>
      <c r="AP47" s="65"/>
      <c r="AQ47" s="65"/>
      <c r="AT47" s="1381">
        <v>5</v>
      </c>
      <c r="AU47" s="1379">
        <v>8.8559999999999999</v>
      </c>
      <c r="AY47" s="370" t="s">
        <v>1643</v>
      </c>
      <c r="AZ47" s="370" t="s">
        <v>1644</v>
      </c>
      <c r="BA47" s="370" t="s">
        <v>1645</v>
      </c>
      <c r="BB47" s="370" t="s">
        <v>1646</v>
      </c>
      <c r="BC47" s="370"/>
    </row>
    <row r="48" spans="1:55">
      <c r="C48" s="59">
        <v>100</v>
      </c>
      <c r="D48" s="60">
        <v>90</v>
      </c>
      <c r="E48" s="113">
        <v>90</v>
      </c>
      <c r="F48" s="61"/>
      <c r="G48" s="66"/>
      <c r="H48" s="114">
        <v>26.3</v>
      </c>
      <c r="I48" s="115">
        <f>H50</f>
        <v>27.7</v>
      </c>
      <c r="J48" s="62">
        <f>ABS(H48-I48)</f>
        <v>1.3999999999999986</v>
      </c>
      <c r="K48" s="67"/>
      <c r="L48" s="68"/>
      <c r="M48" s="64"/>
      <c r="N48" s="65"/>
      <c r="O48" s="65"/>
      <c r="Q48" s="59"/>
      <c r="R48" s="60"/>
      <c r="S48" s="60"/>
      <c r="T48" s="61"/>
      <c r="U48" s="66"/>
      <c r="V48" s="69"/>
      <c r="W48" s="115"/>
      <c r="X48" s="62"/>
      <c r="Y48" s="67"/>
      <c r="Z48" s="68"/>
      <c r="AA48" s="64"/>
      <c r="AB48" s="65"/>
      <c r="AC48" s="65"/>
      <c r="AE48" s="59"/>
      <c r="AF48" s="60"/>
      <c r="AG48" s="60"/>
      <c r="AH48" s="61"/>
      <c r="AI48" s="66"/>
      <c r="AJ48" s="69"/>
      <c r="AK48" s="115"/>
      <c r="AL48" s="62"/>
      <c r="AM48" s="67"/>
      <c r="AN48" s="68"/>
      <c r="AO48" s="64"/>
      <c r="AP48" s="65"/>
      <c r="AQ48" s="65"/>
      <c r="AT48" s="1381">
        <v>6</v>
      </c>
      <c r="AU48" s="1379">
        <v>8.7260000000000009</v>
      </c>
      <c r="AY48" s="370" t="s">
        <v>1620</v>
      </c>
      <c r="AZ48" s="370" t="s">
        <v>1616</v>
      </c>
      <c r="BA48" s="370" t="s">
        <v>509</v>
      </c>
      <c r="BB48" s="370" t="s">
        <v>1638</v>
      </c>
      <c r="BC48" s="370"/>
    </row>
    <row r="49" spans="2:55">
      <c r="C49" s="59">
        <v>150</v>
      </c>
      <c r="D49" s="60" t="s">
        <v>90</v>
      </c>
      <c r="E49" s="113">
        <v>121</v>
      </c>
      <c r="F49" s="61">
        <f>ABS(E49-E48)</f>
        <v>31</v>
      </c>
      <c r="G49" s="66">
        <f>F49/(C49-C48)</f>
        <v>0.62</v>
      </c>
      <c r="H49" s="114"/>
      <c r="I49" s="115"/>
      <c r="J49" s="62"/>
      <c r="K49" s="67"/>
      <c r="L49" s="68"/>
      <c r="M49" s="64"/>
      <c r="N49" s="65"/>
      <c r="O49" s="65"/>
      <c r="Q49" s="59"/>
      <c r="R49" s="60"/>
      <c r="S49" s="60"/>
      <c r="T49" s="61"/>
      <c r="U49" s="66"/>
      <c r="V49" s="69"/>
      <c r="W49" s="115"/>
      <c r="X49" s="62"/>
      <c r="Y49" s="67"/>
      <c r="Z49" s="68"/>
      <c r="AA49" s="64"/>
      <c r="AB49" s="65"/>
      <c r="AC49" s="65"/>
      <c r="AE49" s="59"/>
      <c r="AF49" s="60"/>
      <c r="AG49" s="60"/>
      <c r="AH49" s="61"/>
      <c r="AI49" s="66"/>
      <c r="AJ49" s="69"/>
      <c r="AK49" s="115"/>
      <c r="AL49" s="62"/>
      <c r="AM49" s="67"/>
      <c r="AN49" s="68"/>
      <c r="AO49" s="64"/>
      <c r="AP49" s="65"/>
      <c r="AQ49" s="65"/>
      <c r="AT49" s="1381">
        <v>7</v>
      </c>
      <c r="AU49" s="1379">
        <v>8.8819999999999997</v>
      </c>
      <c r="AY49" s="370" t="s">
        <v>1621</v>
      </c>
      <c r="AZ49" s="370" t="s">
        <v>1622</v>
      </c>
      <c r="BA49" s="370" t="s">
        <v>1639</v>
      </c>
      <c r="BB49" s="370" t="s">
        <v>1640</v>
      </c>
      <c r="BC49" s="370"/>
    </row>
    <row r="50" spans="2:55">
      <c r="C50" s="59">
        <v>150</v>
      </c>
      <c r="D50" s="60">
        <v>190</v>
      </c>
      <c r="E50" s="113">
        <v>140</v>
      </c>
      <c r="F50" s="61"/>
      <c r="G50" s="66"/>
      <c r="H50" s="114">
        <v>27.7</v>
      </c>
      <c r="I50" s="115">
        <f>H52</f>
        <v>28.9</v>
      </c>
      <c r="J50" s="62">
        <f>ABS(H50-I50)</f>
        <v>1.1999999999999993</v>
      </c>
      <c r="K50" s="70"/>
      <c r="L50" s="68"/>
      <c r="M50" s="64"/>
      <c r="N50" s="65"/>
      <c r="O50" s="65"/>
      <c r="Q50" s="59"/>
      <c r="R50" s="60"/>
      <c r="S50" s="60"/>
      <c r="T50" s="61"/>
      <c r="U50" s="66"/>
      <c r="V50" s="69"/>
      <c r="W50" s="115"/>
      <c r="X50" s="62"/>
      <c r="Y50" s="70"/>
      <c r="Z50" s="68"/>
      <c r="AA50" s="64"/>
      <c r="AB50" s="65"/>
      <c r="AC50" s="65"/>
      <c r="AE50" s="59"/>
      <c r="AF50" s="60"/>
      <c r="AG50" s="60"/>
      <c r="AH50" s="61"/>
      <c r="AI50" s="66"/>
      <c r="AJ50" s="69"/>
      <c r="AK50" s="115"/>
      <c r="AL50" s="62"/>
      <c r="AM50" s="70"/>
      <c r="AN50" s="68"/>
      <c r="AO50" s="64"/>
      <c r="AP50" s="65"/>
      <c r="AQ50" s="65"/>
      <c r="AT50" s="1381">
        <v>8</v>
      </c>
      <c r="AU50" s="1379">
        <v>8.8179999999999996</v>
      </c>
      <c r="AY50" s="370" t="s">
        <v>1623</v>
      </c>
      <c r="AZ50" s="370" t="s">
        <v>1624</v>
      </c>
      <c r="BA50" s="370" t="s">
        <v>1647</v>
      </c>
      <c r="BB50" s="370" t="s">
        <v>1648</v>
      </c>
      <c r="BC50" s="370"/>
    </row>
    <row r="51" spans="2:55">
      <c r="C51" s="59">
        <v>200</v>
      </c>
      <c r="D51" s="60" t="s">
        <v>90</v>
      </c>
      <c r="E51" s="113">
        <v>183</v>
      </c>
      <c r="F51" s="61">
        <f>ABS(E51-E50)</f>
        <v>43</v>
      </c>
      <c r="G51" s="66">
        <f>F51/(C51-C50)</f>
        <v>0.86</v>
      </c>
      <c r="H51" s="114"/>
      <c r="I51" s="69"/>
      <c r="J51" s="62"/>
      <c r="K51" s="70"/>
      <c r="L51" s="71"/>
      <c r="M51" s="64"/>
      <c r="N51" s="65"/>
      <c r="O51" s="65"/>
      <c r="Q51" s="59"/>
      <c r="R51" s="60"/>
      <c r="S51" s="60"/>
      <c r="T51" s="61"/>
      <c r="U51" s="66"/>
      <c r="V51" s="69"/>
      <c r="W51" s="69"/>
      <c r="X51" s="62"/>
      <c r="Y51" s="70"/>
      <c r="Z51" s="71"/>
      <c r="AA51" s="64"/>
      <c r="AB51" s="65"/>
      <c r="AC51" s="65"/>
      <c r="AE51" s="59"/>
      <c r="AF51" s="60"/>
      <c r="AG51" s="60"/>
      <c r="AH51" s="61"/>
      <c r="AI51" s="66"/>
      <c r="AJ51" s="69"/>
      <c r="AK51" s="69"/>
      <c r="AL51" s="62"/>
      <c r="AM51" s="70"/>
      <c r="AN51" s="71"/>
      <c r="AO51" s="64"/>
      <c r="AP51" s="65"/>
      <c r="AQ51" s="65"/>
      <c r="AT51" s="1381">
        <v>9</v>
      </c>
      <c r="AU51" s="1379">
        <v>8.7989999999999995</v>
      </c>
      <c r="AY51" s="370" t="s">
        <v>1649</v>
      </c>
      <c r="AZ51" s="370" t="s">
        <v>1650</v>
      </c>
      <c r="BA51" s="370" t="s">
        <v>1651</v>
      </c>
      <c r="BB51" s="370" t="s">
        <v>1652</v>
      </c>
      <c r="BC51" s="370"/>
    </row>
    <row r="52" spans="2:55">
      <c r="C52" s="59">
        <v>200</v>
      </c>
      <c r="D52" s="60" t="s">
        <v>90</v>
      </c>
      <c r="E52" s="113">
        <v>190</v>
      </c>
      <c r="F52" s="61"/>
      <c r="G52" s="66"/>
      <c r="H52" s="114">
        <v>28.9</v>
      </c>
      <c r="I52" s="114">
        <v>29.7</v>
      </c>
      <c r="J52" s="62">
        <f>ABS(H52-I52)</f>
        <v>0.80000000000000071</v>
      </c>
      <c r="K52" s="70"/>
      <c r="L52" s="71"/>
      <c r="M52" s="72"/>
      <c r="N52" s="65"/>
      <c r="O52" s="65"/>
      <c r="Q52" s="59"/>
      <c r="R52" s="60"/>
      <c r="S52" s="60"/>
      <c r="T52" s="61"/>
      <c r="U52" s="66"/>
      <c r="V52" s="69"/>
      <c r="W52" s="69"/>
      <c r="X52" s="62"/>
      <c r="Y52" s="70"/>
      <c r="Z52" s="71"/>
      <c r="AA52" s="72"/>
      <c r="AB52" s="65"/>
      <c r="AC52" s="65"/>
      <c r="AE52" s="59"/>
      <c r="AF52" s="60"/>
      <c r="AG52" s="60"/>
      <c r="AH52" s="61"/>
      <c r="AI52" s="66"/>
      <c r="AJ52" s="69"/>
      <c r="AK52" s="69"/>
      <c r="AL52" s="62"/>
      <c r="AM52" s="70"/>
      <c r="AN52" s="71"/>
      <c r="AO52" s="72"/>
      <c r="AP52" s="65"/>
      <c r="AQ52" s="65"/>
      <c r="AT52" s="1376">
        <v>10</v>
      </c>
      <c r="AU52" s="1377">
        <v>8.7929999999999993</v>
      </c>
      <c r="AY52" s="370" t="s">
        <v>1690</v>
      </c>
      <c r="AZ52" s="370" t="s">
        <v>1619</v>
      </c>
      <c r="BA52" s="370" t="s">
        <v>510</v>
      </c>
      <c r="BB52" s="370" t="s">
        <v>1197</v>
      </c>
      <c r="BC52" s="370"/>
    </row>
    <row r="53" spans="2:55">
      <c r="C53" s="59">
        <v>240</v>
      </c>
      <c r="D53" s="60" t="s">
        <v>90</v>
      </c>
      <c r="E53" s="113">
        <v>228</v>
      </c>
      <c r="F53" s="61">
        <f>ABS(E53-E52)</f>
        <v>38</v>
      </c>
      <c r="G53" s="66">
        <f>F53/(C53-C52)</f>
        <v>0.95</v>
      </c>
      <c r="H53" s="69"/>
      <c r="I53" s="69"/>
      <c r="J53" s="62"/>
      <c r="K53" s="70"/>
      <c r="L53" s="71"/>
      <c r="M53" s="72"/>
      <c r="N53" s="65"/>
      <c r="O53" s="65"/>
      <c r="Q53" s="59"/>
      <c r="R53" s="60"/>
      <c r="S53" s="60"/>
      <c r="T53" s="61"/>
      <c r="U53" s="66"/>
      <c r="V53" s="69"/>
      <c r="W53" s="69"/>
      <c r="X53" s="62"/>
      <c r="Y53" s="70"/>
      <c r="Z53" s="71"/>
      <c r="AA53" s="72"/>
      <c r="AB53" s="65"/>
      <c r="AC53" s="65"/>
      <c r="AE53" s="59"/>
      <c r="AF53" s="60"/>
      <c r="AG53" s="60"/>
      <c r="AH53" s="61"/>
      <c r="AI53" s="66"/>
      <c r="AJ53" s="69"/>
      <c r="AK53" s="69"/>
      <c r="AL53" s="62"/>
      <c r="AM53" s="70"/>
      <c r="AN53" s="71"/>
      <c r="AO53" s="72"/>
      <c r="AP53" s="65"/>
      <c r="AQ53" s="65"/>
      <c r="AT53" s="1376">
        <v>11</v>
      </c>
      <c r="AU53" s="1377">
        <v>8.8040000000000003</v>
      </c>
      <c r="AY53" s="370" t="s">
        <v>1626</v>
      </c>
      <c r="AZ53" s="370" t="s">
        <v>1627</v>
      </c>
      <c r="BA53" s="370" t="s">
        <v>1653</v>
      </c>
      <c r="BB53" s="370" t="s">
        <v>1654</v>
      </c>
      <c r="BC53" s="370"/>
    </row>
    <row r="54" spans="2:55">
      <c r="C54" s="59">
        <v>290</v>
      </c>
      <c r="D54" s="60"/>
      <c r="E54" s="113">
        <v>276</v>
      </c>
      <c r="F54" s="61">
        <f>ABS(E54-E53)</f>
        <v>48</v>
      </c>
      <c r="G54" s="66">
        <f>F54/(C54-C53)</f>
        <v>0.96</v>
      </c>
      <c r="H54" s="69"/>
      <c r="I54" s="69"/>
      <c r="J54" s="62"/>
      <c r="K54" s="70"/>
      <c r="L54" s="70"/>
      <c r="M54" s="73"/>
      <c r="N54" s="65"/>
      <c r="O54" s="65"/>
      <c r="Q54" s="59"/>
      <c r="R54" s="60"/>
      <c r="S54" s="60"/>
      <c r="T54" s="61"/>
      <c r="U54" s="66"/>
      <c r="V54" s="69"/>
      <c r="W54" s="69"/>
      <c r="X54" s="62"/>
      <c r="Y54" s="70"/>
      <c r="Z54" s="70"/>
      <c r="AA54" s="73"/>
      <c r="AB54" s="65"/>
      <c r="AC54" s="65"/>
      <c r="AE54" s="59"/>
      <c r="AF54" s="60"/>
      <c r="AG54" s="60"/>
      <c r="AH54" s="61"/>
      <c r="AI54" s="66"/>
      <c r="AJ54" s="69"/>
      <c r="AK54" s="69"/>
      <c r="AL54" s="62"/>
      <c r="AM54" s="70"/>
      <c r="AN54" s="70"/>
      <c r="AO54" s="73"/>
      <c r="AP54" s="65"/>
      <c r="AQ54" s="65"/>
      <c r="AT54" s="1376">
        <v>12</v>
      </c>
      <c r="AU54" s="1377">
        <v>8.9280000000000008</v>
      </c>
      <c r="AY54" s="370" t="s">
        <v>1628</v>
      </c>
      <c r="AZ54" s="370" t="s">
        <v>1629</v>
      </c>
      <c r="BA54" s="370" t="s">
        <v>1655</v>
      </c>
      <c r="BB54" s="370" t="s">
        <v>1656</v>
      </c>
      <c r="BC54" s="370"/>
    </row>
    <row r="55" spans="2:55">
      <c r="C55" s="59">
        <v>390</v>
      </c>
      <c r="D55" s="60"/>
      <c r="E55" s="113">
        <v>374</v>
      </c>
      <c r="F55" s="61">
        <f>ABS(E55-E54)</f>
        <v>98</v>
      </c>
      <c r="G55" s="66">
        <f>F55/(C55-C54)</f>
        <v>0.98</v>
      </c>
      <c r="H55" s="69"/>
      <c r="I55" s="69"/>
      <c r="J55" s="74"/>
      <c r="K55" s="70"/>
      <c r="L55" s="70"/>
      <c r="M55" s="73"/>
      <c r="N55" s="65"/>
      <c r="O55" s="65"/>
      <c r="Q55" s="59"/>
      <c r="R55" s="60"/>
      <c r="S55" s="60"/>
      <c r="T55" s="61"/>
      <c r="U55" s="66"/>
      <c r="V55" s="69"/>
      <c r="W55" s="69"/>
      <c r="X55" s="74"/>
      <c r="Y55" s="70"/>
      <c r="Z55" s="70"/>
      <c r="AA55" s="73"/>
      <c r="AB55" s="65"/>
      <c r="AC55" s="65"/>
      <c r="AE55" s="59"/>
      <c r="AF55" s="60"/>
      <c r="AG55" s="60"/>
      <c r="AH55" s="61"/>
      <c r="AI55" s="66"/>
      <c r="AJ55" s="69"/>
      <c r="AK55" s="69"/>
      <c r="AL55" s="74"/>
      <c r="AM55" s="70"/>
      <c r="AN55" s="70"/>
      <c r="AO55" s="73"/>
      <c r="AP55" s="65"/>
      <c r="AQ55" s="65"/>
      <c r="AT55" s="1376">
        <v>13</v>
      </c>
      <c r="AU55" s="1377">
        <v>8.8770000000000007</v>
      </c>
      <c r="AY55" s="370" t="s">
        <v>1630</v>
      </c>
      <c r="AZ55" s="370" t="s">
        <v>1631</v>
      </c>
      <c r="BA55" s="370" t="s">
        <v>1657</v>
      </c>
      <c r="BB55" s="370" t="s">
        <v>1658</v>
      </c>
      <c r="BC55" s="370"/>
    </row>
    <row r="56" spans="2:55">
      <c r="B56" s="109"/>
      <c r="D56" s="109"/>
      <c r="E56" s="109"/>
      <c r="F56" s="21"/>
      <c r="G56" s="78"/>
      <c r="H56" s="110"/>
      <c r="I56" s="110"/>
      <c r="J56" s="111"/>
      <c r="K56" s="112"/>
      <c r="L56" s="112"/>
      <c r="AT56" s="1376">
        <v>14</v>
      </c>
      <c r="AU56" s="1377">
        <v>8.8919999999999995</v>
      </c>
    </row>
    <row r="57" spans="2:55">
      <c r="B57" s="109"/>
      <c r="D57" s="109"/>
      <c r="E57" s="109"/>
      <c r="F57" s="21"/>
      <c r="G57" s="42">
        <f>MAX(G43:G55)</f>
        <v>0.98</v>
      </c>
      <c r="H57" s="110"/>
      <c r="I57" s="110"/>
      <c r="J57" s="111"/>
      <c r="K57" s="112"/>
      <c r="L57" s="112"/>
      <c r="U57" s="42">
        <f>MAX(U43:U55)</f>
        <v>0.6333333333333333</v>
      </c>
      <c r="AI57" s="42">
        <f>MAX(AI43:AI55)</f>
        <v>0.97499999999999998</v>
      </c>
      <c r="AT57" s="1376">
        <v>15</v>
      </c>
      <c r="AU57" s="1377">
        <v>8.9930000000000003</v>
      </c>
    </row>
    <row r="58" spans="2:55">
      <c r="D58" s="109"/>
      <c r="E58" s="109"/>
      <c r="F58" s="21"/>
      <c r="G58" s="78"/>
      <c r="H58" s="110"/>
      <c r="I58" s="110"/>
      <c r="J58" s="111"/>
      <c r="K58" s="112"/>
      <c r="L58" s="112"/>
      <c r="AT58" s="1376">
        <v>16</v>
      </c>
      <c r="AU58" s="1377">
        <v>8.9090000000000007</v>
      </c>
    </row>
    <row r="59" spans="2:55">
      <c r="D59" s="109"/>
      <c r="E59" s="109"/>
      <c r="F59" s="21"/>
      <c r="G59" s="78"/>
      <c r="H59" s="110"/>
      <c r="I59" s="110"/>
      <c r="J59" s="109" t="s">
        <v>129</v>
      </c>
      <c r="K59" t="s">
        <v>130</v>
      </c>
      <c r="L59" s="112"/>
      <c r="AT59" s="1376">
        <v>17</v>
      </c>
      <c r="AU59" s="1377">
        <v>9.0489999999999995</v>
      </c>
    </row>
    <row r="60" spans="2:55">
      <c r="D60" s="109"/>
      <c r="E60" s="109"/>
      <c r="F60" s="21"/>
      <c r="G60" s="78"/>
      <c r="H60" s="110"/>
      <c r="I60" s="110"/>
      <c r="J60">
        <v>0</v>
      </c>
      <c r="L60" s="112"/>
      <c r="AT60" s="1376">
        <v>18</v>
      </c>
      <c r="AU60" s="1377">
        <v>8.9339999999999993</v>
      </c>
    </row>
    <row r="61" spans="2:55">
      <c r="D61" s="109"/>
      <c r="E61" s="109"/>
      <c r="F61" s="21"/>
      <c r="G61" s="78"/>
      <c r="H61" s="110"/>
      <c r="I61" s="110"/>
      <c r="J61">
        <v>50</v>
      </c>
      <c r="K61" s="42">
        <f>G45</f>
        <v>0.24</v>
      </c>
      <c r="L61" s="112"/>
      <c r="AT61" s="1381">
        <v>19</v>
      </c>
      <c r="AU61" s="1379">
        <v>8.9610000000000003</v>
      </c>
    </row>
    <row r="62" spans="2:55">
      <c r="D62" s="109"/>
      <c r="E62" s="109"/>
      <c r="F62" s="21"/>
      <c r="G62" s="78"/>
      <c r="H62" s="110"/>
      <c r="I62" s="110"/>
      <c r="J62">
        <v>100</v>
      </c>
      <c r="K62" s="42">
        <f>G47</f>
        <v>0.38</v>
      </c>
      <c r="L62" s="112"/>
      <c r="AT62" s="1381">
        <v>20</v>
      </c>
      <c r="AU62" s="1379">
        <v>8.7759999999999998</v>
      </c>
    </row>
    <row r="63" spans="2:55">
      <c r="D63" s="109"/>
      <c r="E63" s="109"/>
      <c r="F63" s="21"/>
      <c r="G63" s="78"/>
      <c r="H63" s="110"/>
      <c r="I63" s="110"/>
      <c r="J63">
        <v>150</v>
      </c>
      <c r="K63" s="42">
        <f>G49</f>
        <v>0.62</v>
      </c>
      <c r="L63" s="112"/>
      <c r="AT63" s="1381">
        <v>21</v>
      </c>
      <c r="AU63" s="1379">
        <v>8.9030000000000005</v>
      </c>
    </row>
    <row r="64" spans="2:55">
      <c r="D64" s="109"/>
      <c r="E64" s="109"/>
      <c r="F64" s="21"/>
      <c r="G64" s="78"/>
      <c r="H64" s="110"/>
      <c r="I64" s="110"/>
      <c r="J64">
        <v>200</v>
      </c>
      <c r="K64" s="42">
        <f>G51</f>
        <v>0.86</v>
      </c>
      <c r="L64" s="112"/>
      <c r="AT64" s="1381">
        <v>22</v>
      </c>
      <c r="AU64" s="1379">
        <v>8.843</v>
      </c>
    </row>
    <row r="65" spans="1:47">
      <c r="D65" s="109"/>
      <c r="E65" s="109"/>
      <c r="F65" s="21"/>
      <c r="G65" s="78"/>
      <c r="H65" s="110"/>
      <c r="I65" s="110"/>
      <c r="J65">
        <v>240</v>
      </c>
      <c r="K65" s="42">
        <f>G53</f>
        <v>0.95</v>
      </c>
      <c r="L65" s="112"/>
      <c r="AT65" s="1381">
        <v>23</v>
      </c>
      <c r="AU65" s="1379">
        <v>8.84</v>
      </c>
    </row>
    <row r="66" spans="1:47">
      <c r="B66" s="109"/>
      <c r="D66" s="109"/>
      <c r="E66" s="109"/>
      <c r="F66" s="21"/>
      <c r="G66" s="78"/>
      <c r="H66" s="110"/>
      <c r="I66" s="110"/>
      <c r="J66">
        <v>390</v>
      </c>
      <c r="K66" s="42">
        <f>G55</f>
        <v>0.98</v>
      </c>
      <c r="L66" s="112"/>
      <c r="AT66" s="1381">
        <v>24</v>
      </c>
      <c r="AU66" s="1379">
        <v>9.01</v>
      </c>
    </row>
    <row r="67" spans="1:47">
      <c r="B67" s="109"/>
      <c r="D67" s="109"/>
      <c r="E67" s="109"/>
      <c r="F67" s="21"/>
      <c r="G67" s="78"/>
      <c r="H67" s="110"/>
      <c r="I67" s="110"/>
      <c r="J67" s="111"/>
      <c r="K67" s="112"/>
      <c r="L67" s="112"/>
      <c r="AT67" s="1381">
        <v>25</v>
      </c>
      <c r="AU67" s="1379">
        <v>8.8119999999999994</v>
      </c>
    </row>
    <row r="68" spans="1:47">
      <c r="B68" s="109"/>
      <c r="D68" s="109"/>
      <c r="E68" s="109"/>
      <c r="F68" s="21"/>
      <c r="G68" s="78"/>
      <c r="H68" s="110"/>
      <c r="I68" s="110"/>
      <c r="J68" s="111"/>
      <c r="K68" s="112"/>
      <c r="L68" s="112"/>
      <c r="AT68" s="1381">
        <v>26</v>
      </c>
      <c r="AU68" s="1379">
        <v>8.8460000000000001</v>
      </c>
    </row>
    <row r="69" spans="1:47">
      <c r="B69" s="109"/>
      <c r="D69" s="109"/>
      <c r="E69" s="109"/>
      <c r="F69" s="21"/>
      <c r="G69" s="78"/>
      <c r="H69" s="110"/>
      <c r="I69" s="110"/>
      <c r="J69" s="111"/>
      <c r="K69" s="112"/>
      <c r="L69" s="112"/>
      <c r="AT69" s="1381">
        <v>27</v>
      </c>
      <c r="AU69" s="1379">
        <v>8.9139999999999997</v>
      </c>
    </row>
    <row r="70" spans="1:47">
      <c r="B70" s="109"/>
      <c r="D70" s="109"/>
      <c r="E70" s="109"/>
      <c r="F70" s="21"/>
      <c r="G70" s="78"/>
      <c r="H70" s="110"/>
      <c r="I70" s="110"/>
      <c r="J70" s="111"/>
      <c r="K70" s="112"/>
      <c r="L70" s="112"/>
      <c r="AT70" s="1381">
        <v>28</v>
      </c>
      <c r="AU70" s="1379">
        <v>9.9</v>
      </c>
    </row>
    <row r="71" spans="1:47">
      <c r="B71" s="109"/>
      <c r="D71" s="109"/>
      <c r="E71" s="109"/>
      <c r="F71" s="21"/>
      <c r="G71" s="78"/>
      <c r="H71" s="110"/>
      <c r="I71" s="110"/>
      <c r="J71" s="111"/>
      <c r="K71" s="112"/>
      <c r="L71" s="112"/>
      <c r="AT71" s="1381">
        <v>29</v>
      </c>
      <c r="AU71" s="1379">
        <v>8.9</v>
      </c>
    </row>
    <row r="72" spans="1:47">
      <c r="B72" s="109"/>
      <c r="D72" s="109"/>
      <c r="E72" s="109"/>
      <c r="F72" s="21"/>
      <c r="G72" s="78"/>
      <c r="H72" s="110"/>
      <c r="I72" s="110"/>
      <c r="J72" s="111"/>
      <c r="K72" s="112"/>
      <c r="L72" s="112"/>
      <c r="AT72" s="1378">
        <v>30</v>
      </c>
      <c r="AU72" s="1380">
        <v>8.8539999999999992</v>
      </c>
    </row>
    <row r="73" spans="1:47">
      <c r="B73" s="109"/>
      <c r="D73" s="109"/>
      <c r="E73" s="109"/>
      <c r="F73" s="21"/>
      <c r="G73" s="78"/>
      <c r="H73" s="110"/>
      <c r="I73" s="110"/>
      <c r="J73" s="111"/>
      <c r="K73" s="112"/>
      <c r="L73" s="112"/>
      <c r="AT73" s="1381">
        <v>31</v>
      </c>
      <c r="AU73" s="1379">
        <v>8.8149999999999995</v>
      </c>
    </row>
    <row r="74" spans="1:47">
      <c r="B74" s="109"/>
      <c r="D74" s="109"/>
      <c r="E74" s="109"/>
      <c r="F74" s="21"/>
      <c r="G74" s="78"/>
      <c r="H74" s="110"/>
      <c r="I74" s="110"/>
      <c r="J74" s="111"/>
      <c r="K74" s="112"/>
      <c r="L74" s="112"/>
      <c r="AT74" s="1381">
        <v>32</v>
      </c>
      <c r="AU74" s="1379">
        <v>8.9849999999999994</v>
      </c>
    </row>
    <row r="75" spans="1:47">
      <c r="B75" s="109"/>
      <c r="D75" s="109"/>
      <c r="E75" s="109"/>
      <c r="F75" s="21"/>
      <c r="G75" s="78"/>
      <c r="H75" s="110"/>
      <c r="I75" s="110"/>
      <c r="J75" s="111"/>
      <c r="K75" s="112"/>
      <c r="L75" s="112"/>
      <c r="AT75" s="1381">
        <v>33</v>
      </c>
      <c r="AU75" s="1379">
        <v>8.8970000000000002</v>
      </c>
    </row>
    <row r="76" spans="1:47">
      <c r="AT76" s="1381">
        <v>34</v>
      </c>
      <c r="AU76" s="1379">
        <v>8.91</v>
      </c>
    </row>
    <row r="77" spans="1:47">
      <c r="AT77" s="1376">
        <v>35</v>
      </c>
      <c r="AU77" s="1377">
        <v>8.7249999999999996</v>
      </c>
    </row>
    <row r="78" spans="1:47" s="1498" customFormat="1" ht="25.5" customHeight="1">
      <c r="A78" s="1499" t="s">
        <v>91</v>
      </c>
      <c r="B78" s="1500"/>
      <c r="C78" s="1500"/>
      <c r="D78" s="1500"/>
      <c r="E78" s="1500"/>
      <c r="F78" s="1500"/>
      <c r="G78" s="1500"/>
      <c r="H78" s="1500"/>
      <c r="I78" s="1500"/>
      <c r="J78" s="1500"/>
      <c r="K78" s="1500"/>
      <c r="L78" s="1500"/>
      <c r="M78" s="1500"/>
      <c r="N78" s="1500"/>
      <c r="O78" s="1500"/>
      <c r="P78" s="1500"/>
      <c r="Q78" s="1500"/>
      <c r="R78" s="1500"/>
      <c r="S78" s="1500"/>
      <c r="T78" s="1500"/>
      <c r="U78" s="1500"/>
      <c r="V78" s="1500"/>
      <c r="W78" s="1500"/>
      <c r="X78" s="1500"/>
      <c r="Y78" s="1500"/>
      <c r="Z78" s="1500"/>
      <c r="AA78" s="1500"/>
      <c r="AB78" s="1500"/>
      <c r="AC78" s="1500"/>
      <c r="AD78" s="1500"/>
      <c r="AE78" s="1500"/>
      <c r="AF78" s="1500"/>
      <c r="AG78" s="1500"/>
      <c r="AH78" s="1500"/>
      <c r="AI78" s="1500"/>
      <c r="AJ78" s="1500"/>
      <c r="AK78" s="1500"/>
      <c r="AL78" s="1500"/>
      <c r="AM78" s="1500"/>
      <c r="AN78" s="1500"/>
      <c r="AO78" s="1500"/>
      <c r="AP78" s="1500"/>
      <c r="AQ78" s="1500"/>
      <c r="AT78" s="1501">
        <v>36</v>
      </c>
      <c r="AU78" s="1377">
        <v>8.7149999999999999</v>
      </c>
    </row>
    <row r="79" spans="1:47">
      <c r="AT79" s="1376">
        <v>37</v>
      </c>
      <c r="AU79" s="1377">
        <v>8.7520000000000007</v>
      </c>
    </row>
    <row r="80" spans="1:47">
      <c r="B80" s="75" t="s">
        <v>92</v>
      </c>
      <c r="C80" s="75"/>
      <c r="E80" t="s">
        <v>0</v>
      </c>
      <c r="F80" s="76">
        <v>50</v>
      </c>
      <c r="G80" t="s">
        <v>84</v>
      </c>
      <c r="L80" s="75" t="s">
        <v>92</v>
      </c>
      <c r="M80" s="75"/>
      <c r="N80" s="76">
        <v>100</v>
      </c>
      <c r="O80" t="s">
        <v>84</v>
      </c>
      <c r="V80" s="75" t="s">
        <v>92</v>
      </c>
      <c r="W80" s="75"/>
      <c r="X80" s="75">
        <v>200</v>
      </c>
      <c r="Y80" t="s">
        <v>84</v>
      </c>
      <c r="AT80" s="1376">
        <v>38</v>
      </c>
      <c r="AU80" s="1377">
        <v>8.73</v>
      </c>
    </row>
    <row r="81" spans="2:47">
      <c r="B81" s="75" t="s">
        <v>77</v>
      </c>
      <c r="C81" s="75"/>
      <c r="E81" t="s">
        <v>0</v>
      </c>
      <c r="F81" s="75">
        <f>C53</f>
        <v>240</v>
      </c>
      <c r="G81" t="s">
        <v>84</v>
      </c>
      <c r="L81" s="75" t="s">
        <v>77</v>
      </c>
      <c r="M81" s="75"/>
      <c r="N81" s="75">
        <f>C54</f>
        <v>290</v>
      </c>
      <c r="O81" t="s">
        <v>84</v>
      </c>
      <c r="V81" s="75" t="s">
        <v>77</v>
      </c>
      <c r="W81" s="75"/>
      <c r="X81" s="75">
        <f>C55</f>
        <v>390</v>
      </c>
      <c r="Y81" t="s">
        <v>84</v>
      </c>
      <c r="AT81" s="1376">
        <v>39</v>
      </c>
      <c r="AU81" s="1377">
        <v>8.8610000000000007</v>
      </c>
    </row>
    <row r="82" spans="2:47">
      <c r="B82" s="75" t="s">
        <v>78</v>
      </c>
      <c r="C82" s="75"/>
      <c r="E82" t="s">
        <v>0</v>
      </c>
      <c r="F82" s="75">
        <f>D50</f>
        <v>190</v>
      </c>
      <c r="G82" t="s">
        <v>84</v>
      </c>
      <c r="L82" s="75" t="s">
        <v>78</v>
      </c>
      <c r="M82" s="75"/>
      <c r="N82" s="75">
        <f>D50</f>
        <v>190</v>
      </c>
      <c r="O82" t="s">
        <v>84</v>
      </c>
      <c r="V82" s="75" t="s">
        <v>78</v>
      </c>
      <c r="W82" s="75"/>
      <c r="X82" s="75">
        <f>D50</f>
        <v>190</v>
      </c>
      <c r="Y82" t="s">
        <v>84</v>
      </c>
      <c r="AT82" s="1376">
        <v>40</v>
      </c>
      <c r="AU82" s="1377">
        <v>8.8580000000000005</v>
      </c>
    </row>
    <row r="83" spans="2:47">
      <c r="B83" s="75" t="s">
        <v>93</v>
      </c>
      <c r="C83" s="75"/>
      <c r="E83" t="s">
        <v>0</v>
      </c>
      <c r="F83" s="75">
        <f>E53</f>
        <v>228</v>
      </c>
      <c r="G83" t="s">
        <v>84</v>
      </c>
      <c r="L83" s="75" t="s">
        <v>93</v>
      </c>
      <c r="M83" s="75"/>
      <c r="N83" s="75">
        <f>E54</f>
        <v>276</v>
      </c>
      <c r="O83" t="s">
        <v>84</v>
      </c>
      <c r="V83" s="75" t="s">
        <v>105</v>
      </c>
      <c r="W83" s="75"/>
      <c r="X83" s="75">
        <f>E55</f>
        <v>374</v>
      </c>
      <c r="Y83" t="s">
        <v>84</v>
      </c>
      <c r="AT83" s="1376">
        <v>41</v>
      </c>
      <c r="AU83" s="1377">
        <v>8.7590000000000003</v>
      </c>
    </row>
    <row r="84" spans="2:47">
      <c r="B84" s="75" t="s">
        <v>94</v>
      </c>
      <c r="C84" s="75"/>
      <c r="E84" t="s">
        <v>0</v>
      </c>
      <c r="F84" s="75">
        <f>ABS(F83-F82)</f>
        <v>38</v>
      </c>
      <c r="G84" t="s">
        <v>84</v>
      </c>
      <c r="L84" s="75" t="s">
        <v>94</v>
      </c>
      <c r="M84" s="75"/>
      <c r="N84" s="75">
        <f>ABS(N83-N82)</f>
        <v>86</v>
      </c>
      <c r="O84" t="s">
        <v>84</v>
      </c>
      <c r="V84" s="75" t="s">
        <v>94</v>
      </c>
      <c r="W84" s="75"/>
      <c r="X84" s="75">
        <f>ABS(X83-X82)</f>
        <v>184</v>
      </c>
      <c r="Y84" t="s">
        <v>84</v>
      </c>
      <c r="AT84" s="1376">
        <v>42</v>
      </c>
      <c r="AU84" s="1377">
        <v>8.8000000000000007</v>
      </c>
    </row>
    <row r="85" spans="2:47">
      <c r="AT85" s="1376">
        <v>43</v>
      </c>
      <c r="AU85" s="1377">
        <v>8.8610000000000007</v>
      </c>
    </row>
    <row r="86" spans="2:47">
      <c r="B86" s="2045" t="s">
        <v>95</v>
      </c>
      <c r="C86" s="2047" t="s">
        <v>96</v>
      </c>
      <c r="D86" s="2049" t="s">
        <v>55</v>
      </c>
      <c r="E86" s="2051"/>
      <c r="F86" s="2049" t="s">
        <v>97</v>
      </c>
      <c r="G86" s="2051"/>
      <c r="H86" s="2049" t="s">
        <v>79</v>
      </c>
      <c r="I86" s="2050"/>
      <c r="J86" s="2051"/>
      <c r="L86" s="81" t="s">
        <v>95</v>
      </c>
      <c r="M86" s="82" t="s">
        <v>96</v>
      </c>
      <c r="N86" s="82" t="s">
        <v>55</v>
      </c>
      <c r="O86" s="82"/>
      <c r="P86" s="22" t="s">
        <v>97</v>
      </c>
      <c r="Q86" s="22"/>
      <c r="R86" s="22" t="s">
        <v>79</v>
      </c>
      <c r="S86" s="22"/>
      <c r="T86" s="22"/>
      <c r="V86" s="91" t="s">
        <v>95</v>
      </c>
      <c r="W86" s="22" t="s">
        <v>96</v>
      </c>
      <c r="X86" s="82" t="s">
        <v>55</v>
      </c>
      <c r="Y86" s="82"/>
      <c r="Z86" s="22" t="s">
        <v>97</v>
      </c>
      <c r="AA86" s="22"/>
      <c r="AB86" s="22" t="s">
        <v>79</v>
      </c>
      <c r="AC86" s="22"/>
      <c r="AD86" s="22"/>
      <c r="AT86" s="1376">
        <v>44</v>
      </c>
      <c r="AU86" s="1377">
        <v>8.8780000000000001</v>
      </c>
    </row>
    <row r="87" spans="2:47">
      <c r="B87" s="2046"/>
      <c r="C87" s="2048"/>
      <c r="D87" s="82" t="s">
        <v>98</v>
      </c>
      <c r="E87" s="82" t="s">
        <v>98</v>
      </c>
      <c r="F87" s="82" t="s">
        <v>99</v>
      </c>
      <c r="G87" s="82" t="s">
        <v>100</v>
      </c>
      <c r="H87" s="82" t="s">
        <v>101</v>
      </c>
      <c r="I87" s="82" t="s">
        <v>100</v>
      </c>
      <c r="J87" s="82" t="s">
        <v>102</v>
      </c>
      <c r="L87" s="81"/>
      <c r="M87" s="82"/>
      <c r="N87" s="82" t="s">
        <v>98</v>
      </c>
      <c r="O87" s="82" t="s">
        <v>98</v>
      </c>
      <c r="P87" s="82" t="s">
        <v>99</v>
      </c>
      <c r="Q87" s="82" t="s">
        <v>100</v>
      </c>
      <c r="R87" s="82" t="s">
        <v>101</v>
      </c>
      <c r="S87" s="82" t="s">
        <v>100</v>
      </c>
      <c r="T87" s="82" t="s">
        <v>102</v>
      </c>
      <c r="V87" s="81"/>
      <c r="W87" s="82"/>
      <c r="X87" s="82" t="s">
        <v>98</v>
      </c>
      <c r="Y87" s="82" t="s">
        <v>98</v>
      </c>
      <c r="Z87" s="82" t="s">
        <v>99</v>
      </c>
      <c r="AA87" s="82" t="s">
        <v>100</v>
      </c>
      <c r="AB87" s="82" t="s">
        <v>101</v>
      </c>
      <c r="AC87" s="82" t="s">
        <v>100</v>
      </c>
      <c r="AD87" s="82" t="s">
        <v>102</v>
      </c>
      <c r="AT87" s="1376">
        <v>45</v>
      </c>
      <c r="AU87" s="1377">
        <v>8.9410000000000007</v>
      </c>
    </row>
    <row r="88" spans="2:47">
      <c r="B88" s="81"/>
      <c r="C88" s="82"/>
      <c r="D88" s="82" t="s">
        <v>103</v>
      </c>
      <c r="E88" s="82"/>
      <c r="F88" s="82"/>
      <c r="G88" s="82" t="s">
        <v>104</v>
      </c>
      <c r="H88" s="82" t="s">
        <v>84</v>
      </c>
      <c r="I88" s="82" t="s">
        <v>84</v>
      </c>
      <c r="J88" s="82" t="s">
        <v>34</v>
      </c>
      <c r="L88" s="81"/>
      <c r="M88" s="82"/>
      <c r="N88" s="82" t="s">
        <v>103</v>
      </c>
      <c r="O88" s="82"/>
      <c r="P88" s="82"/>
      <c r="Q88" s="82" t="s">
        <v>104</v>
      </c>
      <c r="R88" s="82" t="s">
        <v>84</v>
      </c>
      <c r="S88" s="82" t="s">
        <v>84</v>
      </c>
      <c r="T88" s="82" t="s">
        <v>34</v>
      </c>
      <c r="V88" s="81"/>
      <c r="W88" s="82"/>
      <c r="X88" s="82" t="s">
        <v>103</v>
      </c>
      <c r="Y88" s="82"/>
      <c r="Z88" s="82"/>
      <c r="AA88" s="82" t="s">
        <v>104</v>
      </c>
      <c r="AB88" s="82" t="s">
        <v>84</v>
      </c>
      <c r="AC88" s="82" t="s">
        <v>84</v>
      </c>
      <c r="AD88" s="82" t="s">
        <v>34</v>
      </c>
      <c r="AT88" s="1376">
        <v>46</v>
      </c>
      <c r="AU88" s="1377">
        <v>9.01</v>
      </c>
    </row>
    <row r="89" spans="2:47">
      <c r="B89" s="121" t="e">
        <f>#REF!</f>
        <v>#REF!</v>
      </c>
      <c r="C89" s="120">
        <v>0.33680555555555558</v>
      </c>
      <c r="D89" s="119">
        <v>0</v>
      </c>
      <c r="E89" s="86">
        <f t="shared" ref="E89:E102" si="1">SQRT(D89)</f>
        <v>0</v>
      </c>
      <c r="F89" s="117">
        <v>29.7</v>
      </c>
      <c r="G89" s="88">
        <v>0</v>
      </c>
      <c r="H89" s="89">
        <f>F83</f>
        <v>228</v>
      </c>
      <c r="I89" s="88">
        <v>0</v>
      </c>
      <c r="J89" s="86">
        <f t="shared" ref="J89:J102" si="2">(I89/$F$84)*100</f>
        <v>0</v>
      </c>
      <c r="L89" s="121">
        <f>Z48</f>
        <v>0</v>
      </c>
      <c r="M89" s="120">
        <v>0.34027777777777773</v>
      </c>
      <c r="N89" s="119">
        <v>0</v>
      </c>
      <c r="O89" s="86">
        <f t="shared" ref="O89:O102" si="3">SQRT(N89)</f>
        <v>0</v>
      </c>
      <c r="P89" s="117">
        <v>28.7</v>
      </c>
      <c r="Q89" s="88">
        <v>0</v>
      </c>
      <c r="R89" s="89">
        <f>N83</f>
        <v>276</v>
      </c>
      <c r="S89" s="88">
        <v>0</v>
      </c>
      <c r="T89" s="90">
        <f>(S89/$F$55)*100</f>
        <v>0</v>
      </c>
      <c r="V89" s="83">
        <f>AH48</f>
        <v>0</v>
      </c>
      <c r="W89" s="84">
        <v>0.34375</v>
      </c>
      <c r="X89" s="85">
        <v>0</v>
      </c>
      <c r="Y89" s="86">
        <f t="shared" ref="Y89:Y102" si="4">SQRT(X89)</f>
        <v>0</v>
      </c>
      <c r="Z89" s="87">
        <v>31.7</v>
      </c>
      <c r="AA89" s="86">
        <v>0</v>
      </c>
      <c r="AB89" s="89">
        <f>X83</f>
        <v>374</v>
      </c>
      <c r="AC89" s="86">
        <v>0</v>
      </c>
      <c r="AD89" s="86">
        <f>(AC89/$X$84)*100</f>
        <v>0</v>
      </c>
      <c r="AT89" s="1376">
        <v>47</v>
      </c>
      <c r="AU89" s="1377">
        <v>8.8993000000000002</v>
      </c>
    </row>
    <row r="90" spans="2:47">
      <c r="B90" s="91"/>
      <c r="C90" s="92" t="b">
        <f>C89=D90</f>
        <v>0</v>
      </c>
      <c r="D90" s="119">
        <v>0.25</v>
      </c>
      <c r="E90" s="86">
        <f t="shared" si="1"/>
        <v>0.5</v>
      </c>
      <c r="F90" s="117">
        <v>29.3</v>
      </c>
      <c r="G90" s="88">
        <f>$F$89-F90</f>
        <v>0.39999999999999858</v>
      </c>
      <c r="H90" s="118">
        <v>224</v>
      </c>
      <c r="I90" s="88">
        <f>$H$89-H90</f>
        <v>4</v>
      </c>
      <c r="J90" s="86">
        <f t="shared" si="2"/>
        <v>10.526315789473683</v>
      </c>
      <c r="L90" s="91"/>
      <c r="M90" s="92">
        <v>0.34045138888888887</v>
      </c>
      <c r="N90" s="119">
        <v>0.25</v>
      </c>
      <c r="O90" s="86">
        <f t="shared" si="3"/>
        <v>0.5</v>
      </c>
      <c r="P90" s="117">
        <v>28.3</v>
      </c>
      <c r="Q90" s="88">
        <f>$P$89-P90</f>
        <v>0.39999999999999858</v>
      </c>
      <c r="R90" s="118">
        <v>264</v>
      </c>
      <c r="S90" s="88">
        <f>$R$89-R90</f>
        <v>12</v>
      </c>
      <c r="T90" s="90">
        <f>(S90/$N$84)*100</f>
        <v>13.953488372093023</v>
      </c>
      <c r="V90" s="91"/>
      <c r="W90" s="92">
        <f t="shared" ref="W90:W102" si="5">$D$182+X90/1440</f>
        <v>1.7361111111111112E-4</v>
      </c>
      <c r="X90" s="85">
        <v>0.25</v>
      </c>
      <c r="Y90" s="86">
        <f t="shared" si="4"/>
        <v>0.5</v>
      </c>
      <c r="Z90" s="87">
        <v>31.3</v>
      </c>
      <c r="AA90" s="86">
        <f>$Z$89-Z90</f>
        <v>0.39999999999999858</v>
      </c>
      <c r="AB90" s="93">
        <v>351</v>
      </c>
      <c r="AC90" s="86">
        <f>$AB$89-AB90</f>
        <v>23</v>
      </c>
      <c r="AD90" s="86">
        <f t="shared" ref="AD90:AD102" si="6">(AC90/$X$84)*100</f>
        <v>12.5</v>
      </c>
      <c r="AT90" s="1376">
        <v>48</v>
      </c>
      <c r="AU90" s="1377">
        <v>8.7490000000000006</v>
      </c>
    </row>
    <row r="91" spans="2:47">
      <c r="B91" s="91"/>
      <c r="C91" s="92">
        <v>0.3371527777777778</v>
      </c>
      <c r="D91" s="119">
        <v>0.5</v>
      </c>
      <c r="E91" s="86">
        <f t="shared" si="1"/>
        <v>0.70710678118654757</v>
      </c>
      <c r="F91" s="117">
        <v>29.2</v>
      </c>
      <c r="G91" s="88">
        <f t="shared" ref="G91:G102" si="7">$F$89-F91</f>
        <v>0.5</v>
      </c>
      <c r="H91" s="118">
        <v>216</v>
      </c>
      <c r="I91" s="88">
        <f t="shared" ref="I91:I102" si="8">$H$89-H91</f>
        <v>12</v>
      </c>
      <c r="J91" s="86">
        <f t="shared" si="2"/>
        <v>31.578947368421051</v>
      </c>
      <c r="L91" s="91"/>
      <c r="M91" s="92">
        <v>0.34062500000000001</v>
      </c>
      <c r="N91" s="119">
        <v>0.5</v>
      </c>
      <c r="O91" s="86">
        <f t="shared" si="3"/>
        <v>0.70710678118654757</v>
      </c>
      <c r="P91" s="117">
        <v>28.2</v>
      </c>
      <c r="Q91" s="88">
        <f t="shared" ref="Q91:Q102" si="9">$P$89-P91</f>
        <v>0.5</v>
      </c>
      <c r="R91" s="118">
        <v>250</v>
      </c>
      <c r="S91" s="88">
        <f t="shared" ref="S91:S102" si="10">$R$89-R91</f>
        <v>26</v>
      </c>
      <c r="T91" s="90">
        <f t="shared" ref="T91:T102" si="11">(S91/$N$84)*100</f>
        <v>30.232558139534881</v>
      </c>
      <c r="V91" s="91"/>
      <c r="W91" s="92">
        <f t="shared" si="5"/>
        <v>3.4722222222222224E-4</v>
      </c>
      <c r="X91" s="85">
        <v>0.5</v>
      </c>
      <c r="Y91" s="86">
        <f t="shared" si="4"/>
        <v>0.70710678118654757</v>
      </c>
      <c r="Z91" s="87">
        <v>31.1</v>
      </c>
      <c r="AA91" s="86">
        <f t="shared" ref="AA91:AA102" si="12">$Z$89-Z91</f>
        <v>0.59999999999999787</v>
      </c>
      <c r="AB91" s="93">
        <v>334</v>
      </c>
      <c r="AC91" s="86">
        <f t="shared" ref="AC91:AC102" si="13">$AB$89-AB91</f>
        <v>40</v>
      </c>
      <c r="AD91" s="86">
        <f t="shared" si="6"/>
        <v>21.739130434782609</v>
      </c>
      <c r="AT91" s="1376">
        <v>49</v>
      </c>
      <c r="AU91" s="1377">
        <v>8.8219999999999992</v>
      </c>
    </row>
    <row r="92" spans="2:47">
      <c r="B92" s="91"/>
      <c r="C92" s="92">
        <v>0.33749999999999997</v>
      </c>
      <c r="D92" s="119">
        <v>1</v>
      </c>
      <c r="E92" s="86">
        <f t="shared" si="1"/>
        <v>1</v>
      </c>
      <c r="F92" s="117">
        <v>29</v>
      </c>
      <c r="G92" s="88">
        <f t="shared" si="7"/>
        <v>0.69999999999999929</v>
      </c>
      <c r="H92" s="118">
        <v>214</v>
      </c>
      <c r="I92" s="88">
        <f t="shared" si="8"/>
        <v>14</v>
      </c>
      <c r="J92" s="86">
        <f t="shared" si="2"/>
        <v>36.84210526315789</v>
      </c>
      <c r="L92" s="91"/>
      <c r="M92" s="92">
        <v>0.34097222222222223</v>
      </c>
      <c r="N92" s="119">
        <v>1</v>
      </c>
      <c r="O92" s="86">
        <f t="shared" si="3"/>
        <v>1</v>
      </c>
      <c r="P92" s="117">
        <v>28.1</v>
      </c>
      <c r="Q92" s="88">
        <f t="shared" si="9"/>
        <v>0.59999999999999787</v>
      </c>
      <c r="R92" s="118">
        <v>241</v>
      </c>
      <c r="S92" s="88">
        <f t="shared" si="10"/>
        <v>35</v>
      </c>
      <c r="T92" s="90">
        <f t="shared" si="11"/>
        <v>40.697674418604649</v>
      </c>
      <c r="V92" s="91"/>
      <c r="W92" s="92">
        <f t="shared" si="5"/>
        <v>6.9444444444444447E-4</v>
      </c>
      <c r="X92" s="85">
        <v>1</v>
      </c>
      <c r="Y92" s="86">
        <f t="shared" si="4"/>
        <v>1</v>
      </c>
      <c r="Z92" s="87">
        <v>30.9</v>
      </c>
      <c r="AA92" s="86">
        <f t="shared" si="12"/>
        <v>0.80000000000000071</v>
      </c>
      <c r="AB92" s="93">
        <v>322</v>
      </c>
      <c r="AC92" s="86">
        <f t="shared" si="13"/>
        <v>52</v>
      </c>
      <c r="AD92" s="86">
        <f t="shared" si="6"/>
        <v>28.260869565217391</v>
      </c>
      <c r="AT92" s="1376">
        <v>50</v>
      </c>
      <c r="AU92" s="1377">
        <v>8.7810000000000006</v>
      </c>
    </row>
    <row r="93" spans="2:47">
      <c r="B93" s="91"/>
      <c r="C93" s="92">
        <v>0.33836805555555555</v>
      </c>
      <c r="D93" s="119">
        <v>2.25</v>
      </c>
      <c r="E93" s="86">
        <f t="shared" si="1"/>
        <v>1.5</v>
      </c>
      <c r="F93" s="117">
        <v>28.8</v>
      </c>
      <c r="G93" s="88">
        <f t="shared" si="7"/>
        <v>0.89999999999999858</v>
      </c>
      <c r="H93" s="118">
        <v>209</v>
      </c>
      <c r="I93" s="88">
        <f t="shared" si="8"/>
        <v>19</v>
      </c>
      <c r="J93" s="86">
        <f t="shared" si="2"/>
        <v>50</v>
      </c>
      <c r="L93" s="91"/>
      <c r="M93" s="92">
        <f t="shared" ref="M93:M102" si="14">$D$116+N93/1440</f>
        <v>1.5625000000000001E-3</v>
      </c>
      <c r="N93" s="119">
        <v>2.25</v>
      </c>
      <c r="O93" s="86">
        <f t="shared" si="3"/>
        <v>1.5</v>
      </c>
      <c r="P93" s="117">
        <v>27.9</v>
      </c>
      <c r="Q93" s="88">
        <f t="shared" si="9"/>
        <v>0.80000000000000071</v>
      </c>
      <c r="R93" s="118">
        <v>230</v>
      </c>
      <c r="S93" s="88">
        <f t="shared" si="10"/>
        <v>46</v>
      </c>
      <c r="T93" s="90">
        <f t="shared" si="11"/>
        <v>53.488372093023251</v>
      </c>
      <c r="V93" s="91"/>
      <c r="W93" s="92">
        <f t="shared" si="5"/>
        <v>1.5625000000000001E-3</v>
      </c>
      <c r="X93" s="85">
        <v>2.25</v>
      </c>
      <c r="Y93" s="86">
        <f t="shared" si="4"/>
        <v>1.5</v>
      </c>
      <c r="Z93" s="87">
        <v>30.6</v>
      </c>
      <c r="AA93" s="86">
        <f t="shared" si="12"/>
        <v>1.0999999999999979</v>
      </c>
      <c r="AB93" s="93">
        <v>297</v>
      </c>
      <c r="AC93" s="86">
        <f t="shared" si="13"/>
        <v>77</v>
      </c>
      <c r="AD93" s="86">
        <f t="shared" si="6"/>
        <v>41.847826086956523</v>
      </c>
      <c r="AT93" s="1376">
        <v>51</v>
      </c>
      <c r="AU93" s="1377">
        <v>8.843</v>
      </c>
    </row>
    <row r="94" spans="2:47">
      <c r="B94" s="91"/>
      <c r="C94" s="92">
        <f t="shared" ref="C94:C102" si="15">$D$81+D94/1440</f>
        <v>2.7777777777777779E-3</v>
      </c>
      <c r="D94" s="119">
        <v>4</v>
      </c>
      <c r="E94" s="86">
        <f t="shared" si="1"/>
        <v>2</v>
      </c>
      <c r="F94" s="117">
        <v>28.6</v>
      </c>
      <c r="G94" s="88">
        <f t="shared" si="7"/>
        <v>1.0999999999999979</v>
      </c>
      <c r="H94" s="118">
        <v>205</v>
      </c>
      <c r="I94" s="88">
        <f t="shared" si="8"/>
        <v>23</v>
      </c>
      <c r="J94" s="86">
        <f t="shared" si="2"/>
        <v>60.526315789473685</v>
      </c>
      <c r="L94" s="91"/>
      <c r="M94" s="92">
        <f t="shared" si="14"/>
        <v>2.7777777777777779E-3</v>
      </c>
      <c r="N94" s="119">
        <v>4</v>
      </c>
      <c r="O94" s="86">
        <f t="shared" si="3"/>
        <v>2</v>
      </c>
      <c r="P94" s="117">
        <v>27.8</v>
      </c>
      <c r="Q94" s="88">
        <f t="shared" si="9"/>
        <v>0.89999999999999858</v>
      </c>
      <c r="R94" s="118">
        <v>225</v>
      </c>
      <c r="S94" s="88">
        <f t="shared" si="10"/>
        <v>51</v>
      </c>
      <c r="T94" s="90">
        <f t="shared" si="11"/>
        <v>59.302325581395351</v>
      </c>
      <c r="V94" s="91"/>
      <c r="W94" s="92">
        <f t="shared" si="5"/>
        <v>2.7777777777777779E-3</v>
      </c>
      <c r="X94" s="85">
        <v>4</v>
      </c>
      <c r="Y94" s="86">
        <f t="shared" si="4"/>
        <v>2</v>
      </c>
      <c r="Z94" s="87">
        <v>30.4</v>
      </c>
      <c r="AA94" s="86">
        <f t="shared" si="12"/>
        <v>1.3000000000000007</v>
      </c>
      <c r="AB94" s="93">
        <v>278</v>
      </c>
      <c r="AC94" s="86">
        <f t="shared" si="13"/>
        <v>96</v>
      </c>
      <c r="AD94" s="86">
        <f t="shared" si="6"/>
        <v>52.173913043478258</v>
      </c>
      <c r="AT94" s="1376">
        <v>52</v>
      </c>
      <c r="AU94" s="1377">
        <v>8.8580000000000005</v>
      </c>
    </row>
    <row r="95" spans="2:47">
      <c r="B95" s="91"/>
      <c r="C95" s="92">
        <f t="shared" si="15"/>
        <v>6.2500000000000003E-3</v>
      </c>
      <c r="D95" s="119">
        <v>9</v>
      </c>
      <c r="E95" s="86">
        <f t="shared" si="1"/>
        <v>3</v>
      </c>
      <c r="F95" s="117">
        <v>28.5</v>
      </c>
      <c r="G95" s="88">
        <f t="shared" si="7"/>
        <v>1.1999999999999993</v>
      </c>
      <c r="H95" s="118">
        <v>203</v>
      </c>
      <c r="I95" s="88">
        <f t="shared" si="8"/>
        <v>25</v>
      </c>
      <c r="J95" s="86">
        <f t="shared" si="2"/>
        <v>65.789473684210535</v>
      </c>
      <c r="L95" s="91"/>
      <c r="M95" s="92">
        <f t="shared" si="14"/>
        <v>6.2500000000000003E-3</v>
      </c>
      <c r="N95" s="119">
        <v>9</v>
      </c>
      <c r="O95" s="86">
        <f t="shared" si="3"/>
        <v>3</v>
      </c>
      <c r="P95" s="117">
        <v>27.6</v>
      </c>
      <c r="Q95" s="88">
        <f t="shared" si="9"/>
        <v>1.0999999999999979</v>
      </c>
      <c r="R95" s="118">
        <v>216</v>
      </c>
      <c r="S95" s="88">
        <f t="shared" si="10"/>
        <v>60</v>
      </c>
      <c r="T95" s="90">
        <f t="shared" si="11"/>
        <v>69.767441860465112</v>
      </c>
      <c r="V95" s="91"/>
      <c r="W95" s="92">
        <f t="shared" si="5"/>
        <v>6.2500000000000003E-3</v>
      </c>
      <c r="X95" s="85">
        <v>9</v>
      </c>
      <c r="Y95" s="86">
        <f t="shared" si="4"/>
        <v>3</v>
      </c>
      <c r="Z95" s="87">
        <v>30.2</v>
      </c>
      <c r="AA95" s="86">
        <f t="shared" si="12"/>
        <v>1.5</v>
      </c>
      <c r="AB95" s="93">
        <v>257</v>
      </c>
      <c r="AC95" s="86">
        <f t="shared" si="13"/>
        <v>117</v>
      </c>
      <c r="AD95" s="86">
        <f t="shared" si="6"/>
        <v>63.586956521739133</v>
      </c>
      <c r="AT95" s="1376">
        <v>53</v>
      </c>
      <c r="AU95" s="1377">
        <v>8.7810000000000006</v>
      </c>
    </row>
    <row r="96" spans="2:47">
      <c r="B96" s="91"/>
      <c r="C96" s="92">
        <f t="shared" si="15"/>
        <v>1.1111111111111112E-2</v>
      </c>
      <c r="D96" s="119">
        <v>16</v>
      </c>
      <c r="E96" s="86">
        <f t="shared" si="1"/>
        <v>4</v>
      </c>
      <c r="F96" s="117">
        <v>28.4</v>
      </c>
      <c r="G96" s="88">
        <f t="shared" si="7"/>
        <v>1.3000000000000007</v>
      </c>
      <c r="H96" s="118">
        <v>198</v>
      </c>
      <c r="I96" s="88">
        <f t="shared" si="8"/>
        <v>30</v>
      </c>
      <c r="J96" s="86">
        <f t="shared" si="2"/>
        <v>78.94736842105263</v>
      </c>
      <c r="L96" s="91"/>
      <c r="M96" s="92">
        <f t="shared" si="14"/>
        <v>1.1111111111111112E-2</v>
      </c>
      <c r="N96" s="119">
        <v>16</v>
      </c>
      <c r="O96" s="86">
        <f t="shared" si="3"/>
        <v>4</v>
      </c>
      <c r="P96" s="117">
        <v>27.4</v>
      </c>
      <c r="Q96" s="88">
        <f t="shared" si="9"/>
        <v>1.3000000000000007</v>
      </c>
      <c r="R96" s="118">
        <v>206</v>
      </c>
      <c r="S96" s="88">
        <f t="shared" si="10"/>
        <v>70</v>
      </c>
      <c r="T96" s="90">
        <f t="shared" si="11"/>
        <v>81.395348837209298</v>
      </c>
      <c r="V96" s="91"/>
      <c r="W96" s="92">
        <f t="shared" si="5"/>
        <v>1.1111111111111112E-2</v>
      </c>
      <c r="X96" s="85">
        <v>16</v>
      </c>
      <c r="Y96" s="86">
        <f t="shared" si="4"/>
        <v>4</v>
      </c>
      <c r="Z96" s="87">
        <v>29.9</v>
      </c>
      <c r="AA96" s="86">
        <f t="shared" si="12"/>
        <v>1.8000000000000007</v>
      </c>
      <c r="AB96" s="93">
        <v>247</v>
      </c>
      <c r="AC96" s="86">
        <f t="shared" si="13"/>
        <v>127</v>
      </c>
      <c r="AD96" s="86">
        <f t="shared" si="6"/>
        <v>69.021739130434781</v>
      </c>
      <c r="AT96" s="1376">
        <v>54</v>
      </c>
      <c r="AU96" s="1377">
        <v>8.9179999999999993</v>
      </c>
    </row>
    <row r="97" spans="1:47">
      <c r="B97" s="91"/>
      <c r="C97" s="92">
        <f t="shared" si="15"/>
        <v>1.7361111111111112E-2</v>
      </c>
      <c r="D97" s="119">
        <v>25</v>
      </c>
      <c r="E97" s="86">
        <f t="shared" si="1"/>
        <v>5</v>
      </c>
      <c r="F97" s="117">
        <v>28.3</v>
      </c>
      <c r="G97" s="88">
        <f t="shared" si="7"/>
        <v>1.3999999999999986</v>
      </c>
      <c r="H97" s="118">
        <v>194</v>
      </c>
      <c r="I97" s="88">
        <f t="shared" si="8"/>
        <v>34</v>
      </c>
      <c r="J97" s="86">
        <f t="shared" si="2"/>
        <v>89.473684210526315</v>
      </c>
      <c r="L97" s="91"/>
      <c r="M97" s="92">
        <f t="shared" si="14"/>
        <v>1.7361111111111112E-2</v>
      </c>
      <c r="N97" s="119">
        <v>25</v>
      </c>
      <c r="O97" s="86">
        <f t="shared" si="3"/>
        <v>5</v>
      </c>
      <c r="P97" s="117">
        <v>27.3</v>
      </c>
      <c r="Q97" s="88">
        <f t="shared" si="9"/>
        <v>1.3999999999999986</v>
      </c>
      <c r="R97" s="118">
        <v>200</v>
      </c>
      <c r="S97" s="88">
        <f t="shared" si="10"/>
        <v>76</v>
      </c>
      <c r="T97" s="90">
        <f t="shared" si="11"/>
        <v>88.372093023255815</v>
      </c>
      <c r="V97" s="91"/>
      <c r="W97" s="92">
        <f t="shared" si="5"/>
        <v>1.7361111111111112E-2</v>
      </c>
      <c r="X97" s="85">
        <v>25</v>
      </c>
      <c r="Y97" s="86">
        <f t="shared" si="4"/>
        <v>5</v>
      </c>
      <c r="Z97" s="87">
        <v>29.7</v>
      </c>
      <c r="AA97" s="86">
        <f t="shared" si="12"/>
        <v>2</v>
      </c>
      <c r="AB97" s="93">
        <v>234</v>
      </c>
      <c r="AC97" s="86">
        <f t="shared" si="13"/>
        <v>140</v>
      </c>
      <c r="AD97" s="86">
        <f t="shared" si="6"/>
        <v>76.08695652173914</v>
      </c>
      <c r="AT97" s="1376">
        <v>55</v>
      </c>
      <c r="AU97" s="1377">
        <v>9.0299999999999994</v>
      </c>
    </row>
    <row r="98" spans="1:47">
      <c r="B98" s="91"/>
      <c r="C98" s="92">
        <f t="shared" si="15"/>
        <v>2.5000000000000001E-2</v>
      </c>
      <c r="D98" s="119">
        <v>36</v>
      </c>
      <c r="E98" s="86">
        <f t="shared" si="1"/>
        <v>6</v>
      </c>
      <c r="F98" s="117">
        <v>28.2</v>
      </c>
      <c r="G98" s="88">
        <f t="shared" si="7"/>
        <v>1.5</v>
      </c>
      <c r="H98" s="118">
        <v>193</v>
      </c>
      <c r="I98" s="88">
        <f t="shared" si="8"/>
        <v>35</v>
      </c>
      <c r="J98" s="86">
        <f t="shared" si="2"/>
        <v>92.10526315789474</v>
      </c>
      <c r="L98" s="91"/>
      <c r="M98" s="92">
        <f t="shared" si="14"/>
        <v>2.5000000000000001E-2</v>
      </c>
      <c r="N98" s="119">
        <v>36</v>
      </c>
      <c r="O98" s="86">
        <f t="shared" si="3"/>
        <v>6</v>
      </c>
      <c r="P98" s="117">
        <v>27.1</v>
      </c>
      <c r="Q98" s="88">
        <f t="shared" si="9"/>
        <v>1.5999999999999979</v>
      </c>
      <c r="R98" s="118">
        <v>198</v>
      </c>
      <c r="S98" s="88">
        <f t="shared" si="10"/>
        <v>78</v>
      </c>
      <c r="T98" s="90">
        <f t="shared" si="11"/>
        <v>90.697674418604649</v>
      </c>
      <c r="V98" s="91"/>
      <c r="W98" s="92">
        <f t="shared" si="5"/>
        <v>2.5000000000000001E-2</v>
      </c>
      <c r="X98" s="85">
        <v>36</v>
      </c>
      <c r="Y98" s="86">
        <f t="shared" si="4"/>
        <v>6</v>
      </c>
      <c r="Z98" s="87">
        <v>29.6</v>
      </c>
      <c r="AA98" s="86">
        <f t="shared" si="12"/>
        <v>2.0999999999999979</v>
      </c>
      <c r="AB98" s="93">
        <v>216</v>
      </c>
      <c r="AC98" s="86">
        <f t="shared" si="13"/>
        <v>158</v>
      </c>
      <c r="AD98" s="86">
        <f t="shared" si="6"/>
        <v>85.869565217391312</v>
      </c>
      <c r="AT98" s="1376">
        <v>56</v>
      </c>
      <c r="AU98" s="1377">
        <v>8.9239999999999995</v>
      </c>
    </row>
    <row r="99" spans="1:47">
      <c r="B99" s="91"/>
      <c r="C99" s="92">
        <f t="shared" si="15"/>
        <v>4.4444444444444446E-2</v>
      </c>
      <c r="D99" s="119">
        <v>64</v>
      </c>
      <c r="E99" s="86">
        <f t="shared" si="1"/>
        <v>8</v>
      </c>
      <c r="F99" s="117">
        <v>28.1</v>
      </c>
      <c r="G99" s="88">
        <f t="shared" si="7"/>
        <v>1.5999999999999979</v>
      </c>
      <c r="H99" s="118">
        <v>190</v>
      </c>
      <c r="I99" s="88">
        <f t="shared" si="8"/>
        <v>38</v>
      </c>
      <c r="J99" s="86">
        <f t="shared" si="2"/>
        <v>100</v>
      </c>
      <c r="L99" s="91"/>
      <c r="M99" s="92">
        <f t="shared" si="14"/>
        <v>4.4444444444444446E-2</v>
      </c>
      <c r="N99" s="119">
        <v>64</v>
      </c>
      <c r="O99" s="86">
        <f t="shared" si="3"/>
        <v>8</v>
      </c>
      <c r="P99" s="117">
        <v>27</v>
      </c>
      <c r="Q99" s="88">
        <f t="shared" si="9"/>
        <v>1.6999999999999993</v>
      </c>
      <c r="R99" s="118">
        <v>194</v>
      </c>
      <c r="S99" s="88">
        <f t="shared" si="10"/>
        <v>82</v>
      </c>
      <c r="T99" s="90">
        <f t="shared" si="11"/>
        <v>95.348837209302332</v>
      </c>
      <c r="V99" s="91"/>
      <c r="W99" s="92">
        <f t="shared" si="5"/>
        <v>4.4444444444444446E-2</v>
      </c>
      <c r="X99" s="85">
        <v>64</v>
      </c>
      <c r="Y99" s="86">
        <f t="shared" si="4"/>
        <v>8</v>
      </c>
      <c r="Z99" s="87">
        <v>29.5</v>
      </c>
      <c r="AA99" s="86">
        <f t="shared" si="12"/>
        <v>2.1999999999999993</v>
      </c>
      <c r="AB99" s="93">
        <v>203</v>
      </c>
      <c r="AC99" s="86">
        <f t="shared" si="13"/>
        <v>171</v>
      </c>
      <c r="AD99" s="86">
        <f t="shared" si="6"/>
        <v>92.934782608695656</v>
      </c>
      <c r="AT99" s="1376">
        <v>57</v>
      </c>
      <c r="AU99" s="1377">
        <v>9.0109999999999992</v>
      </c>
    </row>
    <row r="100" spans="1:47">
      <c r="B100" s="91"/>
      <c r="C100" s="92">
        <f t="shared" si="15"/>
        <v>8.4027777777777785E-2</v>
      </c>
      <c r="D100" s="119">
        <v>121</v>
      </c>
      <c r="E100" s="86">
        <f t="shared" si="1"/>
        <v>11</v>
      </c>
      <c r="F100" s="117">
        <v>28.1</v>
      </c>
      <c r="G100" s="88">
        <f t="shared" si="7"/>
        <v>1.5999999999999979</v>
      </c>
      <c r="H100" s="118">
        <v>190</v>
      </c>
      <c r="I100" s="88">
        <f t="shared" si="8"/>
        <v>38</v>
      </c>
      <c r="J100" s="86">
        <f t="shared" si="2"/>
        <v>100</v>
      </c>
      <c r="L100" s="91"/>
      <c r="M100" s="92">
        <f t="shared" si="14"/>
        <v>8.4027777777777785E-2</v>
      </c>
      <c r="N100" s="119">
        <v>121</v>
      </c>
      <c r="O100" s="86">
        <f t="shared" si="3"/>
        <v>11</v>
      </c>
      <c r="P100" s="117">
        <v>27</v>
      </c>
      <c r="Q100" s="88">
        <f t="shared" si="9"/>
        <v>1.6999999999999993</v>
      </c>
      <c r="R100" s="118">
        <v>190</v>
      </c>
      <c r="S100" s="88">
        <f t="shared" si="10"/>
        <v>86</v>
      </c>
      <c r="T100" s="90">
        <f t="shared" si="11"/>
        <v>100</v>
      </c>
      <c r="V100" s="91"/>
      <c r="W100" s="92">
        <f t="shared" si="5"/>
        <v>8.4027777777777785E-2</v>
      </c>
      <c r="X100" s="85">
        <v>121</v>
      </c>
      <c r="Y100" s="86">
        <f t="shared" si="4"/>
        <v>11</v>
      </c>
      <c r="Z100" s="87">
        <v>29.5</v>
      </c>
      <c r="AA100" s="86">
        <f t="shared" si="12"/>
        <v>2.1999999999999993</v>
      </c>
      <c r="AB100" s="93">
        <v>194</v>
      </c>
      <c r="AC100" s="86">
        <f t="shared" si="13"/>
        <v>180</v>
      </c>
      <c r="AD100" s="86">
        <f t="shared" si="6"/>
        <v>97.826086956521735</v>
      </c>
      <c r="AT100" s="1376">
        <v>58</v>
      </c>
      <c r="AU100" s="1377">
        <v>8.8539999999999992</v>
      </c>
    </row>
    <row r="101" spans="1:47">
      <c r="B101" s="91"/>
      <c r="C101" s="92">
        <f t="shared" si="15"/>
        <v>0.15625</v>
      </c>
      <c r="D101" s="119">
        <v>225</v>
      </c>
      <c r="E101" s="86">
        <f t="shared" si="1"/>
        <v>15</v>
      </c>
      <c r="F101" s="117">
        <v>28.1</v>
      </c>
      <c r="G101" s="88">
        <f t="shared" si="7"/>
        <v>1.5999999999999979</v>
      </c>
      <c r="H101" s="118">
        <v>190</v>
      </c>
      <c r="I101" s="88">
        <f t="shared" si="8"/>
        <v>38</v>
      </c>
      <c r="J101" s="86">
        <f t="shared" si="2"/>
        <v>100</v>
      </c>
      <c r="L101" s="91"/>
      <c r="M101" s="92">
        <f t="shared" si="14"/>
        <v>0.15625</v>
      </c>
      <c r="N101" s="119">
        <v>225</v>
      </c>
      <c r="O101" s="86">
        <f t="shared" si="3"/>
        <v>15</v>
      </c>
      <c r="P101" s="117">
        <v>27</v>
      </c>
      <c r="Q101" s="88">
        <f t="shared" si="9"/>
        <v>1.6999999999999993</v>
      </c>
      <c r="R101" s="118">
        <v>190</v>
      </c>
      <c r="S101" s="88">
        <f t="shared" si="10"/>
        <v>86</v>
      </c>
      <c r="T101" s="90">
        <f t="shared" si="11"/>
        <v>100</v>
      </c>
      <c r="V101" s="91"/>
      <c r="W101" s="92">
        <f t="shared" si="5"/>
        <v>0.15625</v>
      </c>
      <c r="X101" s="85">
        <v>225</v>
      </c>
      <c r="Y101" s="86">
        <f t="shared" si="4"/>
        <v>15</v>
      </c>
      <c r="Z101" s="87">
        <v>29.5</v>
      </c>
      <c r="AA101" s="86">
        <f t="shared" si="12"/>
        <v>2.1999999999999993</v>
      </c>
      <c r="AB101" s="93">
        <v>190</v>
      </c>
      <c r="AC101" s="86">
        <f t="shared" si="13"/>
        <v>184</v>
      </c>
      <c r="AD101" s="86">
        <f t="shared" si="6"/>
        <v>100</v>
      </c>
      <c r="AT101" s="1376">
        <v>59</v>
      </c>
      <c r="AU101" s="1377">
        <v>8.8989999999999991</v>
      </c>
    </row>
    <row r="102" spans="1:47">
      <c r="B102" s="94"/>
      <c r="C102" s="92">
        <f t="shared" si="15"/>
        <v>0.75694444444444442</v>
      </c>
      <c r="D102" s="119">
        <v>1090</v>
      </c>
      <c r="E102" s="86">
        <f t="shared" si="1"/>
        <v>33.015148038438355</v>
      </c>
      <c r="F102" s="117">
        <v>28.1</v>
      </c>
      <c r="G102" s="88">
        <f t="shared" si="7"/>
        <v>1.5999999999999979</v>
      </c>
      <c r="H102" s="118">
        <v>190</v>
      </c>
      <c r="I102" s="88">
        <f t="shared" si="8"/>
        <v>38</v>
      </c>
      <c r="J102" s="86">
        <f t="shared" si="2"/>
        <v>100</v>
      </c>
      <c r="L102" s="94"/>
      <c r="M102" s="92">
        <f t="shared" si="14"/>
        <v>0.75694444444444442</v>
      </c>
      <c r="N102" s="119">
        <v>1090</v>
      </c>
      <c r="O102" s="86">
        <f t="shared" si="3"/>
        <v>33.015148038438355</v>
      </c>
      <c r="P102" s="117">
        <v>27</v>
      </c>
      <c r="Q102" s="88">
        <f t="shared" si="9"/>
        <v>1.6999999999999993</v>
      </c>
      <c r="R102" s="118">
        <v>190</v>
      </c>
      <c r="S102" s="88">
        <f t="shared" si="10"/>
        <v>86</v>
      </c>
      <c r="T102" s="90">
        <f t="shared" si="11"/>
        <v>100</v>
      </c>
      <c r="V102" s="94"/>
      <c r="W102" s="92">
        <f t="shared" si="5"/>
        <v>0.75694444444444442</v>
      </c>
      <c r="X102" s="85">
        <v>1090</v>
      </c>
      <c r="Y102" s="86">
        <f t="shared" si="4"/>
        <v>33.015148038438355</v>
      </c>
      <c r="Z102" s="87">
        <v>29.5</v>
      </c>
      <c r="AA102" s="86">
        <f t="shared" si="12"/>
        <v>2.1999999999999993</v>
      </c>
      <c r="AB102" s="93">
        <v>190</v>
      </c>
      <c r="AC102" s="86">
        <f t="shared" si="13"/>
        <v>184</v>
      </c>
      <c r="AD102" s="86">
        <f t="shared" si="6"/>
        <v>100</v>
      </c>
      <c r="AT102" s="1376">
        <v>60</v>
      </c>
      <c r="AU102" s="1377">
        <v>8.8209999999999997</v>
      </c>
    </row>
    <row r="103" spans="1:47">
      <c r="B103" s="75"/>
      <c r="D103" s="79"/>
      <c r="H103" s="80"/>
      <c r="J103" s="77"/>
      <c r="O103" s="75"/>
      <c r="Q103" s="79"/>
      <c r="U103" s="80"/>
      <c r="V103" s="75"/>
      <c r="X103" s="21"/>
      <c r="AB103" s="95"/>
      <c r="AD103" s="77"/>
      <c r="AT103" s="1376">
        <v>61</v>
      </c>
      <c r="AU103" s="1377">
        <v>8.8450000000000006</v>
      </c>
    </row>
    <row r="104" spans="1:47">
      <c r="B104" s="75"/>
      <c r="C104" t="s">
        <v>1513</v>
      </c>
      <c r="D104" s="79"/>
      <c r="G104" s="970">
        <f>MAX(G89:G102)</f>
        <v>1.5999999999999979</v>
      </c>
      <c r="H104" s="80"/>
      <c r="J104" s="77"/>
      <c r="O104" s="75"/>
      <c r="Q104" s="970">
        <f>MAX(Q89:Q102)</f>
        <v>1.6999999999999993</v>
      </c>
      <c r="U104" s="80"/>
      <c r="V104" s="75"/>
      <c r="X104" s="21"/>
      <c r="AA104" s="970">
        <f>MAX(AA89:AA102)</f>
        <v>2.1999999999999993</v>
      </c>
      <c r="AB104" s="95"/>
      <c r="AD104" s="77"/>
      <c r="AT104" s="1376">
        <v>62</v>
      </c>
      <c r="AU104" s="1377">
        <v>8.76</v>
      </c>
    </row>
    <row r="105" spans="1:47">
      <c r="B105" s="75"/>
      <c r="D105" s="79"/>
      <c r="H105" s="80"/>
      <c r="J105" s="77"/>
      <c r="O105" s="75"/>
      <c r="Q105" s="79"/>
      <c r="U105" s="80"/>
      <c r="V105" s="75"/>
      <c r="X105" s="21"/>
      <c r="AB105" s="95"/>
      <c r="AD105" s="77"/>
      <c r="AT105" s="1376">
        <v>63</v>
      </c>
      <c r="AU105" s="1377">
        <v>8.86</v>
      </c>
    </row>
    <row r="106" spans="1:47">
      <c r="AT106" s="1376">
        <v>64</v>
      </c>
      <c r="AU106" s="1377">
        <v>8.8089999999999993</v>
      </c>
    </row>
    <row r="107" spans="1:47">
      <c r="AT107" s="1376">
        <v>65</v>
      </c>
      <c r="AU107" s="1377">
        <v>8.8840000000000003</v>
      </c>
    </row>
    <row r="108" spans="1:47">
      <c r="AT108" s="1376">
        <v>66</v>
      </c>
      <c r="AU108" s="1377">
        <v>8.923</v>
      </c>
    </row>
    <row r="109" spans="1:47" s="1498" customFormat="1" ht="25.5" customHeight="1">
      <c r="A109" s="1499" t="s">
        <v>137</v>
      </c>
      <c r="B109" s="1500"/>
      <c r="C109" s="1500"/>
      <c r="D109" s="1500"/>
      <c r="E109" s="1500"/>
      <c r="F109" s="1500"/>
      <c r="G109" s="1500"/>
      <c r="H109" s="1500"/>
      <c r="I109" s="1500"/>
      <c r="J109" s="1500"/>
      <c r="K109" s="1500"/>
      <c r="L109" s="1500"/>
      <c r="M109" s="1500"/>
      <c r="N109" s="1500"/>
      <c r="O109" s="1500"/>
      <c r="P109" s="1500"/>
      <c r="Q109" s="1500"/>
      <c r="R109" s="1500"/>
      <c r="S109" s="1500"/>
      <c r="T109" s="1500"/>
      <c r="U109" s="1500"/>
      <c r="V109" s="1500"/>
      <c r="W109" s="1500"/>
      <c r="X109" s="1500"/>
      <c r="Y109" s="1500"/>
      <c r="Z109" s="1500"/>
      <c r="AA109" s="1500"/>
      <c r="AB109" s="1500"/>
      <c r="AC109" s="1500"/>
      <c r="AD109" s="1500"/>
      <c r="AE109" s="1500"/>
      <c r="AF109" s="1500"/>
      <c r="AG109" s="1500"/>
      <c r="AH109" s="1500"/>
      <c r="AI109" s="1500"/>
      <c r="AJ109" s="1500"/>
      <c r="AK109" s="1500"/>
      <c r="AL109" s="1500"/>
      <c r="AM109" s="1500"/>
      <c r="AN109" s="1500"/>
      <c r="AO109" s="1500"/>
      <c r="AP109" s="1500"/>
      <c r="AQ109" s="1500"/>
      <c r="AT109" s="1501">
        <v>67</v>
      </c>
      <c r="AU109" s="1377">
        <v>8.9600000000000009</v>
      </c>
    </row>
    <row r="110" spans="1:47">
      <c r="AF110" s="42"/>
      <c r="AT110" s="1376">
        <v>68</v>
      </c>
      <c r="AU110" s="1377">
        <v>8.9870000000000001</v>
      </c>
    </row>
    <row r="111" spans="1:47">
      <c r="B111" t="str">
        <f>B80</f>
        <v>Effective pressure</v>
      </c>
      <c r="D111">
        <f>F80</f>
        <v>50</v>
      </c>
      <c r="E111" t="s">
        <v>465</v>
      </c>
      <c r="F111" s="4" t="s">
        <v>138</v>
      </c>
      <c r="G111" s="1370">
        <f>G104/$F$31</f>
        <v>1.8572464649635072E-2</v>
      </c>
      <c r="I111" t="s">
        <v>140</v>
      </c>
      <c r="L111" s="42">
        <f>$D$28*(1-((2/3)*G111))</f>
        <v>75.058995124418487</v>
      </c>
      <c r="M111" t="s">
        <v>75</v>
      </c>
      <c r="O111" t="s">
        <v>92</v>
      </c>
      <c r="Q111">
        <f>N80</f>
        <v>100</v>
      </c>
      <c r="R111" t="s">
        <v>465</v>
      </c>
      <c r="S111" s="4" t="s">
        <v>138</v>
      </c>
      <c r="T111" s="1371">
        <f>Q104/(L113*0.001)</f>
        <v>2.0106674185774311E-2</v>
      </c>
      <c r="U111" t="s">
        <v>140</v>
      </c>
      <c r="X111" s="42">
        <f>L111*(1-((2/3)*T111))</f>
        <v>74.052870617966278</v>
      </c>
      <c r="Y111" t="s">
        <v>75</v>
      </c>
      <c r="AB111" t="s">
        <v>92</v>
      </c>
      <c r="AD111">
        <f>X80</f>
        <v>200</v>
      </c>
      <c r="AE111" t="s">
        <v>465</v>
      </c>
      <c r="AF111" s="4" t="s">
        <v>138</v>
      </c>
      <c r="AG111" s="1371">
        <f>AA104/(X113*0.001)</f>
        <v>2.6554320967388387E-2</v>
      </c>
      <c r="AH111" t="s">
        <v>140</v>
      </c>
      <c r="AK111" s="42">
        <f>X111*(1-((2/3)*AG111))</f>
        <v>72.741921488002305</v>
      </c>
      <c r="AL111" t="s">
        <v>75</v>
      </c>
      <c r="AT111" s="1376">
        <v>69</v>
      </c>
      <c r="AU111" s="1377">
        <v>8.8239999999999998</v>
      </c>
    </row>
    <row r="112" spans="1:47">
      <c r="B112" t="str">
        <f>B81</f>
        <v>Cell pressure</v>
      </c>
      <c r="D112">
        <f>F81</f>
        <v>240</v>
      </c>
      <c r="E112" t="s">
        <v>465</v>
      </c>
      <c r="G112" s="4"/>
      <c r="H112" s="126"/>
      <c r="I112" t="s">
        <v>139</v>
      </c>
      <c r="L112" s="42">
        <f>L113/L111</f>
        <v>1126.4344781041996</v>
      </c>
      <c r="M112" t="s">
        <v>107</v>
      </c>
      <c r="O112" t="s">
        <v>77</v>
      </c>
      <c r="Q112">
        <f>N81</f>
        <v>290</v>
      </c>
      <c r="R112" t="s">
        <v>465</v>
      </c>
      <c r="T112" s="4"/>
      <c r="U112" t="s">
        <v>139</v>
      </c>
      <c r="X112" s="42">
        <f>X113/X111</f>
        <v>1118.7822876902715</v>
      </c>
      <c r="Y112" t="s">
        <v>107</v>
      </c>
      <c r="AB112" t="s">
        <v>77</v>
      </c>
      <c r="AD112">
        <f>X81</f>
        <v>390</v>
      </c>
      <c r="AE112" t="s">
        <v>465</v>
      </c>
      <c r="AF112" s="42"/>
      <c r="AG112" s="4"/>
      <c r="AH112" t="s">
        <v>139</v>
      </c>
      <c r="AK112" s="42">
        <f>AK113/AK111</f>
        <v>1108.7009849375761</v>
      </c>
      <c r="AL112" t="s">
        <v>107</v>
      </c>
      <c r="AT112" s="1376">
        <v>70</v>
      </c>
      <c r="AU112" s="1377">
        <v>8.923</v>
      </c>
    </row>
    <row r="113" spans="2:47">
      <c r="B113" t="str">
        <f>B82</f>
        <v>Back pressure</v>
      </c>
      <c r="D113">
        <f>F82</f>
        <v>190</v>
      </c>
      <c r="E113" t="s">
        <v>465</v>
      </c>
      <c r="G113" s="130"/>
      <c r="H113" s="131"/>
      <c r="I113" t="s">
        <v>141</v>
      </c>
      <c r="L113" s="42">
        <f>D31*(1-G111)</f>
        <v>84549.04</v>
      </c>
      <c r="M113" t="s">
        <v>122</v>
      </c>
      <c r="O113" t="s">
        <v>78</v>
      </c>
      <c r="Q113">
        <f>N82</f>
        <v>190</v>
      </c>
      <c r="R113" t="s">
        <v>465</v>
      </c>
      <c r="U113" t="s">
        <v>141</v>
      </c>
      <c r="X113" s="42">
        <f>L113*(1-T111)</f>
        <v>82849.039999999994</v>
      </c>
      <c r="Y113" t="s">
        <v>122</v>
      </c>
      <c r="AB113" t="s">
        <v>78</v>
      </c>
      <c r="AD113">
        <f>X82</f>
        <v>190</v>
      </c>
      <c r="AE113" t="s">
        <v>465</v>
      </c>
      <c r="AG113" s="130"/>
      <c r="AH113" t="s">
        <v>141</v>
      </c>
      <c r="AK113" s="42">
        <f>X113*(1-AG111)</f>
        <v>80649.039999999994</v>
      </c>
      <c r="AL113" t="s">
        <v>122</v>
      </c>
      <c r="AT113" s="1376">
        <v>71</v>
      </c>
      <c r="AU113" s="1377">
        <v>8.8940000000000001</v>
      </c>
    </row>
    <row r="114" spans="2:47">
      <c r="B114" t="str">
        <f>B83</f>
        <v>PWP after build-up</v>
      </c>
      <c r="D114">
        <f>F83</f>
        <v>228</v>
      </c>
      <c r="E114" t="s">
        <v>465</v>
      </c>
      <c r="I114" t="s">
        <v>142</v>
      </c>
      <c r="O114" t="s">
        <v>93</v>
      </c>
      <c r="Q114">
        <f>N83</f>
        <v>276</v>
      </c>
      <c r="R114" t="s">
        <v>465</v>
      </c>
      <c r="U114" t="s">
        <v>142</v>
      </c>
      <c r="AB114" t="s">
        <v>93</v>
      </c>
      <c r="AD114">
        <f>X83</f>
        <v>374</v>
      </c>
      <c r="AE114" t="s">
        <v>465</v>
      </c>
      <c r="AH114" t="s">
        <v>142</v>
      </c>
      <c r="AT114" s="1376">
        <v>72</v>
      </c>
      <c r="AU114" s="1377">
        <v>8.8279999999999994</v>
      </c>
    </row>
    <row r="115" spans="2:47">
      <c r="B115" t="str">
        <f>B84</f>
        <v>Difference</v>
      </c>
      <c r="D115">
        <f>F84</f>
        <v>38</v>
      </c>
      <c r="E115" t="s">
        <v>465</v>
      </c>
      <c r="I115" t="s">
        <v>143</v>
      </c>
      <c r="L115" s="102">
        <v>5.4890000000000001E-2</v>
      </c>
      <c r="M115" t="s">
        <v>204</v>
      </c>
      <c r="O115" t="s">
        <v>94</v>
      </c>
      <c r="Q115">
        <f>N84</f>
        <v>86</v>
      </c>
      <c r="R115" t="s">
        <v>465</v>
      </c>
      <c r="U115" t="s">
        <v>143</v>
      </c>
      <c r="X115" s="102">
        <f>L115</f>
        <v>5.4890000000000001E-2</v>
      </c>
      <c r="Y115" t="s">
        <v>471</v>
      </c>
      <c r="AB115" t="s">
        <v>94</v>
      </c>
      <c r="AD115">
        <f>X84</f>
        <v>184</v>
      </c>
      <c r="AE115" t="s">
        <v>465</v>
      </c>
      <c r="AH115" t="s">
        <v>143</v>
      </c>
      <c r="AK115" s="102">
        <f>X115</f>
        <v>5.4890000000000001E-2</v>
      </c>
      <c r="AL115" t="s">
        <v>204</v>
      </c>
      <c r="AT115" s="1376">
        <v>73</v>
      </c>
      <c r="AU115" s="1377">
        <v>8.8030000000000008</v>
      </c>
    </row>
    <row r="116" spans="2:47">
      <c r="AT116" s="1376">
        <v>74</v>
      </c>
      <c r="AU116" s="1377">
        <v>8.9489999999999998</v>
      </c>
    </row>
    <row r="117" spans="2:47" ht="31.5">
      <c r="B117" s="2066" t="s">
        <v>145</v>
      </c>
      <c r="C117" s="2066"/>
      <c r="D117" s="153" t="s">
        <v>146</v>
      </c>
      <c r="E117" s="2057" t="s">
        <v>147</v>
      </c>
      <c r="F117" s="2059"/>
      <c r="G117" s="2057" t="s">
        <v>79</v>
      </c>
      <c r="H117" s="2059"/>
      <c r="I117" s="132" t="s">
        <v>148</v>
      </c>
      <c r="J117" s="2057" t="s">
        <v>149</v>
      </c>
      <c r="K117" s="2058"/>
      <c r="L117" s="2058"/>
      <c r="M117" s="2059"/>
      <c r="N117" s="5"/>
      <c r="O117" s="2066" t="s">
        <v>145</v>
      </c>
      <c r="P117" s="2066"/>
      <c r="Q117" s="153" t="s">
        <v>146</v>
      </c>
      <c r="R117" s="2057" t="s">
        <v>147</v>
      </c>
      <c r="S117" s="2059"/>
      <c r="T117" s="2057" t="s">
        <v>79</v>
      </c>
      <c r="U117" s="2059"/>
      <c r="V117" s="132" t="s">
        <v>148</v>
      </c>
      <c r="W117" s="2057" t="s">
        <v>149</v>
      </c>
      <c r="X117" s="2058"/>
      <c r="Y117" s="2058"/>
      <c r="Z117" s="2059"/>
      <c r="AB117" s="2066" t="s">
        <v>145</v>
      </c>
      <c r="AC117" s="2066"/>
      <c r="AD117" s="153" t="s">
        <v>146</v>
      </c>
      <c r="AE117" s="2057" t="s">
        <v>147</v>
      </c>
      <c r="AF117" s="2059"/>
      <c r="AG117" s="2057" t="s">
        <v>79</v>
      </c>
      <c r="AH117" s="2059"/>
      <c r="AI117" s="132" t="s">
        <v>148</v>
      </c>
      <c r="AJ117" s="2057" t="s">
        <v>149</v>
      </c>
      <c r="AK117" s="2058"/>
      <c r="AL117" s="2058"/>
      <c r="AM117" s="2059"/>
      <c r="AT117" s="1376">
        <v>75</v>
      </c>
      <c r="AU117" s="1377">
        <v>8.8510000000000009</v>
      </c>
    </row>
    <row r="118" spans="2:47" ht="31.5">
      <c r="B118" s="132" t="s">
        <v>150</v>
      </c>
      <c r="C118" s="141" t="s">
        <v>151</v>
      </c>
      <c r="D118" s="142"/>
      <c r="E118" s="132" t="s">
        <v>150</v>
      </c>
      <c r="F118" s="132" t="s">
        <v>58</v>
      </c>
      <c r="G118" s="132" t="s">
        <v>152</v>
      </c>
      <c r="H118" s="132" t="s">
        <v>153</v>
      </c>
      <c r="I118" s="143" t="s">
        <v>154</v>
      </c>
      <c r="J118" s="143" t="s">
        <v>155</v>
      </c>
      <c r="K118" s="143" t="s">
        <v>156</v>
      </c>
      <c r="L118" s="143" t="s">
        <v>157</v>
      </c>
      <c r="M118" s="143" t="s">
        <v>158</v>
      </c>
      <c r="N118" s="133"/>
      <c r="O118" s="132" t="s">
        <v>150</v>
      </c>
      <c r="P118" s="141" t="s">
        <v>151</v>
      </c>
      <c r="Q118" s="142"/>
      <c r="R118" s="132" t="s">
        <v>150</v>
      </c>
      <c r="S118" s="132" t="s">
        <v>58</v>
      </c>
      <c r="T118" s="132" t="s">
        <v>152</v>
      </c>
      <c r="U118" s="132" t="s">
        <v>153</v>
      </c>
      <c r="V118" s="143" t="s">
        <v>154</v>
      </c>
      <c r="W118" s="143" t="s">
        <v>155</v>
      </c>
      <c r="X118" s="143" t="s">
        <v>156</v>
      </c>
      <c r="Y118" s="143" t="s">
        <v>157</v>
      </c>
      <c r="Z118" s="143" t="s">
        <v>158</v>
      </c>
      <c r="AB118" s="132" t="s">
        <v>150</v>
      </c>
      <c r="AC118" s="141" t="s">
        <v>151</v>
      </c>
      <c r="AD118" s="142"/>
      <c r="AE118" s="132" t="s">
        <v>150</v>
      </c>
      <c r="AF118" s="132" t="s">
        <v>58</v>
      </c>
      <c r="AG118" s="132" t="s">
        <v>152</v>
      </c>
      <c r="AH118" s="132" t="s">
        <v>153</v>
      </c>
      <c r="AI118" s="143" t="s">
        <v>154</v>
      </c>
      <c r="AJ118" s="143" t="s">
        <v>155</v>
      </c>
      <c r="AK118" s="143" t="s">
        <v>156</v>
      </c>
      <c r="AL118" s="143" t="s">
        <v>157</v>
      </c>
      <c r="AM118" s="143" t="s">
        <v>158</v>
      </c>
      <c r="AT118" s="1376">
        <v>76</v>
      </c>
      <c r="AU118" s="1377">
        <v>8.7460000000000004</v>
      </c>
    </row>
    <row r="119" spans="2:47">
      <c r="B119" s="22"/>
      <c r="C119" s="81" t="s">
        <v>75</v>
      </c>
      <c r="D119" s="82" t="s">
        <v>34</v>
      </c>
      <c r="E119" s="82" t="s">
        <v>62</v>
      </c>
      <c r="F119" s="82" t="s">
        <v>1391</v>
      </c>
      <c r="G119" s="82" t="s">
        <v>465</v>
      </c>
      <c r="H119" s="82"/>
      <c r="I119" s="82" t="s">
        <v>465</v>
      </c>
      <c r="J119" s="82" t="s">
        <v>465</v>
      </c>
      <c r="K119" s="82" t="s">
        <v>465</v>
      </c>
      <c r="L119" s="82" t="s">
        <v>465</v>
      </c>
      <c r="M119" s="144"/>
      <c r="N119" s="21"/>
      <c r="O119" s="22"/>
      <c r="P119" s="81" t="s">
        <v>75</v>
      </c>
      <c r="Q119" s="82" t="s">
        <v>34</v>
      </c>
      <c r="R119" s="82" t="s">
        <v>62</v>
      </c>
      <c r="S119" s="82" t="s">
        <v>1391</v>
      </c>
      <c r="T119" t="s">
        <v>465</v>
      </c>
      <c r="U119" s="82"/>
      <c r="V119" t="s">
        <v>465</v>
      </c>
      <c r="W119" t="s">
        <v>465</v>
      </c>
      <c r="X119" t="s">
        <v>465</v>
      </c>
      <c r="Y119" t="s">
        <v>465</v>
      </c>
      <c r="Z119" s="144"/>
      <c r="AB119" s="22"/>
      <c r="AC119" s="81" t="s">
        <v>75</v>
      </c>
      <c r="AD119" s="82" t="s">
        <v>34</v>
      </c>
      <c r="AE119" s="82" t="s">
        <v>62</v>
      </c>
      <c r="AF119" s="82" t="s">
        <v>1391</v>
      </c>
      <c r="AG119" t="s">
        <v>465</v>
      </c>
      <c r="AH119" s="82"/>
      <c r="AI119" t="s">
        <v>465</v>
      </c>
      <c r="AJ119" t="s">
        <v>465</v>
      </c>
      <c r="AK119" t="s">
        <v>465</v>
      </c>
      <c r="AL119" t="s">
        <v>465</v>
      </c>
      <c r="AM119" s="144"/>
      <c r="AT119" s="1376">
        <v>77</v>
      </c>
      <c r="AU119" s="1377">
        <v>8.843</v>
      </c>
    </row>
    <row r="120" spans="2:47">
      <c r="B120" s="145">
        <v>0</v>
      </c>
      <c r="C120" s="146">
        <v>0</v>
      </c>
      <c r="D120" s="147">
        <f t="shared" ref="D120:D144" si="16">(C120/$L$111)*100</f>
        <v>0</v>
      </c>
      <c r="E120" s="148">
        <v>0</v>
      </c>
      <c r="F120" s="148">
        <f>E120*$L$115*9.8065</f>
        <v>0</v>
      </c>
      <c r="G120" s="149">
        <f>D113</f>
        <v>190</v>
      </c>
      <c r="H120" s="97">
        <v>0</v>
      </c>
      <c r="I120" s="97">
        <v>0</v>
      </c>
      <c r="J120" s="150">
        <f>$D$112+I120</f>
        <v>240</v>
      </c>
      <c r="K120" s="150">
        <f>J120-G120</f>
        <v>50</v>
      </c>
      <c r="L120" s="148">
        <f>$D$112-G120</f>
        <v>50</v>
      </c>
      <c r="M120" s="97">
        <f t="shared" ref="M120:M144" si="17">K120/L120</f>
        <v>1</v>
      </c>
      <c r="N120" s="96"/>
      <c r="O120" s="161">
        <f>MAX(B120:B145)-20</f>
        <v>480</v>
      </c>
      <c r="P120" s="151">
        <f>(O120-$B$120)/100</f>
        <v>4.8</v>
      </c>
      <c r="Q120" s="148">
        <f t="shared" ref="Q120:Q148" si="18">(P120/$X$111)*100</f>
        <v>6.4818554094450613</v>
      </c>
      <c r="R120" s="148">
        <v>0</v>
      </c>
      <c r="S120" s="148">
        <f>R120*$L$115</f>
        <v>0</v>
      </c>
      <c r="T120" s="149">
        <f>Q113</f>
        <v>190</v>
      </c>
      <c r="U120" s="97">
        <v>0</v>
      </c>
      <c r="V120" s="97">
        <v>0</v>
      </c>
      <c r="W120" s="150">
        <f>$Q$112+V120</f>
        <v>290</v>
      </c>
      <c r="X120" s="150">
        <f>W120-T120</f>
        <v>100</v>
      </c>
      <c r="Y120" s="148">
        <f>$Q$112-T120</f>
        <v>100</v>
      </c>
      <c r="Z120" s="147">
        <f t="shared" ref="Z120:Z148" si="19">X120/Y120</f>
        <v>1</v>
      </c>
      <c r="AB120" s="161">
        <v>980</v>
      </c>
      <c r="AC120" s="151">
        <f>(AB120-$B$120)/100</f>
        <v>9.8000000000000007</v>
      </c>
      <c r="AD120" s="147">
        <f t="shared" ref="AD120:AD149" si="20">(AC120/$AK$111)*100</f>
        <v>13.472286405874451</v>
      </c>
      <c r="AE120" s="148">
        <v>0</v>
      </c>
      <c r="AF120" s="148">
        <f t="shared" ref="AF120:AF149" si="21">AE120*$AK$115</f>
        <v>0</v>
      </c>
      <c r="AG120" s="149">
        <f>MIN(AB89:AB102)</f>
        <v>190</v>
      </c>
      <c r="AH120" s="97">
        <v>0</v>
      </c>
      <c r="AI120" s="97">
        <v>0</v>
      </c>
      <c r="AJ120" s="150">
        <f>$AD$112+AI120</f>
        <v>390</v>
      </c>
      <c r="AK120" s="150">
        <f>AJ120-AG120</f>
        <v>200</v>
      </c>
      <c r="AL120" s="148">
        <f>$AD$112-AG120</f>
        <v>200</v>
      </c>
      <c r="AM120" s="147">
        <f>AK120/AL120</f>
        <v>1</v>
      </c>
      <c r="AT120" s="1376">
        <v>78</v>
      </c>
      <c r="AU120" s="1377">
        <v>8.8279999999999994</v>
      </c>
    </row>
    <row r="121" spans="2:47">
      <c r="B121" s="145">
        <f>B120+20</f>
        <v>20</v>
      </c>
      <c r="C121" s="151">
        <f>(B121-$B$120)/100</f>
        <v>0.2</v>
      </c>
      <c r="D121" s="147">
        <f t="shared" si="16"/>
        <v>0.26645707109251621</v>
      </c>
      <c r="E121" s="152">
        <v>18</v>
      </c>
      <c r="F121" s="148">
        <f>E121*$L$115</f>
        <v>0.98802000000000001</v>
      </c>
      <c r="G121" s="152">
        <v>190.3</v>
      </c>
      <c r="H121" s="148">
        <f>G121-$G$120</f>
        <v>0.30000000000001137</v>
      </c>
      <c r="I121" s="147">
        <f t="shared" ref="I121:I144" si="22">(F121/$L$112)*((1-(D121/100)))*9806.65</f>
        <v>8.5787047999803043</v>
      </c>
      <c r="J121" s="150">
        <f t="shared" ref="J121:J144" si="23">$D$112+I121</f>
        <v>248.5787047999803</v>
      </c>
      <c r="K121" s="150">
        <f t="shared" ref="K121:K144" si="24">J121-G121</f>
        <v>58.278704799980289</v>
      </c>
      <c r="L121" s="148">
        <f t="shared" ref="L121:L144" si="25">$D$112-G121</f>
        <v>49.699999999999989</v>
      </c>
      <c r="M121" s="147">
        <f t="shared" si="17"/>
        <v>1.1726097545267666</v>
      </c>
      <c r="N121" s="137"/>
      <c r="O121" s="145">
        <f>O120+20</f>
        <v>500</v>
      </c>
      <c r="P121" s="151">
        <f>(O121-$B$120)/100</f>
        <v>5</v>
      </c>
      <c r="Q121" s="147">
        <f t="shared" si="18"/>
        <v>6.7519327181719397</v>
      </c>
      <c r="R121" s="128">
        <v>31</v>
      </c>
      <c r="S121" s="148">
        <f t="shared" ref="S121:S150" si="26">R121*$L$115</f>
        <v>1.7015899999999999</v>
      </c>
      <c r="T121" s="129">
        <v>190.9</v>
      </c>
      <c r="U121" s="148">
        <f>T121-$T$120</f>
        <v>0.90000000000000568</v>
      </c>
      <c r="V121" s="147">
        <f t="shared" ref="V121:V148" si="27">(S121/$X$112)*((1-(Q121/100)))*9806.65</f>
        <v>13.908165733219732</v>
      </c>
      <c r="W121" s="150">
        <f t="shared" ref="W121:W148" si="28">$Q$112+V121</f>
        <v>303.90816573321973</v>
      </c>
      <c r="X121" s="150">
        <f t="shared" ref="X121:X148" si="29">W121-T121</f>
        <v>113.00816573321973</v>
      </c>
      <c r="Y121" s="148">
        <f t="shared" ref="Y121:Y148" si="30">$Q$112-T121</f>
        <v>99.1</v>
      </c>
      <c r="Z121" s="147">
        <f t="shared" si="19"/>
        <v>1.1403447601737611</v>
      </c>
      <c r="AB121" s="145">
        <f>AB120+20</f>
        <v>1000</v>
      </c>
      <c r="AC121" s="151">
        <f t="shared" ref="AC121:AC149" si="31">(AB121-$B$120)/100</f>
        <v>10</v>
      </c>
      <c r="AD121" s="147">
        <f t="shared" si="20"/>
        <v>13.747231026402501</v>
      </c>
      <c r="AE121" s="128">
        <v>99</v>
      </c>
      <c r="AF121" s="148">
        <f t="shared" si="21"/>
        <v>5.4341100000000004</v>
      </c>
      <c r="AG121" s="129">
        <v>193.2</v>
      </c>
      <c r="AH121" s="148">
        <f>AG121-$AG$120</f>
        <v>3.1999999999999886</v>
      </c>
      <c r="AI121" s="147">
        <f t="shared" ref="AI121:AI149" si="32">(AF121/$AK$112)*((1-(AD121/100)))*9806.65</f>
        <v>41.45793952936139</v>
      </c>
      <c r="AJ121" s="150">
        <f t="shared" ref="AJ121:AJ149" si="33">$AD$112+AI121</f>
        <v>431.4579395293614</v>
      </c>
      <c r="AK121" s="150">
        <f t="shared" ref="AK121:AK149" si="34">AJ121-AG121</f>
        <v>238.25793952936141</v>
      </c>
      <c r="AL121" s="148">
        <f t="shared" ref="AL121:AL149" si="35">$AD$112-AG121</f>
        <v>196.8</v>
      </c>
      <c r="AM121" s="147">
        <f t="shared" ref="AM121:AM149" si="36">AK121/AL121</f>
        <v>1.2106602618361859</v>
      </c>
      <c r="AT121" s="1376">
        <v>79</v>
      </c>
      <c r="AU121" s="1377">
        <v>8.9149999999999991</v>
      </c>
    </row>
    <row r="122" spans="2:47">
      <c r="B122" s="145">
        <f t="shared" ref="B122:B145" si="37">B121+20</f>
        <v>40</v>
      </c>
      <c r="C122" s="151">
        <f t="shared" ref="C122:C144" si="38">(B122-$B$120)/100</f>
        <v>0.4</v>
      </c>
      <c r="D122" s="147">
        <f t="shared" si="16"/>
        <v>0.53291414218503241</v>
      </c>
      <c r="E122" s="152">
        <v>35</v>
      </c>
      <c r="F122" s="148">
        <f t="shared" ref="F122:F145" si="39">E122*$L$115</f>
        <v>1.9211500000000001</v>
      </c>
      <c r="G122" s="152">
        <v>190.7</v>
      </c>
      <c r="H122" s="148">
        <f t="shared" ref="H122:H144" si="40">G122-$G$120</f>
        <v>0.69999999999998863</v>
      </c>
      <c r="I122" s="147">
        <f t="shared" si="22"/>
        <v>16.63624892891184</v>
      </c>
      <c r="J122" s="150">
        <f t="shared" si="23"/>
        <v>256.63624892891187</v>
      </c>
      <c r="K122" s="150">
        <f t="shared" si="24"/>
        <v>65.93624892891188</v>
      </c>
      <c r="L122" s="148">
        <f t="shared" si="25"/>
        <v>49.300000000000011</v>
      </c>
      <c r="M122" s="147">
        <f t="shared" si="17"/>
        <v>1.3374492683349262</v>
      </c>
      <c r="N122" s="137"/>
      <c r="O122" s="145">
        <f t="shared" ref="O122:O150" si="41">O121+20</f>
        <v>520</v>
      </c>
      <c r="P122" s="151">
        <f t="shared" ref="P122:P148" si="42">(O122-$B$120)/100</f>
        <v>5.2</v>
      </c>
      <c r="Q122" s="147">
        <f t="shared" si="18"/>
        <v>7.0220100268988173</v>
      </c>
      <c r="R122" s="128">
        <v>65</v>
      </c>
      <c r="S122" s="148">
        <f t="shared" si="26"/>
        <v>3.56785</v>
      </c>
      <c r="T122" s="129">
        <v>192.3</v>
      </c>
      <c r="U122" s="148">
        <f t="shared" ref="U122:U148" si="43">T122-$T$120</f>
        <v>2.3000000000000114</v>
      </c>
      <c r="V122" s="147">
        <f t="shared" si="27"/>
        <v>29.077819352007406</v>
      </c>
      <c r="W122" s="150">
        <f t="shared" si="28"/>
        <v>319.0778193520074</v>
      </c>
      <c r="X122" s="150">
        <f t="shared" si="29"/>
        <v>126.77781935200738</v>
      </c>
      <c r="Y122" s="148">
        <f t="shared" si="30"/>
        <v>97.699999999999989</v>
      </c>
      <c r="Z122" s="147">
        <f t="shared" si="19"/>
        <v>1.2976235348209559</v>
      </c>
      <c r="AB122" s="145">
        <f t="shared" ref="AB122:AB149" si="44">AB121+20</f>
        <v>1020</v>
      </c>
      <c r="AC122" s="151">
        <f t="shared" si="31"/>
        <v>10.199999999999999</v>
      </c>
      <c r="AD122" s="147">
        <f t="shared" si="20"/>
        <v>14.022175646930549</v>
      </c>
      <c r="AE122" s="128">
        <v>148</v>
      </c>
      <c r="AF122" s="148">
        <f t="shared" si="21"/>
        <v>8.1237200000000005</v>
      </c>
      <c r="AG122" s="129">
        <v>195.4</v>
      </c>
      <c r="AH122" s="148">
        <f t="shared" ref="AH122:AH149" si="45">AG122-$AG$120</f>
        <v>5.4000000000000057</v>
      </c>
      <c r="AI122" s="147">
        <f t="shared" si="32"/>
        <v>61.779962395802876</v>
      </c>
      <c r="AJ122" s="150">
        <f t="shared" si="33"/>
        <v>451.7799623958029</v>
      </c>
      <c r="AK122" s="150">
        <f t="shared" si="34"/>
        <v>256.37996239580286</v>
      </c>
      <c r="AL122" s="148">
        <f t="shared" si="35"/>
        <v>194.6</v>
      </c>
      <c r="AM122" s="147">
        <f t="shared" si="36"/>
        <v>1.3174715436577742</v>
      </c>
      <c r="AT122" s="1376">
        <v>80</v>
      </c>
      <c r="AU122" s="1377">
        <v>8.8130000000000006</v>
      </c>
    </row>
    <row r="123" spans="2:47">
      <c r="B123" s="145">
        <f t="shared" si="37"/>
        <v>60</v>
      </c>
      <c r="C123" s="151">
        <f t="shared" si="38"/>
        <v>0.6</v>
      </c>
      <c r="D123" s="147">
        <f t="shared" si="16"/>
        <v>0.79937121327754834</v>
      </c>
      <c r="E123" s="152">
        <v>50</v>
      </c>
      <c r="F123" s="148">
        <f t="shared" si="39"/>
        <v>2.7444999999999999</v>
      </c>
      <c r="G123" s="152">
        <v>191.2</v>
      </c>
      <c r="H123" s="148">
        <f t="shared" si="40"/>
        <v>1.1999999999999886</v>
      </c>
      <c r="I123" s="147">
        <f t="shared" si="22"/>
        <v>23.70240424139012</v>
      </c>
      <c r="J123" s="150">
        <f t="shared" si="23"/>
        <v>263.70240424139013</v>
      </c>
      <c r="K123" s="150">
        <f t="shared" si="24"/>
        <v>72.502404241390138</v>
      </c>
      <c r="L123" s="148">
        <f t="shared" si="25"/>
        <v>48.800000000000011</v>
      </c>
      <c r="M123" s="147">
        <f t="shared" si="17"/>
        <v>1.4857050049465188</v>
      </c>
      <c r="N123" s="137"/>
      <c r="O123" s="145">
        <f t="shared" si="41"/>
        <v>540</v>
      </c>
      <c r="P123" s="151">
        <f t="shared" si="42"/>
        <v>5.4</v>
      </c>
      <c r="Q123" s="147">
        <f t="shared" si="18"/>
        <v>7.2920873356256948</v>
      </c>
      <c r="R123" s="128">
        <v>95</v>
      </c>
      <c r="S123" s="148">
        <f t="shared" si="26"/>
        <v>5.21455</v>
      </c>
      <c r="T123" s="129">
        <v>195.4</v>
      </c>
      <c r="U123" s="148">
        <f t="shared" si="43"/>
        <v>5.4000000000000057</v>
      </c>
      <c r="V123" s="147">
        <f t="shared" si="27"/>
        <v>42.374904506546791</v>
      </c>
      <c r="W123" s="150">
        <f t="shared" si="28"/>
        <v>332.37490450654678</v>
      </c>
      <c r="X123" s="150">
        <f t="shared" si="29"/>
        <v>136.97490450654678</v>
      </c>
      <c r="Y123" s="148">
        <f t="shared" si="30"/>
        <v>94.6</v>
      </c>
      <c r="Z123" s="147">
        <f t="shared" si="19"/>
        <v>1.4479376797732217</v>
      </c>
      <c r="AB123" s="145">
        <f t="shared" si="44"/>
        <v>1040</v>
      </c>
      <c r="AC123" s="151">
        <f t="shared" si="31"/>
        <v>10.4</v>
      </c>
      <c r="AD123" s="147">
        <f t="shared" si="20"/>
        <v>14.297120267458602</v>
      </c>
      <c r="AE123" s="128">
        <v>182</v>
      </c>
      <c r="AF123" s="148">
        <f t="shared" si="21"/>
        <v>9.989980000000001</v>
      </c>
      <c r="AG123" s="129">
        <v>200.6</v>
      </c>
      <c r="AH123" s="148">
        <f t="shared" si="45"/>
        <v>10.599999999999994</v>
      </c>
      <c r="AI123" s="147">
        <f t="shared" si="32"/>
        <v>75.729706915934642</v>
      </c>
      <c r="AJ123" s="150">
        <f t="shared" si="33"/>
        <v>465.72970691593463</v>
      </c>
      <c r="AK123" s="150">
        <f t="shared" si="34"/>
        <v>265.12970691593466</v>
      </c>
      <c r="AL123" s="148">
        <f t="shared" si="35"/>
        <v>189.4</v>
      </c>
      <c r="AM123" s="147">
        <f t="shared" si="36"/>
        <v>1.3998400576342906</v>
      </c>
      <c r="AT123" s="1376">
        <v>81</v>
      </c>
      <c r="AU123" s="1377">
        <v>8.9649999999999999</v>
      </c>
    </row>
    <row r="124" spans="2:47">
      <c r="B124" s="145">
        <f t="shared" si="37"/>
        <v>80</v>
      </c>
      <c r="C124" s="151">
        <f t="shared" si="38"/>
        <v>0.8</v>
      </c>
      <c r="D124" s="147">
        <f t="shared" si="16"/>
        <v>1.0658282843700648</v>
      </c>
      <c r="E124" s="152">
        <v>58</v>
      </c>
      <c r="F124" s="148">
        <f t="shared" si="39"/>
        <v>3.1836199999999999</v>
      </c>
      <c r="G124" s="152">
        <v>191.8</v>
      </c>
      <c r="H124" s="148">
        <f t="shared" si="40"/>
        <v>1.8000000000000114</v>
      </c>
      <c r="I124" s="147">
        <f t="shared" si="22"/>
        <v>27.420936757828322</v>
      </c>
      <c r="J124" s="150">
        <f t="shared" si="23"/>
        <v>267.42093675782831</v>
      </c>
      <c r="K124" s="150">
        <f t="shared" si="24"/>
        <v>75.620936757828304</v>
      </c>
      <c r="L124" s="148">
        <f t="shared" si="25"/>
        <v>48.199999999999989</v>
      </c>
      <c r="M124" s="147">
        <f t="shared" si="17"/>
        <v>1.5688991028595087</v>
      </c>
      <c r="N124" s="137"/>
      <c r="O124" s="145">
        <f t="shared" si="41"/>
        <v>560</v>
      </c>
      <c r="P124" s="151">
        <f t="shared" si="42"/>
        <v>5.6</v>
      </c>
      <c r="Q124" s="147">
        <f t="shared" si="18"/>
        <v>7.5621646443525714</v>
      </c>
      <c r="R124" s="128">
        <v>144</v>
      </c>
      <c r="S124" s="148">
        <f t="shared" si="26"/>
        <v>7.9041600000000001</v>
      </c>
      <c r="T124" s="129">
        <v>198.5</v>
      </c>
      <c r="U124" s="148">
        <f t="shared" si="43"/>
        <v>8.5</v>
      </c>
      <c r="V124" s="147">
        <f t="shared" si="27"/>
        <v>64.044314757424232</v>
      </c>
      <c r="W124" s="150">
        <f t="shared" si="28"/>
        <v>354.04431475742422</v>
      </c>
      <c r="X124" s="150">
        <f t="shared" si="29"/>
        <v>155.54431475742422</v>
      </c>
      <c r="Y124" s="148">
        <f t="shared" si="30"/>
        <v>91.5</v>
      </c>
      <c r="Z124" s="147">
        <f t="shared" si="19"/>
        <v>1.6999378662013576</v>
      </c>
      <c r="AB124" s="145">
        <f t="shared" si="44"/>
        <v>1060</v>
      </c>
      <c r="AC124" s="151">
        <f t="shared" si="31"/>
        <v>10.6</v>
      </c>
      <c r="AD124" s="147">
        <f t="shared" si="20"/>
        <v>14.572064887986649</v>
      </c>
      <c r="AE124" s="128">
        <v>205</v>
      </c>
      <c r="AF124" s="148">
        <f t="shared" si="21"/>
        <v>11.25245</v>
      </c>
      <c r="AG124" s="129">
        <v>206.8</v>
      </c>
      <c r="AH124" s="148">
        <f t="shared" si="45"/>
        <v>16.800000000000011</v>
      </c>
      <c r="AI124" s="147">
        <f t="shared" si="32"/>
        <v>85.026292644472377</v>
      </c>
      <c r="AJ124" s="150">
        <f t="shared" si="33"/>
        <v>475.02629264447239</v>
      </c>
      <c r="AK124" s="150">
        <f t="shared" si="34"/>
        <v>268.22629264447238</v>
      </c>
      <c r="AL124" s="148">
        <f t="shared" si="35"/>
        <v>183.2</v>
      </c>
      <c r="AM124" s="147">
        <f t="shared" si="36"/>
        <v>1.4641173179283429</v>
      </c>
      <c r="AT124" s="1376">
        <v>82</v>
      </c>
      <c r="AU124" s="1377">
        <v>8.7970000000000006</v>
      </c>
    </row>
    <row r="125" spans="2:47">
      <c r="B125" s="145">
        <f t="shared" si="37"/>
        <v>100</v>
      </c>
      <c r="C125" s="151">
        <f t="shared" si="38"/>
        <v>1</v>
      </c>
      <c r="D125" s="147">
        <f t="shared" si="16"/>
        <v>1.3322853554625809</v>
      </c>
      <c r="E125" s="152">
        <v>68</v>
      </c>
      <c r="F125" s="148">
        <f t="shared" si="39"/>
        <v>3.7325200000000001</v>
      </c>
      <c r="G125" s="152">
        <v>192.3</v>
      </c>
      <c r="H125" s="148">
        <f t="shared" si="40"/>
        <v>2.3000000000000114</v>
      </c>
      <c r="I125" s="147">
        <f t="shared" si="22"/>
        <v>32.062099181099988</v>
      </c>
      <c r="J125" s="150">
        <f t="shared" si="23"/>
        <v>272.0620991811</v>
      </c>
      <c r="K125" s="150">
        <f t="shared" si="24"/>
        <v>79.762099181099984</v>
      </c>
      <c r="L125" s="148">
        <f t="shared" si="25"/>
        <v>47.699999999999989</v>
      </c>
      <c r="M125" s="147">
        <f t="shared" si="17"/>
        <v>1.672161408408805</v>
      </c>
      <c r="N125" s="137"/>
      <c r="O125" s="145">
        <f t="shared" si="41"/>
        <v>580</v>
      </c>
      <c r="P125" s="151">
        <f t="shared" si="42"/>
        <v>5.8</v>
      </c>
      <c r="Q125" s="147">
        <f t="shared" si="18"/>
        <v>7.8322419530794498</v>
      </c>
      <c r="R125" s="128">
        <v>160</v>
      </c>
      <c r="S125" s="148">
        <f t="shared" si="26"/>
        <v>8.7824000000000009</v>
      </c>
      <c r="T125" s="129">
        <v>199.9</v>
      </c>
      <c r="U125" s="148">
        <f t="shared" si="43"/>
        <v>9.9000000000000057</v>
      </c>
      <c r="V125" s="147">
        <f t="shared" si="27"/>
        <v>70.95243923939023</v>
      </c>
      <c r="W125" s="150">
        <f t="shared" si="28"/>
        <v>360.95243923939023</v>
      </c>
      <c r="X125" s="150">
        <f t="shared" si="29"/>
        <v>161.05243923939022</v>
      </c>
      <c r="Y125" s="148">
        <f t="shared" si="30"/>
        <v>90.1</v>
      </c>
      <c r="Z125" s="147">
        <f t="shared" si="19"/>
        <v>1.7874854521574943</v>
      </c>
      <c r="AB125" s="145">
        <f t="shared" si="44"/>
        <v>1080</v>
      </c>
      <c r="AC125" s="151">
        <f t="shared" si="31"/>
        <v>10.8</v>
      </c>
      <c r="AD125" s="147">
        <f t="shared" si="20"/>
        <v>14.8470095085147</v>
      </c>
      <c r="AE125" s="128">
        <v>231</v>
      </c>
      <c r="AF125" s="148">
        <f t="shared" si="21"/>
        <v>12.679590000000001</v>
      </c>
      <c r="AG125" s="129">
        <v>213.9</v>
      </c>
      <c r="AH125" s="148">
        <f t="shared" si="45"/>
        <v>23.900000000000006</v>
      </c>
      <c r="AI125" s="147">
        <f t="shared" si="32"/>
        <v>95.501756089888289</v>
      </c>
      <c r="AJ125" s="150">
        <f t="shared" si="33"/>
        <v>485.50175608988832</v>
      </c>
      <c r="AK125" s="150">
        <f t="shared" si="34"/>
        <v>271.60175608988834</v>
      </c>
      <c r="AL125" s="148">
        <f t="shared" si="35"/>
        <v>176.1</v>
      </c>
      <c r="AM125" s="147">
        <f t="shared" si="36"/>
        <v>1.5423154803514387</v>
      </c>
      <c r="AT125" s="1376">
        <v>83</v>
      </c>
      <c r="AU125" s="1377">
        <v>8.9280000000000008</v>
      </c>
    </row>
    <row r="126" spans="2:47">
      <c r="B126" s="145">
        <f t="shared" si="37"/>
        <v>120</v>
      </c>
      <c r="C126" s="151">
        <f t="shared" si="38"/>
        <v>1.2</v>
      </c>
      <c r="D126" s="147">
        <f t="shared" si="16"/>
        <v>1.5987424265550967</v>
      </c>
      <c r="E126" s="152">
        <v>74</v>
      </c>
      <c r="F126" s="148">
        <f t="shared" si="39"/>
        <v>4.0618600000000002</v>
      </c>
      <c r="G126" s="152">
        <v>193.2</v>
      </c>
      <c r="H126" s="148">
        <f t="shared" si="40"/>
        <v>3.1999999999999886</v>
      </c>
      <c r="I126" s="147">
        <f t="shared" si="22"/>
        <v>34.796882759931577</v>
      </c>
      <c r="J126" s="150">
        <f t="shared" si="23"/>
        <v>274.79688275993158</v>
      </c>
      <c r="K126" s="150">
        <f t="shared" si="24"/>
        <v>81.596882759931589</v>
      </c>
      <c r="L126" s="148">
        <f t="shared" si="25"/>
        <v>46.800000000000011</v>
      </c>
      <c r="M126" s="147">
        <f t="shared" si="17"/>
        <v>1.7435231358959737</v>
      </c>
      <c r="N126" s="137"/>
      <c r="O126" s="145">
        <f t="shared" si="41"/>
        <v>600</v>
      </c>
      <c r="P126" s="151">
        <f t="shared" si="42"/>
        <v>6</v>
      </c>
      <c r="Q126" s="147">
        <f t="shared" si="18"/>
        <v>8.1023192618063273</v>
      </c>
      <c r="R126" s="128">
        <v>172</v>
      </c>
      <c r="S126" s="148">
        <f t="shared" si="26"/>
        <v>9.4410799999999995</v>
      </c>
      <c r="T126" s="129">
        <v>202.3</v>
      </c>
      <c r="U126" s="148">
        <f t="shared" si="43"/>
        <v>12.300000000000011</v>
      </c>
      <c r="V126" s="147">
        <f t="shared" si="27"/>
        <v>76.050368404432291</v>
      </c>
      <c r="W126" s="150">
        <f t="shared" si="28"/>
        <v>366.05036840443228</v>
      </c>
      <c r="X126" s="150">
        <f t="shared" si="29"/>
        <v>163.75036840443227</v>
      </c>
      <c r="Y126" s="148">
        <f t="shared" si="30"/>
        <v>87.699999999999989</v>
      </c>
      <c r="Z126" s="147">
        <f t="shared" si="19"/>
        <v>1.8671649761052713</v>
      </c>
      <c r="AB126" s="145">
        <f t="shared" si="44"/>
        <v>1100</v>
      </c>
      <c r="AC126" s="151">
        <f t="shared" si="31"/>
        <v>11</v>
      </c>
      <c r="AD126" s="147">
        <f t="shared" si="20"/>
        <v>15.12195412904275</v>
      </c>
      <c r="AE126" s="128">
        <v>251</v>
      </c>
      <c r="AF126" s="148">
        <f t="shared" si="21"/>
        <v>13.77739</v>
      </c>
      <c r="AG126" s="129">
        <v>218</v>
      </c>
      <c r="AH126" s="148">
        <f t="shared" si="45"/>
        <v>28</v>
      </c>
      <c r="AI126" s="147">
        <f t="shared" si="32"/>
        <v>103.43524961231654</v>
      </c>
      <c r="AJ126" s="150">
        <f t="shared" si="33"/>
        <v>493.43524961231651</v>
      </c>
      <c r="AK126" s="150">
        <f t="shared" si="34"/>
        <v>275.43524961231651</v>
      </c>
      <c r="AL126" s="148">
        <f t="shared" si="35"/>
        <v>172</v>
      </c>
      <c r="AM126" s="147">
        <f t="shared" si="36"/>
        <v>1.6013677303041658</v>
      </c>
      <c r="AT126" s="1376">
        <v>84</v>
      </c>
      <c r="AU126" s="1377">
        <v>8.9039999999999999</v>
      </c>
    </row>
    <row r="127" spans="2:47">
      <c r="B127" s="145">
        <f t="shared" si="37"/>
        <v>140</v>
      </c>
      <c r="C127" s="151">
        <f t="shared" si="38"/>
        <v>1.4</v>
      </c>
      <c r="D127" s="147">
        <f t="shared" si="16"/>
        <v>1.8651994976476132</v>
      </c>
      <c r="E127" s="152">
        <v>87</v>
      </c>
      <c r="F127" s="148">
        <f t="shared" si="39"/>
        <v>4.7754300000000001</v>
      </c>
      <c r="G127" s="152">
        <v>194</v>
      </c>
      <c r="H127" s="148">
        <f t="shared" si="40"/>
        <v>4</v>
      </c>
      <c r="I127" s="147">
        <f t="shared" si="22"/>
        <v>40.799070406913494</v>
      </c>
      <c r="J127" s="150">
        <f t="shared" si="23"/>
        <v>280.79907040691347</v>
      </c>
      <c r="K127" s="150">
        <f t="shared" si="24"/>
        <v>86.799070406913472</v>
      </c>
      <c r="L127" s="148">
        <f t="shared" si="25"/>
        <v>46</v>
      </c>
      <c r="M127" s="147">
        <f t="shared" si="17"/>
        <v>1.8869363131937711</v>
      </c>
      <c r="N127" s="137"/>
      <c r="O127" s="145">
        <f t="shared" si="41"/>
        <v>620</v>
      </c>
      <c r="P127" s="151">
        <f t="shared" si="42"/>
        <v>6.2</v>
      </c>
      <c r="Q127" s="147">
        <f t="shared" si="18"/>
        <v>8.3723965705332049</v>
      </c>
      <c r="R127" s="128">
        <v>183</v>
      </c>
      <c r="S127" s="148">
        <f t="shared" si="26"/>
        <v>10.04487</v>
      </c>
      <c r="T127" s="129">
        <v>205.5</v>
      </c>
      <c r="U127" s="148">
        <f t="shared" si="43"/>
        <v>15.5</v>
      </c>
      <c r="V127" s="147">
        <f t="shared" si="27"/>
        <v>80.676257131704489</v>
      </c>
      <c r="W127" s="150">
        <f t="shared" si="28"/>
        <v>370.67625713170446</v>
      </c>
      <c r="X127" s="150">
        <f t="shared" si="29"/>
        <v>165.17625713170446</v>
      </c>
      <c r="Y127" s="148">
        <f t="shared" si="30"/>
        <v>84.5</v>
      </c>
      <c r="Z127" s="147">
        <f t="shared" si="19"/>
        <v>1.9547486051089284</v>
      </c>
      <c r="AB127" s="145">
        <f t="shared" si="44"/>
        <v>1120</v>
      </c>
      <c r="AC127" s="151">
        <f t="shared" si="31"/>
        <v>11.2</v>
      </c>
      <c r="AD127" s="147">
        <f t="shared" si="20"/>
        <v>15.3968987495708</v>
      </c>
      <c r="AE127" s="128">
        <v>269</v>
      </c>
      <c r="AF127" s="148">
        <f t="shared" si="21"/>
        <v>14.765410000000001</v>
      </c>
      <c r="AG127" s="129">
        <v>221.6</v>
      </c>
      <c r="AH127" s="148">
        <f t="shared" si="45"/>
        <v>31.599999999999994</v>
      </c>
      <c r="AI127" s="147">
        <f t="shared" si="32"/>
        <v>110.49383214995096</v>
      </c>
      <c r="AJ127" s="150">
        <f t="shared" si="33"/>
        <v>500.49383214995095</v>
      </c>
      <c r="AK127" s="150">
        <f t="shared" si="34"/>
        <v>278.89383214995098</v>
      </c>
      <c r="AL127" s="148">
        <f t="shared" si="35"/>
        <v>168.4</v>
      </c>
      <c r="AM127" s="147">
        <f t="shared" si="36"/>
        <v>1.6561391457835568</v>
      </c>
      <c r="AT127" s="1376">
        <v>85</v>
      </c>
      <c r="AU127" s="1377">
        <v>8.7690000000000001</v>
      </c>
    </row>
    <row r="128" spans="2:47">
      <c r="B128" s="145">
        <f t="shared" si="37"/>
        <v>160</v>
      </c>
      <c r="C128" s="151">
        <f t="shared" si="38"/>
        <v>1.6</v>
      </c>
      <c r="D128" s="147">
        <f t="shared" si="16"/>
        <v>2.1316565687401297</v>
      </c>
      <c r="E128" s="152">
        <v>101</v>
      </c>
      <c r="F128" s="148">
        <f t="shared" si="39"/>
        <v>5.5438900000000002</v>
      </c>
      <c r="G128" s="152">
        <v>194.8</v>
      </c>
      <c r="H128" s="148">
        <f t="shared" si="40"/>
        <v>4.8000000000000114</v>
      </c>
      <c r="I128" s="147">
        <f t="shared" si="22"/>
        <v>47.235833431348901</v>
      </c>
      <c r="J128" s="150">
        <f t="shared" si="23"/>
        <v>287.23583343134891</v>
      </c>
      <c r="K128" s="150">
        <f t="shared" si="24"/>
        <v>92.435833431348897</v>
      </c>
      <c r="L128" s="148">
        <f t="shared" si="25"/>
        <v>45.199999999999989</v>
      </c>
      <c r="M128" s="147">
        <f t="shared" si="17"/>
        <v>2.0450405626404629</v>
      </c>
      <c r="N128" s="137"/>
      <c r="O128" s="145">
        <f t="shared" si="41"/>
        <v>640</v>
      </c>
      <c r="P128" s="151">
        <f t="shared" si="42"/>
        <v>6.4</v>
      </c>
      <c r="Q128" s="147">
        <f t="shared" si="18"/>
        <v>8.6424738792600841</v>
      </c>
      <c r="R128" s="128">
        <v>195</v>
      </c>
      <c r="S128" s="148">
        <f t="shared" si="26"/>
        <v>10.70355</v>
      </c>
      <c r="T128" s="129">
        <v>207.3</v>
      </c>
      <c r="U128" s="148">
        <f t="shared" si="43"/>
        <v>17.300000000000011</v>
      </c>
      <c r="V128" s="147">
        <f t="shared" si="27"/>
        <v>85.713112589991482</v>
      </c>
      <c r="W128" s="150">
        <f t="shared" si="28"/>
        <v>375.71311258999151</v>
      </c>
      <c r="X128" s="150">
        <f t="shared" si="29"/>
        <v>168.4131125899915</v>
      </c>
      <c r="Y128" s="148">
        <f t="shared" si="30"/>
        <v>82.699999999999989</v>
      </c>
      <c r="Z128" s="147">
        <f t="shared" si="19"/>
        <v>2.0364342513904656</v>
      </c>
      <c r="AB128" s="145">
        <f t="shared" si="44"/>
        <v>1140</v>
      </c>
      <c r="AC128" s="151">
        <f t="shared" si="31"/>
        <v>11.4</v>
      </c>
      <c r="AD128" s="147">
        <f t="shared" si="20"/>
        <v>15.67184337009885</v>
      </c>
      <c r="AE128" s="128">
        <v>291</v>
      </c>
      <c r="AF128" s="148">
        <f t="shared" si="21"/>
        <v>15.972990000000001</v>
      </c>
      <c r="AG128" s="129">
        <v>224.3</v>
      </c>
      <c r="AH128" s="148">
        <f t="shared" si="45"/>
        <v>34.300000000000011</v>
      </c>
      <c r="AI128" s="147">
        <f t="shared" si="32"/>
        <v>119.14205014479795</v>
      </c>
      <c r="AJ128" s="150">
        <f t="shared" si="33"/>
        <v>509.14205014479796</v>
      </c>
      <c r="AK128" s="150">
        <f t="shared" si="34"/>
        <v>284.84205014479795</v>
      </c>
      <c r="AL128" s="148">
        <f t="shared" si="35"/>
        <v>165.7</v>
      </c>
      <c r="AM128" s="147">
        <f t="shared" si="36"/>
        <v>1.7190226321351718</v>
      </c>
      <c r="AT128" s="1376">
        <v>86</v>
      </c>
      <c r="AU128" s="1377">
        <v>8.8079999999999998</v>
      </c>
    </row>
    <row r="129" spans="2:47">
      <c r="B129" s="145">
        <f t="shared" si="37"/>
        <v>180</v>
      </c>
      <c r="C129" s="151">
        <f t="shared" si="38"/>
        <v>1.8</v>
      </c>
      <c r="D129" s="147">
        <f t="shared" si="16"/>
        <v>2.3981136398326455</v>
      </c>
      <c r="E129" s="152">
        <v>109</v>
      </c>
      <c r="F129" s="148">
        <f t="shared" si="39"/>
        <v>5.9830100000000002</v>
      </c>
      <c r="G129" s="152">
        <v>196.5</v>
      </c>
      <c r="H129" s="148">
        <f t="shared" si="40"/>
        <v>6.5</v>
      </c>
      <c r="I129" s="147">
        <f t="shared" si="22"/>
        <v>50.838494451946346</v>
      </c>
      <c r="J129" s="150">
        <f t="shared" si="23"/>
        <v>290.83849445194636</v>
      </c>
      <c r="K129" s="150">
        <f t="shared" si="24"/>
        <v>94.33849445194636</v>
      </c>
      <c r="L129" s="148">
        <f t="shared" si="25"/>
        <v>43.5</v>
      </c>
      <c r="M129" s="147">
        <f t="shared" si="17"/>
        <v>2.1687010218838245</v>
      </c>
      <c r="N129" s="137"/>
      <c r="O129" s="145">
        <f t="shared" si="41"/>
        <v>660</v>
      </c>
      <c r="P129" s="151">
        <f t="shared" si="42"/>
        <v>6.6</v>
      </c>
      <c r="Q129" s="147">
        <f t="shared" si="18"/>
        <v>8.9125511879869599</v>
      </c>
      <c r="R129" s="128">
        <v>203</v>
      </c>
      <c r="S129" s="148">
        <f t="shared" si="26"/>
        <v>11.142670000000001</v>
      </c>
      <c r="T129" s="129">
        <v>208.2</v>
      </c>
      <c r="U129" s="148">
        <f t="shared" si="43"/>
        <v>18.199999999999989</v>
      </c>
      <c r="V129" s="147">
        <f t="shared" si="27"/>
        <v>88.965761542739642</v>
      </c>
      <c r="W129" s="150">
        <f t="shared" si="28"/>
        <v>378.96576154273964</v>
      </c>
      <c r="X129" s="150">
        <f t="shared" si="29"/>
        <v>170.76576154273965</v>
      </c>
      <c r="Y129" s="148">
        <f t="shared" si="30"/>
        <v>81.800000000000011</v>
      </c>
      <c r="Z129" s="147">
        <f t="shared" si="19"/>
        <v>2.0876009968550076</v>
      </c>
      <c r="AB129" s="145">
        <f t="shared" si="44"/>
        <v>1160</v>
      </c>
      <c r="AC129" s="151">
        <f t="shared" si="31"/>
        <v>11.6</v>
      </c>
      <c r="AD129" s="147">
        <f t="shared" si="20"/>
        <v>15.946787990626898</v>
      </c>
      <c r="AE129" s="128">
        <v>314</v>
      </c>
      <c r="AF129" s="148">
        <f t="shared" si="21"/>
        <v>17.23546</v>
      </c>
      <c r="AG129" s="129">
        <v>230.4</v>
      </c>
      <c r="AH129" s="148">
        <f t="shared" si="45"/>
        <v>40.400000000000006</v>
      </c>
      <c r="AI129" s="147">
        <f t="shared" si="32"/>
        <v>128.13962105023549</v>
      </c>
      <c r="AJ129" s="150">
        <f t="shared" si="33"/>
        <v>518.13962105023552</v>
      </c>
      <c r="AK129" s="150">
        <f t="shared" si="34"/>
        <v>287.73962105023554</v>
      </c>
      <c r="AL129" s="148">
        <f t="shared" si="35"/>
        <v>159.6</v>
      </c>
      <c r="AM129" s="147">
        <f t="shared" si="36"/>
        <v>1.8028798311418268</v>
      </c>
      <c r="AT129" s="1376">
        <v>87</v>
      </c>
      <c r="AU129" s="1377">
        <v>8.8320000000000007</v>
      </c>
    </row>
    <row r="130" spans="2:47">
      <c r="B130" s="145">
        <f t="shared" si="37"/>
        <v>200</v>
      </c>
      <c r="C130" s="151">
        <f t="shared" si="38"/>
        <v>2</v>
      </c>
      <c r="D130" s="147">
        <f t="shared" si="16"/>
        <v>2.6645707109251617</v>
      </c>
      <c r="E130" s="152">
        <v>114</v>
      </c>
      <c r="F130" s="148">
        <f t="shared" si="39"/>
        <v>6.25746</v>
      </c>
      <c r="G130" s="152">
        <v>197.8</v>
      </c>
      <c r="H130" s="148">
        <f t="shared" si="40"/>
        <v>7.8000000000000114</v>
      </c>
      <c r="I130" s="147">
        <f t="shared" si="22"/>
        <v>53.025377783765911</v>
      </c>
      <c r="J130" s="150">
        <f t="shared" si="23"/>
        <v>293.02537778376592</v>
      </c>
      <c r="K130" s="150">
        <f t="shared" si="24"/>
        <v>95.225377783765907</v>
      </c>
      <c r="L130" s="148">
        <f t="shared" si="25"/>
        <v>42.199999999999989</v>
      </c>
      <c r="M130" s="147">
        <f t="shared" si="17"/>
        <v>2.2565255398996666</v>
      </c>
      <c r="N130" s="137"/>
      <c r="O130" s="145">
        <f t="shared" si="41"/>
        <v>680</v>
      </c>
      <c r="P130" s="151">
        <f t="shared" si="42"/>
        <v>6.8</v>
      </c>
      <c r="Q130" s="147">
        <f t="shared" si="18"/>
        <v>9.1826284967138374</v>
      </c>
      <c r="R130" s="128">
        <v>207</v>
      </c>
      <c r="S130" s="148">
        <f t="shared" si="26"/>
        <v>11.36223</v>
      </c>
      <c r="T130" s="129">
        <v>209.3</v>
      </c>
      <c r="U130" s="148">
        <f t="shared" si="43"/>
        <v>19.300000000000011</v>
      </c>
      <c r="V130" s="147">
        <f t="shared" si="27"/>
        <v>90.449797276780075</v>
      </c>
      <c r="W130" s="150">
        <f t="shared" si="28"/>
        <v>380.44979727678009</v>
      </c>
      <c r="X130" s="150">
        <f t="shared" si="29"/>
        <v>171.14979727678008</v>
      </c>
      <c r="Y130" s="148">
        <f t="shared" si="30"/>
        <v>80.699999999999989</v>
      </c>
      <c r="Z130" s="147">
        <f t="shared" si="19"/>
        <v>2.1208153318064449</v>
      </c>
      <c r="AB130" s="145">
        <f t="shared" si="44"/>
        <v>1180</v>
      </c>
      <c r="AC130" s="151">
        <f t="shared" si="31"/>
        <v>11.8</v>
      </c>
      <c r="AD130" s="147">
        <f t="shared" si="20"/>
        <v>16.221732611154952</v>
      </c>
      <c r="AE130" s="128">
        <v>337</v>
      </c>
      <c r="AF130" s="148">
        <f t="shared" si="21"/>
        <v>18.49793</v>
      </c>
      <c r="AG130" s="129">
        <v>233.4</v>
      </c>
      <c r="AH130" s="148">
        <f t="shared" si="45"/>
        <v>43.400000000000006</v>
      </c>
      <c r="AI130" s="147">
        <f t="shared" si="32"/>
        <v>137.07578712592928</v>
      </c>
      <c r="AJ130" s="150">
        <f t="shared" si="33"/>
        <v>527.07578712592931</v>
      </c>
      <c r="AK130" s="150">
        <f t="shared" si="34"/>
        <v>293.67578712592933</v>
      </c>
      <c r="AL130" s="148">
        <f t="shared" si="35"/>
        <v>156.6</v>
      </c>
      <c r="AM130" s="147">
        <f t="shared" si="36"/>
        <v>1.8753243111489741</v>
      </c>
      <c r="AT130" s="1376">
        <v>88</v>
      </c>
      <c r="AU130" s="1377">
        <v>8.9280000000000008</v>
      </c>
    </row>
    <row r="131" spans="2:47">
      <c r="B131" s="145">
        <f t="shared" si="37"/>
        <v>220</v>
      </c>
      <c r="C131" s="151">
        <f t="shared" si="38"/>
        <v>2.2000000000000002</v>
      </c>
      <c r="D131" s="147">
        <f t="shared" si="16"/>
        <v>2.931027782017678</v>
      </c>
      <c r="E131" s="152">
        <v>119</v>
      </c>
      <c r="F131" s="148">
        <f t="shared" si="39"/>
        <v>6.5319099999999999</v>
      </c>
      <c r="G131" s="152">
        <v>199</v>
      </c>
      <c r="H131" s="148">
        <f t="shared" si="40"/>
        <v>9</v>
      </c>
      <c r="I131" s="147">
        <f t="shared" si="22"/>
        <v>55.199527984174416</v>
      </c>
      <c r="J131" s="150">
        <f t="shared" si="23"/>
        <v>295.19952798417444</v>
      </c>
      <c r="K131" s="150">
        <f t="shared" si="24"/>
        <v>96.199527984174438</v>
      </c>
      <c r="L131" s="148">
        <f t="shared" si="25"/>
        <v>41</v>
      </c>
      <c r="M131" s="147">
        <f t="shared" si="17"/>
        <v>2.3463299508335229</v>
      </c>
      <c r="N131" s="137"/>
      <c r="O131" s="145">
        <f t="shared" si="41"/>
        <v>700</v>
      </c>
      <c r="P131" s="151">
        <f t="shared" si="42"/>
        <v>7</v>
      </c>
      <c r="Q131" s="147">
        <f t="shared" si="18"/>
        <v>9.4527058054407149</v>
      </c>
      <c r="R131" s="128">
        <v>209</v>
      </c>
      <c r="S131" s="148">
        <f t="shared" si="26"/>
        <v>11.472010000000001</v>
      </c>
      <c r="T131" s="129">
        <v>210.3</v>
      </c>
      <c r="U131" s="148">
        <f t="shared" si="43"/>
        <v>20.300000000000011</v>
      </c>
      <c r="V131" s="147">
        <f t="shared" si="27"/>
        <v>91.052125282605161</v>
      </c>
      <c r="W131" s="150">
        <f t="shared" si="28"/>
        <v>381.05212528260518</v>
      </c>
      <c r="X131" s="150">
        <f t="shared" si="29"/>
        <v>170.75212528260516</v>
      </c>
      <c r="Y131" s="148">
        <f t="shared" si="30"/>
        <v>79.699999999999989</v>
      </c>
      <c r="Z131" s="147">
        <f t="shared" si="19"/>
        <v>2.1424356999072169</v>
      </c>
      <c r="AB131" s="145">
        <f t="shared" si="44"/>
        <v>1200</v>
      </c>
      <c r="AC131" s="151">
        <f t="shared" si="31"/>
        <v>12</v>
      </c>
      <c r="AD131" s="147">
        <f t="shared" si="20"/>
        <v>16.496677231682998</v>
      </c>
      <c r="AE131" s="128">
        <v>358</v>
      </c>
      <c r="AF131" s="148">
        <f t="shared" si="21"/>
        <v>19.65062</v>
      </c>
      <c r="AG131" s="129">
        <v>235.7</v>
      </c>
      <c r="AH131" s="148">
        <f t="shared" si="45"/>
        <v>45.699999999999989</v>
      </c>
      <c r="AI131" s="147">
        <f t="shared" si="32"/>
        <v>145.1397119920355</v>
      </c>
      <c r="AJ131" s="150">
        <f t="shared" si="33"/>
        <v>535.13971199203547</v>
      </c>
      <c r="AK131" s="150">
        <f t="shared" si="34"/>
        <v>299.43971199203548</v>
      </c>
      <c r="AL131" s="148">
        <f t="shared" si="35"/>
        <v>154.30000000000001</v>
      </c>
      <c r="AM131" s="147">
        <f t="shared" si="36"/>
        <v>1.9406332598317269</v>
      </c>
      <c r="AT131" s="1376">
        <v>89</v>
      </c>
      <c r="AU131" s="1377">
        <v>9.0719999999999992</v>
      </c>
    </row>
    <row r="132" spans="2:47">
      <c r="B132" s="145">
        <f t="shared" si="37"/>
        <v>240</v>
      </c>
      <c r="C132" s="151">
        <f t="shared" si="38"/>
        <v>2.4</v>
      </c>
      <c r="D132" s="147">
        <f t="shared" si="16"/>
        <v>3.1974848531101934</v>
      </c>
      <c r="E132" s="152">
        <v>122</v>
      </c>
      <c r="F132" s="148">
        <f t="shared" si="39"/>
        <v>6.69658</v>
      </c>
      <c r="G132" s="152">
        <v>200</v>
      </c>
      <c r="H132" s="148">
        <f t="shared" si="40"/>
        <v>10</v>
      </c>
      <c r="I132" s="147">
        <f t="shared" si="22"/>
        <v>56.435768520056179</v>
      </c>
      <c r="J132" s="150">
        <f t="shared" si="23"/>
        <v>296.43576852005617</v>
      </c>
      <c r="K132" s="150">
        <f t="shared" si="24"/>
        <v>96.435768520056172</v>
      </c>
      <c r="L132" s="148">
        <f t="shared" si="25"/>
        <v>40</v>
      </c>
      <c r="M132" s="147">
        <f t="shared" si="17"/>
        <v>2.4108942130014044</v>
      </c>
      <c r="N132" s="137"/>
      <c r="O132" s="145">
        <f t="shared" si="41"/>
        <v>720</v>
      </c>
      <c r="P132" s="151">
        <f t="shared" si="42"/>
        <v>7.2</v>
      </c>
      <c r="Q132" s="147">
        <f t="shared" si="18"/>
        <v>9.7227831141675942</v>
      </c>
      <c r="R132" s="128">
        <v>212</v>
      </c>
      <c r="S132" s="148">
        <f t="shared" si="26"/>
        <v>11.63668</v>
      </c>
      <c r="T132" s="129">
        <v>211.7</v>
      </c>
      <c r="U132" s="148">
        <f t="shared" si="43"/>
        <v>21.699999999999989</v>
      </c>
      <c r="V132" s="147">
        <f t="shared" si="27"/>
        <v>92.083612187414602</v>
      </c>
      <c r="W132" s="150">
        <f t="shared" si="28"/>
        <v>382.08361218741459</v>
      </c>
      <c r="X132" s="150">
        <f t="shared" si="29"/>
        <v>170.3836121874146</v>
      </c>
      <c r="Y132" s="148">
        <f t="shared" si="30"/>
        <v>78.300000000000011</v>
      </c>
      <c r="Z132" s="147">
        <f t="shared" si="19"/>
        <v>2.1760359155480788</v>
      </c>
      <c r="AB132" s="145">
        <f t="shared" si="44"/>
        <v>1220</v>
      </c>
      <c r="AC132" s="151">
        <f t="shared" si="31"/>
        <v>12.2</v>
      </c>
      <c r="AD132" s="147">
        <f t="shared" si="20"/>
        <v>16.771621852211048</v>
      </c>
      <c r="AE132" s="128">
        <v>376</v>
      </c>
      <c r="AF132" s="148">
        <f t="shared" si="21"/>
        <v>20.638639999999999</v>
      </c>
      <c r="AG132" s="129">
        <v>237.6</v>
      </c>
      <c r="AH132" s="148">
        <f t="shared" si="45"/>
        <v>47.599999999999994</v>
      </c>
      <c r="AI132" s="147">
        <f t="shared" si="32"/>
        <v>151.93532167185413</v>
      </c>
      <c r="AJ132" s="150">
        <f t="shared" si="33"/>
        <v>541.93532167185413</v>
      </c>
      <c r="AK132" s="150">
        <f t="shared" si="34"/>
        <v>304.3353216718541</v>
      </c>
      <c r="AL132" s="148">
        <f t="shared" si="35"/>
        <v>152.4</v>
      </c>
      <c r="AM132" s="147">
        <f t="shared" si="36"/>
        <v>1.9969509296053418</v>
      </c>
      <c r="AT132" s="1376">
        <v>90</v>
      </c>
      <c r="AU132" s="1377">
        <v>8.9060000000000006</v>
      </c>
    </row>
    <row r="133" spans="2:47">
      <c r="B133" s="145">
        <f t="shared" si="37"/>
        <v>260</v>
      </c>
      <c r="C133" s="151">
        <f t="shared" si="38"/>
        <v>2.6</v>
      </c>
      <c r="D133" s="147">
        <f t="shared" si="16"/>
        <v>3.4639419242027096</v>
      </c>
      <c r="E133" s="152">
        <v>127</v>
      </c>
      <c r="F133" s="148">
        <f t="shared" si="39"/>
        <v>6.9710299999999998</v>
      </c>
      <c r="G133" s="152">
        <v>201</v>
      </c>
      <c r="H133" s="148">
        <f t="shared" si="40"/>
        <v>11</v>
      </c>
      <c r="I133" s="147">
        <f t="shared" si="22"/>
        <v>58.586999083924738</v>
      </c>
      <c r="J133" s="150">
        <f t="shared" si="23"/>
        <v>298.58699908392475</v>
      </c>
      <c r="K133" s="150">
        <f t="shared" si="24"/>
        <v>97.586999083924752</v>
      </c>
      <c r="L133" s="148">
        <f t="shared" si="25"/>
        <v>39</v>
      </c>
      <c r="M133" s="147">
        <f t="shared" si="17"/>
        <v>2.5022307457416604</v>
      </c>
      <c r="N133" s="137"/>
      <c r="O133" s="145">
        <f t="shared" si="41"/>
        <v>740</v>
      </c>
      <c r="P133" s="151">
        <f t="shared" si="42"/>
        <v>7.4</v>
      </c>
      <c r="Q133" s="147">
        <f t="shared" si="18"/>
        <v>9.9928604228944717</v>
      </c>
      <c r="R133" s="128">
        <v>215</v>
      </c>
      <c r="S133" s="148">
        <f t="shared" si="26"/>
        <v>11.801350000000001</v>
      </c>
      <c r="T133" s="129">
        <v>212.7</v>
      </c>
      <c r="U133" s="148">
        <f t="shared" si="43"/>
        <v>22.699999999999989</v>
      </c>
      <c r="V133" s="147">
        <f t="shared" si="27"/>
        <v>93.107302448808525</v>
      </c>
      <c r="W133" s="150">
        <f t="shared" si="28"/>
        <v>383.10730244880853</v>
      </c>
      <c r="X133" s="150">
        <f t="shared" si="29"/>
        <v>170.40730244880854</v>
      </c>
      <c r="Y133" s="148">
        <f t="shared" si="30"/>
        <v>77.300000000000011</v>
      </c>
      <c r="Z133" s="147">
        <f t="shared" si="19"/>
        <v>2.2044929165434479</v>
      </c>
      <c r="AB133" s="145">
        <f t="shared" si="44"/>
        <v>1240</v>
      </c>
      <c r="AC133" s="151">
        <f t="shared" si="31"/>
        <v>12.4</v>
      </c>
      <c r="AD133" s="147">
        <f t="shared" si="20"/>
        <v>17.046566472739102</v>
      </c>
      <c r="AE133" s="128">
        <v>396</v>
      </c>
      <c r="AF133" s="148">
        <f t="shared" si="21"/>
        <v>21.736440000000002</v>
      </c>
      <c r="AG133" s="129">
        <v>239.2</v>
      </c>
      <c r="AH133" s="148">
        <f t="shared" si="45"/>
        <v>49.199999999999989</v>
      </c>
      <c r="AI133" s="147">
        <f t="shared" si="32"/>
        <v>159.48837222739155</v>
      </c>
      <c r="AJ133" s="150">
        <f t="shared" si="33"/>
        <v>549.48837222739155</v>
      </c>
      <c r="AK133" s="150">
        <f t="shared" si="34"/>
        <v>310.28837222739156</v>
      </c>
      <c r="AL133" s="148">
        <f t="shared" si="35"/>
        <v>150.80000000000001</v>
      </c>
      <c r="AM133" s="147">
        <f t="shared" si="36"/>
        <v>2.0576152004468935</v>
      </c>
      <c r="AT133" s="1376">
        <v>91</v>
      </c>
      <c r="AU133" s="1377">
        <v>8.8390000000000004</v>
      </c>
    </row>
    <row r="134" spans="2:47">
      <c r="B134" s="145">
        <f t="shared" si="37"/>
        <v>280</v>
      </c>
      <c r="C134" s="151">
        <f t="shared" si="38"/>
        <v>2.8</v>
      </c>
      <c r="D134" s="147">
        <f t="shared" si="16"/>
        <v>3.7303989952952263</v>
      </c>
      <c r="E134" s="152">
        <v>133</v>
      </c>
      <c r="F134" s="148">
        <f t="shared" si="39"/>
        <v>7.30037</v>
      </c>
      <c r="G134" s="152">
        <v>201.7</v>
      </c>
      <c r="H134" s="148">
        <f t="shared" si="40"/>
        <v>11.699999999999989</v>
      </c>
      <c r="I134" s="147">
        <f t="shared" si="22"/>
        <v>61.185538156657863</v>
      </c>
      <c r="J134" s="150">
        <f t="shared" si="23"/>
        <v>301.18553815665786</v>
      </c>
      <c r="K134" s="150">
        <f t="shared" si="24"/>
        <v>99.485538156657867</v>
      </c>
      <c r="L134" s="148">
        <f t="shared" si="25"/>
        <v>38.300000000000011</v>
      </c>
      <c r="M134" s="147">
        <f t="shared" si="17"/>
        <v>2.5975336333331027</v>
      </c>
      <c r="N134" s="137"/>
      <c r="O134" s="145">
        <f t="shared" si="41"/>
        <v>760</v>
      </c>
      <c r="P134" s="151">
        <f t="shared" si="42"/>
        <v>7.6</v>
      </c>
      <c r="Q134" s="147">
        <f t="shared" si="18"/>
        <v>10.262937731621347</v>
      </c>
      <c r="R134" s="128">
        <v>217</v>
      </c>
      <c r="S134" s="148">
        <f t="shared" si="26"/>
        <v>11.91113</v>
      </c>
      <c r="T134" s="129">
        <v>214.1</v>
      </c>
      <c r="U134" s="148">
        <f t="shared" si="43"/>
        <v>24.099999999999994</v>
      </c>
      <c r="V134" s="147">
        <f t="shared" si="27"/>
        <v>93.691438286663995</v>
      </c>
      <c r="W134" s="150">
        <f t="shared" si="28"/>
        <v>383.69143828666398</v>
      </c>
      <c r="X134" s="150">
        <f t="shared" si="29"/>
        <v>169.59143828666399</v>
      </c>
      <c r="Y134" s="148">
        <f t="shared" si="30"/>
        <v>75.900000000000006</v>
      </c>
      <c r="Z134" s="147">
        <f t="shared" si="19"/>
        <v>2.2344063015370748</v>
      </c>
      <c r="AB134" s="145">
        <f t="shared" si="44"/>
        <v>1260</v>
      </c>
      <c r="AC134" s="151">
        <f t="shared" si="31"/>
        <v>12.6</v>
      </c>
      <c r="AD134" s="147">
        <f t="shared" si="20"/>
        <v>17.321511093267151</v>
      </c>
      <c r="AE134" s="128">
        <v>411</v>
      </c>
      <c r="AF134" s="148">
        <f t="shared" si="21"/>
        <v>22.55979</v>
      </c>
      <c r="AG134" s="129">
        <v>242.8</v>
      </c>
      <c r="AH134" s="148">
        <f t="shared" si="45"/>
        <v>52.800000000000011</v>
      </c>
      <c r="AI134" s="147">
        <f t="shared" si="32"/>
        <v>164.98095964324133</v>
      </c>
      <c r="AJ134" s="150">
        <f t="shared" si="33"/>
        <v>554.98095964324136</v>
      </c>
      <c r="AK134" s="150">
        <f t="shared" si="34"/>
        <v>312.18095964324135</v>
      </c>
      <c r="AL134" s="148">
        <f t="shared" si="35"/>
        <v>147.19999999999999</v>
      </c>
      <c r="AM134" s="147">
        <f t="shared" si="36"/>
        <v>2.1207945627937592</v>
      </c>
      <c r="AT134" s="1376">
        <v>92</v>
      </c>
      <c r="AU134" s="1377">
        <v>8.8219999999999992</v>
      </c>
    </row>
    <row r="135" spans="2:47">
      <c r="B135" s="145">
        <f t="shared" si="37"/>
        <v>300</v>
      </c>
      <c r="C135" s="151">
        <f t="shared" si="38"/>
        <v>3</v>
      </c>
      <c r="D135" s="147">
        <f t="shared" si="16"/>
        <v>3.9968560663877426</v>
      </c>
      <c r="E135" s="152">
        <v>139</v>
      </c>
      <c r="F135" s="148">
        <f t="shared" si="39"/>
        <v>7.6297100000000002</v>
      </c>
      <c r="G135" s="152">
        <v>202</v>
      </c>
      <c r="H135" s="148">
        <f t="shared" si="40"/>
        <v>12</v>
      </c>
      <c r="I135" s="147">
        <f t="shared" si="22"/>
        <v>63.768797471697695</v>
      </c>
      <c r="J135" s="150">
        <f t="shared" si="23"/>
        <v>303.76879747169767</v>
      </c>
      <c r="K135" s="150">
        <f t="shared" si="24"/>
        <v>101.76879747169767</v>
      </c>
      <c r="L135" s="148">
        <f t="shared" si="25"/>
        <v>38</v>
      </c>
      <c r="M135" s="147">
        <f t="shared" si="17"/>
        <v>2.6781262492552016</v>
      </c>
      <c r="N135" s="137"/>
      <c r="O135" s="145">
        <f t="shared" si="41"/>
        <v>780</v>
      </c>
      <c r="P135" s="151">
        <f t="shared" si="42"/>
        <v>7.8</v>
      </c>
      <c r="Q135" s="147">
        <f t="shared" si="18"/>
        <v>10.533015040348225</v>
      </c>
      <c r="R135" s="129">
        <v>220</v>
      </c>
      <c r="S135" s="148">
        <f t="shared" si="26"/>
        <v>12.075800000000001</v>
      </c>
      <c r="T135" s="129">
        <v>215</v>
      </c>
      <c r="U135" s="148">
        <f t="shared" si="43"/>
        <v>25</v>
      </c>
      <c r="V135" s="147">
        <f t="shared" si="27"/>
        <v>94.700834701796069</v>
      </c>
      <c r="W135" s="150">
        <f t="shared" si="28"/>
        <v>384.70083470179605</v>
      </c>
      <c r="X135" s="150">
        <f t="shared" si="29"/>
        <v>169.70083470179605</v>
      </c>
      <c r="Y135" s="148">
        <f t="shared" si="30"/>
        <v>75</v>
      </c>
      <c r="Z135" s="147">
        <f t="shared" si="19"/>
        <v>2.2626777960239473</v>
      </c>
      <c r="AB135" s="145">
        <f t="shared" si="44"/>
        <v>1280</v>
      </c>
      <c r="AC135" s="151">
        <f t="shared" si="31"/>
        <v>12.8</v>
      </c>
      <c r="AD135" s="147">
        <f t="shared" si="20"/>
        <v>17.596455713795201</v>
      </c>
      <c r="AE135" s="129">
        <v>420</v>
      </c>
      <c r="AF135" s="148">
        <f t="shared" si="21"/>
        <v>23.053799999999999</v>
      </c>
      <c r="AG135" s="129">
        <v>244.9</v>
      </c>
      <c r="AH135" s="148">
        <f t="shared" si="45"/>
        <v>54.900000000000006</v>
      </c>
      <c r="AI135" s="147">
        <f t="shared" si="32"/>
        <v>168.03302859394105</v>
      </c>
      <c r="AJ135" s="150">
        <f t="shared" si="33"/>
        <v>558.03302859394103</v>
      </c>
      <c r="AK135" s="150">
        <f t="shared" si="34"/>
        <v>313.13302859394105</v>
      </c>
      <c r="AL135" s="148">
        <f t="shared" si="35"/>
        <v>145.1</v>
      </c>
      <c r="AM135" s="147">
        <f t="shared" si="36"/>
        <v>2.1580498180147556</v>
      </c>
      <c r="AT135" s="1376">
        <v>93</v>
      </c>
      <c r="AU135" s="1377">
        <v>8.8539999999999992</v>
      </c>
    </row>
    <row r="136" spans="2:47">
      <c r="B136" s="145">
        <f t="shared" si="37"/>
        <v>320</v>
      </c>
      <c r="C136" s="151">
        <f t="shared" si="38"/>
        <v>3.2</v>
      </c>
      <c r="D136" s="147">
        <f t="shared" si="16"/>
        <v>4.2633131374802593</v>
      </c>
      <c r="E136" s="152">
        <v>145</v>
      </c>
      <c r="F136" s="148">
        <f t="shared" si="39"/>
        <v>7.9590500000000004</v>
      </c>
      <c r="G136" s="152">
        <v>202.7</v>
      </c>
      <c r="H136" s="148">
        <f t="shared" si="40"/>
        <v>12.699999999999989</v>
      </c>
      <c r="I136" s="147">
        <f t="shared" si="22"/>
        <v>66.336777029044242</v>
      </c>
      <c r="J136" s="150">
        <f t="shared" si="23"/>
        <v>306.33677702904424</v>
      </c>
      <c r="K136" s="150">
        <f t="shared" si="24"/>
        <v>103.63677702904425</v>
      </c>
      <c r="L136" s="148">
        <f t="shared" si="25"/>
        <v>37.300000000000011</v>
      </c>
      <c r="M136" s="147">
        <f t="shared" si="17"/>
        <v>2.7784658720923385</v>
      </c>
      <c r="N136" s="137"/>
      <c r="O136" s="145">
        <f t="shared" si="41"/>
        <v>800</v>
      </c>
      <c r="P136" s="151">
        <f t="shared" si="42"/>
        <v>8</v>
      </c>
      <c r="Q136" s="147">
        <f t="shared" si="18"/>
        <v>10.803092349075104</v>
      </c>
      <c r="R136" s="129">
        <v>224</v>
      </c>
      <c r="S136" s="148">
        <f t="shared" si="26"/>
        <v>12.295360000000001</v>
      </c>
      <c r="T136" s="129">
        <v>215.3</v>
      </c>
      <c r="U136" s="148">
        <f t="shared" si="43"/>
        <v>25.300000000000011</v>
      </c>
      <c r="V136" s="147">
        <f t="shared" si="27"/>
        <v>96.13159337249698</v>
      </c>
      <c r="W136" s="150">
        <f t="shared" si="28"/>
        <v>386.13159337249698</v>
      </c>
      <c r="X136" s="150">
        <f t="shared" si="29"/>
        <v>170.83159337249697</v>
      </c>
      <c r="Y136" s="148">
        <f t="shared" si="30"/>
        <v>74.699999999999989</v>
      </c>
      <c r="Z136" s="147">
        <f t="shared" si="19"/>
        <v>2.2869021870481525</v>
      </c>
      <c r="AB136" s="145">
        <f t="shared" si="44"/>
        <v>1300</v>
      </c>
      <c r="AC136" s="151">
        <f t="shared" si="31"/>
        <v>13</v>
      </c>
      <c r="AD136" s="147">
        <f t="shared" si="20"/>
        <v>17.871400334323251</v>
      </c>
      <c r="AE136" s="129">
        <v>431</v>
      </c>
      <c r="AF136" s="148">
        <f t="shared" si="21"/>
        <v>23.657589999999999</v>
      </c>
      <c r="AG136" s="129">
        <v>245.8</v>
      </c>
      <c r="AH136" s="148">
        <f t="shared" si="45"/>
        <v>55.800000000000011</v>
      </c>
      <c r="AI136" s="147">
        <f t="shared" si="32"/>
        <v>171.85855707159703</v>
      </c>
      <c r="AJ136" s="150">
        <f t="shared" si="33"/>
        <v>561.85855707159703</v>
      </c>
      <c r="AK136" s="150">
        <f t="shared" si="34"/>
        <v>316.05855707159702</v>
      </c>
      <c r="AL136" s="148">
        <f t="shared" si="35"/>
        <v>144.19999999999999</v>
      </c>
      <c r="AM136" s="147">
        <f t="shared" si="36"/>
        <v>2.1918069145048338</v>
      </c>
      <c r="AT136" s="1376">
        <v>94</v>
      </c>
      <c r="AU136" s="1377">
        <v>8.8260000000000005</v>
      </c>
    </row>
    <row r="137" spans="2:47">
      <c r="B137" s="145">
        <f t="shared" si="37"/>
        <v>340</v>
      </c>
      <c r="C137" s="151">
        <f t="shared" si="38"/>
        <v>3.4</v>
      </c>
      <c r="D137" s="147">
        <f t="shared" si="16"/>
        <v>4.5297702085727742</v>
      </c>
      <c r="E137" s="152">
        <v>154</v>
      </c>
      <c r="F137" s="148">
        <f t="shared" si="39"/>
        <v>8.4530600000000007</v>
      </c>
      <c r="G137" s="152">
        <v>204.3</v>
      </c>
      <c r="H137" s="148">
        <f t="shared" si="40"/>
        <v>14.300000000000011</v>
      </c>
      <c r="I137" s="147">
        <f t="shared" si="22"/>
        <v>70.258141931254428</v>
      </c>
      <c r="J137" s="150">
        <f t="shared" si="23"/>
        <v>310.25814193125444</v>
      </c>
      <c r="K137" s="150">
        <f t="shared" si="24"/>
        <v>105.95814193125443</v>
      </c>
      <c r="L137" s="148">
        <f t="shared" si="25"/>
        <v>35.699999999999989</v>
      </c>
      <c r="M137" s="147">
        <f t="shared" si="17"/>
        <v>2.9680151801471837</v>
      </c>
      <c r="N137" s="137"/>
      <c r="O137" s="145">
        <f t="shared" si="41"/>
        <v>820</v>
      </c>
      <c r="P137" s="151">
        <f t="shared" si="42"/>
        <v>8.1999999999999993</v>
      </c>
      <c r="Q137" s="147">
        <f t="shared" si="18"/>
        <v>11.07316965780198</v>
      </c>
      <c r="R137" s="129">
        <v>228</v>
      </c>
      <c r="S137" s="148">
        <f t="shared" si="26"/>
        <v>12.51492</v>
      </c>
      <c r="T137" s="129">
        <v>216.1</v>
      </c>
      <c r="U137" s="148">
        <f t="shared" si="43"/>
        <v>26.099999999999994</v>
      </c>
      <c r="V137" s="147">
        <f t="shared" si="27"/>
        <v>97.551956518643792</v>
      </c>
      <c r="W137" s="150">
        <f t="shared" si="28"/>
        <v>387.55195651864381</v>
      </c>
      <c r="X137" s="150">
        <f t="shared" si="29"/>
        <v>171.45195651864381</v>
      </c>
      <c r="Y137" s="148">
        <f t="shared" si="30"/>
        <v>73.900000000000006</v>
      </c>
      <c r="Z137" s="147">
        <f t="shared" si="19"/>
        <v>2.3200535388179135</v>
      </c>
      <c r="AB137" s="145">
        <f t="shared" si="44"/>
        <v>1320</v>
      </c>
      <c r="AC137" s="151">
        <f t="shared" si="31"/>
        <v>13.2</v>
      </c>
      <c r="AD137" s="147">
        <f t="shared" si="20"/>
        <v>18.146344954851298</v>
      </c>
      <c r="AE137" s="129">
        <v>441</v>
      </c>
      <c r="AF137" s="148">
        <f t="shared" si="21"/>
        <v>24.206490000000002</v>
      </c>
      <c r="AG137" s="129">
        <v>248.3</v>
      </c>
      <c r="AH137" s="148">
        <f t="shared" si="45"/>
        <v>58.300000000000011</v>
      </c>
      <c r="AI137" s="147">
        <f t="shared" si="32"/>
        <v>175.25730915768111</v>
      </c>
      <c r="AJ137" s="150">
        <f t="shared" si="33"/>
        <v>565.25730915768111</v>
      </c>
      <c r="AK137" s="150">
        <f t="shared" si="34"/>
        <v>316.9573091576811</v>
      </c>
      <c r="AL137" s="148">
        <f t="shared" si="35"/>
        <v>141.69999999999999</v>
      </c>
      <c r="AM137" s="147">
        <f t="shared" si="36"/>
        <v>2.2368194012539244</v>
      </c>
      <c r="AT137" s="1376">
        <v>95</v>
      </c>
      <c r="AU137" s="1377">
        <v>8.8789999999999996</v>
      </c>
    </row>
    <row r="138" spans="2:47">
      <c r="B138" s="145">
        <f t="shared" si="37"/>
        <v>360</v>
      </c>
      <c r="C138" s="151">
        <f t="shared" si="38"/>
        <v>3.6</v>
      </c>
      <c r="D138" s="147">
        <f t="shared" si="16"/>
        <v>4.7962272796652909</v>
      </c>
      <c r="E138" s="152">
        <v>159</v>
      </c>
      <c r="F138" s="148">
        <f t="shared" si="39"/>
        <v>8.7275100000000005</v>
      </c>
      <c r="G138" s="152">
        <v>204.7</v>
      </c>
      <c r="H138" s="148">
        <f t="shared" si="40"/>
        <v>14.699999999999989</v>
      </c>
      <c r="I138" s="147">
        <f t="shared" si="22"/>
        <v>72.336793646079869</v>
      </c>
      <c r="J138" s="150">
        <f t="shared" si="23"/>
        <v>312.33679364607985</v>
      </c>
      <c r="K138" s="150">
        <f t="shared" si="24"/>
        <v>107.63679364607987</v>
      </c>
      <c r="L138" s="148">
        <f t="shared" si="25"/>
        <v>35.300000000000011</v>
      </c>
      <c r="M138" s="147">
        <f t="shared" si="17"/>
        <v>3.0492009531467374</v>
      </c>
      <c r="N138" s="137"/>
      <c r="O138" s="145">
        <f t="shared" si="41"/>
        <v>840</v>
      </c>
      <c r="P138" s="151">
        <f t="shared" si="42"/>
        <v>8.4</v>
      </c>
      <c r="Q138" s="147">
        <f t="shared" si="18"/>
        <v>11.343246966528858</v>
      </c>
      <c r="R138" s="129">
        <v>230</v>
      </c>
      <c r="S138" s="148">
        <f t="shared" si="26"/>
        <v>12.624700000000001</v>
      </c>
      <c r="T138" s="129">
        <v>216.5</v>
      </c>
      <c r="U138" s="148">
        <f t="shared" si="43"/>
        <v>26.5</v>
      </c>
      <c r="V138" s="147">
        <f t="shared" si="27"/>
        <v>98.108804104544888</v>
      </c>
      <c r="W138" s="150">
        <f t="shared" si="28"/>
        <v>388.1088041045449</v>
      </c>
      <c r="X138" s="150">
        <f t="shared" si="29"/>
        <v>171.6088041045449</v>
      </c>
      <c r="Y138" s="148">
        <f t="shared" si="30"/>
        <v>73.5</v>
      </c>
      <c r="Z138" s="147">
        <f t="shared" si="19"/>
        <v>2.3348136612863253</v>
      </c>
      <c r="AB138" s="145">
        <f t="shared" si="44"/>
        <v>1340</v>
      </c>
      <c r="AC138" s="151">
        <f t="shared" si="31"/>
        <v>13.4</v>
      </c>
      <c r="AD138" s="147">
        <f t="shared" si="20"/>
        <v>18.421289575379351</v>
      </c>
      <c r="AE138" s="129">
        <v>447</v>
      </c>
      <c r="AF138" s="148">
        <f t="shared" si="21"/>
        <v>24.535830000000001</v>
      </c>
      <c r="AG138" s="129">
        <v>250.8</v>
      </c>
      <c r="AH138" s="148">
        <f t="shared" si="45"/>
        <v>60.800000000000011</v>
      </c>
      <c r="AI138" s="147">
        <f t="shared" si="32"/>
        <v>177.04506758490265</v>
      </c>
      <c r="AJ138" s="150">
        <f t="shared" si="33"/>
        <v>567.04506758490265</v>
      </c>
      <c r="AK138" s="150">
        <f t="shared" si="34"/>
        <v>316.24506758490264</v>
      </c>
      <c r="AL138" s="148">
        <f t="shared" si="35"/>
        <v>139.19999999999999</v>
      </c>
      <c r="AM138" s="147">
        <f t="shared" si="36"/>
        <v>2.2718754855237262</v>
      </c>
      <c r="AT138" s="1376">
        <v>96</v>
      </c>
      <c r="AU138" s="1377">
        <v>11.742000000000001</v>
      </c>
    </row>
    <row r="139" spans="2:47">
      <c r="B139" s="145">
        <f t="shared" si="37"/>
        <v>380</v>
      </c>
      <c r="C139" s="151">
        <f t="shared" si="38"/>
        <v>3.8</v>
      </c>
      <c r="D139" s="147">
        <f t="shared" si="16"/>
        <v>5.0626843507578068</v>
      </c>
      <c r="E139" s="152">
        <v>162</v>
      </c>
      <c r="F139" s="148">
        <f t="shared" si="39"/>
        <v>8.8921799999999998</v>
      </c>
      <c r="G139" s="152">
        <v>205</v>
      </c>
      <c r="H139" s="148">
        <f t="shared" si="40"/>
        <v>15</v>
      </c>
      <c r="I139" s="147">
        <f t="shared" si="22"/>
        <v>73.495362080354084</v>
      </c>
      <c r="J139" s="150">
        <f t="shared" si="23"/>
        <v>313.49536208035408</v>
      </c>
      <c r="K139" s="150">
        <f t="shared" si="24"/>
        <v>108.49536208035408</v>
      </c>
      <c r="L139" s="148">
        <f t="shared" si="25"/>
        <v>35</v>
      </c>
      <c r="M139" s="147">
        <f t="shared" si="17"/>
        <v>3.0998674880101169</v>
      </c>
      <c r="N139" s="137"/>
      <c r="O139" s="145">
        <f t="shared" si="41"/>
        <v>860</v>
      </c>
      <c r="P139" s="151">
        <f t="shared" si="42"/>
        <v>8.6</v>
      </c>
      <c r="Q139" s="147">
        <f t="shared" si="18"/>
        <v>11.613324275255735</v>
      </c>
      <c r="R139" s="129">
        <v>237</v>
      </c>
      <c r="S139" s="148">
        <f t="shared" si="26"/>
        <v>13.008929999999999</v>
      </c>
      <c r="T139" s="129">
        <v>217.3</v>
      </c>
      <c r="U139" s="148">
        <f t="shared" si="43"/>
        <v>27.300000000000011</v>
      </c>
      <c r="V139" s="147">
        <f t="shared" si="27"/>
        <v>100.78675681455189</v>
      </c>
      <c r="W139" s="150">
        <f t="shared" si="28"/>
        <v>390.78675681455189</v>
      </c>
      <c r="X139" s="150">
        <f t="shared" si="29"/>
        <v>173.48675681455188</v>
      </c>
      <c r="Y139" s="148">
        <f t="shared" si="30"/>
        <v>72.699999999999989</v>
      </c>
      <c r="Z139" s="147">
        <f t="shared" si="19"/>
        <v>2.3863377828686647</v>
      </c>
      <c r="AB139" s="145">
        <f t="shared" si="44"/>
        <v>1360</v>
      </c>
      <c r="AC139" s="151">
        <f t="shared" si="31"/>
        <v>13.6</v>
      </c>
      <c r="AD139" s="147">
        <f t="shared" si="20"/>
        <v>18.696234195907397</v>
      </c>
      <c r="AE139" s="129">
        <v>452</v>
      </c>
      <c r="AF139" s="148">
        <f t="shared" si="21"/>
        <v>24.810280000000002</v>
      </c>
      <c r="AG139" s="129">
        <v>251.8</v>
      </c>
      <c r="AH139" s="148">
        <f t="shared" si="45"/>
        <v>61.800000000000011</v>
      </c>
      <c r="AI139" s="147">
        <f t="shared" si="32"/>
        <v>178.42206827178981</v>
      </c>
      <c r="AJ139" s="150">
        <f t="shared" si="33"/>
        <v>568.42206827178984</v>
      </c>
      <c r="AK139" s="150">
        <f t="shared" si="34"/>
        <v>316.62206827178983</v>
      </c>
      <c r="AL139" s="148">
        <f t="shared" si="35"/>
        <v>138.19999999999999</v>
      </c>
      <c r="AM139" s="147">
        <f t="shared" si="36"/>
        <v>2.2910424621692465</v>
      </c>
      <c r="AT139" s="1376">
        <v>97</v>
      </c>
      <c r="AU139" s="1377">
        <v>11.648</v>
      </c>
    </row>
    <row r="140" spans="2:47">
      <c r="B140" s="145">
        <f t="shared" si="37"/>
        <v>400</v>
      </c>
      <c r="C140" s="151">
        <f t="shared" si="38"/>
        <v>4</v>
      </c>
      <c r="D140" s="147">
        <f t="shared" si="16"/>
        <v>5.3291414218503235</v>
      </c>
      <c r="E140" s="152">
        <v>163</v>
      </c>
      <c r="F140" s="148">
        <f t="shared" si="39"/>
        <v>8.9470700000000001</v>
      </c>
      <c r="G140" s="152">
        <v>205</v>
      </c>
      <c r="H140" s="148">
        <f t="shared" si="40"/>
        <v>15</v>
      </c>
      <c r="I140" s="147">
        <f t="shared" si="22"/>
        <v>73.741487112923693</v>
      </c>
      <c r="J140" s="150">
        <f t="shared" si="23"/>
        <v>313.74148711292366</v>
      </c>
      <c r="K140" s="150">
        <f t="shared" si="24"/>
        <v>108.74148711292366</v>
      </c>
      <c r="L140" s="148">
        <f t="shared" si="25"/>
        <v>35</v>
      </c>
      <c r="M140" s="147">
        <f t="shared" si="17"/>
        <v>3.1068996317978188</v>
      </c>
      <c r="N140" s="137"/>
      <c r="O140" s="145">
        <f t="shared" si="41"/>
        <v>880</v>
      </c>
      <c r="P140" s="151">
        <f t="shared" si="42"/>
        <v>8.8000000000000007</v>
      </c>
      <c r="Q140" s="147">
        <f t="shared" si="18"/>
        <v>11.883401583982614</v>
      </c>
      <c r="R140" s="129">
        <v>243</v>
      </c>
      <c r="S140" s="148">
        <f t="shared" si="26"/>
        <v>13.33827</v>
      </c>
      <c r="T140" s="129">
        <v>218.1</v>
      </c>
      <c r="U140" s="148">
        <f t="shared" si="43"/>
        <v>28.099999999999994</v>
      </c>
      <c r="V140" s="147">
        <f t="shared" si="27"/>
        <v>103.02255621988198</v>
      </c>
      <c r="W140" s="150">
        <f t="shared" si="28"/>
        <v>393.02255621988195</v>
      </c>
      <c r="X140" s="150">
        <f t="shared" si="29"/>
        <v>174.92255621988195</v>
      </c>
      <c r="Y140" s="148">
        <f t="shared" si="30"/>
        <v>71.900000000000006</v>
      </c>
      <c r="Z140" s="147">
        <f t="shared" si="19"/>
        <v>2.4328589182181077</v>
      </c>
      <c r="AB140" s="145">
        <f t="shared" si="44"/>
        <v>1380</v>
      </c>
      <c r="AC140" s="151">
        <f t="shared" si="31"/>
        <v>13.8</v>
      </c>
      <c r="AD140" s="147">
        <f t="shared" si="20"/>
        <v>18.971178816435451</v>
      </c>
      <c r="AE140" s="129">
        <v>455</v>
      </c>
      <c r="AF140" s="148">
        <f t="shared" si="21"/>
        <v>24.97495</v>
      </c>
      <c r="AG140" s="129">
        <v>252.3</v>
      </c>
      <c r="AH140" s="148">
        <f t="shared" si="45"/>
        <v>62.300000000000011</v>
      </c>
      <c r="AI140" s="147">
        <f t="shared" si="32"/>
        <v>178.99891167965822</v>
      </c>
      <c r="AJ140" s="150">
        <f t="shared" si="33"/>
        <v>568.99891167965825</v>
      </c>
      <c r="AK140" s="150">
        <f t="shared" si="34"/>
        <v>316.69891167965824</v>
      </c>
      <c r="AL140" s="148">
        <f t="shared" si="35"/>
        <v>137.69999999999999</v>
      </c>
      <c r="AM140" s="147">
        <f t="shared" si="36"/>
        <v>2.2999194747978087</v>
      </c>
      <c r="AT140" s="1376">
        <v>98</v>
      </c>
      <c r="AU140" s="1377">
        <v>11.9</v>
      </c>
    </row>
    <row r="141" spans="2:47">
      <c r="B141" s="145">
        <f t="shared" si="37"/>
        <v>420</v>
      </c>
      <c r="C141" s="151">
        <f t="shared" si="38"/>
        <v>4.2</v>
      </c>
      <c r="D141" s="147">
        <f t="shared" si="16"/>
        <v>5.5955984929428393</v>
      </c>
      <c r="E141" s="152">
        <v>163</v>
      </c>
      <c r="F141" s="148">
        <f t="shared" si="39"/>
        <v>8.9470700000000001</v>
      </c>
      <c r="G141" s="152">
        <v>205</v>
      </c>
      <c r="H141" s="148">
        <f t="shared" si="40"/>
        <v>15</v>
      </c>
      <c r="I141" s="147">
        <f t="shared" si="22"/>
        <v>73.533937070923216</v>
      </c>
      <c r="J141" s="150">
        <f t="shared" si="23"/>
        <v>313.53393707092323</v>
      </c>
      <c r="K141" s="150">
        <f t="shared" si="24"/>
        <v>108.53393707092323</v>
      </c>
      <c r="L141" s="148">
        <f t="shared" si="25"/>
        <v>35</v>
      </c>
      <c r="M141" s="147">
        <f t="shared" si="17"/>
        <v>3.1009696305978065</v>
      </c>
      <c r="N141" s="137"/>
      <c r="O141" s="145">
        <f t="shared" si="41"/>
        <v>900</v>
      </c>
      <c r="P141" s="151">
        <f t="shared" si="42"/>
        <v>9</v>
      </c>
      <c r="Q141" s="147">
        <f t="shared" si="18"/>
        <v>12.15347889270949</v>
      </c>
      <c r="R141" s="129">
        <v>246</v>
      </c>
      <c r="S141" s="148">
        <f t="shared" si="26"/>
        <v>13.502940000000001</v>
      </c>
      <c r="T141" s="129">
        <v>218.8</v>
      </c>
      <c r="U141" s="148">
        <f t="shared" si="43"/>
        <v>28.800000000000011</v>
      </c>
      <c r="V141" s="147">
        <f t="shared" si="27"/>
        <v>103.97477724996673</v>
      </c>
      <c r="W141" s="150">
        <f t="shared" si="28"/>
        <v>393.97477724996673</v>
      </c>
      <c r="X141" s="150">
        <f t="shared" si="29"/>
        <v>175.17477724996672</v>
      </c>
      <c r="Y141" s="148">
        <f t="shared" si="30"/>
        <v>71.199999999999989</v>
      </c>
      <c r="Z141" s="147">
        <f t="shared" si="19"/>
        <v>2.4603199051961622</v>
      </c>
      <c r="AB141" s="145">
        <f t="shared" si="44"/>
        <v>1400</v>
      </c>
      <c r="AC141" s="151">
        <f t="shared" si="31"/>
        <v>14</v>
      </c>
      <c r="AD141" s="147">
        <f t="shared" si="20"/>
        <v>19.246123436963501</v>
      </c>
      <c r="AE141" s="129">
        <v>460</v>
      </c>
      <c r="AF141" s="148">
        <f t="shared" si="21"/>
        <v>25.249400000000001</v>
      </c>
      <c r="AG141" s="129">
        <v>252.5</v>
      </c>
      <c r="AH141" s="148">
        <f t="shared" si="45"/>
        <v>62.5</v>
      </c>
      <c r="AI141" s="147">
        <f t="shared" si="32"/>
        <v>180.35188438968908</v>
      </c>
      <c r="AJ141" s="150">
        <f t="shared" si="33"/>
        <v>570.35188438968908</v>
      </c>
      <c r="AK141" s="150">
        <f t="shared" si="34"/>
        <v>317.85188438968908</v>
      </c>
      <c r="AL141" s="148">
        <f t="shared" si="35"/>
        <v>137.5</v>
      </c>
      <c r="AM141" s="147">
        <f t="shared" si="36"/>
        <v>2.3116500682886478</v>
      </c>
      <c r="AT141" s="1376">
        <v>99</v>
      </c>
      <c r="AU141" s="1377">
        <v>11.936</v>
      </c>
    </row>
    <row r="142" spans="2:47">
      <c r="B142" s="145">
        <f t="shared" si="37"/>
        <v>440</v>
      </c>
      <c r="C142" s="151">
        <f t="shared" si="38"/>
        <v>4.4000000000000004</v>
      </c>
      <c r="D142" s="147">
        <f t="shared" si="16"/>
        <v>5.862055564035356</v>
      </c>
      <c r="E142" s="152">
        <v>164</v>
      </c>
      <c r="F142" s="148">
        <f t="shared" si="39"/>
        <v>9.0019600000000004</v>
      </c>
      <c r="G142" s="152">
        <v>205</v>
      </c>
      <c r="H142" s="148">
        <f t="shared" si="40"/>
        <v>15</v>
      </c>
      <c r="I142" s="147">
        <f t="shared" si="22"/>
        <v>73.776242164069515</v>
      </c>
      <c r="J142" s="150">
        <f t="shared" si="23"/>
        <v>313.77624216406952</v>
      </c>
      <c r="K142" s="150">
        <f t="shared" si="24"/>
        <v>108.77624216406952</v>
      </c>
      <c r="L142" s="148">
        <f t="shared" si="25"/>
        <v>35</v>
      </c>
      <c r="M142" s="147">
        <f t="shared" si="17"/>
        <v>3.1078926332591288</v>
      </c>
      <c r="N142" s="137"/>
      <c r="O142" s="145">
        <f t="shared" si="41"/>
        <v>920</v>
      </c>
      <c r="P142" s="151">
        <f t="shared" si="42"/>
        <v>9.1999999999999993</v>
      </c>
      <c r="Q142" s="147">
        <f t="shared" si="18"/>
        <v>12.423556201436368</v>
      </c>
      <c r="R142" s="129">
        <v>251</v>
      </c>
      <c r="S142" s="148">
        <f t="shared" si="26"/>
        <v>13.77739</v>
      </c>
      <c r="T142" s="129">
        <v>219.2</v>
      </c>
      <c r="U142" s="148">
        <f t="shared" si="43"/>
        <v>29.199999999999989</v>
      </c>
      <c r="V142" s="147">
        <f t="shared" si="27"/>
        <v>105.76192614777361</v>
      </c>
      <c r="W142" s="150">
        <f t="shared" si="28"/>
        <v>395.76192614777358</v>
      </c>
      <c r="X142" s="150">
        <f t="shared" si="29"/>
        <v>176.56192614777359</v>
      </c>
      <c r="Y142" s="148">
        <f t="shared" si="30"/>
        <v>70.800000000000011</v>
      </c>
      <c r="Z142" s="147">
        <f t="shared" si="19"/>
        <v>2.493812516211491</v>
      </c>
      <c r="AB142" s="145">
        <f t="shared" si="44"/>
        <v>1420</v>
      </c>
      <c r="AC142" s="151">
        <f t="shared" si="31"/>
        <v>14.2</v>
      </c>
      <c r="AD142" s="147">
        <f t="shared" si="20"/>
        <v>19.521068057491551</v>
      </c>
      <c r="AE142" s="129">
        <v>463</v>
      </c>
      <c r="AF142" s="148">
        <f t="shared" si="21"/>
        <v>25.414069999999999</v>
      </c>
      <c r="AG142" s="129">
        <v>252.7</v>
      </c>
      <c r="AH142" s="148">
        <f t="shared" si="45"/>
        <v>62.699999999999989</v>
      </c>
      <c r="AI142" s="147">
        <f t="shared" si="32"/>
        <v>180.91003937111367</v>
      </c>
      <c r="AJ142" s="150">
        <f t="shared" si="33"/>
        <v>570.91003937111373</v>
      </c>
      <c r="AK142" s="150">
        <f t="shared" si="34"/>
        <v>318.21003937111374</v>
      </c>
      <c r="AL142" s="148">
        <f t="shared" si="35"/>
        <v>137.30000000000001</v>
      </c>
      <c r="AM142" s="147">
        <f t="shared" si="36"/>
        <v>2.3176259240430714</v>
      </c>
      <c r="AT142" s="1376">
        <v>100</v>
      </c>
      <c r="AU142" s="1377">
        <v>11.704000000000001</v>
      </c>
    </row>
    <row r="143" spans="2:47">
      <c r="B143" s="145">
        <f t="shared" si="37"/>
        <v>460</v>
      </c>
      <c r="C143" s="151">
        <f t="shared" si="38"/>
        <v>4.5999999999999996</v>
      </c>
      <c r="D143" s="147">
        <f t="shared" si="16"/>
        <v>6.1285126351278709</v>
      </c>
      <c r="E143" s="152">
        <v>165</v>
      </c>
      <c r="F143" s="148">
        <f t="shared" si="39"/>
        <v>9.0568500000000007</v>
      </c>
      <c r="G143" s="152">
        <v>205</v>
      </c>
      <c r="H143" s="148">
        <f t="shared" si="40"/>
        <v>15</v>
      </c>
      <c r="I143" s="147">
        <f t="shared" si="22"/>
        <v>74.01600063093359</v>
      </c>
      <c r="J143" s="150">
        <f t="shared" si="23"/>
        <v>314.0160006309336</v>
      </c>
      <c r="K143" s="150">
        <f t="shared" si="24"/>
        <v>109.0160006309336</v>
      </c>
      <c r="L143" s="148">
        <f t="shared" si="25"/>
        <v>35</v>
      </c>
      <c r="M143" s="147">
        <f t="shared" si="17"/>
        <v>3.1147428751695316</v>
      </c>
      <c r="N143" s="137"/>
      <c r="O143" s="145">
        <f t="shared" si="41"/>
        <v>940</v>
      </c>
      <c r="P143" s="151">
        <f t="shared" si="42"/>
        <v>9.4</v>
      </c>
      <c r="Q143" s="147">
        <f t="shared" si="18"/>
        <v>12.693633510163247</v>
      </c>
      <c r="R143" s="129">
        <v>254</v>
      </c>
      <c r="S143" s="148">
        <f t="shared" si="26"/>
        <v>13.94206</v>
      </c>
      <c r="T143" s="129">
        <v>219.5</v>
      </c>
      <c r="U143" s="148">
        <f t="shared" si="43"/>
        <v>29.5</v>
      </c>
      <c r="V143" s="147">
        <f t="shared" si="27"/>
        <v>106.69595500988878</v>
      </c>
      <c r="W143" s="150">
        <f t="shared" si="28"/>
        <v>396.69595500988879</v>
      </c>
      <c r="X143" s="150">
        <f t="shared" si="29"/>
        <v>177.19595500988879</v>
      </c>
      <c r="Y143" s="148">
        <f t="shared" si="30"/>
        <v>70.5</v>
      </c>
      <c r="Z143" s="147">
        <f t="shared" si="19"/>
        <v>2.5134178015587061</v>
      </c>
      <c r="AB143" s="145">
        <f t="shared" si="44"/>
        <v>1440</v>
      </c>
      <c r="AC143" s="151">
        <f t="shared" si="31"/>
        <v>14.4</v>
      </c>
      <c r="AD143" s="147">
        <f t="shared" si="20"/>
        <v>19.796012678019601</v>
      </c>
      <c r="AE143" s="129">
        <v>468</v>
      </c>
      <c r="AF143" s="148">
        <f t="shared" si="21"/>
        <v>25.68852</v>
      </c>
      <c r="AG143" s="129">
        <v>252.9</v>
      </c>
      <c r="AH143" s="148">
        <f t="shared" si="45"/>
        <v>62.900000000000006</v>
      </c>
      <c r="AI143" s="147">
        <f t="shared" si="32"/>
        <v>182.23898410428831</v>
      </c>
      <c r="AJ143" s="150">
        <f t="shared" si="33"/>
        <v>572.23898410428831</v>
      </c>
      <c r="AK143" s="150">
        <f t="shared" si="34"/>
        <v>319.33898410428833</v>
      </c>
      <c r="AL143" s="148">
        <f t="shared" si="35"/>
        <v>137.1</v>
      </c>
      <c r="AM143" s="147">
        <f t="shared" si="36"/>
        <v>2.3292413136709582</v>
      </c>
      <c r="AT143" s="1376">
        <v>101</v>
      </c>
      <c r="AU143" s="1377">
        <v>11.682</v>
      </c>
    </row>
    <row r="144" spans="2:47">
      <c r="B144" s="145">
        <f t="shared" si="37"/>
        <v>480</v>
      </c>
      <c r="C144" s="151">
        <f t="shared" si="38"/>
        <v>4.8</v>
      </c>
      <c r="D144" s="147">
        <f t="shared" si="16"/>
        <v>6.3949697062203867</v>
      </c>
      <c r="E144" s="152">
        <v>166</v>
      </c>
      <c r="F144" s="148">
        <f t="shared" si="39"/>
        <v>9.1117400000000011</v>
      </c>
      <c r="G144" s="152">
        <v>205</v>
      </c>
      <c r="H144" s="148">
        <f t="shared" si="40"/>
        <v>15</v>
      </c>
      <c r="I144" s="147">
        <f t="shared" si="22"/>
        <v>74.25321247151544</v>
      </c>
      <c r="J144" s="150">
        <f t="shared" si="23"/>
        <v>314.25321247151544</v>
      </c>
      <c r="K144" s="150">
        <f t="shared" si="24"/>
        <v>109.25321247151544</v>
      </c>
      <c r="L144" s="148">
        <f t="shared" si="25"/>
        <v>35</v>
      </c>
      <c r="M144" s="147">
        <f t="shared" si="17"/>
        <v>3.1215203563290124</v>
      </c>
      <c r="N144" s="137"/>
      <c r="O144" s="145">
        <f t="shared" si="41"/>
        <v>960</v>
      </c>
      <c r="P144" s="151">
        <f t="shared" si="42"/>
        <v>9.6</v>
      </c>
      <c r="Q144" s="147">
        <f t="shared" si="18"/>
        <v>12.963710818890123</v>
      </c>
      <c r="R144" s="129">
        <v>257</v>
      </c>
      <c r="S144" s="148">
        <f t="shared" si="26"/>
        <v>14.106730000000001</v>
      </c>
      <c r="T144" s="129">
        <v>220</v>
      </c>
      <c r="U144" s="148">
        <f t="shared" si="43"/>
        <v>30</v>
      </c>
      <c r="V144" s="147">
        <f t="shared" si="27"/>
        <v>107.62218722858842</v>
      </c>
      <c r="W144" s="150">
        <f t="shared" si="28"/>
        <v>397.62218722858842</v>
      </c>
      <c r="X144" s="150">
        <f t="shared" si="29"/>
        <v>177.62218722858842</v>
      </c>
      <c r="Y144" s="148">
        <f t="shared" si="30"/>
        <v>70</v>
      </c>
      <c r="Z144" s="147">
        <f t="shared" si="19"/>
        <v>2.5374598175512633</v>
      </c>
      <c r="AB144" s="145">
        <f t="shared" si="44"/>
        <v>1460</v>
      </c>
      <c r="AC144" s="151">
        <f t="shared" si="31"/>
        <v>14.6</v>
      </c>
      <c r="AD144" s="147">
        <f t="shared" si="20"/>
        <v>20.070957298547651</v>
      </c>
      <c r="AE144" s="129">
        <v>473</v>
      </c>
      <c r="AF144" s="148">
        <f t="shared" si="21"/>
        <v>25.962970000000002</v>
      </c>
      <c r="AG144" s="129">
        <v>253</v>
      </c>
      <c r="AH144" s="148">
        <f t="shared" si="45"/>
        <v>63</v>
      </c>
      <c r="AI144" s="147">
        <f t="shared" si="32"/>
        <v>183.55457996143167</v>
      </c>
      <c r="AJ144" s="150">
        <f t="shared" si="33"/>
        <v>573.55457996143173</v>
      </c>
      <c r="AK144" s="150">
        <f t="shared" si="34"/>
        <v>320.55457996143173</v>
      </c>
      <c r="AL144" s="148">
        <f t="shared" si="35"/>
        <v>137</v>
      </c>
      <c r="AM144" s="147">
        <f t="shared" si="36"/>
        <v>2.3398144522732243</v>
      </c>
      <c r="AT144" s="1376">
        <v>102</v>
      </c>
      <c r="AU144" s="1377">
        <v>11.487</v>
      </c>
    </row>
    <row r="145" spans="1:47">
      <c r="B145" s="145">
        <f t="shared" si="37"/>
        <v>500</v>
      </c>
      <c r="C145" s="151">
        <f t="shared" ref="C145" si="46">(B145-$B$120)/100</f>
        <v>5</v>
      </c>
      <c r="D145" s="147">
        <f t="shared" ref="D145" si="47">(C145/$L$111)*100</f>
        <v>6.6614267773129034</v>
      </c>
      <c r="E145">
        <v>166</v>
      </c>
      <c r="F145" s="148">
        <f t="shared" si="39"/>
        <v>9.1117400000000011</v>
      </c>
      <c r="G145" s="139">
        <v>205</v>
      </c>
      <c r="H145" s="148">
        <f t="shared" ref="H145" si="48">G145-$G$120</f>
        <v>15</v>
      </c>
      <c r="I145" s="147">
        <f t="shared" ref="I145" si="49">(F145/$L$112)*((1-(D145/100)))*9806.65</f>
        <v>74.041842490091653</v>
      </c>
      <c r="J145" s="150">
        <f t="shared" ref="J145" si="50">$D$112+I145</f>
        <v>314.04184249009165</v>
      </c>
      <c r="K145" s="150">
        <f t="shared" ref="K145" si="51">J145-G145</f>
        <v>109.04184249009165</v>
      </c>
      <c r="L145" s="148">
        <f t="shared" ref="L145" si="52">$D$112-G145</f>
        <v>35</v>
      </c>
      <c r="M145" s="147">
        <f t="shared" ref="M145" si="53">K145/L145</f>
        <v>3.1154812140026187</v>
      </c>
      <c r="N145" s="137"/>
      <c r="O145" s="145">
        <f t="shared" si="41"/>
        <v>980</v>
      </c>
      <c r="P145" s="151">
        <f t="shared" si="42"/>
        <v>9.8000000000000007</v>
      </c>
      <c r="Q145" s="147">
        <f t="shared" si="18"/>
        <v>13.233788127617002</v>
      </c>
      <c r="R145" s="129">
        <v>261</v>
      </c>
      <c r="S145" s="148">
        <f t="shared" si="26"/>
        <v>14.32629</v>
      </c>
      <c r="T145" s="129">
        <v>220</v>
      </c>
      <c r="U145" s="148">
        <f t="shared" si="43"/>
        <v>30</v>
      </c>
      <c r="V145" s="147">
        <f t="shared" si="27"/>
        <v>108.95808673773354</v>
      </c>
      <c r="W145" s="150">
        <f t="shared" si="28"/>
        <v>398.95808673773354</v>
      </c>
      <c r="X145" s="150">
        <f t="shared" si="29"/>
        <v>178.95808673773354</v>
      </c>
      <c r="Y145" s="148">
        <f t="shared" si="30"/>
        <v>70</v>
      </c>
      <c r="Z145" s="147">
        <f t="shared" si="19"/>
        <v>2.5565440962533361</v>
      </c>
      <c r="AB145" s="145">
        <f t="shared" si="44"/>
        <v>1480</v>
      </c>
      <c r="AC145" s="151">
        <f t="shared" si="31"/>
        <v>14.8</v>
      </c>
      <c r="AD145" s="147">
        <f t="shared" si="20"/>
        <v>20.3459019190757</v>
      </c>
      <c r="AE145" s="129">
        <v>478</v>
      </c>
      <c r="AF145" s="148">
        <f t="shared" si="21"/>
        <v>26.23742</v>
      </c>
      <c r="AG145" s="129">
        <v>253</v>
      </c>
      <c r="AH145" s="148">
        <f t="shared" si="45"/>
        <v>63</v>
      </c>
      <c r="AI145" s="147">
        <f t="shared" si="32"/>
        <v>184.85682694254376</v>
      </c>
      <c r="AJ145" s="150">
        <f t="shared" si="33"/>
        <v>574.85682694254376</v>
      </c>
      <c r="AK145" s="150">
        <f t="shared" si="34"/>
        <v>321.85682694254376</v>
      </c>
      <c r="AL145" s="148">
        <f t="shared" si="35"/>
        <v>137</v>
      </c>
      <c r="AM145" s="147">
        <f t="shared" si="36"/>
        <v>2.3493199046901005</v>
      </c>
      <c r="AT145" s="1376">
        <v>103</v>
      </c>
      <c r="AU145" s="1377">
        <v>11.670999999999999</v>
      </c>
    </row>
    <row r="146" spans="1:47">
      <c r="C146" s="138"/>
      <c r="D146" s="96"/>
      <c r="E146" s="135"/>
      <c r="F146" s="96"/>
      <c r="G146" s="139"/>
      <c r="H146" s="136"/>
      <c r="L146" s="137"/>
      <c r="M146" s="137"/>
      <c r="N146" s="137"/>
      <c r="O146" s="145">
        <f t="shared" si="41"/>
        <v>1000</v>
      </c>
      <c r="P146" s="151">
        <f t="shared" si="42"/>
        <v>10</v>
      </c>
      <c r="Q146" s="147">
        <f t="shared" si="18"/>
        <v>13.503865436343879</v>
      </c>
      <c r="R146" s="129">
        <v>262</v>
      </c>
      <c r="S146" s="148">
        <f t="shared" si="26"/>
        <v>14.381180000000001</v>
      </c>
      <c r="T146" s="129">
        <v>220</v>
      </c>
      <c r="U146" s="148">
        <f t="shared" si="43"/>
        <v>30</v>
      </c>
      <c r="V146" s="147">
        <f t="shared" si="27"/>
        <v>109.03509724244923</v>
      </c>
      <c r="W146" s="150">
        <f t="shared" si="28"/>
        <v>399.03509724244924</v>
      </c>
      <c r="X146" s="150">
        <f t="shared" si="29"/>
        <v>179.03509724244924</v>
      </c>
      <c r="Y146" s="148">
        <f t="shared" si="30"/>
        <v>70</v>
      </c>
      <c r="Z146" s="147">
        <f t="shared" si="19"/>
        <v>2.5576442463207036</v>
      </c>
      <c r="AB146" s="145">
        <f t="shared" si="44"/>
        <v>1500</v>
      </c>
      <c r="AC146" s="151">
        <f t="shared" si="31"/>
        <v>15</v>
      </c>
      <c r="AD146" s="147">
        <f t="shared" si="20"/>
        <v>20.62084653960375</v>
      </c>
      <c r="AE146" s="129">
        <v>485</v>
      </c>
      <c r="AF146" s="148">
        <f t="shared" si="21"/>
        <v>26.621649999999999</v>
      </c>
      <c r="AG146" s="129">
        <v>253</v>
      </c>
      <c r="AH146" s="148">
        <f t="shared" si="45"/>
        <v>63</v>
      </c>
      <c r="AI146" s="147">
        <f t="shared" si="32"/>
        <v>186.9165147993746</v>
      </c>
      <c r="AJ146" s="150">
        <f t="shared" si="33"/>
        <v>576.91651479937457</v>
      </c>
      <c r="AK146" s="150">
        <f t="shared" si="34"/>
        <v>323.91651479937457</v>
      </c>
      <c r="AL146" s="148">
        <f t="shared" si="35"/>
        <v>137</v>
      </c>
      <c r="AM146" s="147">
        <f t="shared" si="36"/>
        <v>2.3643541226231721</v>
      </c>
      <c r="AT146" s="1376">
        <v>104</v>
      </c>
      <c r="AU146" s="1377">
        <v>11.765000000000001</v>
      </c>
    </row>
    <row r="147" spans="1:47">
      <c r="B147" s="134"/>
      <c r="C147" s="138"/>
      <c r="D147" s="96"/>
      <c r="E147" s="135"/>
      <c r="F147" s="96"/>
      <c r="G147" s="139"/>
      <c r="H147" s="136"/>
      <c r="I147" s="139"/>
      <c r="J147" s="96"/>
      <c r="K147" s="135"/>
      <c r="L147" s="137"/>
      <c r="M147" s="137"/>
      <c r="N147" s="137"/>
      <c r="O147" s="145">
        <f t="shared" si="41"/>
        <v>1020</v>
      </c>
      <c r="P147" s="151">
        <f t="shared" si="42"/>
        <v>10.199999999999999</v>
      </c>
      <c r="Q147" s="147">
        <f t="shared" si="18"/>
        <v>13.773942745070755</v>
      </c>
      <c r="R147" s="129">
        <v>265</v>
      </c>
      <c r="S147" s="148">
        <f t="shared" si="26"/>
        <v>14.54585</v>
      </c>
      <c r="T147" s="129">
        <v>220</v>
      </c>
      <c r="U147" s="148">
        <f t="shared" si="43"/>
        <v>30</v>
      </c>
      <c r="V147" s="147">
        <f t="shared" si="27"/>
        <v>109.93923897147148</v>
      </c>
      <c r="W147" s="150">
        <f t="shared" si="28"/>
        <v>399.93923897147147</v>
      </c>
      <c r="X147" s="150">
        <f t="shared" si="29"/>
        <v>179.93923897147147</v>
      </c>
      <c r="Y147" s="148">
        <f t="shared" si="30"/>
        <v>70</v>
      </c>
      <c r="Z147" s="147">
        <f t="shared" si="19"/>
        <v>2.5705605567353067</v>
      </c>
      <c r="AB147" s="145">
        <f t="shared" si="44"/>
        <v>1520</v>
      </c>
      <c r="AC147" s="151">
        <f t="shared" si="31"/>
        <v>15.2</v>
      </c>
      <c r="AD147" s="147">
        <f t="shared" si="20"/>
        <v>20.8957911601318</v>
      </c>
      <c r="AE147" s="129">
        <v>481</v>
      </c>
      <c r="AF147" s="148">
        <f t="shared" si="21"/>
        <v>26.402090000000001</v>
      </c>
      <c r="AG147" s="129">
        <v>253</v>
      </c>
      <c r="AH147" s="148">
        <f t="shared" si="45"/>
        <v>63</v>
      </c>
      <c r="AI147" s="147">
        <f t="shared" si="32"/>
        <v>184.73285435877108</v>
      </c>
      <c r="AJ147" s="150">
        <f t="shared" si="33"/>
        <v>574.73285435877108</v>
      </c>
      <c r="AK147" s="150">
        <f t="shared" si="34"/>
        <v>321.73285435877108</v>
      </c>
      <c r="AL147" s="148">
        <f t="shared" si="35"/>
        <v>137</v>
      </c>
      <c r="AM147" s="147">
        <f t="shared" si="36"/>
        <v>2.348414995319497</v>
      </c>
      <c r="AT147" s="1376">
        <v>105</v>
      </c>
      <c r="AU147" s="1377">
        <v>11.739000000000001</v>
      </c>
    </row>
    <row r="148" spans="1:47">
      <c r="B148" s="134"/>
      <c r="C148" s="138"/>
      <c r="D148" s="96"/>
      <c r="E148" s="135"/>
      <c r="F148" s="96"/>
      <c r="G148" s="139"/>
      <c r="H148" s="136"/>
      <c r="I148" s="139"/>
      <c r="J148" s="96"/>
      <c r="K148" s="135"/>
      <c r="L148" s="137"/>
      <c r="M148" s="137"/>
      <c r="N148" s="137"/>
      <c r="O148" s="145">
        <f t="shared" si="41"/>
        <v>1040</v>
      </c>
      <c r="P148" s="151">
        <f t="shared" si="42"/>
        <v>10.4</v>
      </c>
      <c r="Q148" s="147">
        <f t="shared" si="18"/>
        <v>14.044020053797635</v>
      </c>
      <c r="R148" s="129">
        <v>268</v>
      </c>
      <c r="S148" s="148">
        <f t="shared" si="26"/>
        <v>14.710520000000001</v>
      </c>
      <c r="T148" s="129">
        <v>220</v>
      </c>
      <c r="U148" s="148">
        <f t="shared" si="43"/>
        <v>30</v>
      </c>
      <c r="V148" s="147">
        <f t="shared" si="27"/>
        <v>110.83558405707821</v>
      </c>
      <c r="W148" s="150">
        <f t="shared" si="28"/>
        <v>400.83558405707822</v>
      </c>
      <c r="X148" s="150">
        <f t="shared" si="29"/>
        <v>180.83558405707822</v>
      </c>
      <c r="Y148" s="148">
        <f t="shared" si="30"/>
        <v>70</v>
      </c>
      <c r="Z148" s="147">
        <f t="shared" si="19"/>
        <v>2.5833654865296887</v>
      </c>
      <c r="AB148" s="145">
        <f t="shared" si="44"/>
        <v>1540</v>
      </c>
      <c r="AC148" s="151">
        <f t="shared" si="31"/>
        <v>15.4</v>
      </c>
      <c r="AD148" s="147">
        <f t="shared" si="20"/>
        <v>21.17073578065985</v>
      </c>
      <c r="AE148" s="129">
        <v>476</v>
      </c>
      <c r="AF148" s="148">
        <f t="shared" si="21"/>
        <v>26.12764</v>
      </c>
      <c r="AG148" s="129">
        <v>253</v>
      </c>
      <c r="AH148" s="148">
        <f t="shared" si="45"/>
        <v>63</v>
      </c>
      <c r="AI148" s="147">
        <f t="shared" si="32"/>
        <v>182.17714791832384</v>
      </c>
      <c r="AJ148" s="150">
        <f t="shared" si="33"/>
        <v>572.17714791832384</v>
      </c>
      <c r="AK148" s="150">
        <f t="shared" si="34"/>
        <v>319.17714791832384</v>
      </c>
      <c r="AL148" s="148">
        <f t="shared" si="35"/>
        <v>137</v>
      </c>
      <c r="AM148" s="147">
        <f t="shared" si="36"/>
        <v>2.3297602037833856</v>
      </c>
      <c r="AT148" s="1376">
        <v>106</v>
      </c>
      <c r="AU148" s="1377">
        <v>11.691000000000001</v>
      </c>
    </row>
    <row r="149" spans="1:47">
      <c r="B149" s="134"/>
      <c r="C149" s="138"/>
      <c r="D149" s="96"/>
      <c r="E149" s="135"/>
      <c r="F149" s="96"/>
      <c r="G149" s="139"/>
      <c r="H149" s="136"/>
      <c r="I149" s="139"/>
      <c r="J149" s="96"/>
      <c r="K149" s="135"/>
      <c r="L149" s="137"/>
      <c r="M149" s="137"/>
      <c r="N149" s="137"/>
      <c r="O149" s="145">
        <f t="shared" si="41"/>
        <v>1060</v>
      </c>
      <c r="P149" s="151">
        <f t="shared" ref="P149:P150" si="54">(O149-$B$120)/100</f>
        <v>10.6</v>
      </c>
      <c r="Q149" s="147">
        <f t="shared" ref="Q149:Q150" si="55">(P149/$X$111)*100</f>
        <v>14.31409736252451</v>
      </c>
      <c r="R149">
        <v>270</v>
      </c>
      <c r="S149" s="148">
        <f t="shared" si="26"/>
        <v>14.8203</v>
      </c>
      <c r="T149">
        <v>220</v>
      </c>
      <c r="U149" s="148">
        <f t="shared" ref="U149:U150" si="56">T149-$T$120</f>
        <v>30</v>
      </c>
      <c r="V149" s="147">
        <f t="shared" ref="V149:V150" si="57">(S149/$X$112)*((1-(Q149/100)))*9806.65</f>
        <v>111.31186632768534</v>
      </c>
      <c r="W149" s="150">
        <f t="shared" ref="W149:W150" si="58">$Q$112+V149</f>
        <v>401.31186632768532</v>
      </c>
      <c r="X149" s="150">
        <f t="shared" ref="X149:X150" si="59">W149-T149</f>
        <v>181.31186632768532</v>
      </c>
      <c r="Y149" s="148">
        <f t="shared" ref="Y149:Y150" si="60">$Q$112-T149</f>
        <v>70</v>
      </c>
      <c r="Z149" s="147">
        <f t="shared" ref="Z149:Z150" si="61">X149/Y149</f>
        <v>2.5901695189669334</v>
      </c>
      <c r="AB149" s="145">
        <f t="shared" si="44"/>
        <v>1560</v>
      </c>
      <c r="AC149" s="151">
        <f t="shared" si="31"/>
        <v>15.6</v>
      </c>
      <c r="AD149" s="147">
        <f t="shared" si="20"/>
        <v>21.4456804011879</v>
      </c>
      <c r="AE149" s="129">
        <v>471</v>
      </c>
      <c r="AF149" s="148">
        <f t="shared" si="21"/>
        <v>25.853190000000001</v>
      </c>
      <c r="AG149" s="129">
        <v>253</v>
      </c>
      <c r="AH149" s="148">
        <f t="shared" si="45"/>
        <v>63</v>
      </c>
      <c r="AI149" s="147">
        <f t="shared" si="32"/>
        <v>179.63479035390785</v>
      </c>
      <c r="AJ149" s="150">
        <f t="shared" si="33"/>
        <v>569.63479035390787</v>
      </c>
      <c r="AK149" s="150">
        <f t="shared" si="34"/>
        <v>316.63479035390787</v>
      </c>
      <c r="AL149" s="148">
        <f t="shared" si="35"/>
        <v>137</v>
      </c>
      <c r="AM149" s="147">
        <f t="shared" si="36"/>
        <v>2.3112028492985974</v>
      </c>
      <c r="AT149" s="1376">
        <v>107</v>
      </c>
      <c r="AU149" s="1377">
        <v>11.662000000000001</v>
      </c>
    </row>
    <row r="150" spans="1:47">
      <c r="B150" s="134"/>
      <c r="C150" s="138"/>
      <c r="D150" s="96"/>
      <c r="E150" s="135"/>
      <c r="F150" s="96"/>
      <c r="G150" s="139"/>
      <c r="H150" s="136"/>
      <c r="I150" s="139"/>
      <c r="J150" s="96"/>
      <c r="K150" s="135"/>
      <c r="L150" s="137"/>
      <c r="M150" s="137"/>
      <c r="N150" s="137"/>
      <c r="O150" s="145">
        <f t="shared" si="41"/>
        <v>1080</v>
      </c>
      <c r="P150" s="151">
        <f t="shared" si="54"/>
        <v>10.8</v>
      </c>
      <c r="Q150" s="147">
        <f t="shared" si="55"/>
        <v>14.58417467125139</v>
      </c>
      <c r="R150">
        <v>272</v>
      </c>
      <c r="S150" s="148">
        <f t="shared" si="26"/>
        <v>14.93008</v>
      </c>
      <c r="T150">
        <v>220</v>
      </c>
      <c r="U150" s="148">
        <f t="shared" si="56"/>
        <v>30</v>
      </c>
      <c r="V150" s="147">
        <f t="shared" si="57"/>
        <v>111.78295083601547</v>
      </c>
      <c r="W150" s="150">
        <f t="shared" si="58"/>
        <v>401.78295083601546</v>
      </c>
      <c r="X150" s="150">
        <f t="shared" si="59"/>
        <v>181.78295083601546</v>
      </c>
      <c r="Y150" s="148">
        <f t="shared" si="60"/>
        <v>70</v>
      </c>
      <c r="Z150" s="147">
        <f t="shared" si="61"/>
        <v>2.5968992976573637</v>
      </c>
      <c r="AB150" s="145"/>
      <c r="AC150" s="151"/>
      <c r="AD150" s="147"/>
      <c r="AE150" s="129"/>
      <c r="AF150" s="148"/>
      <c r="AG150" s="129"/>
      <c r="AH150" s="148"/>
      <c r="AI150" s="147"/>
      <c r="AJ150" s="150"/>
      <c r="AK150" s="150"/>
      <c r="AL150" s="148"/>
      <c r="AM150" s="147"/>
      <c r="AT150" s="1376">
        <v>108</v>
      </c>
      <c r="AU150" s="1377">
        <v>11.763999999999999</v>
      </c>
    </row>
    <row r="151" spans="1:47">
      <c r="B151" s="134"/>
      <c r="C151" s="138"/>
      <c r="M151" s="137"/>
      <c r="N151" s="137"/>
      <c r="O151" s="134"/>
      <c r="P151" s="135"/>
      <c r="AB151" s="145"/>
      <c r="AC151" s="151"/>
      <c r="AD151" s="147"/>
      <c r="AE151" s="129"/>
      <c r="AF151" s="148"/>
      <c r="AG151" s="129"/>
      <c r="AH151" s="148"/>
      <c r="AI151" s="147"/>
      <c r="AJ151" s="150"/>
      <c r="AK151" s="150"/>
      <c r="AL151" s="148"/>
      <c r="AM151" s="147"/>
      <c r="AT151" s="1376">
        <v>109</v>
      </c>
      <c r="AU151" s="1377">
        <v>11.73</v>
      </c>
    </row>
    <row r="152" spans="1:47">
      <c r="B152" s="134"/>
      <c r="C152" s="138"/>
      <c r="D152" s="140"/>
      <c r="E152" s="135"/>
      <c r="F152" s="96"/>
      <c r="G152" s="139"/>
      <c r="H152" s="136"/>
      <c r="I152" s="139"/>
      <c r="J152" s="96"/>
      <c r="K152" s="135"/>
      <c r="L152" s="137"/>
      <c r="M152" s="137"/>
      <c r="N152" s="137"/>
      <c r="O152" s="134"/>
      <c r="P152" s="135"/>
      <c r="AB152" s="145"/>
      <c r="AC152" s="151"/>
      <c r="AD152" s="147"/>
      <c r="AE152" s="129"/>
      <c r="AF152" s="148"/>
      <c r="AG152" s="129"/>
      <c r="AH152" s="148"/>
      <c r="AI152" s="147"/>
      <c r="AJ152" s="150"/>
      <c r="AK152" s="150"/>
      <c r="AL152" s="148"/>
      <c r="AM152" s="147"/>
      <c r="AT152" s="1376">
        <v>110</v>
      </c>
      <c r="AU152" s="1377">
        <v>11.663</v>
      </c>
    </row>
    <row r="153" spans="1:47">
      <c r="B153" s="134"/>
      <c r="C153" s="138"/>
      <c r="D153" s="140"/>
      <c r="E153" s="135"/>
      <c r="F153" s="96"/>
      <c r="G153" s="139"/>
      <c r="H153" s="136"/>
      <c r="I153" s="139"/>
      <c r="J153" s="96"/>
      <c r="K153" s="135"/>
      <c r="L153" s="137"/>
      <c r="M153" s="137"/>
      <c r="N153" s="137"/>
      <c r="O153" s="96"/>
      <c r="P153" s="135"/>
      <c r="AB153" s="145"/>
      <c r="AC153" s="151"/>
      <c r="AD153" s="147"/>
      <c r="AE153" s="129"/>
      <c r="AF153" s="148"/>
      <c r="AG153" s="129"/>
      <c r="AH153" s="148"/>
      <c r="AI153" s="147"/>
      <c r="AJ153" s="150"/>
      <c r="AK153" s="150"/>
      <c r="AL153" s="148"/>
      <c r="AM153" s="147"/>
      <c r="AT153" s="1376">
        <v>111</v>
      </c>
      <c r="AU153" s="1377">
        <v>11.741</v>
      </c>
    </row>
    <row r="154" spans="1:47">
      <c r="B154" s="134"/>
      <c r="C154" s="138"/>
      <c r="D154" s="96"/>
      <c r="E154" s="135"/>
      <c r="F154" s="96"/>
      <c r="G154" s="139"/>
      <c r="H154" s="136"/>
      <c r="I154" s="139"/>
      <c r="J154" s="96"/>
      <c r="K154" s="135"/>
      <c r="L154" s="137"/>
      <c r="M154" s="137"/>
      <c r="N154" s="137"/>
      <c r="O154" s="96"/>
      <c r="P154" s="135"/>
      <c r="AT154" s="1376">
        <v>112</v>
      </c>
      <c r="AU154" s="1377">
        <v>11.68</v>
      </c>
    </row>
    <row r="155" spans="1:47">
      <c r="B155" s="134"/>
      <c r="C155" s="138"/>
      <c r="D155" s="96">
        <f>INDEX(D120:D149,MATCH($I$155,$I120:$I149))</f>
        <v>6.3949697062203867</v>
      </c>
      <c r="E155" s="135"/>
      <c r="F155" s="96"/>
      <c r="G155" s="96">
        <f>INDEX(G120:G149,MATCH($I$155,$I120:$I149))</f>
        <v>205</v>
      </c>
      <c r="H155" s="136"/>
      <c r="I155" s="139">
        <f>MAX(I120:I144)</f>
        <v>74.25321247151544</v>
      </c>
      <c r="J155" s="96">
        <f>INDEX(J120:J149,MATCH($I$155,$I120:$I149))</f>
        <v>314.25321247151544</v>
      </c>
      <c r="K155" s="96">
        <f>INDEX(K120:K149,MATCH($I$155,$I120:$I149))</f>
        <v>109.25321247151544</v>
      </c>
      <c r="L155" s="96">
        <f>INDEX(L120:L149,MATCH($I$155,$I120:$I149))</f>
        <v>35</v>
      </c>
      <c r="M155" s="96">
        <f>INDEX(M120:M149,MATCH($I$155,$I120:$I149))</f>
        <v>3.1215203563290124</v>
      </c>
      <c r="N155" s="137"/>
      <c r="O155" s="96"/>
      <c r="P155" s="135"/>
      <c r="Q155" s="96">
        <f>INDEX(Q120:Q151,MATCH($V$155,$V120:$V149))</f>
        <v>14.31409736252451</v>
      </c>
      <c r="R155" s="135"/>
      <c r="S155" s="96"/>
      <c r="T155" s="96">
        <f>INDEX(T120:T151,MATCH($V$155,$V120:$V149))</f>
        <v>220</v>
      </c>
      <c r="U155" s="136"/>
      <c r="V155" s="139">
        <f>MAX(V120:V151)</f>
        <v>111.78295083601547</v>
      </c>
      <c r="W155" s="96">
        <f>INDEX(W120:W151,MATCH($V$155,$V120:$V151))</f>
        <v>401.78295083601546</v>
      </c>
      <c r="X155" s="96">
        <f>INDEX(X120:X149,MATCH($V$155,$V120:$V149))</f>
        <v>181.31186632768532</v>
      </c>
      <c r="Y155" s="96">
        <f>INDEX(Y120:Y151,MATCH($V$155,$V120:$V151))</f>
        <v>70</v>
      </c>
      <c r="Z155" s="96">
        <f>INDEX(Z120:Z151,MATCH($V$155,$V120:$V151))</f>
        <v>2.5968992976573637</v>
      </c>
      <c r="AD155" s="96">
        <f>INDEX(AD120:AD153,MATCH($V$155,$AI120:$AI153))</f>
        <v>15.3968987495708</v>
      </c>
      <c r="AE155" s="135"/>
      <c r="AF155" s="96"/>
      <c r="AG155" s="96">
        <f>INDEX(AG120:AG153,MATCH($AI$155,$AI120:$AI153))</f>
        <v>253</v>
      </c>
      <c r="AH155" s="136"/>
      <c r="AI155" s="139">
        <f>MAX(AI120:AI153)</f>
        <v>186.9165147993746</v>
      </c>
      <c r="AJ155" s="96">
        <f>INDEX(AJ120:AJ153,MATCH($AI$155,$AI120:$AI153))</f>
        <v>569.63479035390787</v>
      </c>
      <c r="AK155" s="96">
        <f>INDEX(AK120:AK153,MATCH($AI$155,$AI120:$AI153))</f>
        <v>316.63479035390787</v>
      </c>
      <c r="AL155" s="96">
        <f>INDEX(AL120:AL153,MATCH($AI$155,$AI120:$AI153))</f>
        <v>137</v>
      </c>
      <c r="AM155" s="96">
        <f>INDEX(AM120:AM153,MATCH($AI$155,$AI120:$AI153))</f>
        <v>2.3112028492985974</v>
      </c>
      <c r="AT155" s="1376">
        <v>113</v>
      </c>
      <c r="AU155" s="1377">
        <v>8.9589999999999996</v>
      </c>
    </row>
    <row r="156" spans="1:47">
      <c r="B156" s="134"/>
      <c r="C156" s="138"/>
      <c r="D156" s="96"/>
      <c r="E156" s="135"/>
      <c r="F156" s="96"/>
      <c r="G156" s="139"/>
      <c r="H156" s="136"/>
      <c r="I156" s="139"/>
      <c r="J156" s="96"/>
      <c r="K156" s="96"/>
      <c r="L156" s="96"/>
      <c r="M156" s="137"/>
      <c r="N156" s="137"/>
      <c r="O156" s="96"/>
      <c r="P156" s="135"/>
      <c r="Q156" s="96"/>
      <c r="R156" s="135"/>
      <c r="S156" s="96"/>
      <c r="T156" s="139"/>
      <c r="U156" s="136"/>
      <c r="V156" s="139"/>
      <c r="W156" s="96"/>
      <c r="X156" s="96"/>
      <c r="Y156" s="96"/>
      <c r="AD156" s="96"/>
      <c r="AE156" s="135"/>
      <c r="AF156" s="96"/>
      <c r="AG156" s="139"/>
      <c r="AH156" s="136"/>
      <c r="AI156" s="139"/>
      <c r="AJ156" s="96"/>
      <c r="AK156" s="96"/>
      <c r="AL156" s="96"/>
      <c r="AT156" s="1376">
        <v>114</v>
      </c>
      <c r="AU156" s="1377">
        <v>8.8190000000000008</v>
      </c>
    </row>
    <row r="157" spans="1:47">
      <c r="B157" s="134"/>
      <c r="C157" s="138"/>
      <c r="D157" s="96"/>
      <c r="E157" s="135"/>
      <c r="F157" s="96"/>
      <c r="G157" s="139"/>
      <c r="H157" s="136"/>
      <c r="I157" s="139"/>
      <c r="J157" s="96"/>
      <c r="K157" s="96"/>
      <c r="L157" s="96"/>
      <c r="M157" s="137"/>
      <c r="N157" s="137"/>
      <c r="O157" s="96"/>
      <c r="P157" s="135"/>
      <c r="Q157" s="96"/>
      <c r="R157" s="135"/>
      <c r="S157" s="96"/>
      <c r="T157" s="139"/>
      <c r="U157" s="136"/>
      <c r="V157" s="139"/>
      <c r="W157" s="96"/>
      <c r="X157" s="96"/>
      <c r="Y157" s="96"/>
      <c r="AD157" s="96"/>
      <c r="AE157" s="135"/>
      <c r="AF157" s="96"/>
      <c r="AG157" s="139"/>
      <c r="AH157" s="136"/>
      <c r="AI157" s="139"/>
      <c r="AJ157" s="96"/>
      <c r="AK157" s="96"/>
      <c r="AL157" s="96"/>
      <c r="AT157" s="1382">
        <v>115</v>
      </c>
      <c r="AU157" s="1383">
        <v>11.619</v>
      </c>
    </row>
    <row r="158" spans="1:47" s="1369" customFormat="1" ht="25.5" customHeight="1">
      <c r="A158" s="1368" t="s">
        <v>160</v>
      </c>
      <c r="AT158" s="1382">
        <v>116</v>
      </c>
      <c r="AU158" s="1383">
        <v>8.8699999999999992</v>
      </c>
    </row>
    <row r="159" spans="1:47">
      <c r="D159" s="96"/>
      <c r="E159" s="96"/>
      <c r="F159" s="96"/>
      <c r="G159" s="134"/>
      <c r="H159" s="96"/>
      <c r="I159" s="134"/>
      <c r="J159" s="96"/>
      <c r="K159" s="96"/>
      <c r="L159" s="137"/>
      <c r="M159" s="137"/>
      <c r="N159" s="96"/>
      <c r="Q159" s="96"/>
      <c r="R159" s="96"/>
      <c r="S159" s="96"/>
      <c r="AT159" s="1382">
        <v>117</v>
      </c>
      <c r="AU159" s="1383">
        <v>9</v>
      </c>
    </row>
    <row r="160" spans="1:47">
      <c r="B160" t="s">
        <v>166</v>
      </c>
      <c r="C160" s="135">
        <f>INDEX(D119:D144,MATCH(MAX(I119:I144),I119:I144,0))</f>
        <v>6.3949697062203867</v>
      </c>
      <c r="D160" s="157"/>
      <c r="E160" s="157"/>
      <c r="F160" s="157"/>
      <c r="G160" s="157"/>
      <c r="H160" s="157"/>
      <c r="I160" s="134"/>
      <c r="J160" s="96"/>
      <c r="K160" s="96"/>
      <c r="L160" s="137"/>
      <c r="M160" s="137"/>
      <c r="N160" s="96"/>
      <c r="O160" t="s">
        <v>166</v>
      </c>
      <c r="P160" s="135">
        <f>INDEX(Q119:Q148,MATCH(MAX(V120:V148),V123:V148,0))</f>
        <v>12.963710818890123</v>
      </c>
      <c r="Q160" s="157"/>
      <c r="R160" s="157"/>
      <c r="S160" s="157"/>
      <c r="AB160" t="s">
        <v>166</v>
      </c>
      <c r="AC160" s="135">
        <f>INDEX(AD119:AD153,MATCH(MAX(AI120:AI153),AI128:AI153,0))</f>
        <v>18.146344954851298</v>
      </c>
      <c r="AD160" s="157"/>
      <c r="AE160" s="157"/>
      <c r="AF160" s="157"/>
      <c r="AT160" s="1382">
        <v>118</v>
      </c>
      <c r="AU160" s="1383">
        <v>8.8339999999999996</v>
      </c>
    </row>
    <row r="161" spans="2:47" ht="18">
      <c r="B161" s="155" t="s">
        <v>822</v>
      </c>
      <c r="C161" s="42">
        <f>INDEX(I119:I144,MATCH(MAX(I119:I144),I119:I144,0))</f>
        <v>74.25321247151544</v>
      </c>
      <c r="D161" s="158"/>
      <c r="E161" s="158"/>
      <c r="F161" s="80"/>
      <c r="G161" s="80"/>
      <c r="H161" s="80"/>
      <c r="O161" s="155" t="s">
        <v>161</v>
      </c>
      <c r="P161" s="42">
        <f>INDEX(V119:V148,MATCH(MAX(V123:V148),V123:V148,0))</f>
        <v>107.62218722858842</v>
      </c>
      <c r="Q161" s="158"/>
      <c r="R161" s="158"/>
      <c r="S161" s="80"/>
      <c r="AB161" s="155" t="s">
        <v>161</v>
      </c>
      <c r="AC161" s="42">
        <f>INDEX(AI119:AI153,MATCH(MAX(AI128:AI153),AI128:AI153,0))</f>
        <v>175.25730915768111</v>
      </c>
      <c r="AD161" s="158"/>
      <c r="AE161" s="158"/>
      <c r="AF161" s="80"/>
      <c r="AT161" s="1382">
        <v>119</v>
      </c>
      <c r="AU161" s="1383">
        <v>8.9469999999999992</v>
      </c>
    </row>
    <row r="162" spans="2:47">
      <c r="B162" s="156" t="s">
        <v>152</v>
      </c>
      <c r="C162" s="42">
        <f>INDEX(G119:G144,MATCH(MAX(I119:I144),I119:I144,0))</f>
        <v>205</v>
      </c>
      <c r="D162" s="158"/>
      <c r="E162" s="158"/>
      <c r="F162" s="158"/>
      <c r="G162" s="158"/>
      <c r="H162" s="158"/>
      <c r="O162" s="156" t="s">
        <v>152</v>
      </c>
      <c r="P162" s="42">
        <f>INDEX(T119:T148,MATCH(MAX(V119:V148),V123:V148,0))</f>
        <v>220</v>
      </c>
      <c r="Q162" s="158"/>
      <c r="R162" s="158"/>
      <c r="S162" s="158"/>
      <c r="AB162" s="156" t="s">
        <v>152</v>
      </c>
      <c r="AC162" s="42">
        <f>INDEX(AG119:AG153,MATCH(MAX(AI119:AI153),AI128:AI153,0))</f>
        <v>248.3</v>
      </c>
      <c r="AD162" s="158"/>
      <c r="AE162" s="158"/>
      <c r="AF162" s="158"/>
      <c r="AT162" s="1382">
        <v>120</v>
      </c>
      <c r="AU162" s="1383">
        <v>11.666</v>
      </c>
    </row>
    <row r="163" spans="2:47" ht="18">
      <c r="B163" s="155" t="s">
        <v>162</v>
      </c>
      <c r="C163" s="42">
        <f>INDEX(L119:L144,MATCH(MAX(I119:I144),I119:I144,0))</f>
        <v>35</v>
      </c>
      <c r="D163" s="158"/>
      <c r="E163" s="158"/>
      <c r="F163" s="158"/>
      <c r="G163" s="158"/>
      <c r="H163" s="158"/>
      <c r="O163" s="155" t="s">
        <v>162</v>
      </c>
      <c r="P163" s="42">
        <f>INDEX(Y119:Y148,MATCH(MAX(V119:V148),V123:V148,0))</f>
        <v>70</v>
      </c>
      <c r="Q163" s="158"/>
      <c r="R163" s="158"/>
      <c r="S163" s="158"/>
      <c r="AB163" s="155" t="s">
        <v>162</v>
      </c>
      <c r="AC163" s="42">
        <f>INDEX(AL119:AL153,MATCH(MAX(AI119:AI153),AI119:AI153,0))</f>
        <v>137</v>
      </c>
      <c r="AD163" s="158"/>
      <c r="AE163" s="158"/>
      <c r="AF163" s="158"/>
      <c r="AT163" s="1382">
        <v>121</v>
      </c>
      <c r="AU163" s="1383">
        <v>8.7379999999999995</v>
      </c>
    </row>
    <row r="164" spans="2:47" ht="18">
      <c r="B164" s="155" t="s">
        <v>163</v>
      </c>
      <c r="C164" s="42">
        <f>INDEX(K119:K144,MATCH(MAX(I119:I144),I119:I144,0))</f>
        <v>109.25321247151544</v>
      </c>
      <c r="D164" s="158"/>
      <c r="E164" s="158"/>
      <c r="F164" s="158"/>
      <c r="G164" s="158"/>
      <c r="H164" s="158"/>
      <c r="O164" s="155" t="s">
        <v>163</v>
      </c>
      <c r="P164" s="42">
        <f>INDEX(X119:X148,MATCH(MAX(V119:V148),V119:V148,0))</f>
        <v>180.83558405707822</v>
      </c>
      <c r="Q164" s="158"/>
      <c r="R164" s="158"/>
      <c r="S164" s="158"/>
      <c r="AB164" s="155" t="s">
        <v>163</v>
      </c>
      <c r="AC164" s="42">
        <f>INDEX(AK119:AK153,MATCH(MAX(AI119:AI153),AI124:AI153,0))</f>
        <v>317.85188438968908</v>
      </c>
      <c r="AD164" s="158"/>
      <c r="AE164" s="158"/>
      <c r="AF164" s="158"/>
      <c r="AT164" s="1382">
        <v>122</v>
      </c>
      <c r="AU164" s="1383">
        <v>8.9849999999999994</v>
      </c>
    </row>
    <row r="165" spans="2:47" ht="18">
      <c r="B165" s="155" t="s">
        <v>164</v>
      </c>
      <c r="C165" s="42">
        <f>INDEX(J119:J144,MATCH(MAX(I119:I144),I119:I144,0))</f>
        <v>314.25321247151544</v>
      </c>
      <c r="D165" s="158"/>
      <c r="E165" s="158"/>
      <c r="F165" s="158"/>
      <c r="G165" s="158"/>
      <c r="H165" s="158"/>
      <c r="O165" s="155" t="s">
        <v>164</v>
      </c>
      <c r="P165" s="42">
        <f>INDEX(W119:W148,MATCH(MAX(V119:V148),V123:V148,0))</f>
        <v>397.62218722858842</v>
      </c>
      <c r="Q165" s="158"/>
      <c r="R165" s="158"/>
      <c r="S165" s="158"/>
      <c r="AB165" s="155" t="s">
        <v>164</v>
      </c>
      <c r="AC165" s="42">
        <f>INDEX(AJ119:AJ153,MATCH(MAX(AI119:AI153),AI128:AI153,0))</f>
        <v>565.25730915768111</v>
      </c>
      <c r="AD165" s="158"/>
      <c r="AE165" s="158"/>
      <c r="AF165" s="158"/>
      <c r="AT165" s="1375">
        <v>123</v>
      </c>
      <c r="AU165" s="1375">
        <v>8.86</v>
      </c>
    </row>
    <row r="166" spans="2:47" ht="18">
      <c r="B166" s="155" t="s">
        <v>165</v>
      </c>
      <c r="C166" s="42">
        <f>INDEX(J119:J144,MATCH(MAX(I119:I144),I119:I144,0))- INDEX(I119:I144,MATCH(MAX(I119:I144),I119:I144,0))</f>
        <v>240</v>
      </c>
      <c r="O166" s="155" t="s">
        <v>165</v>
      </c>
      <c r="P166" s="42">
        <f>INDEX(W119:W148,MATCH(MAX(V120:V148),V123:V148,0))- INDEX(V123:V148,MATCH(MAX(V123:V148),V123:V148,0))</f>
        <v>286.78660317151019</v>
      </c>
      <c r="AB166" s="155" t="s">
        <v>165</v>
      </c>
      <c r="AC166" s="42">
        <f>INDEX(AJ119:AJ153,MATCH(MAX(AI120:AI153),AI128:AI153,0))- INDEX(AI128:AI153,MATCH(MAX(AI128:AI153),AI128:AI153,0))</f>
        <v>378.34079435830654</v>
      </c>
      <c r="AT166" s="1375">
        <v>124</v>
      </c>
      <c r="AU166" s="1375">
        <v>8.984</v>
      </c>
    </row>
    <row r="167" spans="2:47">
      <c r="AT167" s="1375">
        <v>125</v>
      </c>
      <c r="AU167" s="1375">
        <v>8.9109999999999996</v>
      </c>
    </row>
    <row r="168" spans="2:47">
      <c r="AT168" s="1375">
        <v>126</v>
      </c>
      <c r="AU168" s="1375">
        <v>8.859</v>
      </c>
    </row>
    <row r="169" spans="2:47">
      <c r="AT169" s="1375">
        <v>127</v>
      </c>
      <c r="AU169" s="1375">
        <v>8.9060000000000006</v>
      </c>
    </row>
    <row r="170" spans="2:47" s="326" customFormat="1" ht="29.1" customHeight="1">
      <c r="B170" s="326" t="s">
        <v>280</v>
      </c>
      <c r="AT170" s="1375">
        <v>128</v>
      </c>
      <c r="AU170" s="1375">
        <v>8.9429999999999996</v>
      </c>
    </row>
    <row r="171" spans="2:47" ht="18">
      <c r="B171" s="155" t="s">
        <v>168</v>
      </c>
      <c r="C171" s="42">
        <f>C161+C172</f>
        <v>124.25321247151544</v>
      </c>
      <c r="O171" s="155" t="s">
        <v>168</v>
      </c>
      <c r="P171" s="42">
        <f>P161+P172</f>
        <v>207.62218722858842</v>
      </c>
      <c r="AB171" s="155" t="s">
        <v>168</v>
      </c>
      <c r="AC171" s="42">
        <f>AC161+AC172</f>
        <v>375.25730915768111</v>
      </c>
      <c r="AT171" s="1375">
        <v>129</v>
      </c>
      <c r="AU171" s="1375">
        <v>8.8569999999999993</v>
      </c>
    </row>
    <row r="172" spans="2:47" ht="18">
      <c r="B172" s="155" t="s">
        <v>169</v>
      </c>
      <c r="C172">
        <f>D111</f>
        <v>50</v>
      </c>
      <c r="O172" s="155" t="s">
        <v>169</v>
      </c>
      <c r="P172">
        <f>Q111</f>
        <v>100</v>
      </c>
      <c r="AB172" s="155" t="s">
        <v>169</v>
      </c>
      <c r="AC172">
        <f>AD111</f>
        <v>200</v>
      </c>
      <c r="AT172" s="1375">
        <v>130</v>
      </c>
      <c r="AU172" s="1375">
        <v>8.891</v>
      </c>
    </row>
    <row r="173" spans="2:47" ht="18">
      <c r="B173" s="155" t="s">
        <v>163</v>
      </c>
      <c r="C173" s="42">
        <f>C164</f>
        <v>109.25321247151544</v>
      </c>
      <c r="O173" s="155" t="s">
        <v>163</v>
      </c>
      <c r="P173" s="42">
        <f>P164</f>
        <v>180.83558405707822</v>
      </c>
      <c r="AB173" s="155" t="s">
        <v>163</v>
      </c>
      <c r="AC173" s="42">
        <f>AC164</f>
        <v>317.85188438968908</v>
      </c>
      <c r="AT173" s="1375">
        <v>131</v>
      </c>
      <c r="AU173" s="1375">
        <v>9.0549999999999997</v>
      </c>
    </row>
    <row r="174" spans="2:47" ht="18">
      <c r="B174" s="155" t="s">
        <v>162</v>
      </c>
      <c r="C174" s="42">
        <f>C163</f>
        <v>35</v>
      </c>
      <c r="O174" s="155" t="s">
        <v>162</v>
      </c>
      <c r="P174" s="42">
        <f>P163</f>
        <v>70</v>
      </c>
      <c r="AB174" s="155" t="s">
        <v>162</v>
      </c>
      <c r="AC174" s="42">
        <f>AC163</f>
        <v>137</v>
      </c>
      <c r="AT174" s="1375">
        <v>132</v>
      </c>
      <c r="AU174" s="1375">
        <v>8.9480000000000004</v>
      </c>
    </row>
    <row r="175" spans="2:47">
      <c r="AT175" s="1375">
        <v>133</v>
      </c>
      <c r="AU175" s="1375">
        <v>8.9860000000000007</v>
      </c>
    </row>
    <row r="176" spans="2:47">
      <c r="C176" t="s">
        <v>167</v>
      </c>
      <c r="P176" t="s">
        <v>167</v>
      </c>
      <c r="AC176" t="s">
        <v>167</v>
      </c>
      <c r="AT176" s="1375">
        <v>134</v>
      </c>
      <c r="AU176" s="1375">
        <v>8.8170000000000002</v>
      </c>
    </row>
    <row r="177" spans="2:47" ht="16.5">
      <c r="C177" t="s">
        <v>170</v>
      </c>
      <c r="D177" s="159" t="s">
        <v>172</v>
      </c>
      <c r="E177" s="42">
        <f>(C171+C172)/2</f>
        <v>87.12660623575772</v>
      </c>
      <c r="I177" t="s">
        <v>602</v>
      </c>
      <c r="J177" s="19"/>
      <c r="P177" t="s">
        <v>170</v>
      </c>
      <c r="Q177" s="159" t="s">
        <v>172</v>
      </c>
      <c r="R177" s="42">
        <f>(P171+P172)/2</f>
        <v>153.81109361429421</v>
      </c>
      <c r="AC177" t="s">
        <v>170</v>
      </c>
      <c r="AD177" s="159" t="s">
        <v>172</v>
      </c>
      <c r="AE177" s="42">
        <f>(AC171+AC172)/2</f>
        <v>287.62865457884055</v>
      </c>
      <c r="AT177" s="1375">
        <v>135</v>
      </c>
      <c r="AU177" s="1375">
        <v>8.8819999999999997</v>
      </c>
    </row>
    <row r="178" spans="2:47" ht="16.5">
      <c r="C178" t="s">
        <v>173</v>
      </c>
      <c r="D178" s="159" t="s">
        <v>171</v>
      </c>
      <c r="E178" s="42">
        <f>(C171-C172)/2</f>
        <v>37.12660623575772</v>
      </c>
      <c r="I178" t="s">
        <v>601</v>
      </c>
      <c r="J178" s="19"/>
      <c r="P178" t="s">
        <v>173</v>
      </c>
      <c r="Q178" s="159" t="s">
        <v>171</v>
      </c>
      <c r="R178" s="42">
        <f>(P171-P172)/2</f>
        <v>53.811093614294208</v>
      </c>
      <c r="AC178" t="s">
        <v>173</v>
      </c>
      <c r="AD178" s="159" t="s">
        <v>171</v>
      </c>
      <c r="AE178" s="42">
        <f>(AC171-AC172)/2</f>
        <v>87.628654578840553</v>
      </c>
      <c r="AT178" s="1375">
        <v>136</v>
      </c>
      <c r="AU178" s="1375">
        <v>8.9169999999999998</v>
      </c>
    </row>
    <row r="179" spans="2:47">
      <c r="AT179" s="1375">
        <v>137</v>
      </c>
      <c r="AU179" s="1375">
        <v>11.711</v>
      </c>
    </row>
    <row r="180" spans="2:47">
      <c r="C180" t="s">
        <v>174</v>
      </c>
      <c r="P180" t="s">
        <v>174</v>
      </c>
      <c r="AC180" t="s">
        <v>174</v>
      </c>
      <c r="AT180" s="1375">
        <v>138</v>
      </c>
      <c r="AU180" s="1375">
        <v>11.858000000000001</v>
      </c>
    </row>
    <row r="181" spans="2:47">
      <c r="C181" t="s">
        <v>170</v>
      </c>
      <c r="E181" s="42">
        <f>(C173+C174)/2</f>
        <v>72.12660623575772</v>
      </c>
      <c r="P181" t="s">
        <v>170</v>
      </c>
      <c r="R181" s="42">
        <f>(P173+P174)/2</f>
        <v>125.41779202853911</v>
      </c>
      <c r="AC181" t="s">
        <v>170</v>
      </c>
      <c r="AE181" s="42">
        <f>(AC173+AC174)/2</f>
        <v>227.42594219484454</v>
      </c>
      <c r="AT181" s="1375">
        <v>139</v>
      </c>
      <c r="AU181" s="1375">
        <v>8.8810000000000002</v>
      </c>
    </row>
    <row r="182" spans="2:47">
      <c r="C182" t="s">
        <v>175</v>
      </c>
      <c r="E182" s="42">
        <f>(C173-C174)/2</f>
        <v>37.12660623575772</v>
      </c>
      <c r="P182" t="s">
        <v>175</v>
      </c>
      <c r="R182" s="42">
        <f>(P173-P174)/2</f>
        <v>55.417792028539111</v>
      </c>
      <c r="AC182" t="s">
        <v>175</v>
      </c>
      <c r="AE182" s="42">
        <f>(AC173-AC174)/2</f>
        <v>90.425942194844538</v>
      </c>
      <c r="AT182" s="1375">
        <v>140</v>
      </c>
      <c r="AU182" s="1375">
        <v>8.8369999999999997</v>
      </c>
    </row>
    <row r="183" spans="2:47">
      <c r="AT183" s="1375">
        <v>141</v>
      </c>
      <c r="AU183" s="1375">
        <v>8.8870000000000005</v>
      </c>
    </row>
    <row r="184" spans="2:47">
      <c r="AT184" s="1375">
        <v>142</v>
      </c>
      <c r="AU184" s="1375">
        <v>8.8949999999999996</v>
      </c>
    </row>
    <row r="185" spans="2:47">
      <c r="C185" t="s">
        <v>167</v>
      </c>
      <c r="F185" t="s">
        <v>174</v>
      </c>
      <c r="J185" t="s">
        <v>167</v>
      </c>
      <c r="L185" t="s">
        <v>174</v>
      </c>
      <c r="Q185" t="s">
        <v>167</v>
      </c>
      <c r="U185" t="s">
        <v>174</v>
      </c>
    </row>
    <row r="186" spans="2:47">
      <c r="B186" t="s">
        <v>176</v>
      </c>
      <c r="C186" s="160" t="s">
        <v>177</v>
      </c>
      <c r="D186" s="160" t="s">
        <v>98</v>
      </c>
      <c r="E186" s="800"/>
      <c r="F186" s="160" t="s">
        <v>178</v>
      </c>
      <c r="G186" s="160" t="s">
        <v>179</v>
      </c>
      <c r="H186" s="800"/>
      <c r="I186" t="s">
        <v>176</v>
      </c>
      <c r="J186" s="160" t="s">
        <v>177</v>
      </c>
      <c r="K186" s="160" t="s">
        <v>98</v>
      </c>
      <c r="L186" s="160" t="s">
        <v>178</v>
      </c>
      <c r="M186" s="160" t="s">
        <v>179</v>
      </c>
      <c r="P186" t="s">
        <v>176</v>
      </c>
      <c r="Q186" s="160" t="s">
        <v>177</v>
      </c>
      <c r="R186" s="160" t="s">
        <v>98</v>
      </c>
      <c r="S186" s="800"/>
      <c r="U186" s="160" t="s">
        <v>178</v>
      </c>
      <c r="V186" s="160" t="s">
        <v>179</v>
      </c>
      <c r="W186" s="800"/>
    </row>
    <row r="187" spans="2:47">
      <c r="B187">
        <v>0</v>
      </c>
      <c r="C187" s="42">
        <f>$E$177+E$178*COS(RADIANS(B187))</f>
        <v>124.25321247151544</v>
      </c>
      <c r="D187">
        <f t="shared" ref="D187:D223" si="62">IF($D$7="",NA(),$E$178*SIN(RADIANS(B187)))</f>
        <v>0</v>
      </c>
      <c r="F187" s="42">
        <f t="shared" ref="F187:F223" si="63">$E$181+E$182*COS(RADIANS(B187))</f>
        <v>109.25321247151544</v>
      </c>
      <c r="G187">
        <f t="shared" ref="G187:G223" si="64">IF($D$7="",NA(),$E$182*SIN(RADIANS(B187)))</f>
        <v>0</v>
      </c>
      <c r="I187">
        <v>0</v>
      </c>
      <c r="J187" s="42">
        <f>$R$177+$R$178*COS(RADIANS(I187))</f>
        <v>207.62218722858842</v>
      </c>
      <c r="K187" s="21">
        <f t="shared" ref="K187:K223" si="65">IF($D$7="",NA(),$R$178*SIN(RADIANS(I187)))</f>
        <v>0</v>
      </c>
      <c r="L187" s="42">
        <f t="shared" ref="L187:L223" si="66">$R$181+$R$182*COS(RADIANS(I187))</f>
        <v>180.83558405707822</v>
      </c>
      <c r="M187">
        <f t="shared" ref="M187:M223" si="67">IF($D$7="",NA(),$R$182*SIN(RADIANS(I187)))</f>
        <v>0</v>
      </c>
      <c r="P187">
        <v>0</v>
      </c>
      <c r="Q187" s="42">
        <f>$AE$177+$AE$178*COS(RADIANS(P187))</f>
        <v>375.25730915768111</v>
      </c>
      <c r="R187" s="21">
        <f t="shared" ref="R187:R223" si="68">IF($D$7="",NA(),$AE$178*SIN(RADIANS(P187)))</f>
        <v>0</v>
      </c>
      <c r="U187" s="42">
        <f>$AE$181+$AE$182*COS(RADIANS(P187))</f>
        <v>317.85188438968908</v>
      </c>
      <c r="V187">
        <f t="shared" ref="V187:V223" si="69">IF($D$7="",NA(),$AE$182*SIN(RADIANS(P187)))</f>
        <v>0</v>
      </c>
    </row>
    <row r="188" spans="2:47">
      <c r="B188">
        <f>B187+5</f>
        <v>5</v>
      </c>
      <c r="C188" s="42">
        <f t="shared" ref="C188:C223" si="70">$E$177+E$178*COS(RADIANS(B188))</f>
        <v>124.1119345259595</v>
      </c>
      <c r="D188">
        <f t="shared" si="62"/>
        <v>3.2357969421773012</v>
      </c>
      <c r="F188" s="42">
        <f t="shared" si="63"/>
        <v>109.1119345259595</v>
      </c>
      <c r="G188">
        <f t="shared" si="64"/>
        <v>3.2357969421773012</v>
      </c>
      <c r="I188">
        <f>I187+5</f>
        <v>5</v>
      </c>
      <c r="J188" s="42">
        <f t="shared" ref="J188:J223" si="71">$R$177+$R$178*COS(RADIANS(I188))</f>
        <v>207.41741977137269</v>
      </c>
      <c r="K188" s="21">
        <f t="shared" si="65"/>
        <v>4.6899458320175773</v>
      </c>
      <c r="L188" s="42">
        <f t="shared" si="66"/>
        <v>180.62470262732077</v>
      </c>
      <c r="M188">
        <f t="shared" si="67"/>
        <v>4.8299788256825762</v>
      </c>
      <c r="P188">
        <f>P187+5</f>
        <v>5</v>
      </c>
      <c r="Q188" s="42">
        <f t="shared" ref="Q188:Q223" si="72">$AE$177+$AE$178*COS(RADIANS(P188))</f>
        <v>374.92385567119447</v>
      </c>
      <c r="R188" s="21">
        <f t="shared" si="68"/>
        <v>7.6373404757968251</v>
      </c>
      <c r="U188" s="42">
        <f t="shared" ref="U188:U223" si="73">$AE$181+$AE$182*COS(RADIANS(P188))</f>
        <v>317.50778637929932</v>
      </c>
      <c r="V188">
        <f t="shared" si="69"/>
        <v>7.8811401556484784</v>
      </c>
    </row>
    <row r="189" spans="2:47">
      <c r="B189">
        <f t="shared" ref="B189:B223" si="74">B188+5</f>
        <v>10</v>
      </c>
      <c r="C189" s="42">
        <f t="shared" si="70"/>
        <v>123.68917589976331</v>
      </c>
      <c r="D189">
        <f t="shared" si="62"/>
        <v>6.4469675157970201</v>
      </c>
      <c r="F189" s="42">
        <f t="shared" si="63"/>
        <v>108.68917589976331</v>
      </c>
      <c r="G189">
        <f t="shared" si="64"/>
        <v>6.4469675157970201</v>
      </c>
      <c r="I189">
        <f t="shared" ref="I189:I223" si="75">I188+5</f>
        <v>10</v>
      </c>
      <c r="J189" s="42">
        <f t="shared" si="71"/>
        <v>206.80467580371686</v>
      </c>
      <c r="K189" s="21">
        <f t="shared" si="65"/>
        <v>9.3441983443867809</v>
      </c>
      <c r="L189" s="42">
        <f t="shared" si="66"/>
        <v>179.99366327306257</v>
      </c>
      <c r="M189">
        <f t="shared" si="67"/>
        <v>9.6231985960807549</v>
      </c>
      <c r="P189">
        <f t="shared" ref="P189:P223" si="76">P188+5</f>
        <v>10</v>
      </c>
      <c r="Q189" s="42">
        <f t="shared" si="72"/>
        <v>373.92603299411144</v>
      </c>
      <c r="R189" s="21">
        <f t="shared" si="68"/>
        <v>15.216556179020573</v>
      </c>
      <c r="U189" s="42">
        <f t="shared" si="73"/>
        <v>316.47811114176119</v>
      </c>
      <c r="V189">
        <f t="shared" si="69"/>
        <v>15.702300075949937</v>
      </c>
    </row>
    <row r="190" spans="2:47">
      <c r="B190">
        <f t="shared" si="74"/>
        <v>15</v>
      </c>
      <c r="C190" s="42">
        <f t="shared" si="70"/>
        <v>122.98815404134086</v>
      </c>
      <c r="D190">
        <f t="shared" si="62"/>
        <v>9.6090727738361057</v>
      </c>
      <c r="F190" s="42">
        <f t="shared" si="63"/>
        <v>107.98815404134086</v>
      </c>
      <c r="G190">
        <f t="shared" si="64"/>
        <v>9.6090727738361057</v>
      </c>
      <c r="I190">
        <f t="shared" si="75"/>
        <v>15</v>
      </c>
      <c r="J190" s="42">
        <f t="shared" si="71"/>
        <v>205.78861867719974</v>
      </c>
      <c r="K190" s="21">
        <f t="shared" si="65"/>
        <v>13.927335865173978</v>
      </c>
      <c r="L190" s="42">
        <f t="shared" si="66"/>
        <v>178.9472685848215</v>
      </c>
      <c r="M190">
        <f t="shared" si="67"/>
        <v>14.343180014516578</v>
      </c>
      <c r="P190">
        <f t="shared" si="76"/>
        <v>15</v>
      </c>
      <c r="Q190" s="42">
        <f t="shared" si="72"/>
        <v>372.2714351595065</v>
      </c>
      <c r="R190" s="21">
        <f t="shared" si="68"/>
        <v>22.679964701714145</v>
      </c>
      <c r="U190" s="42">
        <f t="shared" si="73"/>
        <v>314.77069512736728</v>
      </c>
      <c r="V190">
        <f t="shared" si="69"/>
        <v>23.403956011365402</v>
      </c>
    </row>
    <row r="191" spans="2:47">
      <c r="B191">
        <f t="shared" si="74"/>
        <v>20</v>
      </c>
      <c r="C191" s="42">
        <f t="shared" si="70"/>
        <v>122.01420415032334</v>
      </c>
      <c r="D191">
        <f t="shared" si="62"/>
        <v>12.698047185949521</v>
      </c>
      <c r="F191" s="42">
        <f t="shared" si="63"/>
        <v>107.01420415032334</v>
      </c>
      <c r="G191">
        <f t="shared" si="64"/>
        <v>12.698047185949521</v>
      </c>
      <c r="I191">
        <f t="shared" si="75"/>
        <v>20</v>
      </c>
      <c r="J191" s="42">
        <f t="shared" si="71"/>
        <v>204.37698120006621</v>
      </c>
      <c r="K191" s="21">
        <f t="shared" si="65"/>
        <v>18.404477950471883</v>
      </c>
      <c r="L191" s="42">
        <f t="shared" si="66"/>
        <v>177.49348225800546</v>
      </c>
      <c r="M191">
        <f t="shared" si="67"/>
        <v>18.954001172393049</v>
      </c>
      <c r="P191">
        <f t="shared" si="76"/>
        <v>20</v>
      </c>
      <c r="Q191" s="42">
        <f t="shared" si="72"/>
        <v>369.97265465597434</v>
      </c>
      <c r="R191" s="21">
        <f t="shared" si="68"/>
        <v>29.970764998490562</v>
      </c>
      <c r="U191" s="42">
        <f t="shared" si="73"/>
        <v>312.39853280295307</v>
      </c>
      <c r="V191">
        <f t="shared" si="69"/>
        <v>30.927493709839364</v>
      </c>
    </row>
    <row r="192" spans="2:47">
      <c r="B192">
        <f t="shared" si="74"/>
        <v>25</v>
      </c>
      <c r="C192" s="42">
        <f t="shared" si="70"/>
        <v>120.7747385734684</v>
      </c>
      <c r="D192">
        <f t="shared" si="62"/>
        <v>15.69038179168734</v>
      </c>
      <c r="F192" s="42">
        <f t="shared" si="63"/>
        <v>105.7747385734684</v>
      </c>
      <c r="G192">
        <f t="shared" si="64"/>
        <v>15.69038179168734</v>
      </c>
      <c r="I192">
        <f t="shared" si="75"/>
        <v>25</v>
      </c>
      <c r="J192" s="42">
        <f t="shared" si="71"/>
        <v>202.5805067858872</v>
      </c>
      <c r="K192" s="21">
        <f t="shared" si="65"/>
        <v>22.741550845639068</v>
      </c>
      <c r="L192" s="42">
        <f t="shared" si="66"/>
        <v>175.64336848438168</v>
      </c>
      <c r="M192">
        <f t="shared" si="67"/>
        <v>23.42057093660879</v>
      </c>
      <c r="P192">
        <f t="shared" si="76"/>
        <v>25</v>
      </c>
      <c r="Q192" s="42">
        <f t="shared" si="72"/>
        <v>367.04718659118851</v>
      </c>
      <c r="R192" s="21">
        <f t="shared" si="68"/>
        <v>37.033469676785778</v>
      </c>
      <c r="U192" s="42">
        <f t="shared" si="73"/>
        <v>309.37967775615812</v>
      </c>
      <c r="V192">
        <f t="shared" si="69"/>
        <v>38.215654506650168</v>
      </c>
    </row>
    <row r="193" spans="2:22">
      <c r="B193">
        <f t="shared" si="74"/>
        <v>30</v>
      </c>
      <c r="C193" s="42">
        <f t="shared" si="70"/>
        <v>119.27919039222566</v>
      </c>
      <c r="D193">
        <f t="shared" si="62"/>
        <v>18.563303117878856</v>
      </c>
      <c r="F193" s="42">
        <f t="shared" si="63"/>
        <v>104.27919039222566</v>
      </c>
      <c r="G193">
        <f t="shared" si="64"/>
        <v>18.563303117878856</v>
      </c>
      <c r="I193">
        <f t="shared" si="75"/>
        <v>30</v>
      </c>
      <c r="J193" s="42">
        <f t="shared" si="71"/>
        <v>200.41286768969559</v>
      </c>
      <c r="K193" s="21">
        <f t="shared" si="65"/>
        <v>26.9055468071471</v>
      </c>
      <c r="L193" s="42">
        <f t="shared" si="66"/>
        <v>173.41100774689676</v>
      </c>
      <c r="M193">
        <f t="shared" si="67"/>
        <v>27.708896014269552</v>
      </c>
      <c r="P193">
        <f t="shared" si="76"/>
        <v>30</v>
      </c>
      <c r="Q193" s="42">
        <f t="shared" si="72"/>
        <v>363.51729554356803</v>
      </c>
      <c r="R193" s="21">
        <f t="shared" si="68"/>
        <v>43.81432728942027</v>
      </c>
      <c r="U193" s="42">
        <f t="shared" si="73"/>
        <v>305.73710529672309</v>
      </c>
      <c r="V193">
        <f t="shared" si="69"/>
        <v>45.212971097422262</v>
      </c>
    </row>
    <row r="194" spans="2:22">
      <c r="B194">
        <f t="shared" si="74"/>
        <v>35</v>
      </c>
      <c r="C194" s="42">
        <f t="shared" si="70"/>
        <v>117.5389416312911</v>
      </c>
      <c r="D194">
        <f t="shared" si="62"/>
        <v>21.294946498514438</v>
      </c>
      <c r="F194" s="42">
        <f t="shared" si="63"/>
        <v>102.5389416312911</v>
      </c>
      <c r="G194">
        <f t="shared" si="64"/>
        <v>21.294946498514438</v>
      </c>
      <c r="I194">
        <f t="shared" si="75"/>
        <v>35</v>
      </c>
      <c r="J194" s="42">
        <f t="shared" si="71"/>
        <v>197.89056095386962</v>
      </c>
      <c r="K194" s="21">
        <f t="shared" si="65"/>
        <v>30.864775311439402</v>
      </c>
      <c r="L194" s="42">
        <f t="shared" si="66"/>
        <v>170.81338965869912</v>
      </c>
      <c r="M194">
        <f t="shared" si="67"/>
        <v>31.786339662172871</v>
      </c>
      <c r="P194">
        <f t="shared" si="76"/>
        <v>35</v>
      </c>
      <c r="Q194" s="42">
        <f t="shared" si="72"/>
        <v>359.4098461153917</v>
      </c>
      <c r="R194" s="21">
        <f t="shared" si="68"/>
        <v>50.261731415568136</v>
      </c>
      <c r="U194" s="42">
        <f t="shared" si="73"/>
        <v>301.49853760050962</v>
      </c>
      <c r="V194">
        <f t="shared" si="69"/>
        <v>51.86618967780462</v>
      </c>
    </row>
    <row r="195" spans="2:22">
      <c r="B195">
        <f t="shared" si="74"/>
        <v>40</v>
      </c>
      <c r="C195" s="42">
        <f t="shared" si="70"/>
        <v>115.56723663452632</v>
      </c>
      <c r="D195">
        <f t="shared" si="62"/>
        <v>23.864522478056067</v>
      </c>
      <c r="F195" s="42">
        <f t="shared" si="63"/>
        <v>100.56723663452632</v>
      </c>
      <c r="G195">
        <f t="shared" si="64"/>
        <v>23.864522478056067</v>
      </c>
      <c r="I195">
        <f t="shared" si="75"/>
        <v>40</v>
      </c>
      <c r="J195" s="42">
        <f t="shared" si="71"/>
        <v>195.03278285567941</v>
      </c>
      <c r="K195" s="21">
        <f t="shared" si="65"/>
        <v>34.589104238950767</v>
      </c>
      <c r="L195" s="42">
        <f t="shared" si="66"/>
        <v>167.8702836619247</v>
      </c>
      <c r="M195">
        <f t="shared" si="67"/>
        <v>35.621870072130406</v>
      </c>
      <c r="P195">
        <f t="shared" si="76"/>
        <v>40</v>
      </c>
      <c r="Q195" s="42">
        <f t="shared" si="72"/>
        <v>354.75609847695375</v>
      </c>
      <c r="R195" s="21">
        <f t="shared" si="68"/>
        <v>56.326613416780333</v>
      </c>
      <c r="U195" s="42">
        <f t="shared" si="73"/>
        <v>296.69623272700312</v>
      </c>
      <c r="V195">
        <f t="shared" si="69"/>
        <v>58.124675237077291</v>
      </c>
    </row>
    <row r="196" spans="2:22">
      <c r="B196">
        <f t="shared" si="74"/>
        <v>45</v>
      </c>
      <c r="C196" s="42">
        <f t="shared" si="70"/>
        <v>113.37908126750477</v>
      </c>
      <c r="D196">
        <f t="shared" si="62"/>
        <v>26.252475031747043</v>
      </c>
      <c r="F196" s="42">
        <f t="shared" si="63"/>
        <v>98.379081267504773</v>
      </c>
      <c r="G196">
        <f t="shared" si="64"/>
        <v>26.252475031747043</v>
      </c>
      <c r="I196">
        <f t="shared" si="75"/>
        <v>45</v>
      </c>
      <c r="J196" s="42">
        <f t="shared" si="71"/>
        <v>191.86128281202576</v>
      </c>
      <c r="K196" s="21">
        <f t="shared" si="65"/>
        <v>38.050189197731555</v>
      </c>
      <c r="L196" s="42">
        <f t="shared" si="66"/>
        <v>164.60408857030492</v>
      </c>
      <c r="M196">
        <f t="shared" si="67"/>
        <v>39.186296541765799</v>
      </c>
      <c r="P196">
        <f t="shared" si="76"/>
        <v>45</v>
      </c>
      <c r="Q196" s="42">
        <f t="shared" si="72"/>
        <v>349.5914704577923</v>
      </c>
      <c r="R196" s="21">
        <f t="shared" si="68"/>
        <v>61.962815878951758</v>
      </c>
      <c r="U196" s="42">
        <f t="shared" si="73"/>
        <v>291.3667391160019</v>
      </c>
      <c r="V196">
        <f t="shared" si="69"/>
        <v>63.940796921157329</v>
      </c>
    </row>
    <row r="197" spans="2:22">
      <c r="B197">
        <f t="shared" si="74"/>
        <v>50</v>
      </c>
      <c r="C197" s="42">
        <f t="shared" si="70"/>
        <v>110.99112871381379</v>
      </c>
      <c r="D197">
        <f t="shared" si="62"/>
        <v>28.440630398768597</v>
      </c>
      <c r="F197" s="42">
        <f t="shared" si="63"/>
        <v>95.991128713813794</v>
      </c>
      <c r="G197">
        <f t="shared" si="64"/>
        <v>28.440630398768597</v>
      </c>
      <c r="I197">
        <f t="shared" si="75"/>
        <v>50</v>
      </c>
      <c r="J197" s="42">
        <f t="shared" si="71"/>
        <v>188.40019785324498</v>
      </c>
      <c r="K197" s="21">
        <f t="shared" si="65"/>
        <v>41.221689241385199</v>
      </c>
      <c r="L197" s="42">
        <f t="shared" si="66"/>
        <v>161.03966210066952</v>
      </c>
      <c r="M197">
        <f t="shared" si="67"/>
        <v>42.452491633385584</v>
      </c>
      <c r="P197">
        <f t="shared" si="76"/>
        <v>50</v>
      </c>
      <c r="Q197" s="42">
        <f t="shared" si="72"/>
        <v>343.95526799562089</v>
      </c>
      <c r="R197" s="21">
        <f t="shared" si="68"/>
        <v>67.127443898113199</v>
      </c>
      <c r="U197" s="42">
        <f t="shared" si="73"/>
        <v>285.55061743192186</v>
      </c>
      <c r="V197">
        <f t="shared" si="69"/>
        <v>69.270290532158583</v>
      </c>
    </row>
    <row r="198" spans="2:22">
      <c r="B198">
        <f t="shared" si="74"/>
        <v>55</v>
      </c>
      <c r="C198" s="42">
        <f t="shared" si="70"/>
        <v>108.42155273427215</v>
      </c>
      <c r="D198">
        <f t="shared" si="62"/>
        <v>30.412335395533368</v>
      </c>
      <c r="F198" s="42">
        <f t="shared" si="63"/>
        <v>93.421552734272154</v>
      </c>
      <c r="G198">
        <f t="shared" si="64"/>
        <v>30.412335395533368</v>
      </c>
      <c r="I198">
        <f t="shared" si="75"/>
        <v>55</v>
      </c>
      <c r="J198" s="42">
        <f t="shared" si="71"/>
        <v>184.67586892573362</v>
      </c>
      <c r="K198" s="21">
        <f t="shared" si="65"/>
        <v>44.079467339575416</v>
      </c>
      <c r="L198" s="42">
        <f t="shared" si="66"/>
        <v>157.20413169071199</v>
      </c>
      <c r="M198">
        <f t="shared" si="67"/>
        <v>45.395597630160005</v>
      </c>
      <c r="P198">
        <f t="shared" si="76"/>
        <v>55</v>
      </c>
      <c r="Q198" s="42">
        <f t="shared" si="72"/>
        <v>337.89038599440869</v>
      </c>
      <c r="R198" s="21">
        <f t="shared" si="68"/>
        <v>71.781191536551162</v>
      </c>
      <c r="U198" s="42">
        <f t="shared" si="73"/>
        <v>279.29213187264918</v>
      </c>
      <c r="V198">
        <f t="shared" si="69"/>
        <v>74.072595405665112</v>
      </c>
    </row>
    <row r="199" spans="2:22">
      <c r="B199">
        <f t="shared" si="74"/>
        <v>60</v>
      </c>
      <c r="C199" s="42">
        <f t="shared" si="70"/>
        <v>105.68990935363658</v>
      </c>
      <c r="D199">
        <f t="shared" si="62"/>
        <v>32.152584156467938</v>
      </c>
      <c r="F199" s="42">
        <f t="shared" si="63"/>
        <v>90.68990935363658</v>
      </c>
      <c r="G199">
        <f t="shared" si="64"/>
        <v>32.152584156467938</v>
      </c>
      <c r="I199">
        <f t="shared" si="75"/>
        <v>60</v>
      </c>
      <c r="J199" s="42">
        <f t="shared" si="71"/>
        <v>180.71664042144133</v>
      </c>
      <c r="K199" s="21">
        <f t="shared" si="65"/>
        <v>46.601774075401366</v>
      </c>
      <c r="L199" s="42">
        <f t="shared" si="66"/>
        <v>153.12668804280867</v>
      </c>
      <c r="M199">
        <f t="shared" si="67"/>
        <v>47.993215718357625</v>
      </c>
      <c r="P199">
        <f t="shared" si="76"/>
        <v>60</v>
      </c>
      <c r="Q199" s="42">
        <f t="shared" si="72"/>
        <v>331.44298186826086</v>
      </c>
      <c r="R199" s="21">
        <f t="shared" si="68"/>
        <v>75.888640964727486</v>
      </c>
      <c r="U199" s="42">
        <f t="shared" si="73"/>
        <v>272.63891329226681</v>
      </c>
      <c r="V199">
        <f t="shared" si="69"/>
        <v>78.311163101878549</v>
      </c>
    </row>
    <row r="200" spans="2:22">
      <c r="B200">
        <f t="shared" si="74"/>
        <v>65</v>
      </c>
      <c r="C200" s="42">
        <f t="shared" si="70"/>
        <v>102.81698802744506</v>
      </c>
      <c r="D200">
        <f t="shared" si="62"/>
        <v>33.64813233771067</v>
      </c>
      <c r="F200" s="42">
        <f t="shared" si="63"/>
        <v>87.816988027445063</v>
      </c>
      <c r="G200">
        <f t="shared" si="64"/>
        <v>33.64813233771067</v>
      </c>
      <c r="I200">
        <f t="shared" si="75"/>
        <v>65</v>
      </c>
      <c r="J200" s="42">
        <f t="shared" si="71"/>
        <v>176.55264445993328</v>
      </c>
      <c r="K200" s="21">
        <f t="shared" si="65"/>
        <v>48.769413171592987</v>
      </c>
      <c r="L200" s="42">
        <f t="shared" si="66"/>
        <v>148.83836296514789</v>
      </c>
      <c r="M200">
        <f t="shared" si="67"/>
        <v>50.225576455842578</v>
      </c>
      <c r="P200">
        <f t="shared" si="76"/>
        <v>65</v>
      </c>
      <c r="Q200" s="42">
        <f t="shared" si="72"/>
        <v>324.66212425562634</v>
      </c>
      <c r="R200" s="21">
        <f t="shared" si="68"/>
        <v>79.418532012347981</v>
      </c>
      <c r="U200" s="42">
        <f t="shared" si="73"/>
        <v>265.64159670149468</v>
      </c>
      <c r="V200">
        <f t="shared" si="69"/>
        <v>81.953735561313579</v>
      </c>
    </row>
    <row r="201" spans="2:22">
      <c r="B201">
        <f t="shared" si="74"/>
        <v>70</v>
      </c>
      <c r="C201" s="42">
        <f t="shared" si="70"/>
        <v>99.824653421707239</v>
      </c>
      <c r="D201">
        <f t="shared" si="62"/>
        <v>34.887597914565617</v>
      </c>
      <c r="F201" s="42">
        <f t="shared" si="63"/>
        <v>84.824653421707239</v>
      </c>
      <c r="G201">
        <f t="shared" si="64"/>
        <v>34.887597914565617</v>
      </c>
      <c r="I201">
        <f t="shared" si="75"/>
        <v>70</v>
      </c>
      <c r="J201" s="42">
        <f t="shared" si="71"/>
        <v>172.21557156476609</v>
      </c>
      <c r="K201" s="21">
        <f t="shared" si="65"/>
        <v>50.565887585771982</v>
      </c>
      <c r="L201" s="42">
        <f t="shared" si="66"/>
        <v>144.37179320093216</v>
      </c>
      <c r="M201">
        <f t="shared" si="67"/>
        <v>52.075690229466339</v>
      </c>
      <c r="P201">
        <f t="shared" si="76"/>
        <v>70</v>
      </c>
      <c r="Q201" s="42">
        <f t="shared" si="72"/>
        <v>317.5994195773311</v>
      </c>
      <c r="R201" s="21">
        <f t="shared" si="68"/>
        <v>82.344000077133771</v>
      </c>
      <c r="U201" s="42">
        <f t="shared" si="73"/>
        <v>258.35343590468392</v>
      </c>
      <c r="V201">
        <f t="shared" si="69"/>
        <v>84.972590608108518</v>
      </c>
    </row>
    <row r="202" spans="2:22">
      <c r="B202">
        <f t="shared" si="74"/>
        <v>75</v>
      </c>
      <c r="C202" s="42">
        <f t="shared" si="70"/>
        <v>96.735679009593824</v>
      </c>
      <c r="D202">
        <f t="shared" si="62"/>
        <v>35.86154780558315</v>
      </c>
      <c r="F202" s="42">
        <f t="shared" si="63"/>
        <v>81.735679009593824</v>
      </c>
      <c r="G202">
        <f t="shared" si="64"/>
        <v>35.86154780558315</v>
      </c>
      <c r="I202">
        <f t="shared" si="75"/>
        <v>75</v>
      </c>
      <c r="J202" s="42">
        <f t="shared" si="71"/>
        <v>167.73842947946818</v>
      </c>
      <c r="K202" s="21">
        <f t="shared" si="65"/>
        <v>51.977525062905542</v>
      </c>
      <c r="L202" s="42">
        <f t="shared" si="66"/>
        <v>139.76097204305569</v>
      </c>
      <c r="M202">
        <f t="shared" si="67"/>
        <v>53.529476556282383</v>
      </c>
      <c r="P202">
        <f t="shared" si="76"/>
        <v>75</v>
      </c>
      <c r="Q202" s="42">
        <f t="shared" si="72"/>
        <v>310.30861928055469</v>
      </c>
      <c r="R202" s="21">
        <f t="shared" si="68"/>
        <v>84.642780580665914</v>
      </c>
      <c r="U202" s="42">
        <f t="shared" si="73"/>
        <v>250.82989820620995</v>
      </c>
      <c r="V202">
        <f t="shared" si="69"/>
        <v>87.344752932522738</v>
      </c>
    </row>
    <row r="203" spans="2:22">
      <c r="B203">
        <f t="shared" si="74"/>
        <v>80</v>
      </c>
      <c r="C203" s="42">
        <f t="shared" si="70"/>
        <v>93.573573751554747</v>
      </c>
      <c r="D203">
        <f t="shared" si="62"/>
        <v>36.562569664005593</v>
      </c>
      <c r="F203" s="42">
        <f t="shared" si="63"/>
        <v>78.573573751554747</v>
      </c>
      <c r="G203">
        <f t="shared" si="64"/>
        <v>36.562569664005593</v>
      </c>
      <c r="I203">
        <f t="shared" si="75"/>
        <v>80</v>
      </c>
      <c r="J203" s="42">
        <f t="shared" si="71"/>
        <v>163.155291958681</v>
      </c>
      <c r="K203" s="21">
        <f t="shared" si="65"/>
        <v>52.993582189422654</v>
      </c>
      <c r="L203" s="42">
        <f t="shared" si="66"/>
        <v>135.04099062461987</v>
      </c>
      <c r="M203">
        <f t="shared" si="67"/>
        <v>54.575871244523455</v>
      </c>
      <c r="P203">
        <f t="shared" si="76"/>
        <v>80</v>
      </c>
      <c r="Q203" s="42">
        <f t="shared" si="72"/>
        <v>302.84521075786114</v>
      </c>
      <c r="R203" s="21">
        <f t="shared" si="68"/>
        <v>86.297378415270899</v>
      </c>
      <c r="U203" s="42">
        <f t="shared" si="73"/>
        <v>243.12824227079449</v>
      </c>
      <c r="V203">
        <f t="shared" si="69"/>
        <v>89.052168946916666</v>
      </c>
    </row>
    <row r="204" spans="2:22">
      <c r="B204">
        <f t="shared" si="74"/>
        <v>85</v>
      </c>
      <c r="C204" s="42">
        <f t="shared" si="70"/>
        <v>90.362403177935022</v>
      </c>
      <c r="D204">
        <f t="shared" si="62"/>
        <v>36.985328290201778</v>
      </c>
      <c r="F204" s="42">
        <f t="shared" si="63"/>
        <v>75.362403177935022</v>
      </c>
      <c r="G204">
        <f t="shared" si="64"/>
        <v>36.985328290201778</v>
      </c>
      <c r="I204">
        <f t="shared" si="75"/>
        <v>85</v>
      </c>
      <c r="J204" s="42">
        <f t="shared" si="71"/>
        <v>158.50103944631178</v>
      </c>
      <c r="K204" s="21">
        <f t="shared" si="65"/>
        <v>53.606326157078477</v>
      </c>
      <c r="L204" s="42">
        <f t="shared" si="66"/>
        <v>130.2477708542217</v>
      </c>
      <c r="M204">
        <f t="shared" si="67"/>
        <v>55.206910598781661</v>
      </c>
      <c r="P204">
        <f t="shared" si="76"/>
        <v>85</v>
      </c>
      <c r="Q204" s="42">
        <f t="shared" si="72"/>
        <v>295.26599505463736</v>
      </c>
      <c r="R204" s="21">
        <f t="shared" si="68"/>
        <v>87.295201092353921</v>
      </c>
      <c r="U204" s="42">
        <f t="shared" si="73"/>
        <v>235.307082350493</v>
      </c>
      <c r="V204">
        <f t="shared" si="69"/>
        <v>90.081844184454795</v>
      </c>
    </row>
    <row r="205" spans="2:22">
      <c r="B205">
        <f t="shared" si="74"/>
        <v>90</v>
      </c>
      <c r="C205" s="42">
        <f t="shared" si="70"/>
        <v>87.12660623575772</v>
      </c>
      <c r="D205">
        <f t="shared" si="62"/>
        <v>37.12660623575772</v>
      </c>
      <c r="F205" s="42">
        <f t="shared" si="63"/>
        <v>72.12660623575772</v>
      </c>
      <c r="G205">
        <f t="shared" si="64"/>
        <v>37.12660623575772</v>
      </c>
      <c r="I205">
        <f t="shared" si="75"/>
        <v>90</v>
      </c>
      <c r="J205" s="42">
        <f t="shared" si="71"/>
        <v>153.81109361429421</v>
      </c>
      <c r="K205" s="21">
        <f t="shared" si="65"/>
        <v>53.811093614294208</v>
      </c>
      <c r="L205" s="42">
        <f t="shared" si="66"/>
        <v>125.41779202853911</v>
      </c>
      <c r="M205">
        <f t="shared" si="67"/>
        <v>55.417792028539111</v>
      </c>
      <c r="P205">
        <f t="shared" si="76"/>
        <v>90</v>
      </c>
      <c r="Q205" s="42">
        <f t="shared" si="72"/>
        <v>287.62865457884055</v>
      </c>
      <c r="R205" s="21">
        <f t="shared" si="68"/>
        <v>87.628654578840553</v>
      </c>
      <c r="U205" s="42">
        <f t="shared" si="73"/>
        <v>227.42594219484454</v>
      </c>
      <c r="V205">
        <f t="shared" si="69"/>
        <v>90.425942194844538</v>
      </c>
    </row>
    <row r="206" spans="2:22">
      <c r="B206">
        <f t="shared" si="74"/>
        <v>95</v>
      </c>
      <c r="C206" s="42">
        <f t="shared" si="70"/>
        <v>83.890809293580418</v>
      </c>
      <c r="D206">
        <f t="shared" si="62"/>
        <v>36.985328290201778</v>
      </c>
      <c r="F206" s="42">
        <f t="shared" si="63"/>
        <v>68.890809293580418</v>
      </c>
      <c r="G206">
        <f t="shared" si="64"/>
        <v>36.985328290201778</v>
      </c>
      <c r="I206">
        <f t="shared" si="75"/>
        <v>95</v>
      </c>
      <c r="J206" s="42">
        <f t="shared" si="71"/>
        <v>149.12114778227664</v>
      </c>
      <c r="K206" s="21">
        <f t="shared" si="65"/>
        <v>53.606326157078477</v>
      </c>
      <c r="L206" s="42">
        <f t="shared" si="66"/>
        <v>120.58781320285654</v>
      </c>
      <c r="M206">
        <f t="shared" si="67"/>
        <v>55.206910598781661</v>
      </c>
      <c r="P206">
        <f t="shared" si="76"/>
        <v>95</v>
      </c>
      <c r="Q206" s="42">
        <f t="shared" si="72"/>
        <v>279.99131410304375</v>
      </c>
      <c r="R206" s="21">
        <f t="shared" si="68"/>
        <v>87.295201092353921</v>
      </c>
      <c r="U206" s="42">
        <f t="shared" si="73"/>
        <v>219.54480203919604</v>
      </c>
      <c r="V206">
        <f t="shared" si="69"/>
        <v>90.081844184454795</v>
      </c>
    </row>
    <row r="207" spans="2:22">
      <c r="B207">
        <f t="shared" si="74"/>
        <v>100</v>
      </c>
      <c r="C207" s="42">
        <f t="shared" si="70"/>
        <v>80.679638719960707</v>
      </c>
      <c r="D207">
        <f t="shared" si="62"/>
        <v>36.562569664005593</v>
      </c>
      <c r="F207" s="42">
        <f t="shared" si="63"/>
        <v>65.679638719960707</v>
      </c>
      <c r="G207">
        <f t="shared" si="64"/>
        <v>36.562569664005593</v>
      </c>
      <c r="I207">
        <f t="shared" si="75"/>
        <v>100</v>
      </c>
      <c r="J207" s="42">
        <f t="shared" si="71"/>
        <v>144.46689526990744</v>
      </c>
      <c r="K207" s="21">
        <f t="shared" si="65"/>
        <v>52.993582189422654</v>
      </c>
      <c r="L207" s="42">
        <f t="shared" si="66"/>
        <v>115.79459343245836</v>
      </c>
      <c r="M207">
        <f t="shared" si="67"/>
        <v>54.575871244523455</v>
      </c>
      <c r="P207">
        <f t="shared" si="76"/>
        <v>100</v>
      </c>
      <c r="Q207" s="42">
        <f t="shared" si="72"/>
        <v>272.41209839981997</v>
      </c>
      <c r="R207" s="21">
        <f t="shared" si="68"/>
        <v>86.297378415270899</v>
      </c>
      <c r="U207" s="42">
        <f t="shared" si="73"/>
        <v>211.72364211889462</v>
      </c>
      <c r="V207">
        <f t="shared" si="69"/>
        <v>89.052168946916666</v>
      </c>
    </row>
    <row r="208" spans="2:22">
      <c r="B208">
        <f t="shared" si="74"/>
        <v>105</v>
      </c>
      <c r="C208" s="42">
        <f t="shared" si="70"/>
        <v>77.517533461921616</v>
      </c>
      <c r="D208">
        <f t="shared" si="62"/>
        <v>35.86154780558315</v>
      </c>
      <c r="F208" s="42">
        <f t="shared" si="63"/>
        <v>62.517533461921609</v>
      </c>
      <c r="G208">
        <f t="shared" si="64"/>
        <v>35.86154780558315</v>
      </c>
      <c r="I208">
        <f t="shared" si="75"/>
        <v>105</v>
      </c>
      <c r="J208" s="42">
        <f t="shared" si="71"/>
        <v>139.88375774912024</v>
      </c>
      <c r="K208" s="21">
        <f t="shared" si="65"/>
        <v>51.977525062905542</v>
      </c>
      <c r="L208" s="42">
        <f t="shared" si="66"/>
        <v>111.07461201402253</v>
      </c>
      <c r="M208">
        <f t="shared" si="67"/>
        <v>53.529476556282383</v>
      </c>
      <c r="P208">
        <f t="shared" si="76"/>
        <v>105</v>
      </c>
      <c r="Q208" s="42">
        <f t="shared" si="72"/>
        <v>264.94868987712641</v>
      </c>
      <c r="R208" s="21">
        <f t="shared" si="68"/>
        <v>84.642780580665914</v>
      </c>
      <c r="U208" s="42">
        <f t="shared" si="73"/>
        <v>204.02198618347913</v>
      </c>
      <c r="V208">
        <f t="shared" si="69"/>
        <v>87.344752932522738</v>
      </c>
    </row>
    <row r="209" spans="2:22">
      <c r="B209">
        <f t="shared" si="74"/>
        <v>110</v>
      </c>
      <c r="C209" s="42">
        <f t="shared" si="70"/>
        <v>74.4285590498082</v>
      </c>
      <c r="D209">
        <f t="shared" si="62"/>
        <v>34.887597914565625</v>
      </c>
      <c r="F209" s="42">
        <f t="shared" si="63"/>
        <v>59.4285590498082</v>
      </c>
      <c r="G209">
        <f t="shared" si="64"/>
        <v>34.887597914565625</v>
      </c>
      <c r="I209">
        <f t="shared" si="75"/>
        <v>110</v>
      </c>
      <c r="J209" s="42">
        <f t="shared" si="71"/>
        <v>135.40661566382232</v>
      </c>
      <c r="K209" s="21">
        <f t="shared" si="65"/>
        <v>50.565887585771989</v>
      </c>
      <c r="L209" s="42">
        <f t="shared" si="66"/>
        <v>106.46379085614606</v>
      </c>
      <c r="M209">
        <f t="shared" si="67"/>
        <v>52.075690229466339</v>
      </c>
      <c r="P209">
        <f t="shared" si="76"/>
        <v>110</v>
      </c>
      <c r="Q209" s="42">
        <f t="shared" si="72"/>
        <v>257.65788958035</v>
      </c>
      <c r="R209" s="21">
        <f t="shared" si="68"/>
        <v>82.344000077133771</v>
      </c>
      <c r="U209" s="42">
        <f t="shared" si="73"/>
        <v>196.49844848500518</v>
      </c>
      <c r="V209">
        <f t="shared" si="69"/>
        <v>84.972590608108518</v>
      </c>
    </row>
    <row r="210" spans="2:22">
      <c r="B210">
        <f t="shared" si="74"/>
        <v>115</v>
      </c>
      <c r="C210" s="42">
        <f t="shared" si="70"/>
        <v>71.436224444070376</v>
      </c>
      <c r="D210">
        <f t="shared" si="62"/>
        <v>33.64813233771067</v>
      </c>
      <c r="F210" s="42">
        <f t="shared" si="63"/>
        <v>56.436224444070383</v>
      </c>
      <c r="G210">
        <f t="shared" si="64"/>
        <v>33.64813233771067</v>
      </c>
      <c r="I210">
        <f t="shared" si="75"/>
        <v>115</v>
      </c>
      <c r="J210" s="42">
        <f t="shared" si="71"/>
        <v>131.06954276865514</v>
      </c>
      <c r="K210" s="21">
        <f t="shared" si="65"/>
        <v>48.769413171592994</v>
      </c>
      <c r="L210" s="42">
        <f t="shared" si="66"/>
        <v>101.99722109193033</v>
      </c>
      <c r="M210">
        <f t="shared" si="67"/>
        <v>50.225576455842585</v>
      </c>
      <c r="P210">
        <f t="shared" si="76"/>
        <v>115</v>
      </c>
      <c r="Q210" s="42">
        <f t="shared" si="72"/>
        <v>250.59518490205477</v>
      </c>
      <c r="R210" s="21">
        <f t="shared" si="68"/>
        <v>79.418532012347995</v>
      </c>
      <c r="U210" s="42">
        <f t="shared" si="73"/>
        <v>189.2102876881944</v>
      </c>
      <c r="V210">
        <f t="shared" si="69"/>
        <v>81.953735561313593</v>
      </c>
    </row>
    <row r="211" spans="2:22">
      <c r="B211">
        <f t="shared" si="74"/>
        <v>120</v>
      </c>
      <c r="C211" s="42">
        <f t="shared" si="70"/>
        <v>68.56330311787886</v>
      </c>
      <c r="D211">
        <f t="shared" si="62"/>
        <v>32.152584156467938</v>
      </c>
      <c r="F211" s="42">
        <f t="shared" si="63"/>
        <v>53.563303117878867</v>
      </c>
      <c r="G211">
        <f t="shared" si="64"/>
        <v>32.152584156467938</v>
      </c>
      <c r="I211">
        <f t="shared" si="75"/>
        <v>120</v>
      </c>
      <c r="J211" s="42">
        <f t="shared" si="71"/>
        <v>126.90554680714712</v>
      </c>
      <c r="K211" s="21">
        <f t="shared" si="65"/>
        <v>46.601774075401373</v>
      </c>
      <c r="L211" s="42">
        <f t="shared" si="66"/>
        <v>97.70889601426957</v>
      </c>
      <c r="M211">
        <f t="shared" si="67"/>
        <v>47.993215718357632</v>
      </c>
      <c r="P211">
        <f t="shared" si="76"/>
        <v>120</v>
      </c>
      <c r="Q211" s="42">
        <f t="shared" si="72"/>
        <v>243.81432728942031</v>
      </c>
      <c r="R211" s="21">
        <f t="shared" si="68"/>
        <v>75.8886409647275</v>
      </c>
      <c r="U211" s="42">
        <f t="shared" si="73"/>
        <v>182.2129710974223</v>
      </c>
      <c r="V211">
        <f t="shared" si="69"/>
        <v>78.311163101878549</v>
      </c>
    </row>
    <row r="212" spans="2:22">
      <c r="B212">
        <f t="shared" si="74"/>
        <v>125</v>
      </c>
      <c r="C212" s="42">
        <f t="shared" si="70"/>
        <v>65.831659737243285</v>
      </c>
      <c r="D212">
        <f t="shared" si="62"/>
        <v>30.412335395533361</v>
      </c>
      <c r="F212" s="42">
        <f t="shared" si="63"/>
        <v>50.831659737243278</v>
      </c>
      <c r="G212">
        <f t="shared" si="64"/>
        <v>30.412335395533361</v>
      </c>
      <c r="I212">
        <f t="shared" si="75"/>
        <v>125</v>
      </c>
      <c r="J212" s="42">
        <f t="shared" si="71"/>
        <v>122.94631830285479</v>
      </c>
      <c r="K212" s="21">
        <f t="shared" si="65"/>
        <v>44.079467339575409</v>
      </c>
      <c r="L212" s="42">
        <f t="shared" si="66"/>
        <v>93.631452366366233</v>
      </c>
      <c r="M212">
        <f t="shared" si="67"/>
        <v>45.395597630159997</v>
      </c>
      <c r="P212">
        <f t="shared" si="76"/>
        <v>125</v>
      </c>
      <c r="Q212" s="42">
        <f t="shared" si="72"/>
        <v>237.36692316327242</v>
      </c>
      <c r="R212" s="21">
        <f t="shared" si="68"/>
        <v>71.781191536551148</v>
      </c>
      <c r="U212" s="42">
        <f t="shared" si="73"/>
        <v>175.5597525170399</v>
      </c>
      <c r="V212">
        <f t="shared" si="69"/>
        <v>74.072595405665098</v>
      </c>
    </row>
    <row r="213" spans="2:22">
      <c r="B213">
        <f t="shared" si="74"/>
        <v>130</v>
      </c>
      <c r="C213" s="42">
        <f t="shared" si="70"/>
        <v>63.262083757701646</v>
      </c>
      <c r="D213">
        <f t="shared" si="62"/>
        <v>28.440630398768597</v>
      </c>
      <c r="F213" s="42">
        <f t="shared" si="63"/>
        <v>48.262083757701646</v>
      </c>
      <c r="G213">
        <f t="shared" si="64"/>
        <v>28.440630398768597</v>
      </c>
      <c r="I213">
        <f t="shared" si="75"/>
        <v>130</v>
      </c>
      <c r="J213" s="42">
        <f t="shared" si="71"/>
        <v>119.22198937534344</v>
      </c>
      <c r="K213" s="21">
        <f t="shared" si="65"/>
        <v>41.221689241385199</v>
      </c>
      <c r="L213" s="42">
        <f t="shared" si="66"/>
        <v>89.795921956408705</v>
      </c>
      <c r="M213">
        <f t="shared" si="67"/>
        <v>42.452491633385584</v>
      </c>
      <c r="P213">
        <f t="shared" si="76"/>
        <v>130</v>
      </c>
      <c r="Q213" s="42">
        <f t="shared" si="72"/>
        <v>231.30204116206022</v>
      </c>
      <c r="R213" s="21">
        <f t="shared" si="68"/>
        <v>67.127443898113199</v>
      </c>
      <c r="U213" s="42">
        <f t="shared" si="73"/>
        <v>169.30126695776724</v>
      </c>
      <c r="V213">
        <f t="shared" si="69"/>
        <v>69.270290532158583</v>
      </c>
    </row>
    <row r="214" spans="2:22">
      <c r="B214">
        <f t="shared" si="74"/>
        <v>135</v>
      </c>
      <c r="C214" s="42">
        <f t="shared" si="70"/>
        <v>60.874131204010681</v>
      </c>
      <c r="D214">
        <f t="shared" si="62"/>
        <v>26.252475031747046</v>
      </c>
      <c r="F214" s="42">
        <f t="shared" si="63"/>
        <v>45.874131204010681</v>
      </c>
      <c r="G214">
        <f t="shared" si="64"/>
        <v>26.252475031747046</v>
      </c>
      <c r="I214">
        <f t="shared" si="75"/>
        <v>135</v>
      </c>
      <c r="J214" s="42">
        <f t="shared" si="71"/>
        <v>115.76090441656265</v>
      </c>
      <c r="K214" s="21">
        <f t="shared" si="65"/>
        <v>38.050189197731562</v>
      </c>
      <c r="L214" s="42">
        <f t="shared" si="66"/>
        <v>86.231495486773312</v>
      </c>
      <c r="M214">
        <f t="shared" si="67"/>
        <v>39.186296541765806</v>
      </c>
      <c r="P214">
        <f t="shared" si="76"/>
        <v>135</v>
      </c>
      <c r="Q214" s="42">
        <f t="shared" si="72"/>
        <v>225.66583869988881</v>
      </c>
      <c r="R214" s="21">
        <f t="shared" si="68"/>
        <v>61.962815878951766</v>
      </c>
      <c r="U214" s="42">
        <f t="shared" si="73"/>
        <v>163.48514527368721</v>
      </c>
      <c r="V214">
        <f t="shared" si="69"/>
        <v>63.940796921157336</v>
      </c>
    </row>
    <row r="215" spans="2:22">
      <c r="B215">
        <f t="shared" si="74"/>
        <v>140</v>
      </c>
      <c r="C215" s="42">
        <f t="shared" si="70"/>
        <v>58.68597583698913</v>
      </c>
      <c r="D215">
        <f t="shared" si="62"/>
        <v>23.864522478056077</v>
      </c>
      <c r="F215" s="42">
        <f t="shared" si="63"/>
        <v>43.68597583698913</v>
      </c>
      <c r="G215">
        <f t="shared" si="64"/>
        <v>23.864522478056077</v>
      </c>
      <c r="I215">
        <f t="shared" si="75"/>
        <v>140</v>
      </c>
      <c r="J215" s="42">
        <f t="shared" si="71"/>
        <v>112.58940437290902</v>
      </c>
      <c r="K215" s="21">
        <f t="shared" si="65"/>
        <v>34.589104238950782</v>
      </c>
      <c r="L215" s="42">
        <f t="shared" si="66"/>
        <v>82.965300395153534</v>
      </c>
      <c r="M215">
        <f t="shared" si="67"/>
        <v>35.62187007213042</v>
      </c>
      <c r="P215">
        <f t="shared" si="76"/>
        <v>140</v>
      </c>
      <c r="Q215" s="42">
        <f t="shared" si="72"/>
        <v>220.50121068072735</v>
      </c>
      <c r="R215" s="21">
        <f t="shared" si="68"/>
        <v>56.326613416780354</v>
      </c>
      <c r="U215" s="42">
        <f t="shared" si="73"/>
        <v>158.15565166268595</v>
      </c>
      <c r="V215">
        <f t="shared" si="69"/>
        <v>58.124675237077312</v>
      </c>
    </row>
    <row r="216" spans="2:22">
      <c r="B216">
        <f t="shared" si="74"/>
        <v>145</v>
      </c>
      <c r="C216" s="42">
        <f t="shared" si="70"/>
        <v>56.714270840224344</v>
      </c>
      <c r="D216">
        <f t="shared" si="62"/>
        <v>21.294946498514435</v>
      </c>
      <c r="F216" s="42">
        <f t="shared" si="63"/>
        <v>41.714270840224344</v>
      </c>
      <c r="G216">
        <f t="shared" si="64"/>
        <v>21.294946498514435</v>
      </c>
      <c r="I216">
        <f t="shared" si="75"/>
        <v>145</v>
      </c>
      <c r="J216" s="42">
        <f t="shared" si="71"/>
        <v>109.73162627471879</v>
      </c>
      <c r="K216" s="21">
        <f t="shared" si="65"/>
        <v>30.864775311439395</v>
      </c>
      <c r="L216" s="42">
        <f t="shared" si="66"/>
        <v>80.022194398379099</v>
      </c>
      <c r="M216">
        <f t="shared" si="67"/>
        <v>31.786339662172864</v>
      </c>
      <c r="P216">
        <f t="shared" si="76"/>
        <v>145</v>
      </c>
      <c r="Q216" s="42">
        <f t="shared" si="72"/>
        <v>215.84746304228938</v>
      </c>
      <c r="R216" s="21">
        <f t="shared" si="68"/>
        <v>50.261731415568129</v>
      </c>
      <c r="U216" s="42">
        <f t="shared" si="73"/>
        <v>153.35334678917943</v>
      </c>
      <c r="V216">
        <f t="shared" si="69"/>
        <v>51.866189677804606</v>
      </c>
    </row>
    <row r="217" spans="2:22">
      <c r="B217">
        <f t="shared" si="74"/>
        <v>150</v>
      </c>
      <c r="C217" s="42">
        <f t="shared" si="70"/>
        <v>54.974022079289782</v>
      </c>
      <c r="D217">
        <f t="shared" si="62"/>
        <v>18.563303117878856</v>
      </c>
      <c r="F217" s="42">
        <f t="shared" si="63"/>
        <v>39.974022079289782</v>
      </c>
      <c r="G217">
        <f t="shared" si="64"/>
        <v>18.563303117878856</v>
      </c>
      <c r="I217">
        <f t="shared" si="75"/>
        <v>150</v>
      </c>
      <c r="J217" s="42">
        <f t="shared" si="71"/>
        <v>107.20931953889283</v>
      </c>
      <c r="K217" s="21">
        <f t="shared" si="65"/>
        <v>26.9055468071471</v>
      </c>
      <c r="L217" s="42">
        <f t="shared" si="66"/>
        <v>77.424576310181479</v>
      </c>
      <c r="M217">
        <f t="shared" si="67"/>
        <v>27.708896014269552</v>
      </c>
      <c r="P217">
        <f t="shared" si="76"/>
        <v>150</v>
      </c>
      <c r="Q217" s="42">
        <f t="shared" si="72"/>
        <v>211.74001361411305</v>
      </c>
      <c r="R217" s="21">
        <f t="shared" si="68"/>
        <v>43.81432728942027</v>
      </c>
      <c r="U217" s="42">
        <f t="shared" si="73"/>
        <v>149.11477909296599</v>
      </c>
      <c r="V217">
        <f t="shared" si="69"/>
        <v>45.212971097422262</v>
      </c>
    </row>
    <row r="218" spans="2:22">
      <c r="B218">
        <f t="shared" si="74"/>
        <v>155</v>
      </c>
      <c r="C218" s="42">
        <f t="shared" si="70"/>
        <v>53.478473898047049</v>
      </c>
      <c r="D218">
        <f t="shared" si="62"/>
        <v>15.690381791687342</v>
      </c>
      <c r="F218" s="42">
        <f t="shared" si="63"/>
        <v>38.478473898047049</v>
      </c>
      <c r="G218">
        <f t="shared" si="64"/>
        <v>15.690381791687342</v>
      </c>
      <c r="I218">
        <f t="shared" si="75"/>
        <v>155</v>
      </c>
      <c r="J218" s="42">
        <f t="shared" si="71"/>
        <v>105.04168044270122</v>
      </c>
      <c r="K218" s="21">
        <f t="shared" si="65"/>
        <v>22.741550845639072</v>
      </c>
      <c r="L218" s="42">
        <f t="shared" si="66"/>
        <v>75.19221557269654</v>
      </c>
      <c r="M218">
        <f t="shared" si="67"/>
        <v>23.420570936608794</v>
      </c>
      <c r="P218">
        <f t="shared" si="76"/>
        <v>155</v>
      </c>
      <c r="Q218" s="42">
        <f t="shared" si="72"/>
        <v>208.21012256649257</v>
      </c>
      <c r="R218" s="21">
        <f t="shared" si="68"/>
        <v>37.033469676785785</v>
      </c>
      <c r="U218" s="42">
        <f t="shared" si="73"/>
        <v>145.47220663353096</v>
      </c>
      <c r="V218">
        <f t="shared" si="69"/>
        <v>38.215654506650175</v>
      </c>
    </row>
    <row r="219" spans="2:22">
      <c r="B219">
        <f t="shared" si="74"/>
        <v>160</v>
      </c>
      <c r="C219" s="42">
        <f t="shared" si="70"/>
        <v>52.239008321192102</v>
      </c>
      <c r="D219">
        <f t="shared" si="62"/>
        <v>12.698047185949527</v>
      </c>
      <c r="F219" s="42">
        <f t="shared" si="63"/>
        <v>37.239008321192102</v>
      </c>
      <c r="G219">
        <f t="shared" si="64"/>
        <v>12.698047185949527</v>
      </c>
      <c r="I219">
        <f t="shared" si="75"/>
        <v>160</v>
      </c>
      <c r="J219" s="42">
        <f t="shared" si="71"/>
        <v>103.24520602852223</v>
      </c>
      <c r="K219" s="21">
        <f t="shared" si="65"/>
        <v>18.40447795047189</v>
      </c>
      <c r="L219" s="42">
        <f t="shared" si="66"/>
        <v>73.342101799072765</v>
      </c>
      <c r="M219">
        <f t="shared" si="67"/>
        <v>18.954001172393056</v>
      </c>
      <c r="P219">
        <f t="shared" si="76"/>
        <v>160</v>
      </c>
      <c r="Q219" s="42">
        <f t="shared" si="72"/>
        <v>205.28465450170677</v>
      </c>
      <c r="R219" s="21">
        <f t="shared" si="68"/>
        <v>29.970764998490576</v>
      </c>
      <c r="U219" s="42">
        <f t="shared" si="73"/>
        <v>142.45335158673601</v>
      </c>
      <c r="V219">
        <f t="shared" si="69"/>
        <v>30.927493709839379</v>
      </c>
    </row>
    <row r="220" spans="2:22">
      <c r="B220">
        <f t="shared" si="74"/>
        <v>165</v>
      </c>
      <c r="C220" s="42">
        <f t="shared" si="70"/>
        <v>51.26505843017457</v>
      </c>
      <c r="D220">
        <f t="shared" si="62"/>
        <v>9.6090727738361146</v>
      </c>
      <c r="F220" s="42">
        <f t="shared" si="63"/>
        <v>36.26505843017457</v>
      </c>
      <c r="G220">
        <f t="shared" si="64"/>
        <v>9.6090727738361146</v>
      </c>
      <c r="I220">
        <f t="shared" si="75"/>
        <v>165</v>
      </c>
      <c r="J220" s="42">
        <f t="shared" si="71"/>
        <v>101.83356855138868</v>
      </c>
      <c r="K220" s="21">
        <f t="shared" si="65"/>
        <v>13.927335865173994</v>
      </c>
      <c r="L220" s="42">
        <f t="shared" si="66"/>
        <v>71.888315472256735</v>
      </c>
      <c r="M220">
        <f t="shared" si="67"/>
        <v>14.343180014516594</v>
      </c>
      <c r="P220">
        <f t="shared" si="76"/>
        <v>165</v>
      </c>
      <c r="Q220" s="42">
        <f t="shared" si="72"/>
        <v>202.98587399817467</v>
      </c>
      <c r="R220" s="21">
        <f t="shared" si="68"/>
        <v>22.679964701714169</v>
      </c>
      <c r="U220" s="42">
        <f t="shared" si="73"/>
        <v>140.0811892623218</v>
      </c>
      <c r="V220">
        <f t="shared" si="69"/>
        <v>23.403956011365427</v>
      </c>
    </row>
    <row r="221" spans="2:22">
      <c r="B221">
        <f t="shared" si="74"/>
        <v>170</v>
      </c>
      <c r="C221" s="42">
        <f t="shared" si="70"/>
        <v>50.564036571752126</v>
      </c>
      <c r="D221">
        <f t="shared" si="62"/>
        <v>6.4469675157970183</v>
      </c>
      <c r="F221" s="42">
        <f t="shared" si="63"/>
        <v>35.564036571752126</v>
      </c>
      <c r="G221">
        <f t="shared" si="64"/>
        <v>6.4469675157970183</v>
      </c>
      <c r="I221">
        <f t="shared" si="75"/>
        <v>170</v>
      </c>
      <c r="J221" s="42">
        <f t="shared" si="71"/>
        <v>100.81751142487155</v>
      </c>
      <c r="K221" s="21">
        <f t="shared" si="65"/>
        <v>9.3441983443867773</v>
      </c>
      <c r="L221" s="42">
        <f t="shared" si="66"/>
        <v>70.841920784015656</v>
      </c>
      <c r="M221">
        <f t="shared" si="67"/>
        <v>9.6231985960807513</v>
      </c>
      <c r="P221">
        <f t="shared" si="76"/>
        <v>170</v>
      </c>
      <c r="Q221" s="42">
        <f t="shared" si="72"/>
        <v>201.33127616356967</v>
      </c>
      <c r="R221" s="21">
        <f t="shared" si="68"/>
        <v>15.216556179020568</v>
      </c>
      <c r="U221" s="42">
        <f t="shared" si="73"/>
        <v>138.37377324792789</v>
      </c>
      <c r="V221">
        <f t="shared" si="69"/>
        <v>15.702300075949932</v>
      </c>
    </row>
    <row r="222" spans="2:22">
      <c r="B222">
        <f t="shared" si="74"/>
        <v>175</v>
      </c>
      <c r="C222" s="42">
        <f t="shared" si="70"/>
        <v>50.141277945555942</v>
      </c>
      <c r="D222">
        <f t="shared" si="62"/>
        <v>3.2357969421773025</v>
      </c>
      <c r="F222" s="42">
        <f t="shared" si="63"/>
        <v>35.141277945555942</v>
      </c>
      <c r="G222">
        <f t="shared" si="64"/>
        <v>3.2357969421773025</v>
      </c>
      <c r="I222">
        <f t="shared" si="75"/>
        <v>175</v>
      </c>
      <c r="J222" s="42">
        <f t="shared" si="71"/>
        <v>100.20476745721572</v>
      </c>
      <c r="K222" s="21">
        <f t="shared" si="65"/>
        <v>4.6899458320175782</v>
      </c>
      <c r="L222" s="42">
        <f t="shared" si="66"/>
        <v>70.21088142975745</v>
      </c>
      <c r="M222">
        <f t="shared" si="67"/>
        <v>4.829978825682578</v>
      </c>
      <c r="P222">
        <f t="shared" si="76"/>
        <v>175</v>
      </c>
      <c r="Q222" s="42">
        <f t="shared" si="72"/>
        <v>200.33345348648663</v>
      </c>
      <c r="R222" s="21">
        <f t="shared" si="68"/>
        <v>7.6373404757968277</v>
      </c>
      <c r="U222" s="42">
        <f t="shared" si="73"/>
        <v>137.34409801038976</v>
      </c>
      <c r="V222">
        <f t="shared" si="69"/>
        <v>7.881140155648481</v>
      </c>
    </row>
    <row r="223" spans="2:22">
      <c r="B223">
        <f t="shared" si="74"/>
        <v>180</v>
      </c>
      <c r="C223" s="42">
        <f t="shared" si="70"/>
        <v>50</v>
      </c>
      <c r="D223">
        <f t="shared" si="62"/>
        <v>4.5485604265739304E-15</v>
      </c>
      <c r="F223" s="42">
        <f t="shared" si="63"/>
        <v>35</v>
      </c>
      <c r="G223">
        <f t="shared" si="64"/>
        <v>4.5485604265739304E-15</v>
      </c>
      <c r="I223">
        <f t="shared" si="75"/>
        <v>180</v>
      </c>
      <c r="J223" s="42">
        <f t="shared" si="71"/>
        <v>100</v>
      </c>
      <c r="K223" s="21">
        <f t="shared" si="65"/>
        <v>6.5926578198495655E-15</v>
      </c>
      <c r="L223" s="42">
        <f t="shared" si="66"/>
        <v>70</v>
      </c>
      <c r="M223">
        <f t="shared" si="67"/>
        <v>6.789502227821193E-15</v>
      </c>
      <c r="P223">
        <f t="shared" si="76"/>
        <v>180</v>
      </c>
      <c r="Q223" s="42">
        <f t="shared" si="72"/>
        <v>200</v>
      </c>
      <c r="R223" s="21">
        <f t="shared" si="68"/>
        <v>1.0735811076298767E-14</v>
      </c>
      <c r="U223" s="42">
        <f t="shared" si="73"/>
        <v>137</v>
      </c>
      <c r="V223">
        <f t="shared" si="69"/>
        <v>1.1078520336366997E-14</v>
      </c>
    </row>
    <row r="224" spans="2:22">
      <c r="C224" s="42"/>
      <c r="D224" s="42"/>
      <c r="E224" s="42"/>
    </row>
    <row r="225" spans="1:18">
      <c r="C225" s="42"/>
      <c r="D225" s="42"/>
      <c r="E225" s="42"/>
    </row>
    <row r="226" spans="1:18">
      <c r="C226" s="42"/>
      <c r="D226" s="42"/>
      <c r="E226" s="42"/>
      <c r="M226" s="299" t="s">
        <v>167</v>
      </c>
      <c r="N226" s="21"/>
      <c r="O226" s="21"/>
    </row>
    <row r="227" spans="1:18">
      <c r="A227" t="s">
        <v>184</v>
      </c>
      <c r="C227" s="42"/>
      <c r="D227" s="42"/>
      <c r="E227" s="42"/>
      <c r="M227" s="21"/>
      <c r="N227" s="21"/>
      <c r="O227" s="21"/>
    </row>
    <row r="228" spans="1:18">
      <c r="C228" s="42"/>
      <c r="D228" s="42"/>
      <c r="E228" s="42"/>
      <c r="M228" s="21"/>
      <c r="N228" s="313" t="s">
        <v>277</v>
      </c>
      <c r="O228" s="313" t="s">
        <v>278</v>
      </c>
    </row>
    <row r="229" spans="1:18">
      <c r="C229" s="42"/>
      <c r="D229" s="42"/>
      <c r="E229" s="42"/>
      <c r="M229" s="21"/>
      <c r="N229" s="314">
        <v>50</v>
      </c>
      <c r="O229" s="314">
        <f>C171</f>
        <v>124.25321247151544</v>
      </c>
    </row>
    <row r="230" spans="1:18">
      <c r="C230" s="42"/>
      <c r="D230" s="42"/>
      <c r="E230" s="42"/>
      <c r="M230" s="21"/>
      <c r="N230" s="21">
        <f>P172</f>
        <v>100</v>
      </c>
      <c r="O230" s="78">
        <f>P171</f>
        <v>207.62218722858842</v>
      </c>
      <c r="P230" s="42"/>
    </row>
    <row r="231" spans="1:18">
      <c r="C231" s="42"/>
      <c r="D231" s="42"/>
      <c r="E231" s="42"/>
      <c r="M231" s="21"/>
      <c r="N231" s="21">
        <f>AC172</f>
        <v>200</v>
      </c>
      <c r="O231" s="78">
        <f>AC171</f>
        <v>375.25730915768111</v>
      </c>
      <c r="P231" s="42"/>
    </row>
    <row r="232" spans="1:18">
      <c r="C232" s="42"/>
      <c r="D232" s="42"/>
      <c r="E232" s="42"/>
    </row>
    <row r="233" spans="1:18">
      <c r="C233" s="42"/>
      <c r="D233" s="42"/>
      <c r="E233" s="42"/>
      <c r="M233" t="s">
        <v>259</v>
      </c>
      <c r="N233" s="42">
        <f>SLOPE(O229:O231,N229:N231)</f>
        <v>1.6737878695339361</v>
      </c>
    </row>
    <row r="234" spans="1:18">
      <c r="C234" s="42"/>
      <c r="D234" s="42"/>
      <c r="E234" s="42"/>
      <c r="M234" t="s">
        <v>260</v>
      </c>
      <c r="N234" s="42">
        <f>INTERCEPT(O229:O231,N229:N231)</f>
        <v>40.435651506969123</v>
      </c>
      <c r="R234" t="s">
        <v>823</v>
      </c>
    </row>
    <row r="235" spans="1:18">
      <c r="C235" s="42"/>
      <c r="D235" s="42"/>
      <c r="E235" s="42"/>
      <c r="M235" t="s">
        <v>262</v>
      </c>
      <c r="N235" s="42">
        <f>IF($D$7="","",DEGREES(ASIN((N233-1)/(N233+1))))</f>
        <v>14.595745724848204</v>
      </c>
      <c r="O235" s="821">
        <f>IF($D$7="","",N235)</f>
        <v>14.595745724848204</v>
      </c>
    </row>
    <row r="236" spans="1:18">
      <c r="C236" s="42"/>
      <c r="D236" s="42"/>
      <c r="E236" s="42"/>
      <c r="M236" t="s">
        <v>261</v>
      </c>
      <c r="N236" s="42">
        <f>IF($D$7="","",(N234*(1-SIN(RADIANS(N235))))/(2*COS(RADIANS(N235))))</f>
        <v>15.627310499286921</v>
      </c>
      <c r="O236" s="821">
        <f>IF($D$7="","",N236)</f>
        <v>15.627310499286921</v>
      </c>
      <c r="R236" t="str">
        <f>"σ₃="&amp;N229&amp;" kPa"</f>
        <v>σ₃=50 kPa</v>
      </c>
    </row>
    <row r="237" spans="1:18">
      <c r="C237" s="42"/>
      <c r="D237" s="42"/>
      <c r="E237" s="42"/>
      <c r="O237" s="42"/>
      <c r="R237" t="str">
        <f>"σ₃="&amp;N230&amp;" kPa"</f>
        <v>σ₃=100 kPa</v>
      </c>
    </row>
    <row r="238" spans="1:18">
      <c r="C238" s="42"/>
      <c r="D238" s="42"/>
      <c r="E238" s="42"/>
      <c r="O238" s="42"/>
      <c r="R238" t="str">
        <f>"σ₃​="&amp;N231&amp;" kPa"</f>
        <v>σ₃​=200 kPa</v>
      </c>
    </row>
    <row r="239" spans="1:18">
      <c r="C239" s="42"/>
      <c r="D239" s="42"/>
      <c r="E239" s="42"/>
    </row>
    <row r="240" spans="1:18">
      <c r="C240" s="42"/>
      <c r="D240" s="42"/>
      <c r="E240" s="42"/>
      <c r="R240" t="str">
        <f>"σ₃′ ="&amp;N258&amp;" kPa"</f>
        <v>σ₃′ =35 kPa</v>
      </c>
    </row>
    <row r="241" spans="3:19">
      <c r="C241" s="42"/>
      <c r="D241" s="42"/>
      <c r="E241" s="42"/>
      <c r="R241" t="str">
        <f>"σ₃′ ="&amp;N259&amp;" kPa"</f>
        <v>σ₃′ =70 kPa</v>
      </c>
    </row>
    <row r="242" spans="3:19">
      <c r="C242" s="42"/>
      <c r="D242" s="42"/>
      <c r="E242" s="42"/>
      <c r="K242" s="42"/>
      <c r="R242" s="785" t="str">
        <f>"σ₃′ ="&amp;N260&amp;" kPa"</f>
        <v>σ₃′ =137 kPa</v>
      </c>
    </row>
    <row r="243" spans="3:19">
      <c r="C243" s="42"/>
      <c r="D243" s="42"/>
      <c r="E243" s="42"/>
      <c r="K243" s="42"/>
    </row>
    <row r="244" spans="3:19">
      <c r="C244" s="42"/>
      <c r="D244" s="42"/>
      <c r="E244" s="42"/>
      <c r="M244" t="s">
        <v>263</v>
      </c>
      <c r="N244" s="42">
        <f>N236</f>
        <v>15.627310499286921</v>
      </c>
      <c r="O244" t="s">
        <v>785</v>
      </c>
    </row>
    <row r="245" spans="3:19">
      <c r="C245" s="42"/>
      <c r="D245" s="42"/>
      <c r="E245" s="42"/>
      <c r="M245" t="s">
        <v>262</v>
      </c>
      <c r="N245" s="42">
        <f>N235</f>
        <v>14.595745724848204</v>
      </c>
      <c r="R245" t="s">
        <v>824</v>
      </c>
    </row>
    <row r="246" spans="3:19">
      <c r="C246" s="42"/>
      <c r="D246" s="42"/>
      <c r="E246" s="42"/>
      <c r="R246" t="s">
        <v>831</v>
      </c>
    </row>
    <row r="247" spans="3:19">
      <c r="C247" s="42"/>
      <c r="D247" s="42"/>
      <c r="E247" s="42"/>
      <c r="M247" s="21" t="s">
        <v>132</v>
      </c>
      <c r="N247" s="21" t="s">
        <v>133</v>
      </c>
      <c r="O247" s="801" t="s">
        <v>846</v>
      </c>
    </row>
    <row r="248" spans="3:19">
      <c r="C248" s="42"/>
      <c r="D248" s="42"/>
      <c r="E248" s="42"/>
      <c r="F248" s="42"/>
      <c r="G248" s="42"/>
      <c r="M248">
        <v>0</v>
      </c>
      <c r="N248">
        <f>$N$244+(M248*TAN(RADIANS($N$245)))</f>
        <v>15.627310499286921</v>
      </c>
      <c r="O248">
        <f t="shared" ref="O248:O254" si="77">IF($D$7="",NA(),N248)</f>
        <v>15.627310499286921</v>
      </c>
    </row>
    <row r="249" spans="3:19">
      <c r="C249" s="42"/>
      <c r="D249" s="42"/>
      <c r="E249" s="42"/>
      <c r="M249">
        <v>50</v>
      </c>
      <c r="N249" s="42">
        <f t="shared" ref="N249:N254" si="78">$N$244+(M249*TAN(RADIANS($N$245)))</f>
        <v>28.647370589137431</v>
      </c>
      <c r="O249">
        <f t="shared" si="77"/>
        <v>28.647370589137431</v>
      </c>
      <c r="R249" t="s">
        <v>601</v>
      </c>
      <c r="S249" t="s">
        <v>835</v>
      </c>
    </row>
    <row r="250" spans="3:19">
      <c r="C250" s="42"/>
      <c r="D250" s="42"/>
      <c r="E250" s="42"/>
      <c r="M250">
        <v>100</v>
      </c>
      <c r="N250" s="42">
        <f t="shared" si="78"/>
        <v>41.667430678987941</v>
      </c>
      <c r="O250">
        <f t="shared" si="77"/>
        <v>41.667430678987941</v>
      </c>
      <c r="R250" s="19" t="s">
        <v>833</v>
      </c>
      <c r="S250" t="s">
        <v>834</v>
      </c>
    </row>
    <row r="251" spans="3:19">
      <c r="C251" s="42"/>
      <c r="D251" s="42"/>
      <c r="E251" s="42"/>
      <c r="M251">
        <v>200</v>
      </c>
      <c r="N251" s="42">
        <f t="shared" si="78"/>
        <v>67.707550858688961</v>
      </c>
      <c r="O251">
        <f t="shared" si="77"/>
        <v>67.707550858688961</v>
      </c>
      <c r="R251" s="19"/>
    </row>
    <row r="252" spans="3:19">
      <c r="C252" s="42"/>
      <c r="D252" s="42"/>
      <c r="E252" s="42"/>
      <c r="M252">
        <v>300</v>
      </c>
      <c r="N252" s="42">
        <f t="shared" si="78"/>
        <v>93.747671038389967</v>
      </c>
      <c r="O252">
        <f t="shared" si="77"/>
        <v>93.747671038389967</v>
      </c>
    </row>
    <row r="253" spans="3:19">
      <c r="C253" s="42"/>
      <c r="D253" s="42"/>
      <c r="E253" s="42"/>
      <c r="M253">
        <v>400</v>
      </c>
      <c r="N253" s="42">
        <f t="shared" si="78"/>
        <v>119.78779121809099</v>
      </c>
      <c r="O253">
        <f t="shared" si="77"/>
        <v>119.78779121809099</v>
      </c>
    </row>
    <row r="254" spans="3:19">
      <c r="C254" s="42"/>
      <c r="D254" s="42"/>
      <c r="E254" s="42"/>
      <c r="M254">
        <v>500</v>
      </c>
      <c r="N254" s="42">
        <f t="shared" si="78"/>
        <v>145.82791139779201</v>
      </c>
      <c r="O254">
        <f t="shared" si="77"/>
        <v>145.82791139779201</v>
      </c>
    </row>
    <row r="255" spans="3:19">
      <c r="C255" s="42"/>
      <c r="D255" s="42"/>
      <c r="E255" s="42"/>
    </row>
    <row r="256" spans="3:19">
      <c r="C256" s="42"/>
      <c r="D256" s="42"/>
      <c r="E256" s="42"/>
      <c r="M256" s="116" t="s">
        <v>279</v>
      </c>
    </row>
    <row r="257" spans="3:15">
      <c r="C257" s="42"/>
      <c r="D257" s="42"/>
      <c r="E257" s="42"/>
      <c r="N257" s="300" t="s">
        <v>264</v>
      </c>
      <c r="O257" s="300" t="s">
        <v>264</v>
      </c>
    </row>
    <row r="258" spans="3:15">
      <c r="C258" s="42"/>
      <c r="D258" s="42"/>
      <c r="E258" s="42"/>
      <c r="N258" s="42">
        <f>C174</f>
        <v>35</v>
      </c>
      <c r="O258" s="42">
        <f>C173</f>
        <v>109.25321247151544</v>
      </c>
    </row>
    <row r="259" spans="3:15">
      <c r="C259" s="42"/>
      <c r="D259" s="42"/>
      <c r="E259" s="42"/>
      <c r="N259" s="42">
        <f>P174</f>
        <v>70</v>
      </c>
      <c r="O259" s="42">
        <f>P173</f>
        <v>180.83558405707822</v>
      </c>
    </row>
    <row r="260" spans="3:15">
      <c r="C260" s="42"/>
      <c r="D260" s="42"/>
      <c r="E260" s="42"/>
      <c r="N260" s="42">
        <f>AC174</f>
        <v>137</v>
      </c>
      <c r="O260" s="42">
        <f>AC173</f>
        <v>317.85188438968908</v>
      </c>
    </row>
    <row r="262" spans="3:15">
      <c r="M262" t="s">
        <v>259</v>
      </c>
      <c r="N262">
        <f>SLOPE(O258:O260,N258:N260)</f>
        <v>2.0450762913161271</v>
      </c>
    </row>
    <row r="263" spans="3:15">
      <c r="M263" t="s">
        <v>260</v>
      </c>
      <c r="N263">
        <f>INTERCEPT(O258:O260,N258:N260)</f>
        <v>37.67740613992666</v>
      </c>
    </row>
    <row r="264" spans="3:15">
      <c r="M264" t="s">
        <v>262</v>
      </c>
      <c r="N264">
        <f>DEGREES(ASIN((N262-1)/(N262+1)))</f>
        <v>20.072078103401552</v>
      </c>
      <c r="O264" s="821">
        <f>IF($D$7="","",N264)</f>
        <v>20.072078103401552</v>
      </c>
    </row>
    <row r="265" spans="3:15">
      <c r="M265" t="s">
        <v>261</v>
      </c>
      <c r="N265" s="42">
        <f>(N263*(1-SIN(RADIANS(N264))))/(2*COS(RADIANS(N264)))</f>
        <v>13.173350404143219</v>
      </c>
      <c r="O265" s="821">
        <f>IF($D$7="","",N265)</f>
        <v>13.173350404143219</v>
      </c>
    </row>
    <row r="268" spans="3:15">
      <c r="M268" t="s">
        <v>263</v>
      </c>
      <c r="N268" s="42">
        <f>N265</f>
        <v>13.173350404143219</v>
      </c>
    </row>
    <row r="269" spans="3:15">
      <c r="M269" t="s">
        <v>262</v>
      </c>
      <c r="N269">
        <f>N264</f>
        <v>20.072078103401552</v>
      </c>
    </row>
    <row r="270" spans="3:15">
      <c r="M270" t="s">
        <v>132</v>
      </c>
      <c r="N270" t="s">
        <v>133</v>
      </c>
      <c r="O270" s="801" t="s">
        <v>846</v>
      </c>
    </row>
    <row r="271" spans="3:15">
      <c r="M271">
        <v>0</v>
      </c>
      <c r="N271">
        <f>$N$268+(M271*TAN(RADIANS($N$269)))</f>
        <v>13.173350404143219</v>
      </c>
      <c r="O271">
        <f>IF($D$7="",NA(),N271)</f>
        <v>13.173350404143219</v>
      </c>
    </row>
    <row r="272" spans="3:15">
      <c r="M272">
        <v>50</v>
      </c>
      <c r="N272">
        <f t="shared" ref="N272:N277" si="79">$N$268+(M272*TAN(RADIANS($N$269)))</f>
        <v>31.443127433699374</v>
      </c>
      <c r="O272">
        <f t="shared" ref="O272:O277" si="80">IF($D$7="",NA(),N272)</f>
        <v>31.443127433699374</v>
      </c>
    </row>
    <row r="273" spans="2:41">
      <c r="M273">
        <v>100</v>
      </c>
      <c r="N273">
        <f t="shared" si="79"/>
        <v>49.712904463255526</v>
      </c>
      <c r="O273">
        <f t="shared" si="80"/>
        <v>49.712904463255526</v>
      </c>
    </row>
    <row r="274" spans="2:41">
      <c r="M274">
        <v>200</v>
      </c>
      <c r="N274">
        <f t="shared" si="79"/>
        <v>86.252458522367832</v>
      </c>
      <c r="O274">
        <f t="shared" si="80"/>
        <v>86.252458522367832</v>
      </c>
    </row>
    <row r="275" spans="2:41">
      <c r="M275">
        <v>300</v>
      </c>
      <c r="N275">
        <f t="shared" si="79"/>
        <v>122.79201258148014</v>
      </c>
      <c r="O275">
        <f t="shared" si="80"/>
        <v>122.79201258148014</v>
      </c>
    </row>
    <row r="276" spans="2:41">
      <c r="M276">
        <v>400</v>
      </c>
      <c r="N276">
        <f t="shared" si="79"/>
        <v>159.33156664059243</v>
      </c>
      <c r="O276">
        <f t="shared" si="80"/>
        <v>159.33156664059243</v>
      </c>
    </row>
    <row r="277" spans="2:41">
      <c r="M277">
        <v>500</v>
      </c>
      <c r="N277">
        <f t="shared" si="79"/>
        <v>195.87112069970473</v>
      </c>
      <c r="O277">
        <f t="shared" si="80"/>
        <v>195.87112069970473</v>
      </c>
    </row>
    <row r="282" spans="2:41">
      <c r="Z282">
        <v>1</v>
      </c>
    </row>
    <row r="283" spans="2:41">
      <c r="Y283" t="str">
        <f>D117</f>
        <v>e</v>
      </c>
      <c r="Z283" t="str">
        <f t="shared" ref="Z283:Z284" si="81">G118</f>
        <v>U</v>
      </c>
      <c r="AE283">
        <v>2</v>
      </c>
    </row>
    <row r="284" spans="2:41">
      <c r="Y284" t="str">
        <f t="shared" ref="Y284" si="82">D119</f>
        <v>%</v>
      </c>
      <c r="Z284" t="str">
        <f t="shared" si="81"/>
        <v>kPa</v>
      </c>
      <c r="AA284" s="801" t="s">
        <v>848</v>
      </c>
      <c r="AB284" t="s">
        <v>847</v>
      </c>
      <c r="AC284" s="801" t="s">
        <v>847</v>
      </c>
      <c r="AF284" t="s">
        <v>848</v>
      </c>
      <c r="AG284" s="801" t="s">
        <v>848</v>
      </c>
      <c r="AH284" t="s">
        <v>847</v>
      </c>
      <c r="AI284" s="801" t="s">
        <v>847</v>
      </c>
      <c r="AL284" t="s">
        <v>848</v>
      </c>
      <c r="AM284" s="801" t="s">
        <v>848</v>
      </c>
      <c r="AN284" t="s">
        <v>847</v>
      </c>
      <c r="AO284" s="801" t="s">
        <v>847</v>
      </c>
    </row>
    <row r="285" spans="2:41">
      <c r="Y285" s="42">
        <f t="shared" ref="Y285:Y289" si="83">D120</f>
        <v>0</v>
      </c>
      <c r="Z285" s="111">
        <f t="shared" ref="Z285:Z289" si="84">G120</f>
        <v>190</v>
      </c>
      <c r="AA285">
        <f t="shared" ref="AA285:AC289" si="85">IF($D$7="",NA(),Z285)</f>
        <v>190</v>
      </c>
      <c r="AB285">
        <f t="shared" ref="AB285:AB289" si="86">I120</f>
        <v>0</v>
      </c>
      <c r="AC285">
        <f t="shared" si="85"/>
        <v>0</v>
      </c>
      <c r="AE285" s="111">
        <f t="shared" ref="AE285:AE289" si="87">Q120</f>
        <v>6.4818554094450613</v>
      </c>
      <c r="AF285" s="111">
        <f t="shared" ref="AF285:AF289" si="88">T120</f>
        <v>190</v>
      </c>
      <c r="AG285">
        <f t="shared" ref="AG285:AG289" si="89">IF($D$7="",NA(),AF285)</f>
        <v>190</v>
      </c>
      <c r="AH285">
        <f t="shared" ref="AH285:AH289" si="90">V120</f>
        <v>0</v>
      </c>
      <c r="AI285">
        <f t="shared" ref="AI285:AI289" si="91">IF($D$7="",NA(),AH285)</f>
        <v>0</v>
      </c>
      <c r="AK285" s="42">
        <f t="shared" ref="AK285:AK289" si="92">AD120</f>
        <v>13.472286405874451</v>
      </c>
      <c r="AL285" s="111">
        <f t="shared" ref="AL285:AL289" si="93">AG120</f>
        <v>190</v>
      </c>
      <c r="AM285">
        <f t="shared" ref="AM285:AO289" si="94">IF($D$7="",NA(),AL285)</f>
        <v>190</v>
      </c>
      <c r="AN285">
        <f t="shared" ref="AN285:AN289" si="95">AI120</f>
        <v>0</v>
      </c>
      <c r="AO285">
        <f t="shared" si="94"/>
        <v>0</v>
      </c>
    </row>
    <row r="286" spans="2:41">
      <c r="B286" t="s">
        <v>845</v>
      </c>
      <c r="Y286" s="42">
        <f t="shared" si="83"/>
        <v>0.26645707109251621</v>
      </c>
      <c r="Z286" s="111">
        <f t="shared" si="84"/>
        <v>190.3</v>
      </c>
      <c r="AA286">
        <f t="shared" si="85"/>
        <v>190.3</v>
      </c>
      <c r="AB286">
        <f t="shared" si="86"/>
        <v>8.5787047999803043</v>
      </c>
      <c r="AC286">
        <f t="shared" si="85"/>
        <v>8.5787047999803043</v>
      </c>
      <c r="AE286" s="111">
        <f t="shared" si="87"/>
        <v>6.7519327181719397</v>
      </c>
      <c r="AF286" s="111">
        <f t="shared" si="88"/>
        <v>190.9</v>
      </c>
      <c r="AG286">
        <f t="shared" si="89"/>
        <v>190.9</v>
      </c>
      <c r="AH286">
        <f t="shared" si="90"/>
        <v>13.908165733219732</v>
      </c>
      <c r="AI286">
        <f t="shared" si="91"/>
        <v>13.908165733219732</v>
      </c>
      <c r="AK286" s="42">
        <f t="shared" si="92"/>
        <v>13.747231026402501</v>
      </c>
      <c r="AL286" s="111">
        <f t="shared" si="93"/>
        <v>193.2</v>
      </c>
      <c r="AM286">
        <f t="shared" si="94"/>
        <v>193.2</v>
      </c>
      <c r="AN286">
        <f t="shared" si="95"/>
        <v>41.45793952936139</v>
      </c>
      <c r="AO286">
        <f t="shared" si="94"/>
        <v>41.45793952936139</v>
      </c>
    </row>
    <row r="287" spans="2:41">
      <c r="Y287" s="42">
        <f t="shared" si="83"/>
        <v>0.53291414218503241</v>
      </c>
      <c r="Z287" s="111">
        <f t="shared" si="84"/>
        <v>190.7</v>
      </c>
      <c r="AA287">
        <f t="shared" si="85"/>
        <v>190.7</v>
      </c>
      <c r="AB287">
        <f t="shared" si="86"/>
        <v>16.63624892891184</v>
      </c>
      <c r="AC287">
        <f t="shared" si="85"/>
        <v>16.63624892891184</v>
      </c>
      <c r="AE287" s="111">
        <f t="shared" si="87"/>
        <v>7.0220100268988173</v>
      </c>
      <c r="AF287" s="111">
        <f t="shared" si="88"/>
        <v>192.3</v>
      </c>
      <c r="AG287">
        <f t="shared" si="89"/>
        <v>192.3</v>
      </c>
      <c r="AH287">
        <f t="shared" si="90"/>
        <v>29.077819352007406</v>
      </c>
      <c r="AI287">
        <f t="shared" si="91"/>
        <v>29.077819352007406</v>
      </c>
      <c r="AK287" s="42">
        <f t="shared" si="92"/>
        <v>14.022175646930549</v>
      </c>
      <c r="AL287" s="111">
        <f t="shared" si="93"/>
        <v>195.4</v>
      </c>
      <c r="AM287">
        <f t="shared" si="94"/>
        <v>195.4</v>
      </c>
      <c r="AN287">
        <f t="shared" si="95"/>
        <v>61.779962395802876</v>
      </c>
      <c r="AO287">
        <f t="shared" si="94"/>
        <v>61.779962395802876</v>
      </c>
    </row>
    <row r="288" spans="2:41">
      <c r="B288" s="541" t="s">
        <v>715</v>
      </c>
      <c r="C288" s="673"/>
      <c r="D288" s="673"/>
      <c r="E288" s="673"/>
      <c r="F288" s="673"/>
      <c r="G288" s="576"/>
      <c r="H288" s="576"/>
      <c r="I288" s="576"/>
      <c r="J288" s="656"/>
      <c r="K288" s="576"/>
      <c r="L288" s="576"/>
      <c r="Y288" s="42">
        <f t="shared" si="83"/>
        <v>0.79937121327754834</v>
      </c>
      <c r="Z288" s="111">
        <f t="shared" si="84"/>
        <v>191.2</v>
      </c>
      <c r="AA288">
        <f t="shared" si="85"/>
        <v>191.2</v>
      </c>
      <c r="AB288">
        <f t="shared" si="86"/>
        <v>23.70240424139012</v>
      </c>
      <c r="AC288">
        <f t="shared" si="85"/>
        <v>23.70240424139012</v>
      </c>
      <c r="AE288" s="111">
        <f t="shared" si="87"/>
        <v>7.2920873356256948</v>
      </c>
      <c r="AF288" s="111">
        <f t="shared" si="88"/>
        <v>195.4</v>
      </c>
      <c r="AG288">
        <f t="shared" si="89"/>
        <v>195.4</v>
      </c>
      <c r="AH288">
        <f t="shared" si="90"/>
        <v>42.374904506546791</v>
      </c>
      <c r="AI288">
        <f t="shared" si="91"/>
        <v>42.374904506546791</v>
      </c>
      <c r="AK288" s="42">
        <f t="shared" si="92"/>
        <v>14.297120267458602</v>
      </c>
      <c r="AL288" s="111">
        <f t="shared" si="93"/>
        <v>200.6</v>
      </c>
      <c r="AM288">
        <f t="shared" si="94"/>
        <v>200.6</v>
      </c>
      <c r="AN288">
        <f t="shared" si="95"/>
        <v>75.729706915934642</v>
      </c>
      <c r="AO288">
        <f t="shared" si="94"/>
        <v>75.729706915934642</v>
      </c>
    </row>
    <row r="289" spans="2:41">
      <c r="B289" s="13" t="s">
        <v>575</v>
      </c>
      <c r="C289" s="796"/>
      <c r="D289" s="13" t="s">
        <v>1104</v>
      </c>
      <c r="E289" s="798"/>
      <c r="F289" s="802"/>
      <c r="G289" s="804"/>
      <c r="L289" s="804"/>
      <c r="Y289" s="42">
        <f t="shared" si="83"/>
        <v>1.0658282843700648</v>
      </c>
      <c r="Z289" s="111">
        <f t="shared" si="84"/>
        <v>191.8</v>
      </c>
      <c r="AA289">
        <f t="shared" si="85"/>
        <v>191.8</v>
      </c>
      <c r="AB289">
        <f t="shared" si="86"/>
        <v>27.420936757828322</v>
      </c>
      <c r="AC289">
        <f t="shared" si="85"/>
        <v>27.420936757828322</v>
      </c>
      <c r="AE289" s="111">
        <f t="shared" si="87"/>
        <v>7.5621646443525714</v>
      </c>
      <c r="AF289" s="111">
        <f t="shared" si="88"/>
        <v>198.5</v>
      </c>
      <c r="AG289">
        <f t="shared" si="89"/>
        <v>198.5</v>
      </c>
      <c r="AH289">
        <f t="shared" si="90"/>
        <v>64.044314757424232</v>
      </c>
      <c r="AI289">
        <f t="shared" si="91"/>
        <v>64.044314757424232</v>
      </c>
      <c r="AK289" s="42">
        <f t="shared" si="92"/>
        <v>14.572064887986649</v>
      </c>
      <c r="AL289" s="111">
        <f t="shared" si="93"/>
        <v>206.8</v>
      </c>
      <c r="AM289">
        <f t="shared" si="94"/>
        <v>206.8</v>
      </c>
      <c r="AN289">
        <f t="shared" si="95"/>
        <v>85.026292644472377</v>
      </c>
      <c r="AO289">
        <f t="shared" si="94"/>
        <v>85.026292644472377</v>
      </c>
    </row>
    <row r="290" spans="2:41">
      <c r="B290" s="13" t="s">
        <v>1516</v>
      </c>
      <c r="C290" s="796"/>
      <c r="D290" s="13">
        <f>IF($D$7="","",1)</f>
        <v>1</v>
      </c>
      <c r="E290" s="798"/>
      <c r="F290" s="802"/>
      <c r="G290" s="804"/>
      <c r="L290" s="804"/>
      <c r="Y290" s="42">
        <f t="shared" ref="Y290:Y309" si="96">D125</f>
        <v>1.3322853554625809</v>
      </c>
      <c r="Z290" s="111">
        <f t="shared" ref="Z290:Z309" si="97">G125</f>
        <v>192.3</v>
      </c>
      <c r="AA290">
        <f t="shared" ref="AA290:AA309" si="98">IF($D$7="",NA(),Z290)</f>
        <v>192.3</v>
      </c>
      <c r="AB290">
        <f t="shared" ref="AB290:AB309" si="99">I125</f>
        <v>32.062099181099988</v>
      </c>
      <c r="AC290">
        <f t="shared" ref="AC290:AC309" si="100">IF($D$7="",NA(),AB290)</f>
        <v>32.062099181099988</v>
      </c>
      <c r="AE290" s="111">
        <f t="shared" ref="AE290:AE313" si="101">Q125</f>
        <v>7.8322419530794498</v>
      </c>
      <c r="AF290" s="111">
        <f t="shared" ref="AF290:AF313" si="102">T125</f>
        <v>199.9</v>
      </c>
      <c r="AG290">
        <f t="shared" ref="AG290:AG313" si="103">IF($D$7="",NA(),AF290)</f>
        <v>199.9</v>
      </c>
      <c r="AH290">
        <f t="shared" ref="AH290:AH313" si="104">V125</f>
        <v>70.95243923939023</v>
      </c>
      <c r="AI290">
        <f t="shared" ref="AI290:AI313" si="105">IF($D$7="",NA(),AH290)</f>
        <v>70.95243923939023</v>
      </c>
      <c r="AK290" s="42">
        <f t="shared" ref="AK290:AK318" si="106">AD125</f>
        <v>14.8470095085147</v>
      </c>
      <c r="AL290" s="111">
        <f t="shared" ref="AL290:AL318" si="107">AG125</f>
        <v>213.9</v>
      </c>
      <c r="AM290">
        <f t="shared" ref="AM290:AM318" si="108">IF($D$7="",NA(),AL290)</f>
        <v>213.9</v>
      </c>
      <c r="AN290">
        <f t="shared" ref="AN290:AN318" si="109">AI125</f>
        <v>95.501756089888289</v>
      </c>
      <c r="AO290">
        <f t="shared" ref="AO290:AO318" si="110">IF($D$7="",NA(),AN290)</f>
        <v>95.501756089888289</v>
      </c>
    </row>
    <row r="291" spans="2:41">
      <c r="B291" s="13" t="s">
        <v>1405</v>
      </c>
      <c r="C291" s="796"/>
      <c r="D291" s="797">
        <f>IF($D$7="","",D29)</f>
        <v>38</v>
      </c>
      <c r="E291" s="797"/>
      <c r="F291" s="799"/>
      <c r="G291" s="803"/>
      <c r="L291" s="803"/>
      <c r="Y291" s="42">
        <f t="shared" si="96"/>
        <v>1.5987424265550967</v>
      </c>
      <c r="Z291" s="111">
        <f t="shared" si="97"/>
        <v>193.2</v>
      </c>
      <c r="AA291">
        <f t="shared" si="98"/>
        <v>193.2</v>
      </c>
      <c r="AB291">
        <f t="shared" si="99"/>
        <v>34.796882759931577</v>
      </c>
      <c r="AC291">
        <f t="shared" si="100"/>
        <v>34.796882759931577</v>
      </c>
      <c r="AE291" s="111">
        <f t="shared" si="101"/>
        <v>8.1023192618063273</v>
      </c>
      <c r="AF291" s="111">
        <f t="shared" si="102"/>
        <v>202.3</v>
      </c>
      <c r="AG291">
        <f t="shared" si="103"/>
        <v>202.3</v>
      </c>
      <c r="AH291">
        <f t="shared" si="104"/>
        <v>76.050368404432291</v>
      </c>
      <c r="AI291">
        <f t="shared" si="105"/>
        <v>76.050368404432291</v>
      </c>
      <c r="AK291" s="42">
        <f t="shared" si="106"/>
        <v>15.12195412904275</v>
      </c>
      <c r="AL291" s="111">
        <f t="shared" si="107"/>
        <v>218</v>
      </c>
      <c r="AM291">
        <f t="shared" si="108"/>
        <v>218</v>
      </c>
      <c r="AN291">
        <f t="shared" si="109"/>
        <v>103.43524961231654</v>
      </c>
      <c r="AO291">
        <f t="shared" si="110"/>
        <v>103.43524961231654</v>
      </c>
    </row>
    <row r="292" spans="2:41">
      <c r="B292" s="13" t="s">
        <v>1406</v>
      </c>
      <c r="C292" s="796"/>
      <c r="D292" s="797">
        <f>IF($D$7="","",D28)</f>
        <v>76</v>
      </c>
      <c r="E292" s="797"/>
      <c r="F292" s="799"/>
      <c r="G292" s="803"/>
      <c r="L292" s="803"/>
      <c r="Y292" s="42">
        <f t="shared" si="96"/>
        <v>1.8651994976476132</v>
      </c>
      <c r="Z292" s="111">
        <f t="shared" si="97"/>
        <v>194</v>
      </c>
      <c r="AA292">
        <f t="shared" si="98"/>
        <v>194</v>
      </c>
      <c r="AB292">
        <f t="shared" si="99"/>
        <v>40.799070406913494</v>
      </c>
      <c r="AC292">
        <f t="shared" si="100"/>
        <v>40.799070406913494</v>
      </c>
      <c r="AE292" s="111">
        <f t="shared" si="101"/>
        <v>8.3723965705332049</v>
      </c>
      <c r="AF292" s="111">
        <f t="shared" si="102"/>
        <v>205.5</v>
      </c>
      <c r="AG292">
        <f t="shared" si="103"/>
        <v>205.5</v>
      </c>
      <c r="AH292">
        <f t="shared" si="104"/>
        <v>80.676257131704489</v>
      </c>
      <c r="AI292">
        <f t="shared" si="105"/>
        <v>80.676257131704489</v>
      </c>
      <c r="AK292" s="42">
        <f t="shared" si="106"/>
        <v>15.3968987495708</v>
      </c>
      <c r="AL292" s="111">
        <f t="shared" si="107"/>
        <v>221.6</v>
      </c>
      <c r="AM292">
        <f t="shared" si="108"/>
        <v>221.6</v>
      </c>
      <c r="AN292">
        <f t="shared" si="109"/>
        <v>110.49383214995096</v>
      </c>
      <c r="AO292">
        <f t="shared" si="110"/>
        <v>110.49383214995096</v>
      </c>
    </row>
    <row r="293" spans="2:41">
      <c r="B293" s="13" t="s">
        <v>1515</v>
      </c>
      <c r="C293" s="796"/>
      <c r="D293" s="797">
        <f>IF($D$7="","",D30)</f>
        <v>1133.54</v>
      </c>
      <c r="E293" s="797"/>
      <c r="F293" s="799"/>
      <c r="G293" s="803"/>
      <c r="L293" s="803"/>
      <c r="Y293" s="42">
        <f t="shared" si="96"/>
        <v>2.1316565687401297</v>
      </c>
      <c r="Z293" s="111">
        <f t="shared" si="97"/>
        <v>194.8</v>
      </c>
      <c r="AA293">
        <f t="shared" si="98"/>
        <v>194.8</v>
      </c>
      <c r="AB293">
        <f t="shared" si="99"/>
        <v>47.235833431348901</v>
      </c>
      <c r="AC293">
        <f t="shared" si="100"/>
        <v>47.235833431348901</v>
      </c>
      <c r="AE293" s="111">
        <f t="shared" si="101"/>
        <v>8.6424738792600841</v>
      </c>
      <c r="AF293" s="111">
        <f t="shared" si="102"/>
        <v>207.3</v>
      </c>
      <c r="AG293">
        <f t="shared" si="103"/>
        <v>207.3</v>
      </c>
      <c r="AH293">
        <f t="shared" si="104"/>
        <v>85.713112589991482</v>
      </c>
      <c r="AI293">
        <f t="shared" si="105"/>
        <v>85.713112589991482</v>
      </c>
      <c r="AK293" s="42">
        <f t="shared" si="106"/>
        <v>15.67184337009885</v>
      </c>
      <c r="AL293" s="111">
        <f t="shared" si="107"/>
        <v>224.3</v>
      </c>
      <c r="AM293">
        <f t="shared" si="108"/>
        <v>224.3</v>
      </c>
      <c r="AN293">
        <f t="shared" si="109"/>
        <v>119.14205014479795</v>
      </c>
      <c r="AO293">
        <f t="shared" si="110"/>
        <v>119.14205014479795</v>
      </c>
    </row>
    <row r="294" spans="2:41">
      <c r="B294" s="13" t="s">
        <v>1514</v>
      </c>
      <c r="C294" s="796"/>
      <c r="D294" s="797">
        <f>IF($D$7="","",D31)</f>
        <v>86149.04</v>
      </c>
      <c r="E294" s="797"/>
      <c r="F294" s="799"/>
      <c r="G294" s="803"/>
      <c r="L294" s="803"/>
      <c r="Y294" s="42">
        <f t="shared" si="96"/>
        <v>2.3981136398326455</v>
      </c>
      <c r="Z294" s="111">
        <f t="shared" si="97"/>
        <v>196.5</v>
      </c>
      <c r="AA294">
        <f t="shared" si="98"/>
        <v>196.5</v>
      </c>
      <c r="AB294">
        <f t="shared" si="99"/>
        <v>50.838494451946346</v>
      </c>
      <c r="AC294">
        <f t="shared" si="100"/>
        <v>50.838494451946346</v>
      </c>
      <c r="AE294" s="111">
        <f t="shared" si="101"/>
        <v>8.9125511879869599</v>
      </c>
      <c r="AF294" s="111">
        <f t="shared" si="102"/>
        <v>208.2</v>
      </c>
      <c r="AG294">
        <f t="shared" si="103"/>
        <v>208.2</v>
      </c>
      <c r="AH294">
        <f t="shared" si="104"/>
        <v>88.965761542739642</v>
      </c>
      <c r="AI294">
        <f t="shared" si="105"/>
        <v>88.965761542739642</v>
      </c>
      <c r="AK294" s="42">
        <f t="shared" si="106"/>
        <v>15.946787990626898</v>
      </c>
      <c r="AL294" s="111">
        <f t="shared" si="107"/>
        <v>230.4</v>
      </c>
      <c r="AM294">
        <f t="shared" si="108"/>
        <v>230.4</v>
      </c>
      <c r="AN294">
        <f t="shared" si="109"/>
        <v>128.13962105023549</v>
      </c>
      <c r="AO294">
        <f t="shared" si="110"/>
        <v>128.13962105023549</v>
      </c>
    </row>
    <row r="295" spans="2:41">
      <c r="B295" s="803" t="s">
        <v>1408</v>
      </c>
      <c r="C295" s="796"/>
      <c r="D295" s="797">
        <f>IF($D$7="","",D33)</f>
        <v>57.55525007930634</v>
      </c>
      <c r="F295" s="799"/>
      <c r="G295" s="803"/>
      <c r="L295" s="803"/>
      <c r="Y295" s="42">
        <f t="shared" si="96"/>
        <v>2.6645707109251617</v>
      </c>
      <c r="Z295" s="111">
        <f t="shared" si="97"/>
        <v>197.8</v>
      </c>
      <c r="AA295">
        <f t="shared" si="98"/>
        <v>197.8</v>
      </c>
      <c r="AB295">
        <f t="shared" si="99"/>
        <v>53.025377783765911</v>
      </c>
      <c r="AC295">
        <f t="shared" si="100"/>
        <v>53.025377783765911</v>
      </c>
      <c r="AE295" s="111">
        <f t="shared" si="101"/>
        <v>9.1826284967138374</v>
      </c>
      <c r="AF295" s="111">
        <f t="shared" si="102"/>
        <v>209.3</v>
      </c>
      <c r="AG295">
        <f t="shared" si="103"/>
        <v>209.3</v>
      </c>
      <c r="AH295">
        <f t="shared" si="104"/>
        <v>90.449797276780075</v>
      </c>
      <c r="AI295">
        <f t="shared" si="105"/>
        <v>90.449797276780075</v>
      </c>
      <c r="AK295" s="42">
        <f t="shared" si="106"/>
        <v>16.221732611154952</v>
      </c>
      <c r="AL295" s="111">
        <f t="shared" si="107"/>
        <v>233.4</v>
      </c>
      <c r="AM295">
        <f t="shared" si="108"/>
        <v>233.4</v>
      </c>
      <c r="AN295">
        <f t="shared" si="109"/>
        <v>137.07578712592928</v>
      </c>
      <c r="AO295">
        <f t="shared" si="110"/>
        <v>137.07578712592928</v>
      </c>
    </row>
    <row r="296" spans="2:41">
      <c r="B296" s="803" t="s">
        <v>1517</v>
      </c>
      <c r="C296" s="796"/>
      <c r="D296" s="797">
        <f>IF($D$7="","",D32)</f>
        <v>1.7295607704972684</v>
      </c>
      <c r="E296" s="797"/>
      <c r="F296" s="799"/>
      <c r="G296" s="803"/>
      <c r="L296" s="803"/>
      <c r="Y296" s="42">
        <f t="shared" si="96"/>
        <v>2.931027782017678</v>
      </c>
      <c r="Z296" s="111">
        <f t="shared" si="97"/>
        <v>199</v>
      </c>
      <c r="AA296">
        <f t="shared" si="98"/>
        <v>199</v>
      </c>
      <c r="AB296">
        <f t="shared" si="99"/>
        <v>55.199527984174416</v>
      </c>
      <c r="AC296">
        <f t="shared" si="100"/>
        <v>55.199527984174416</v>
      </c>
      <c r="AE296" s="111">
        <f t="shared" si="101"/>
        <v>9.4527058054407149</v>
      </c>
      <c r="AF296" s="111">
        <f t="shared" si="102"/>
        <v>210.3</v>
      </c>
      <c r="AG296">
        <f t="shared" si="103"/>
        <v>210.3</v>
      </c>
      <c r="AH296">
        <f t="shared" si="104"/>
        <v>91.052125282605161</v>
      </c>
      <c r="AI296">
        <f t="shared" si="105"/>
        <v>91.052125282605161</v>
      </c>
      <c r="AK296" s="42">
        <f t="shared" si="106"/>
        <v>16.496677231682998</v>
      </c>
      <c r="AL296" s="111">
        <f t="shared" si="107"/>
        <v>235.7</v>
      </c>
      <c r="AM296">
        <f t="shared" si="108"/>
        <v>235.7</v>
      </c>
      <c r="AN296">
        <f t="shared" si="109"/>
        <v>145.1397119920355</v>
      </c>
      <c r="AO296">
        <f t="shared" si="110"/>
        <v>145.1397119920355</v>
      </c>
    </row>
    <row r="297" spans="2:41">
      <c r="B297" s="803" t="s">
        <v>1407</v>
      </c>
      <c r="C297" s="796"/>
      <c r="D297" s="797">
        <f>IF($D$7="","",D34)</f>
        <v>1.0977487386974942</v>
      </c>
      <c r="E297" s="797"/>
      <c r="F297" s="799"/>
      <c r="G297" s="803"/>
      <c r="L297" s="803"/>
      <c r="Y297" s="42">
        <f t="shared" si="96"/>
        <v>3.1974848531101934</v>
      </c>
      <c r="Z297" s="111">
        <f t="shared" si="97"/>
        <v>200</v>
      </c>
      <c r="AA297">
        <f t="shared" si="98"/>
        <v>200</v>
      </c>
      <c r="AB297">
        <f t="shared" si="99"/>
        <v>56.435768520056179</v>
      </c>
      <c r="AC297">
        <f t="shared" si="100"/>
        <v>56.435768520056179</v>
      </c>
      <c r="AE297" s="111">
        <f t="shared" si="101"/>
        <v>9.7227831141675942</v>
      </c>
      <c r="AF297" s="111">
        <f t="shared" si="102"/>
        <v>211.7</v>
      </c>
      <c r="AG297">
        <f t="shared" si="103"/>
        <v>211.7</v>
      </c>
      <c r="AH297">
        <f t="shared" si="104"/>
        <v>92.083612187414602</v>
      </c>
      <c r="AI297">
        <f t="shared" si="105"/>
        <v>92.083612187414602</v>
      </c>
      <c r="AK297" s="42">
        <f t="shared" si="106"/>
        <v>16.771621852211048</v>
      </c>
      <c r="AL297" s="111">
        <f t="shared" si="107"/>
        <v>237.6</v>
      </c>
      <c r="AM297">
        <f t="shared" si="108"/>
        <v>237.6</v>
      </c>
      <c r="AN297">
        <f t="shared" si="109"/>
        <v>151.93532167185413</v>
      </c>
      <c r="AO297">
        <f t="shared" si="110"/>
        <v>151.93532167185413</v>
      </c>
    </row>
    <row r="298" spans="2:41">
      <c r="Y298" s="42">
        <f t="shared" si="96"/>
        <v>3.4639419242027096</v>
      </c>
      <c r="Z298" s="111">
        <f t="shared" si="97"/>
        <v>201</v>
      </c>
      <c r="AA298">
        <f t="shared" si="98"/>
        <v>201</v>
      </c>
      <c r="AB298">
        <f t="shared" si="99"/>
        <v>58.586999083924738</v>
      </c>
      <c r="AC298">
        <f t="shared" si="100"/>
        <v>58.586999083924738</v>
      </c>
      <c r="AE298" s="111">
        <f t="shared" si="101"/>
        <v>9.9928604228944717</v>
      </c>
      <c r="AF298" s="111">
        <f t="shared" si="102"/>
        <v>212.7</v>
      </c>
      <c r="AG298">
        <f t="shared" si="103"/>
        <v>212.7</v>
      </c>
      <c r="AH298">
        <f t="shared" si="104"/>
        <v>93.107302448808525</v>
      </c>
      <c r="AI298">
        <f t="shared" si="105"/>
        <v>93.107302448808525</v>
      </c>
      <c r="AK298" s="42">
        <f t="shared" si="106"/>
        <v>17.046566472739102</v>
      </c>
      <c r="AL298" s="111">
        <f t="shared" si="107"/>
        <v>239.2</v>
      </c>
      <c r="AM298">
        <f t="shared" si="108"/>
        <v>239.2</v>
      </c>
      <c r="AN298">
        <f t="shared" si="109"/>
        <v>159.48837222739155</v>
      </c>
      <c r="AO298">
        <f t="shared" si="110"/>
        <v>159.48837222739155</v>
      </c>
    </row>
    <row r="299" spans="2:41">
      <c r="Y299" s="42">
        <f t="shared" si="96"/>
        <v>3.7303989952952263</v>
      </c>
      <c r="Z299" s="111">
        <f t="shared" si="97"/>
        <v>201.7</v>
      </c>
      <c r="AA299">
        <f t="shared" si="98"/>
        <v>201.7</v>
      </c>
      <c r="AB299">
        <f t="shared" si="99"/>
        <v>61.185538156657863</v>
      </c>
      <c r="AC299">
        <f t="shared" si="100"/>
        <v>61.185538156657863</v>
      </c>
      <c r="AE299" s="111">
        <f t="shared" si="101"/>
        <v>10.262937731621347</v>
      </c>
      <c r="AF299" s="111">
        <f t="shared" si="102"/>
        <v>214.1</v>
      </c>
      <c r="AG299">
        <f t="shared" si="103"/>
        <v>214.1</v>
      </c>
      <c r="AH299">
        <f t="shared" si="104"/>
        <v>93.691438286663995</v>
      </c>
      <c r="AI299">
        <f t="shared" si="105"/>
        <v>93.691438286663995</v>
      </c>
      <c r="AK299" s="42">
        <f t="shared" si="106"/>
        <v>17.321511093267151</v>
      </c>
      <c r="AL299" s="111">
        <f t="shared" si="107"/>
        <v>242.8</v>
      </c>
      <c r="AM299">
        <f t="shared" si="108"/>
        <v>242.8</v>
      </c>
      <c r="AN299">
        <f t="shared" si="109"/>
        <v>164.98095964324133</v>
      </c>
      <c r="AO299">
        <f t="shared" si="110"/>
        <v>164.98095964324133</v>
      </c>
    </row>
    <row r="300" spans="2:41">
      <c r="B300" s="540" t="s">
        <v>575</v>
      </c>
      <c r="C300" s="540"/>
      <c r="D300" s="540"/>
      <c r="E300" s="540" t="s">
        <v>760</v>
      </c>
      <c r="F300" s="540"/>
      <c r="G300" s="540"/>
      <c r="H300" s="540"/>
      <c r="J300" s="540"/>
      <c r="K300" s="540"/>
      <c r="L300" s="540"/>
      <c r="M300" s="540"/>
      <c r="Y300" s="42">
        <f t="shared" si="96"/>
        <v>3.9968560663877426</v>
      </c>
      <c r="Z300" s="111">
        <f t="shared" si="97"/>
        <v>202</v>
      </c>
      <c r="AA300">
        <f t="shared" si="98"/>
        <v>202</v>
      </c>
      <c r="AB300">
        <f t="shared" si="99"/>
        <v>63.768797471697695</v>
      </c>
      <c r="AC300">
        <f t="shared" si="100"/>
        <v>63.768797471697695</v>
      </c>
      <c r="AE300" s="111">
        <f t="shared" si="101"/>
        <v>10.533015040348225</v>
      </c>
      <c r="AF300" s="111">
        <f t="shared" si="102"/>
        <v>215</v>
      </c>
      <c r="AG300">
        <f t="shared" si="103"/>
        <v>215</v>
      </c>
      <c r="AH300">
        <f t="shared" si="104"/>
        <v>94.700834701796069</v>
      </c>
      <c r="AI300">
        <f t="shared" si="105"/>
        <v>94.700834701796069</v>
      </c>
      <c r="AK300" s="42">
        <f t="shared" si="106"/>
        <v>17.596455713795201</v>
      </c>
      <c r="AL300" s="111">
        <f t="shared" si="107"/>
        <v>244.9</v>
      </c>
      <c r="AM300">
        <f t="shared" si="108"/>
        <v>244.9</v>
      </c>
      <c r="AN300">
        <f t="shared" si="109"/>
        <v>168.03302859394105</v>
      </c>
      <c r="AO300">
        <f t="shared" si="110"/>
        <v>168.03302859394105</v>
      </c>
    </row>
    <row r="301" spans="2:41">
      <c r="B301" s="13" t="s">
        <v>479</v>
      </c>
      <c r="C301" s="13"/>
      <c r="D301" s="13"/>
      <c r="E301" s="13">
        <v>1</v>
      </c>
      <c r="F301" s="13"/>
      <c r="G301" s="786"/>
      <c r="H301" s="13"/>
      <c r="J301" s="13"/>
      <c r="L301" s="13"/>
      <c r="Y301" s="42">
        <f t="shared" si="96"/>
        <v>4.2633131374802593</v>
      </c>
      <c r="Z301" s="111">
        <f t="shared" si="97"/>
        <v>202.7</v>
      </c>
      <c r="AA301">
        <f t="shared" si="98"/>
        <v>202.7</v>
      </c>
      <c r="AB301">
        <f t="shared" si="99"/>
        <v>66.336777029044242</v>
      </c>
      <c r="AC301">
        <f t="shared" si="100"/>
        <v>66.336777029044242</v>
      </c>
      <c r="AE301" s="111">
        <f t="shared" si="101"/>
        <v>10.803092349075104</v>
      </c>
      <c r="AF301" s="111">
        <f t="shared" si="102"/>
        <v>215.3</v>
      </c>
      <c r="AG301">
        <f t="shared" si="103"/>
        <v>215.3</v>
      </c>
      <c r="AH301">
        <f t="shared" si="104"/>
        <v>96.13159337249698</v>
      </c>
      <c r="AI301">
        <f t="shared" si="105"/>
        <v>96.13159337249698</v>
      </c>
      <c r="AK301" s="42">
        <f t="shared" si="106"/>
        <v>17.871400334323251</v>
      </c>
      <c r="AL301" s="111">
        <f t="shared" si="107"/>
        <v>245.8</v>
      </c>
      <c r="AM301">
        <f t="shared" si="108"/>
        <v>245.8</v>
      </c>
      <c r="AN301">
        <f t="shared" si="109"/>
        <v>171.85855707159703</v>
      </c>
      <c r="AO301">
        <f t="shared" si="110"/>
        <v>171.85855707159703</v>
      </c>
    </row>
    <row r="302" spans="2:41">
      <c r="B302" s="13" t="s">
        <v>840</v>
      </c>
      <c r="C302" s="13"/>
      <c r="D302" s="13"/>
      <c r="E302" s="797">
        <f>IF($D$7="","",D112)</f>
        <v>240</v>
      </c>
      <c r="F302" s="797">
        <f>IF($D$7="","",Q112)</f>
        <v>290</v>
      </c>
      <c r="G302" s="797">
        <f>IF($D$7="","",AD112)</f>
        <v>390</v>
      </c>
      <c r="H302" s="13"/>
      <c r="Y302" s="42">
        <f t="shared" si="96"/>
        <v>4.5297702085727742</v>
      </c>
      <c r="Z302" s="111">
        <f t="shared" si="97"/>
        <v>204.3</v>
      </c>
      <c r="AA302">
        <f t="shared" si="98"/>
        <v>204.3</v>
      </c>
      <c r="AB302">
        <f t="shared" si="99"/>
        <v>70.258141931254428</v>
      </c>
      <c r="AC302">
        <f t="shared" si="100"/>
        <v>70.258141931254428</v>
      </c>
      <c r="AE302" s="111">
        <f t="shared" si="101"/>
        <v>11.07316965780198</v>
      </c>
      <c r="AF302" s="111">
        <f t="shared" si="102"/>
        <v>216.1</v>
      </c>
      <c r="AG302">
        <f t="shared" si="103"/>
        <v>216.1</v>
      </c>
      <c r="AH302">
        <f t="shared" si="104"/>
        <v>97.551956518643792</v>
      </c>
      <c r="AI302">
        <f t="shared" si="105"/>
        <v>97.551956518643792</v>
      </c>
      <c r="AK302" s="42">
        <f t="shared" si="106"/>
        <v>18.146344954851298</v>
      </c>
      <c r="AL302" s="111">
        <f t="shared" si="107"/>
        <v>248.3</v>
      </c>
      <c r="AM302">
        <f t="shared" si="108"/>
        <v>248.3</v>
      </c>
      <c r="AN302">
        <f t="shared" si="109"/>
        <v>175.25730915768111</v>
      </c>
      <c r="AO302">
        <f t="shared" si="110"/>
        <v>175.25730915768111</v>
      </c>
    </row>
    <row r="303" spans="2:41">
      <c r="B303" s="13" t="s">
        <v>818</v>
      </c>
      <c r="C303" s="13"/>
      <c r="D303" s="13"/>
      <c r="E303" s="797">
        <f>IF($D$7="","",D113)</f>
        <v>190</v>
      </c>
      <c r="F303" s="797">
        <f>IF($D$7="","",Q113)</f>
        <v>190</v>
      </c>
      <c r="G303" s="797">
        <f>IF($D$7="","",AD113)</f>
        <v>190</v>
      </c>
      <c r="H303" s="13"/>
      <c r="L303" s="13"/>
      <c r="Y303" s="42">
        <f t="shared" si="96"/>
        <v>4.7962272796652909</v>
      </c>
      <c r="Z303" s="111">
        <f t="shared" si="97"/>
        <v>204.7</v>
      </c>
      <c r="AA303">
        <f t="shared" si="98"/>
        <v>204.7</v>
      </c>
      <c r="AB303">
        <f t="shared" si="99"/>
        <v>72.336793646079869</v>
      </c>
      <c r="AC303">
        <f t="shared" si="100"/>
        <v>72.336793646079869</v>
      </c>
      <c r="AE303" s="111">
        <f t="shared" si="101"/>
        <v>11.343246966528858</v>
      </c>
      <c r="AF303" s="111">
        <f t="shared" si="102"/>
        <v>216.5</v>
      </c>
      <c r="AG303">
        <f t="shared" si="103"/>
        <v>216.5</v>
      </c>
      <c r="AH303">
        <f t="shared" si="104"/>
        <v>98.108804104544888</v>
      </c>
      <c r="AI303">
        <f t="shared" si="105"/>
        <v>98.108804104544888</v>
      </c>
      <c r="AK303" s="42">
        <f t="shared" si="106"/>
        <v>18.421289575379351</v>
      </c>
      <c r="AL303" s="111">
        <f t="shared" si="107"/>
        <v>250.8</v>
      </c>
      <c r="AM303">
        <f t="shared" si="108"/>
        <v>250.8</v>
      </c>
      <c r="AN303">
        <f t="shared" si="109"/>
        <v>177.04506758490265</v>
      </c>
      <c r="AO303">
        <f t="shared" si="110"/>
        <v>177.04506758490265</v>
      </c>
    </row>
    <row r="304" spans="2:41">
      <c r="B304" s="13" t="s">
        <v>820</v>
      </c>
      <c r="C304" s="13"/>
      <c r="D304" s="13"/>
      <c r="E304" s="797">
        <f>IF($D$7="","",D111)</f>
        <v>50</v>
      </c>
      <c r="F304" s="797">
        <f>IF($D$7="","",Q111)</f>
        <v>100</v>
      </c>
      <c r="G304" s="797">
        <f>IF($D$7="","",AD111)</f>
        <v>200</v>
      </c>
      <c r="H304" s="13"/>
      <c r="L304" s="13"/>
      <c r="Y304" s="42">
        <f t="shared" si="96"/>
        <v>5.0626843507578068</v>
      </c>
      <c r="Z304" s="111">
        <f t="shared" si="97"/>
        <v>205</v>
      </c>
      <c r="AA304">
        <f t="shared" si="98"/>
        <v>205</v>
      </c>
      <c r="AB304">
        <f t="shared" si="99"/>
        <v>73.495362080354084</v>
      </c>
      <c r="AC304">
        <f t="shared" si="100"/>
        <v>73.495362080354084</v>
      </c>
      <c r="AE304" s="111">
        <f t="shared" si="101"/>
        <v>11.613324275255735</v>
      </c>
      <c r="AF304" s="111">
        <f t="shared" si="102"/>
        <v>217.3</v>
      </c>
      <c r="AG304">
        <f t="shared" si="103"/>
        <v>217.3</v>
      </c>
      <c r="AH304">
        <f t="shared" si="104"/>
        <v>100.78675681455189</v>
      </c>
      <c r="AI304">
        <f t="shared" si="105"/>
        <v>100.78675681455189</v>
      </c>
      <c r="AK304" s="42">
        <f t="shared" si="106"/>
        <v>18.696234195907397</v>
      </c>
      <c r="AL304" s="111">
        <f t="shared" si="107"/>
        <v>251.8</v>
      </c>
      <c r="AM304">
        <f t="shared" si="108"/>
        <v>251.8</v>
      </c>
      <c r="AN304">
        <f t="shared" si="109"/>
        <v>178.42206827178981</v>
      </c>
      <c r="AO304">
        <f t="shared" si="110"/>
        <v>178.42206827178981</v>
      </c>
    </row>
    <row r="305" spans="2:41" ht="15.95" customHeight="1">
      <c r="B305" s="782" t="s">
        <v>819</v>
      </c>
      <c r="C305" s="13"/>
      <c r="D305" s="13"/>
      <c r="E305" s="797">
        <f>IF($D$7="","",D114)</f>
        <v>228</v>
      </c>
      <c r="F305" s="797">
        <f>IF($D$7="","",Q114)</f>
        <v>276</v>
      </c>
      <c r="G305" s="797">
        <f>IF($D$7="","",AD114)</f>
        <v>374</v>
      </c>
      <c r="H305" s="13"/>
      <c r="L305" s="13"/>
      <c r="Y305" s="42">
        <f t="shared" si="96"/>
        <v>5.3291414218503235</v>
      </c>
      <c r="Z305" s="111">
        <f t="shared" si="97"/>
        <v>205</v>
      </c>
      <c r="AA305">
        <f t="shared" si="98"/>
        <v>205</v>
      </c>
      <c r="AB305">
        <f t="shared" si="99"/>
        <v>73.741487112923693</v>
      </c>
      <c r="AC305">
        <f t="shared" si="100"/>
        <v>73.741487112923693</v>
      </c>
      <c r="AE305" s="111">
        <f t="shared" si="101"/>
        <v>11.883401583982614</v>
      </c>
      <c r="AF305" s="111">
        <f t="shared" si="102"/>
        <v>218.1</v>
      </c>
      <c r="AG305">
        <f t="shared" si="103"/>
        <v>218.1</v>
      </c>
      <c r="AH305">
        <f t="shared" si="104"/>
        <v>103.02255621988198</v>
      </c>
      <c r="AI305">
        <f t="shared" si="105"/>
        <v>103.02255621988198</v>
      </c>
      <c r="AK305" s="42">
        <f t="shared" si="106"/>
        <v>18.971178816435451</v>
      </c>
      <c r="AL305" s="111">
        <f t="shared" si="107"/>
        <v>252.3</v>
      </c>
      <c r="AM305">
        <f t="shared" si="108"/>
        <v>252.3</v>
      </c>
      <c r="AN305">
        <f t="shared" si="109"/>
        <v>178.99891167965822</v>
      </c>
      <c r="AO305">
        <f t="shared" si="110"/>
        <v>178.99891167965822</v>
      </c>
    </row>
    <row r="306" spans="2:41">
      <c r="B306" s="13" t="s">
        <v>811</v>
      </c>
      <c r="C306" s="13"/>
      <c r="D306" s="13"/>
      <c r="E306" s="797">
        <f>IF($D$7="","",G55)</f>
        <v>0.98</v>
      </c>
      <c r="F306" s="797">
        <f>U57</f>
        <v>0.6333333333333333</v>
      </c>
      <c r="G306" s="797">
        <f>F306</f>
        <v>0.6333333333333333</v>
      </c>
      <c r="H306" s="13"/>
      <c r="L306" s="13"/>
      <c r="Y306" s="42">
        <f t="shared" si="96"/>
        <v>5.5955984929428393</v>
      </c>
      <c r="Z306" s="111">
        <f t="shared" si="97"/>
        <v>205</v>
      </c>
      <c r="AA306">
        <f t="shared" si="98"/>
        <v>205</v>
      </c>
      <c r="AB306">
        <f t="shared" si="99"/>
        <v>73.533937070923216</v>
      </c>
      <c r="AC306">
        <f t="shared" si="100"/>
        <v>73.533937070923216</v>
      </c>
      <c r="AE306" s="111">
        <f t="shared" si="101"/>
        <v>12.15347889270949</v>
      </c>
      <c r="AF306" s="111">
        <f t="shared" si="102"/>
        <v>218.8</v>
      </c>
      <c r="AG306">
        <f t="shared" si="103"/>
        <v>218.8</v>
      </c>
      <c r="AH306">
        <f t="shared" si="104"/>
        <v>103.97477724996673</v>
      </c>
      <c r="AI306">
        <f t="shared" si="105"/>
        <v>103.97477724996673</v>
      </c>
      <c r="AK306" s="42">
        <f t="shared" si="106"/>
        <v>19.246123436963501</v>
      </c>
      <c r="AL306" s="111">
        <f t="shared" si="107"/>
        <v>252.5</v>
      </c>
      <c r="AM306">
        <f t="shared" si="108"/>
        <v>252.5</v>
      </c>
      <c r="AN306">
        <f t="shared" si="109"/>
        <v>180.35188438968908</v>
      </c>
      <c r="AO306">
        <f t="shared" si="110"/>
        <v>180.35188438968908</v>
      </c>
    </row>
    <row r="307" spans="2:41">
      <c r="B307" s="13" t="s">
        <v>813</v>
      </c>
      <c r="C307" s="13"/>
      <c r="D307" s="13"/>
      <c r="E307" s="797">
        <f>IF($D$7="","",L112)</f>
        <v>1126.4344781041996</v>
      </c>
      <c r="F307" s="797">
        <f>IF($D$7="","",X112)</f>
        <v>1118.7822876902715</v>
      </c>
      <c r="G307" s="797">
        <f>IF($D$7="","",AK112)</f>
        <v>1108.7009849375761</v>
      </c>
      <c r="H307" s="13"/>
      <c r="L307" s="803"/>
      <c r="Y307" s="42">
        <f t="shared" si="96"/>
        <v>5.862055564035356</v>
      </c>
      <c r="Z307" s="111">
        <f t="shared" si="97"/>
        <v>205</v>
      </c>
      <c r="AA307">
        <f t="shared" si="98"/>
        <v>205</v>
      </c>
      <c r="AB307">
        <f t="shared" si="99"/>
        <v>73.776242164069515</v>
      </c>
      <c r="AC307">
        <f t="shared" si="100"/>
        <v>73.776242164069515</v>
      </c>
      <c r="AE307" s="111">
        <f t="shared" si="101"/>
        <v>12.423556201436368</v>
      </c>
      <c r="AF307" s="111">
        <f t="shared" si="102"/>
        <v>219.2</v>
      </c>
      <c r="AG307">
        <f t="shared" si="103"/>
        <v>219.2</v>
      </c>
      <c r="AH307">
        <f t="shared" si="104"/>
        <v>105.76192614777361</v>
      </c>
      <c r="AI307">
        <f t="shared" si="105"/>
        <v>105.76192614777361</v>
      </c>
      <c r="AK307" s="42">
        <f t="shared" si="106"/>
        <v>19.521068057491551</v>
      </c>
      <c r="AL307" s="111">
        <f t="shared" si="107"/>
        <v>252.7</v>
      </c>
      <c r="AM307">
        <f t="shared" si="108"/>
        <v>252.7</v>
      </c>
      <c r="AN307">
        <f t="shared" si="109"/>
        <v>180.91003937111367</v>
      </c>
      <c r="AO307">
        <f t="shared" si="110"/>
        <v>180.91003937111367</v>
      </c>
    </row>
    <row r="308" spans="2:41">
      <c r="B308" s="13" t="s">
        <v>814</v>
      </c>
      <c r="C308" s="13"/>
      <c r="D308" s="13"/>
      <c r="E308" s="797">
        <f>IF($D$7="","",L111)</f>
        <v>75.058995124418487</v>
      </c>
      <c r="F308" s="797">
        <f>IF($D$7="","",X111)</f>
        <v>74.052870617966278</v>
      </c>
      <c r="G308" s="797">
        <f>IF($D$7="","",AK111)</f>
        <v>72.741921488002305</v>
      </c>
      <c r="H308" s="13"/>
      <c r="L308" s="803"/>
      <c r="Y308" s="42">
        <f t="shared" si="96"/>
        <v>6.1285126351278709</v>
      </c>
      <c r="Z308" s="111">
        <f t="shared" si="97"/>
        <v>205</v>
      </c>
      <c r="AA308">
        <f t="shared" si="98"/>
        <v>205</v>
      </c>
      <c r="AB308">
        <f t="shared" si="99"/>
        <v>74.01600063093359</v>
      </c>
      <c r="AC308">
        <f t="shared" si="100"/>
        <v>74.01600063093359</v>
      </c>
      <c r="AE308" s="111">
        <f t="shared" si="101"/>
        <v>12.693633510163247</v>
      </c>
      <c r="AF308" s="111">
        <f t="shared" si="102"/>
        <v>219.5</v>
      </c>
      <c r="AG308">
        <f t="shared" si="103"/>
        <v>219.5</v>
      </c>
      <c r="AH308">
        <f t="shared" si="104"/>
        <v>106.69595500988878</v>
      </c>
      <c r="AI308">
        <f t="shared" si="105"/>
        <v>106.69595500988878</v>
      </c>
      <c r="AK308" s="42">
        <f t="shared" si="106"/>
        <v>19.796012678019601</v>
      </c>
      <c r="AL308" s="111">
        <f t="shared" si="107"/>
        <v>252.9</v>
      </c>
      <c r="AM308">
        <f t="shared" si="108"/>
        <v>252.9</v>
      </c>
      <c r="AN308">
        <f t="shared" si="109"/>
        <v>182.23898410428831</v>
      </c>
      <c r="AO308">
        <f t="shared" si="110"/>
        <v>182.23898410428831</v>
      </c>
    </row>
    <row r="309" spans="2:41">
      <c r="B309" s="13" t="s">
        <v>815</v>
      </c>
      <c r="C309" s="13"/>
      <c r="D309" s="13"/>
      <c r="E309" s="797">
        <f>IF($D$7="","",L113)</f>
        <v>84549.04</v>
      </c>
      <c r="F309" s="797">
        <f>IF($D$7="","",X113)</f>
        <v>82849.039999999994</v>
      </c>
      <c r="G309" s="797">
        <f>IF($D$7="","",AK113)</f>
        <v>80649.039999999994</v>
      </c>
      <c r="H309" s="13"/>
      <c r="L309" s="803"/>
      <c r="Y309" s="42">
        <f t="shared" si="96"/>
        <v>6.3949697062203867</v>
      </c>
      <c r="Z309" s="111">
        <f t="shared" si="97"/>
        <v>205</v>
      </c>
      <c r="AA309">
        <f t="shared" si="98"/>
        <v>205</v>
      </c>
      <c r="AB309">
        <f t="shared" si="99"/>
        <v>74.25321247151544</v>
      </c>
      <c r="AC309">
        <f t="shared" si="100"/>
        <v>74.25321247151544</v>
      </c>
      <c r="AE309" s="111">
        <f t="shared" si="101"/>
        <v>12.963710818890123</v>
      </c>
      <c r="AF309" s="111">
        <f t="shared" si="102"/>
        <v>220</v>
      </c>
      <c r="AG309">
        <f t="shared" si="103"/>
        <v>220</v>
      </c>
      <c r="AH309">
        <f t="shared" si="104"/>
        <v>107.62218722858842</v>
      </c>
      <c r="AI309">
        <f t="shared" si="105"/>
        <v>107.62218722858842</v>
      </c>
      <c r="AK309" s="42">
        <f t="shared" si="106"/>
        <v>20.070957298547651</v>
      </c>
      <c r="AL309" s="111">
        <f t="shared" si="107"/>
        <v>253</v>
      </c>
      <c r="AM309">
        <f t="shared" si="108"/>
        <v>253</v>
      </c>
      <c r="AN309">
        <f t="shared" si="109"/>
        <v>183.55457996143167</v>
      </c>
      <c r="AO309">
        <f t="shared" si="110"/>
        <v>183.55457996143167</v>
      </c>
    </row>
    <row r="310" spans="2:41">
      <c r="B310" s="13" t="s">
        <v>841</v>
      </c>
      <c r="C310" s="13"/>
      <c r="D310" s="13"/>
      <c r="E310" s="805">
        <f>IF($D$7="","",L115*9.80665)</f>
        <v>0.53828701849999994</v>
      </c>
      <c r="F310" s="805">
        <f>IF($D$7="","",X115*9.80665)</f>
        <v>0.53828701849999994</v>
      </c>
      <c r="G310" s="805">
        <f>IF($D$7="","",AK115*9.80665)</f>
        <v>0.53828701849999994</v>
      </c>
      <c r="H310" s="13"/>
      <c r="J310" s="13"/>
      <c r="L310" s="13"/>
      <c r="Y310" s="42"/>
      <c r="Z310" s="111"/>
      <c r="AE310" s="111">
        <f t="shared" si="101"/>
        <v>13.233788127617002</v>
      </c>
      <c r="AF310" s="111">
        <f t="shared" si="102"/>
        <v>220</v>
      </c>
      <c r="AG310">
        <f t="shared" si="103"/>
        <v>220</v>
      </c>
      <c r="AH310">
        <f t="shared" si="104"/>
        <v>108.95808673773354</v>
      </c>
      <c r="AI310">
        <f t="shared" si="105"/>
        <v>108.95808673773354</v>
      </c>
      <c r="AK310" s="42">
        <f t="shared" si="106"/>
        <v>20.3459019190757</v>
      </c>
      <c r="AL310" s="111">
        <f t="shared" si="107"/>
        <v>253</v>
      </c>
      <c r="AM310">
        <f t="shared" si="108"/>
        <v>253</v>
      </c>
      <c r="AN310">
        <f t="shared" si="109"/>
        <v>184.85682694254376</v>
      </c>
      <c r="AO310">
        <f t="shared" si="110"/>
        <v>184.85682694254376</v>
      </c>
    </row>
    <row r="311" spans="2:41">
      <c r="Y311" s="42"/>
      <c r="Z311" s="111"/>
      <c r="AE311" s="111">
        <f t="shared" si="101"/>
        <v>13.503865436343879</v>
      </c>
      <c r="AF311" s="111">
        <f t="shared" si="102"/>
        <v>220</v>
      </c>
      <c r="AG311">
        <f t="shared" si="103"/>
        <v>220</v>
      </c>
      <c r="AH311">
        <f t="shared" si="104"/>
        <v>109.03509724244923</v>
      </c>
      <c r="AI311">
        <f t="shared" si="105"/>
        <v>109.03509724244923</v>
      </c>
      <c r="AK311" s="42">
        <f t="shared" si="106"/>
        <v>20.62084653960375</v>
      </c>
      <c r="AL311" s="111">
        <f t="shared" si="107"/>
        <v>253</v>
      </c>
      <c r="AM311">
        <f t="shared" si="108"/>
        <v>253</v>
      </c>
      <c r="AN311">
        <f t="shared" si="109"/>
        <v>186.9165147993746</v>
      </c>
      <c r="AO311">
        <f t="shared" si="110"/>
        <v>186.9165147993746</v>
      </c>
    </row>
    <row r="312" spans="2:41">
      <c r="Y312" s="42"/>
      <c r="Z312" s="111"/>
      <c r="AE312" s="111">
        <f t="shared" si="101"/>
        <v>13.773942745070755</v>
      </c>
      <c r="AF312" s="111">
        <f t="shared" si="102"/>
        <v>220</v>
      </c>
      <c r="AG312">
        <f t="shared" si="103"/>
        <v>220</v>
      </c>
      <c r="AH312">
        <f t="shared" si="104"/>
        <v>109.93923897147148</v>
      </c>
      <c r="AI312">
        <f t="shared" si="105"/>
        <v>109.93923897147148</v>
      </c>
      <c r="AK312" s="42">
        <f t="shared" si="106"/>
        <v>20.8957911601318</v>
      </c>
      <c r="AL312" s="111">
        <f t="shared" si="107"/>
        <v>253</v>
      </c>
      <c r="AM312">
        <f t="shared" si="108"/>
        <v>253</v>
      </c>
      <c r="AN312">
        <f t="shared" si="109"/>
        <v>184.73285435877108</v>
      </c>
      <c r="AO312">
        <f t="shared" si="110"/>
        <v>184.73285435877108</v>
      </c>
    </row>
    <row r="313" spans="2:41">
      <c r="B313" s="541" t="s">
        <v>812</v>
      </c>
      <c r="C313" s="541"/>
      <c r="D313" s="541"/>
      <c r="E313" s="541"/>
      <c r="F313" s="541"/>
      <c r="G313" s="710"/>
      <c r="H313" s="710"/>
      <c r="I313" s="710"/>
      <c r="J313" s="710"/>
      <c r="K313" s="710"/>
      <c r="L313" s="710"/>
      <c r="Y313" s="42"/>
      <c r="Z313" s="111"/>
      <c r="AE313" s="111">
        <f t="shared" si="101"/>
        <v>14.044020053797635</v>
      </c>
      <c r="AF313" s="111">
        <f t="shared" si="102"/>
        <v>220</v>
      </c>
      <c r="AG313">
        <f t="shared" si="103"/>
        <v>220</v>
      </c>
      <c r="AH313">
        <f t="shared" si="104"/>
        <v>110.83558405707821</v>
      </c>
      <c r="AI313">
        <f t="shared" si="105"/>
        <v>110.83558405707821</v>
      </c>
      <c r="AK313" s="42">
        <f t="shared" si="106"/>
        <v>21.17073578065985</v>
      </c>
      <c r="AL313" s="111">
        <f t="shared" si="107"/>
        <v>253</v>
      </c>
      <c r="AM313">
        <f t="shared" si="108"/>
        <v>253</v>
      </c>
      <c r="AN313">
        <f t="shared" si="109"/>
        <v>182.17714791832384</v>
      </c>
      <c r="AO313">
        <f t="shared" si="110"/>
        <v>182.17714791832384</v>
      </c>
    </row>
    <row r="314" spans="2:41">
      <c r="B314" s="819" t="s">
        <v>575</v>
      </c>
      <c r="C314" s="819"/>
      <c r="D314" s="819" t="s">
        <v>760</v>
      </c>
      <c r="E314" s="819"/>
      <c r="F314" s="820"/>
      <c r="H314" s="819"/>
      <c r="I314" s="819"/>
      <c r="J314" s="819"/>
      <c r="K314" s="819"/>
      <c r="L314" s="820"/>
      <c r="AK314" s="42">
        <f t="shared" si="106"/>
        <v>21.4456804011879</v>
      </c>
      <c r="AL314" s="111">
        <f t="shared" si="107"/>
        <v>253</v>
      </c>
      <c r="AM314">
        <f t="shared" si="108"/>
        <v>253</v>
      </c>
      <c r="AN314">
        <f t="shared" si="109"/>
        <v>179.63479035390785</v>
      </c>
      <c r="AO314">
        <f t="shared" si="110"/>
        <v>179.63479035390785</v>
      </c>
    </row>
    <row r="315" spans="2:41">
      <c r="B315" s="817" t="s">
        <v>479</v>
      </c>
      <c r="C315" s="806"/>
      <c r="D315" s="817">
        <v>1</v>
      </c>
      <c r="E315" s="817">
        <v>2</v>
      </c>
      <c r="F315" s="817">
        <v>3</v>
      </c>
      <c r="H315" s="807"/>
      <c r="J315" s="807"/>
      <c r="L315" s="807"/>
      <c r="Y315" s="42"/>
      <c r="Z315" s="111"/>
      <c r="AH315" s="111"/>
      <c r="AK315" s="42">
        <f t="shared" si="106"/>
        <v>0</v>
      </c>
      <c r="AL315" s="111">
        <f t="shared" si="107"/>
        <v>0</v>
      </c>
      <c r="AM315">
        <f t="shared" si="108"/>
        <v>0</v>
      </c>
      <c r="AN315">
        <f t="shared" si="109"/>
        <v>0</v>
      </c>
      <c r="AO315">
        <f t="shared" si="110"/>
        <v>0</v>
      </c>
    </row>
    <row r="316" spans="2:41" ht="15.95" customHeight="1">
      <c r="B316" s="818" t="s">
        <v>832</v>
      </c>
      <c r="C316" s="782"/>
      <c r="D316" s="797">
        <f>IF($D$7="","",I155)</f>
        <v>74.25321247151544</v>
      </c>
      <c r="E316" s="797">
        <f>IF($D$7="","",V155)</f>
        <v>111.78295083601547</v>
      </c>
      <c r="F316" s="797">
        <f>IF($D$7="","",AI155)</f>
        <v>186.9165147993746</v>
      </c>
      <c r="H316" s="812"/>
      <c r="J316" s="812"/>
      <c r="L316" s="812"/>
      <c r="Y316" s="42"/>
      <c r="Z316" s="111"/>
      <c r="AG316" s="111"/>
      <c r="AH316" s="111"/>
      <c r="AK316" s="42">
        <f t="shared" si="106"/>
        <v>0</v>
      </c>
      <c r="AL316" s="111">
        <f t="shared" si="107"/>
        <v>0</v>
      </c>
      <c r="AM316">
        <f t="shared" si="108"/>
        <v>0</v>
      </c>
      <c r="AN316">
        <f t="shared" si="109"/>
        <v>0</v>
      </c>
      <c r="AO316">
        <f t="shared" si="110"/>
        <v>0</v>
      </c>
    </row>
    <row r="317" spans="2:41" ht="49.5">
      <c r="B317" s="814" t="s">
        <v>809</v>
      </c>
      <c r="C317" s="815"/>
      <c r="D317" s="797">
        <f>IF($D$7="","",J155)</f>
        <v>314.25321247151544</v>
      </c>
      <c r="E317" s="797">
        <f>IF($D$7="","",W155)</f>
        <v>401.78295083601546</v>
      </c>
      <c r="F317" s="797">
        <f>IF($D$7="","",AJ155)</f>
        <v>569.63479035390787</v>
      </c>
      <c r="H317" s="810"/>
      <c r="J317" s="810"/>
      <c r="L317" s="810"/>
      <c r="Y317" s="42"/>
      <c r="Z317" s="111"/>
      <c r="AG317" s="111"/>
      <c r="AH317" s="111"/>
      <c r="AK317" s="42">
        <f t="shared" si="106"/>
        <v>0</v>
      </c>
      <c r="AL317" s="111">
        <f t="shared" si="107"/>
        <v>0</v>
      </c>
      <c r="AM317">
        <f t="shared" si="108"/>
        <v>0</v>
      </c>
      <c r="AN317">
        <f t="shared" si="109"/>
        <v>0</v>
      </c>
      <c r="AO317">
        <f t="shared" si="110"/>
        <v>0</v>
      </c>
    </row>
    <row r="318" spans="2:41" ht="15.95" customHeight="1">
      <c r="B318" s="814" t="s">
        <v>808</v>
      </c>
      <c r="C318" s="815"/>
      <c r="D318" s="797">
        <f>IF($D$7="","",K155)</f>
        <v>109.25321247151544</v>
      </c>
      <c r="E318" s="797">
        <f>IF($D$7="","",X155)</f>
        <v>181.31186632768532</v>
      </c>
      <c r="F318" s="797">
        <f>IF($D$7="","",AK155)</f>
        <v>316.63479035390787</v>
      </c>
      <c r="H318" s="816"/>
      <c r="J318" s="816"/>
      <c r="L318" s="816"/>
      <c r="Y318" s="42"/>
      <c r="Z318" s="111"/>
      <c r="AG318" s="111"/>
      <c r="AH318" s="111"/>
      <c r="AK318" s="42">
        <f t="shared" si="106"/>
        <v>0</v>
      </c>
      <c r="AL318" s="111">
        <f t="shared" si="107"/>
        <v>0</v>
      </c>
      <c r="AM318">
        <f t="shared" si="108"/>
        <v>0</v>
      </c>
      <c r="AN318">
        <f t="shared" si="109"/>
        <v>0</v>
      </c>
      <c r="AO318">
        <f t="shared" si="110"/>
        <v>0</v>
      </c>
    </row>
    <row r="319" spans="2:41" ht="49.5">
      <c r="B319" s="782" t="s">
        <v>810</v>
      </c>
      <c r="C319" s="782"/>
      <c r="D319" s="797">
        <f>IF($D$7="","",L155)</f>
        <v>35</v>
      </c>
      <c r="E319" s="797">
        <f>IF($D$7="","",Y155)</f>
        <v>70</v>
      </c>
      <c r="F319" s="797">
        <f>IF($D$7="","",AL155)</f>
        <v>137</v>
      </c>
      <c r="H319" s="810"/>
      <c r="J319" s="810"/>
      <c r="L319" s="810"/>
      <c r="Y319" s="42"/>
      <c r="Z319" s="111"/>
      <c r="AG319" s="111"/>
      <c r="AH319" s="111"/>
    </row>
    <row r="320" spans="2:41" ht="15.95" customHeight="1">
      <c r="B320" s="795" t="s">
        <v>843</v>
      </c>
      <c r="C320" s="813"/>
      <c r="D320" s="797">
        <f>IF($D$7="","",G155)</f>
        <v>205</v>
      </c>
      <c r="E320" s="797">
        <f>IF($D$7="","",T155)</f>
        <v>220</v>
      </c>
      <c r="F320" s="797">
        <f>IF($D$7="","",AG155)</f>
        <v>253</v>
      </c>
      <c r="H320" s="816"/>
      <c r="J320" s="816"/>
      <c r="L320" s="816"/>
    </row>
    <row r="321" spans="2:17">
      <c r="B321" s="806" t="s">
        <v>816</v>
      </c>
      <c r="C321" s="806"/>
      <c r="D321" s="797">
        <f>IF($D$7="","",D155)</f>
        <v>6.3949697062203867</v>
      </c>
      <c r="E321" s="797">
        <f>IF($D$7="","",Q155)</f>
        <v>14.31409736252451</v>
      </c>
      <c r="F321" s="797">
        <f>IF($D$7="","",AD155)</f>
        <v>15.3968987495708</v>
      </c>
      <c r="H321" s="810"/>
      <c r="J321" s="810"/>
      <c r="L321" s="810"/>
    </row>
    <row r="322" spans="2:17" ht="15.95" customHeight="1">
      <c r="B322" s="809" t="s">
        <v>830</v>
      </c>
      <c r="C322" s="809"/>
      <c r="D322" s="797">
        <f>IF($D$7="","",M155)</f>
        <v>3.1215203563290124</v>
      </c>
      <c r="E322" s="797">
        <f>IF($D$7="","",Z155)</f>
        <v>2.5968992976573637</v>
      </c>
      <c r="F322" s="797">
        <f>IF($D$7="","",AM155)</f>
        <v>2.3112028492985974</v>
      </c>
      <c r="H322" s="812"/>
      <c r="J322" s="812"/>
      <c r="L322" s="812"/>
    </row>
    <row r="323" spans="2:17">
      <c r="B323" s="782"/>
      <c r="C323" s="782"/>
      <c r="D323" s="811"/>
      <c r="E323" s="811"/>
      <c r="F323" s="803"/>
      <c r="H323" s="812"/>
      <c r="J323" s="812"/>
      <c r="L323" s="812"/>
    </row>
    <row r="324" spans="2:17" ht="15.95" customHeight="1">
      <c r="H324" s="808"/>
      <c r="J324" s="808"/>
      <c r="L324" s="808"/>
    </row>
    <row r="325" spans="2:17">
      <c r="H325" s="808"/>
      <c r="J325" s="808"/>
      <c r="L325" s="808"/>
    </row>
    <row r="326" spans="2:17">
      <c r="H326" s="810"/>
      <c r="J326" s="810"/>
      <c r="L326" s="810"/>
      <c r="Q326" t="s">
        <v>821</v>
      </c>
    </row>
    <row r="328" spans="2:17">
      <c r="Q328" s="300" t="s">
        <v>1402</v>
      </c>
    </row>
    <row r="329" spans="2:17">
      <c r="Q329" s="300" t="s">
        <v>1394</v>
      </c>
    </row>
    <row r="330" spans="2:17">
      <c r="Q330" s="300" t="s">
        <v>1393</v>
      </c>
    </row>
    <row r="335" spans="2:17">
      <c r="B335" s="1566" t="s">
        <v>1719</v>
      </c>
      <c r="C335" s="862"/>
      <c r="D335" s="14"/>
      <c r="E335" s="370"/>
      <c r="F335" s="370"/>
    </row>
    <row r="336" spans="2:17">
      <c r="B336" s="1570" t="s">
        <v>1941</v>
      </c>
      <c r="C336" s="862"/>
      <c r="D336" s="14"/>
      <c r="E336" s="370"/>
      <c r="F336" s="370"/>
    </row>
    <row r="337" spans="2:23">
      <c r="B337" s="1566" t="s">
        <v>1719</v>
      </c>
      <c r="C337" s="862"/>
      <c r="D337" s="14"/>
      <c r="E337" s="370"/>
      <c r="F337" s="370"/>
    </row>
    <row r="338" spans="2:23">
      <c r="B338" s="1566"/>
      <c r="C338" s="862"/>
      <c r="D338" s="14"/>
      <c r="E338" s="370"/>
      <c r="F338" s="370"/>
    </row>
    <row r="339" spans="2:23">
      <c r="C339" t="s">
        <v>1611</v>
      </c>
      <c r="D339" s="299" t="str">
        <f>F12</f>
        <v>CL</v>
      </c>
    </row>
    <row r="340" spans="2:23">
      <c r="C340" s="116"/>
      <c r="I340" s="116"/>
      <c r="O340" s="116"/>
    </row>
    <row r="341" spans="2:23">
      <c r="C341" s="116" t="s">
        <v>1793</v>
      </c>
      <c r="I341" s="116"/>
      <c r="O341" s="116"/>
    </row>
    <row r="342" spans="2:23">
      <c r="C342" s="1866" t="s">
        <v>124</v>
      </c>
      <c r="D342" s="1866"/>
      <c r="E342" s="1866" t="s">
        <v>1783</v>
      </c>
      <c r="F342" s="1867" t="s">
        <v>1788</v>
      </c>
      <c r="G342" s="1867"/>
      <c r="H342" s="1868" t="s">
        <v>1789</v>
      </c>
      <c r="I342" s="1868"/>
      <c r="J342" s="1868"/>
      <c r="K342" s="1868"/>
      <c r="L342" s="1868"/>
      <c r="M342" s="1868"/>
      <c r="N342" s="1868"/>
      <c r="O342" s="1868"/>
      <c r="S342" t="s">
        <v>1841</v>
      </c>
    </row>
    <row r="343" spans="2:23">
      <c r="C343" s="1866"/>
      <c r="D343" s="1866"/>
      <c r="E343" s="1866"/>
      <c r="F343" s="1581" t="s">
        <v>1598</v>
      </c>
      <c r="G343" s="1581" t="s">
        <v>1718</v>
      </c>
      <c r="H343" s="1579" t="s">
        <v>1790</v>
      </c>
      <c r="I343" s="1579" t="s">
        <v>1684</v>
      </c>
      <c r="J343" s="1580" t="s">
        <v>1794</v>
      </c>
      <c r="K343" s="1580" t="s">
        <v>438</v>
      </c>
      <c r="L343" s="1580" t="s">
        <v>1791</v>
      </c>
      <c r="M343" s="1580" t="s">
        <v>1598</v>
      </c>
      <c r="N343" s="1580" t="s">
        <v>1792</v>
      </c>
      <c r="O343" s="1580" t="s">
        <v>1718</v>
      </c>
      <c r="S343" t="s">
        <v>575</v>
      </c>
      <c r="T343" t="s">
        <v>1836</v>
      </c>
      <c r="U343" t="s">
        <v>1607</v>
      </c>
      <c r="V343" t="s">
        <v>1608</v>
      </c>
      <c r="W343" t="s">
        <v>1715</v>
      </c>
    </row>
    <row r="344" spans="2:23" ht="63" customHeight="1">
      <c r="C344" s="1590" t="s">
        <v>1892</v>
      </c>
      <c r="D344" s="399"/>
      <c r="E344" s="1591">
        <f>N244</f>
        <v>15.627310499286921</v>
      </c>
      <c r="F344" s="1589" t="str">
        <f>IF(E344="","CHECK",
IFERROR(
IF(AND(
E344&gt;=INDEX($U$344:$U$347,MATCH(C344,$S$344:$S$347,0)),
E344&lt;=INDEX($V$344:$V$347,MATCH(C344,$S$344:$S$347,0))
),
"PASS",
"REVIEW"),
"CHECK"))</f>
        <v>PASS</v>
      </c>
      <c r="G344" s="1590" t="str">
        <f>IFERROR(
INDEX($W$344:$W$347,
MATCH(C344,$S$344:$S$347,0)),
"")</f>
        <v>ASTM D4767; SNI; Das (2016)</v>
      </c>
      <c r="H344" s="1587" t="str" cm="1">
        <f t="array" ref="H344">IFERROR(
INDEX($S$359:$S$378,
MATCH(1,
($R$359:$R$378=$C344)*
($V$359:$V$378&gt;=E344)*
($U$359:$U$378&lt;=E344),
0)),
"")</f>
        <v>Rendah</v>
      </c>
      <c r="I344" s="1587" cm="1">
        <f t="array" ref="I344">IFERROR(
INDEX($T$359:$T$378,
MATCH(1,
($R$359:$R$378=$C344)*
($V$359:$V$378&gt;=E344)*
($U$359:$U$378&lt;=E344),
0)),
"")</f>
        <v>2</v>
      </c>
      <c r="J344" s="1587" t="str" cm="1">
        <f t="array" ref="J344">IFERROR(
INDEX($T$391:$T$438,
MATCH(1,
($R$391:$R$438=$D$339)*
($S$391:$S$438=$C344),
0)),
"")</f>
        <v>Sedang-Tinggi</v>
      </c>
      <c r="K344" s="1587" cm="1">
        <f t="array" ref="K344">IFERROR(
INDEX($U$391:$U$438,
MATCH(1,
($R$391:$R$438=$D$339)*
($S$391:$S$438=$C344),
0)),
"")</f>
        <v>3</v>
      </c>
      <c r="L344" s="1587" cm="1">
        <f t="array" ref="L344">IFERROR(
INDEX($V$391:$V$438,
MATCH(1,
($R$391:$R$438=$D$339)*
($S$391:$S$438=$C344),
0)),
"")</f>
        <v>5</v>
      </c>
      <c r="M344" s="1589" t="str">
        <f>IF(AND(I344&gt;=K344,I344&lt;=L344),"PASS","REVIEW")</f>
        <v>REVIEW</v>
      </c>
      <c r="N344" s="1587" t="str" cm="1">
        <f t="array" ref="N344">IFERROR(
INDEX($W$391:$W$438,
MATCH(1,
($R$391:$R$438=$D$339)*
($S$391:$S$438=$C344),
0)),
"")</f>
        <v>Kohesi total umumnya sedang hingga tinggi.</v>
      </c>
      <c r="O344" s="1587" t="str" cm="1">
        <f t="array" ref="O344">IFERROR(
INDEX($X$391:$X$438,
MATCH(1,
($R$391:$R$438=$D$339)*
($S$391:$S$438=$C344),
0)),
"")</f>
        <v>Das (2016); Head (2006)</v>
      </c>
      <c r="S344" s="5" t="s">
        <v>1892</v>
      </c>
      <c r="T344" t="s">
        <v>465</v>
      </c>
      <c r="U344">
        <v>0</v>
      </c>
      <c r="V344">
        <v>300</v>
      </c>
      <c r="W344" t="s">
        <v>1893</v>
      </c>
    </row>
    <row r="345" spans="2:23" ht="47.25">
      <c r="C345" s="1590" t="s">
        <v>1894</v>
      </c>
      <c r="D345" s="399"/>
      <c r="E345" s="1591">
        <f>N245</f>
        <v>14.595745724848204</v>
      </c>
      <c r="F345" s="1589" t="str">
        <f t="shared" ref="F345:F347" si="111">IF(E345="","CHECK",
IFERROR(
IF(AND(
E345&gt;=INDEX($U$344:$U$347,MATCH(C345,$S$344:$S$347,0)),
E345&lt;=INDEX($V$344:$V$347,MATCH(C345,$S$344:$S$347,0))
),
"PASS",
"REVIEW"),
"CHECK"))</f>
        <v>PASS</v>
      </c>
      <c r="G345" s="1590" t="str">
        <f t="shared" ref="G345:G347" si="112">IFERROR(
INDEX($W$344:$W$347,
MATCH(C345,$S$344:$S$347,0)),
"")</f>
        <v>ASTM D4767; Das (2016)</v>
      </c>
      <c r="H345" s="1587" t="str" cm="1">
        <f t="array" ref="H345">IFERROR(
INDEX($S$359:$S$378,
MATCH(1,
($R$359:$R$378=$C345)*
($V$359:$V$378&gt;=E345)*
($U$359:$U$378&lt;=E345),
0)),
"")</f>
        <v>Sedang</v>
      </c>
      <c r="I345" s="1587" cm="1">
        <f t="array" ref="I345">IFERROR(
INDEX($T$359:$T$378,
MATCH(1,
($R$359:$R$378=$C345)*
($V$359:$V$378&gt;=E345)*
($U$359:$U$378&lt;=E345),
0)),
"")</f>
        <v>3</v>
      </c>
      <c r="J345" s="1587" t="str" cm="1">
        <f t="array" ref="J345">IFERROR(
INDEX($T$391:$T$438,
MATCH(1,
($R$391:$R$438=$D$339)*
($S$391:$S$438=$C345),
0)),
"")</f>
        <v>Sangat Rendah</v>
      </c>
      <c r="K345" s="1587" cm="1">
        <f t="array" ref="K345">IFERROR(
INDEX($U$391:$U$438,
MATCH(1,
($R$391:$R$438=$D$339)*
($S$391:$S$438=$C345),
0)),
"")</f>
        <v>1</v>
      </c>
      <c r="L345" s="1587" cm="1">
        <f t="array" ref="L345">IFERROR(
INDEX($V$391:$V$438,
MATCH(1,
($R$391:$R$438=$D$339)*
($S$391:$S$438=$C345),
0)),
"")</f>
        <v>2</v>
      </c>
      <c r="M345" s="1589" t="str">
        <f>IF(AND(I345&gt;=K345,I345&lt;=L345),"PASS","REVIEW")</f>
        <v>REVIEW</v>
      </c>
      <c r="N345" s="1587" t="str" cm="1">
        <f t="array" ref="N345">IFERROR(
INDEX($W$391:$W$438,
MATCH(1,
($R$391:$R$438=$D$339)*
($S$391:$S$438=$C345),
0)),
"")</f>
        <v>Sudut geser total umumnya sangat rendah.</v>
      </c>
      <c r="O345" s="1587" t="str" cm="1">
        <f t="array" ref="O345">IFERROR(
INDEX($X$391:$X$438,
MATCH(1,
($R$391:$R$438=$D$339)*
($S$391:$S$438=$C345),
0)),
"")</f>
        <v>Das (2016)</v>
      </c>
      <c r="S345" s="5" t="s">
        <v>1894</v>
      </c>
      <c r="T345" t="s">
        <v>1452</v>
      </c>
      <c r="U345">
        <v>0</v>
      </c>
      <c r="V345">
        <v>20</v>
      </c>
      <c r="W345" t="s">
        <v>1895</v>
      </c>
    </row>
    <row r="346" spans="2:23" ht="40.5">
      <c r="C346" s="409" t="s">
        <v>1896</v>
      </c>
      <c r="D346" s="409"/>
      <c r="E346" s="420">
        <f>N268</f>
        <v>13.173350404143219</v>
      </c>
      <c r="F346" s="1589" t="str">
        <f t="shared" si="111"/>
        <v>PASS</v>
      </c>
      <c r="G346" s="1590" t="str">
        <f t="shared" si="112"/>
        <v>ASTM D4767; Das (2016)</v>
      </c>
      <c r="H346" s="1587" t="str" cm="1">
        <f t="array" ref="H346">IFERROR(
INDEX($S$359:$S$378,
MATCH(1,
($R$359:$R$378=$C346)*
($V$359:$V$378&gt;=E346)*
($U$359:$U$378&lt;=E346),
0)),
"")</f>
        <v>Rendah</v>
      </c>
      <c r="I346" s="1587" cm="1">
        <f t="array" ref="I346">IFERROR(
INDEX($T$359:$T$378,
MATCH(1,
($R$359:$R$378=$C346)*
($V$359:$V$378&gt;=E346)*
($U$359:$U$378&lt;=E346),
0)),
"")</f>
        <v>2</v>
      </c>
      <c r="J346" s="1587" t="str" cm="1">
        <f t="array" ref="J346">IFERROR(
INDEX($T$391:$T$438,
MATCH(1,
($R$391:$R$438=$D$339)*
($S$391:$S$438=$C346),
0)),
"")</f>
        <v>Sedang-Tinggi</v>
      </c>
      <c r="K346" s="1587" cm="1">
        <f t="array" ref="K346">IFERROR(
INDEX($U$391:$U$438,
MATCH(1,
($R$391:$R$438=$D$339)*
($S$391:$S$438=$C346),
0)),
"")</f>
        <v>3</v>
      </c>
      <c r="L346" s="1587" cm="1">
        <f t="array" ref="L346">IFERROR(
INDEX($V$391:$V$438,
MATCH(1,
($R$391:$R$438=$D$339)*
($S$391:$S$438=$C346),
0)),
"")</f>
        <v>5</v>
      </c>
      <c r="M346" s="1589" t="str">
        <f t="shared" ref="M346:M347" si="113">IF(AND(I346&gt;=K346,I346&lt;=L346),"PASS","REVIEW")</f>
        <v>REVIEW</v>
      </c>
      <c r="N346" s="1587" t="str" cm="1">
        <f t="array" ref="N346">IFERROR(
INDEX($W$391:$W$438,
MATCH(1,
($R$391:$R$438=$D$339)*
($S$391:$S$438=$C346),
0)),
"")</f>
        <v>Kohesi efektif umumnya sedang hingga tinggi.</v>
      </c>
      <c r="O346" s="1587" t="str" cm="1">
        <f t="array" ref="O346">IFERROR(
INDEX($X$391:$X$438,
MATCH(1,
($R$391:$R$438=$D$339)*
($S$391:$S$438=$C346),
0)),
"")</f>
        <v>Das (2016); Head (2006)</v>
      </c>
      <c r="S346" t="s">
        <v>1896</v>
      </c>
      <c r="T346" t="s">
        <v>465</v>
      </c>
      <c r="U346">
        <v>0</v>
      </c>
      <c r="V346">
        <v>300</v>
      </c>
      <c r="W346" t="s">
        <v>1895</v>
      </c>
    </row>
    <row r="347" spans="2:23" ht="63" customHeight="1">
      <c r="C347" s="409" t="s">
        <v>1897</v>
      </c>
      <c r="D347" s="409"/>
      <c r="E347" s="420">
        <f>N269</f>
        <v>20.072078103401552</v>
      </c>
      <c r="F347" s="1589" t="str">
        <f t="shared" si="111"/>
        <v>PASS</v>
      </c>
      <c r="G347" s="1590" t="str">
        <f t="shared" si="112"/>
        <v>ASTM D4767; Das (2016)</v>
      </c>
      <c r="H347" s="1587" t="str" cm="1">
        <f t="array" ref="H347">IFERROR(
INDEX($S$359:$S$378,
MATCH(1,
($R$359:$R$378=$C347)*
($V$359:$V$378&gt;=E347)*
($U$359:$U$378&lt;=E347),
0)),
"")</f>
        <v>Sedang</v>
      </c>
      <c r="I347" s="1587" cm="1">
        <f t="array" ref="I347">IFERROR(
INDEX($T$359:$T$378,
MATCH(1,
($R$359:$R$378=$C347)*
($V$359:$V$378&gt;=E347)*
($U$359:$U$378&lt;=E347),
0)),
"")</f>
        <v>3</v>
      </c>
      <c r="J347" s="1587" t="str" cm="1">
        <f t="array" ref="J347">IFERROR(
INDEX($T$391:$T$438,
MATCH(1,
($R$391:$R$438=$D$339)*
($S$391:$S$438=$C347),
0)),
"")</f>
        <v>Rendah-Sedang</v>
      </c>
      <c r="K347" s="1587" cm="1">
        <f t="array" ref="K347">IFERROR(
INDEX($U$391:$U$438,
MATCH(1,
($R$391:$R$438=$D$339)*
($S$391:$S$438=$C347),
0)),
"")</f>
        <v>2</v>
      </c>
      <c r="L347" s="1587" cm="1">
        <f t="array" ref="L347">IFERROR(
INDEX($V$391:$V$438,
MATCH(1,
($R$391:$R$438=$D$339)*
($S$391:$S$438=$C347),
0)),
"")</f>
        <v>3</v>
      </c>
      <c r="M347" s="1589" t="str">
        <f t="shared" si="113"/>
        <v>PASS</v>
      </c>
      <c r="N347" s="1587" t="str" cm="1">
        <f t="array" ref="N347">IFERROR(
INDEX($W$391:$W$438,
MATCH(1,
($R$391:$R$438=$D$339)*
($S$391:$S$438=$C347),
0)),
"")</f>
        <v>Sudut geser efektif umumnya rendah hingga sedang.</v>
      </c>
      <c r="O347" s="1587" t="str" cm="1">
        <f t="array" ref="O347">IFERROR(
INDEX($X$391:$X$438,
MATCH(1,
($R$391:$R$438=$D$339)*
($S$391:$S$438=$C347),
0)),
"")</f>
        <v>Das (2016)</v>
      </c>
      <c r="S347" t="s">
        <v>1897</v>
      </c>
      <c r="T347" t="s">
        <v>1452</v>
      </c>
      <c r="U347">
        <v>0</v>
      </c>
      <c r="V347">
        <v>50</v>
      </c>
      <c r="W347" t="s">
        <v>1895</v>
      </c>
    </row>
    <row r="349" spans="2:23">
      <c r="S349" s="116" t="s">
        <v>1898</v>
      </c>
    </row>
    <row r="350" spans="2:23">
      <c r="S350" t="s">
        <v>1899</v>
      </c>
    </row>
    <row r="351" spans="2:23">
      <c r="B351" s="116" t="s">
        <v>1795</v>
      </c>
      <c r="S351" t="s">
        <v>1900</v>
      </c>
    </row>
    <row r="352" spans="2:23">
      <c r="B352" t="s">
        <v>1831</v>
      </c>
      <c r="E352" s="1583" t="str">
        <f>IF(COUNTIF(F344:F347,"REVIEW")&gt;0,
"REVIEW",
"PASS")</f>
        <v>PASS</v>
      </c>
    </row>
    <row r="353" spans="2:23">
      <c r="B353" t="s">
        <v>1832</v>
      </c>
      <c r="E353" s="1583" t="str">
        <f>IF(COUNTIF(M344:M347,"REVIEW")&gt;0,
"REVIEW",
"PASS")</f>
        <v>REVIEW</v>
      </c>
    </row>
    <row r="354" spans="2:23">
      <c r="B354" t="s">
        <v>1605</v>
      </c>
      <c r="E354" s="1583" t="str">
        <f>IF(AND(E352="PASS",E353="PASS"),
"PASS",
IF(AND(E352="PASS",E353="REVIEW"),
"REVIEW",
IF(AND(E352="REVIEW",E353="PASS"),
"REVIEW",
"RE-ANALYZE")))</f>
        <v>REVIEW</v>
      </c>
    </row>
    <row r="356" spans="2:23">
      <c r="B356" s="116" t="s">
        <v>1833</v>
      </c>
    </row>
    <row r="357" spans="2:23">
      <c r="C357" s="1907" t="str" cm="1">
        <f t="array" ref="C357">IFERROR(
INDEX($U$442:$U$445,
MATCH(1,
($R$442:$R$445=E352)*
($S$442:$S$445=E353),
0)),
"")</f>
        <v>Parameter berada dalam rentang teoritis, namun terdapat ketidaksesuaian dengan karakteristik umum tanah. Disarankan melakukan evaluasi terhadap grafik Mohr Circle, Failure Envelope, dan data pendukung sebelum LHU diterbitkan.</v>
      </c>
      <c r="D357" s="1907"/>
      <c r="E357" s="1907"/>
      <c r="F357" s="1907"/>
      <c r="G357" s="1907"/>
      <c r="H357" s="1907"/>
      <c r="I357" s="1907"/>
      <c r="J357" s="1907"/>
      <c r="K357" s="1907"/>
      <c r="L357" s="1907"/>
      <c r="M357" s="1907"/>
      <c r="R357" t="s">
        <v>1797</v>
      </c>
    </row>
    <row r="358" spans="2:23">
      <c r="C358" s="1907"/>
      <c r="D358" s="1907"/>
      <c r="E358" s="1907"/>
      <c r="F358" s="1907"/>
      <c r="G358" s="1907"/>
      <c r="H358" s="1907"/>
      <c r="I358" s="1907"/>
      <c r="J358" s="1907"/>
      <c r="K358" s="1907"/>
      <c r="L358" s="1907"/>
      <c r="M358" s="1907"/>
      <c r="R358" t="s">
        <v>575</v>
      </c>
      <c r="S358" t="s">
        <v>1667</v>
      </c>
      <c r="T358" t="s">
        <v>1611</v>
      </c>
      <c r="U358" t="s">
        <v>1607</v>
      </c>
      <c r="V358" t="s">
        <v>1608</v>
      </c>
      <c r="W358" t="s">
        <v>1836</v>
      </c>
    </row>
    <row r="359" spans="2:23">
      <c r="R359" t="s">
        <v>1892</v>
      </c>
      <c r="S359" t="s">
        <v>1680</v>
      </c>
      <c r="T359">
        <v>1</v>
      </c>
      <c r="U359">
        <v>0</v>
      </c>
      <c r="V359">
        <v>5</v>
      </c>
      <c r="W359" t="s">
        <v>465</v>
      </c>
    </row>
    <row r="360" spans="2:23">
      <c r="R360" t="s">
        <v>1892</v>
      </c>
      <c r="S360" t="s">
        <v>1670</v>
      </c>
      <c r="T360">
        <v>2</v>
      </c>
      <c r="U360">
        <v>5.01</v>
      </c>
      <c r="V360">
        <v>20</v>
      </c>
      <c r="W360" t="s">
        <v>465</v>
      </c>
    </row>
    <row r="361" spans="2:23">
      <c r="R361" t="s">
        <v>1892</v>
      </c>
      <c r="S361" t="s">
        <v>1672</v>
      </c>
      <c r="T361">
        <v>3</v>
      </c>
      <c r="U361">
        <v>20.010000000000002</v>
      </c>
      <c r="V361">
        <v>50</v>
      </c>
      <c r="W361" t="s">
        <v>465</v>
      </c>
    </row>
    <row r="362" spans="2:23">
      <c r="R362" t="s">
        <v>1892</v>
      </c>
      <c r="S362" t="s">
        <v>338</v>
      </c>
      <c r="T362">
        <v>4</v>
      </c>
      <c r="U362">
        <v>50.01</v>
      </c>
      <c r="V362">
        <v>100</v>
      </c>
      <c r="W362" t="s">
        <v>465</v>
      </c>
    </row>
    <row r="363" spans="2:23">
      <c r="E363" s="1583"/>
      <c r="L363" s="1578"/>
      <c r="M363" s="1578"/>
      <c r="N363" s="1578"/>
      <c r="R363" t="s">
        <v>1892</v>
      </c>
      <c r="S363" t="s">
        <v>1681</v>
      </c>
      <c r="T363">
        <v>5</v>
      </c>
      <c r="U363">
        <v>100.01</v>
      </c>
      <c r="V363">
        <v>300</v>
      </c>
      <c r="W363" t="s">
        <v>465</v>
      </c>
    </row>
    <row r="364" spans="2:23">
      <c r="L364" s="5"/>
      <c r="M364" s="5"/>
      <c r="N364" s="5"/>
      <c r="R364" t="s">
        <v>1894</v>
      </c>
      <c r="S364" t="s">
        <v>1680</v>
      </c>
      <c r="T364">
        <v>1</v>
      </c>
      <c r="U364">
        <v>0</v>
      </c>
      <c r="V364">
        <v>5</v>
      </c>
      <c r="W364" t="s">
        <v>1452</v>
      </c>
    </row>
    <row r="365" spans="2:23">
      <c r="L365" s="5"/>
      <c r="M365" s="5"/>
      <c r="N365" s="5"/>
      <c r="R365" t="s">
        <v>1894</v>
      </c>
      <c r="S365" t="s">
        <v>1670</v>
      </c>
      <c r="T365">
        <v>2</v>
      </c>
      <c r="U365">
        <v>5.01</v>
      </c>
      <c r="V365">
        <v>10</v>
      </c>
      <c r="W365" t="s">
        <v>1452</v>
      </c>
    </row>
    <row r="366" spans="2:23">
      <c r="L366" s="5"/>
      <c r="M366" s="5"/>
      <c r="N366" s="5"/>
      <c r="R366" t="s">
        <v>1894</v>
      </c>
      <c r="S366" t="s">
        <v>1672</v>
      </c>
      <c r="T366">
        <v>3</v>
      </c>
      <c r="U366">
        <v>10.01</v>
      </c>
      <c r="V366">
        <v>15</v>
      </c>
      <c r="W366" t="s">
        <v>1452</v>
      </c>
    </row>
    <row r="367" spans="2:23">
      <c r="L367" s="5"/>
      <c r="M367" s="5"/>
      <c r="N367" s="5"/>
      <c r="R367" t="s">
        <v>1894</v>
      </c>
      <c r="S367" t="s">
        <v>338</v>
      </c>
      <c r="T367">
        <v>4</v>
      </c>
      <c r="U367">
        <v>15.01</v>
      </c>
      <c r="V367">
        <v>20</v>
      </c>
      <c r="W367" t="s">
        <v>1452</v>
      </c>
    </row>
    <row r="368" spans="2:23">
      <c r="L368" s="5"/>
      <c r="M368" s="5"/>
      <c r="N368" s="5"/>
      <c r="R368" t="s">
        <v>1894</v>
      </c>
      <c r="S368" t="s">
        <v>1681</v>
      </c>
      <c r="T368">
        <v>5</v>
      </c>
      <c r="U368" t="s">
        <v>1901</v>
      </c>
      <c r="V368">
        <v>90</v>
      </c>
      <c r="W368" t="s">
        <v>1452</v>
      </c>
    </row>
    <row r="369" spans="12:23">
      <c r="L369" s="5"/>
      <c r="M369" s="5"/>
      <c r="N369" s="5"/>
      <c r="R369" t="s">
        <v>1896</v>
      </c>
      <c r="S369" t="s">
        <v>1680</v>
      </c>
      <c r="T369">
        <v>1</v>
      </c>
      <c r="U369">
        <v>0</v>
      </c>
      <c r="V369">
        <v>5</v>
      </c>
      <c r="W369" t="s">
        <v>465</v>
      </c>
    </row>
    <row r="370" spans="12:23">
      <c r="L370" s="5"/>
      <c r="M370" s="5"/>
      <c r="N370" s="5"/>
      <c r="R370" t="s">
        <v>1896</v>
      </c>
      <c r="S370" t="s">
        <v>1670</v>
      </c>
      <c r="T370">
        <v>2</v>
      </c>
      <c r="U370">
        <v>5.01</v>
      </c>
      <c r="V370">
        <v>20</v>
      </c>
      <c r="W370" t="s">
        <v>465</v>
      </c>
    </row>
    <row r="371" spans="12:23">
      <c r="L371" s="5"/>
      <c r="M371" s="5"/>
      <c r="N371" s="5"/>
      <c r="R371" t="s">
        <v>1896</v>
      </c>
      <c r="S371" t="s">
        <v>1672</v>
      </c>
      <c r="T371">
        <v>3</v>
      </c>
      <c r="U371">
        <v>20.010000000000002</v>
      </c>
      <c r="V371">
        <v>50</v>
      </c>
      <c r="W371" t="s">
        <v>465</v>
      </c>
    </row>
    <row r="372" spans="12:23">
      <c r="R372" t="s">
        <v>1896</v>
      </c>
      <c r="S372" t="s">
        <v>338</v>
      </c>
      <c r="T372">
        <v>4</v>
      </c>
      <c r="U372">
        <v>50.01</v>
      </c>
      <c r="V372">
        <v>100</v>
      </c>
      <c r="W372" t="s">
        <v>465</v>
      </c>
    </row>
    <row r="373" spans="12:23">
      <c r="R373" t="s">
        <v>1896</v>
      </c>
      <c r="S373" t="s">
        <v>1681</v>
      </c>
      <c r="T373">
        <v>5</v>
      </c>
      <c r="U373">
        <v>100.01</v>
      </c>
      <c r="V373">
        <v>300</v>
      </c>
      <c r="W373" t="s">
        <v>465</v>
      </c>
    </row>
    <row r="374" spans="12:23">
      <c r="R374" t="s">
        <v>1897</v>
      </c>
      <c r="S374" t="s">
        <v>1680</v>
      </c>
      <c r="T374">
        <v>1</v>
      </c>
      <c r="U374">
        <v>0</v>
      </c>
      <c r="V374">
        <v>10</v>
      </c>
      <c r="W374" t="s">
        <v>1452</v>
      </c>
    </row>
    <row r="375" spans="12:23">
      <c r="R375" t="s">
        <v>1897</v>
      </c>
      <c r="S375" t="s">
        <v>1670</v>
      </c>
      <c r="T375">
        <v>2</v>
      </c>
      <c r="U375">
        <v>10.01</v>
      </c>
      <c r="V375">
        <v>20</v>
      </c>
      <c r="W375" t="s">
        <v>1452</v>
      </c>
    </row>
    <row r="376" spans="12:23">
      <c r="R376" t="s">
        <v>1897</v>
      </c>
      <c r="S376" t="s">
        <v>1672</v>
      </c>
      <c r="T376">
        <v>3</v>
      </c>
      <c r="U376">
        <v>20.010000000000002</v>
      </c>
      <c r="V376">
        <v>30</v>
      </c>
      <c r="W376" t="s">
        <v>1452</v>
      </c>
    </row>
    <row r="377" spans="12:23">
      <c r="R377" t="s">
        <v>1897</v>
      </c>
      <c r="S377" t="s">
        <v>338</v>
      </c>
      <c r="T377">
        <v>4</v>
      </c>
      <c r="U377">
        <v>30.01</v>
      </c>
      <c r="V377">
        <v>40</v>
      </c>
      <c r="W377" t="s">
        <v>1452</v>
      </c>
    </row>
    <row r="378" spans="12:23">
      <c r="R378" t="s">
        <v>1897</v>
      </c>
      <c r="S378" t="s">
        <v>1681</v>
      </c>
      <c r="T378">
        <v>5</v>
      </c>
      <c r="U378">
        <v>40.01</v>
      </c>
      <c r="V378">
        <v>50</v>
      </c>
      <c r="W378" t="s">
        <v>1452</v>
      </c>
    </row>
    <row r="389" spans="18:24">
      <c r="R389" t="s">
        <v>1798</v>
      </c>
    </row>
    <row r="390" spans="18:24">
      <c r="R390" s="1592" t="s">
        <v>1611</v>
      </c>
      <c r="S390" s="1592" t="s">
        <v>575</v>
      </c>
      <c r="T390" s="1592" t="s">
        <v>1683</v>
      </c>
      <c r="U390" s="1592" t="s">
        <v>1607</v>
      </c>
      <c r="V390" s="1592" t="s">
        <v>1608</v>
      </c>
      <c r="W390" s="1592" t="s">
        <v>1685</v>
      </c>
      <c r="X390" s="1592" t="s">
        <v>1715</v>
      </c>
    </row>
    <row r="391" spans="18:24">
      <c r="R391" t="s">
        <v>1612</v>
      </c>
      <c r="S391" t="s">
        <v>1892</v>
      </c>
      <c r="T391" t="s">
        <v>1668</v>
      </c>
      <c r="U391">
        <v>3</v>
      </c>
      <c r="V391">
        <v>5</v>
      </c>
      <c r="W391" t="s">
        <v>1902</v>
      </c>
      <c r="X391" t="s">
        <v>1843</v>
      </c>
    </row>
    <row r="392" spans="18:24">
      <c r="R392" t="s">
        <v>1612</v>
      </c>
      <c r="S392" t="s">
        <v>1894</v>
      </c>
      <c r="T392" t="s">
        <v>1680</v>
      </c>
      <c r="U392">
        <v>1</v>
      </c>
      <c r="V392">
        <v>2</v>
      </c>
      <c r="W392" t="s">
        <v>1903</v>
      </c>
      <c r="X392" t="s">
        <v>1716</v>
      </c>
    </row>
    <row r="393" spans="18:24">
      <c r="R393" t="s">
        <v>1612</v>
      </c>
      <c r="S393" t="s">
        <v>1896</v>
      </c>
      <c r="T393" t="s">
        <v>1668</v>
      </c>
      <c r="U393">
        <v>3</v>
      </c>
      <c r="V393">
        <v>5</v>
      </c>
      <c r="W393" t="s">
        <v>1904</v>
      </c>
      <c r="X393" t="s">
        <v>1843</v>
      </c>
    </row>
    <row r="394" spans="18:24">
      <c r="R394" t="s">
        <v>1612</v>
      </c>
      <c r="S394" t="s">
        <v>1897</v>
      </c>
      <c r="T394" t="s">
        <v>1675</v>
      </c>
      <c r="U394">
        <v>2</v>
      </c>
      <c r="V394">
        <v>3</v>
      </c>
      <c r="W394" t="s">
        <v>1905</v>
      </c>
      <c r="X394" t="s">
        <v>1716</v>
      </c>
    </row>
    <row r="395" spans="18:24">
      <c r="R395" t="s">
        <v>1614</v>
      </c>
      <c r="S395" t="s">
        <v>1892</v>
      </c>
      <c r="T395" t="s">
        <v>1672</v>
      </c>
      <c r="U395">
        <v>3</v>
      </c>
      <c r="V395">
        <v>4</v>
      </c>
      <c r="W395" t="s">
        <v>1906</v>
      </c>
      <c r="X395" t="s">
        <v>1716</v>
      </c>
    </row>
    <row r="396" spans="18:24">
      <c r="R396" t="s">
        <v>1614</v>
      </c>
      <c r="S396" t="s">
        <v>1894</v>
      </c>
      <c r="T396" t="s">
        <v>1670</v>
      </c>
      <c r="U396">
        <v>2</v>
      </c>
      <c r="V396">
        <v>3</v>
      </c>
      <c r="W396" t="s">
        <v>1907</v>
      </c>
      <c r="X396" t="s">
        <v>1716</v>
      </c>
    </row>
    <row r="397" spans="18:24">
      <c r="R397" t="s">
        <v>1614</v>
      </c>
      <c r="S397" t="s">
        <v>1896</v>
      </c>
      <c r="T397" t="s">
        <v>1672</v>
      </c>
      <c r="U397">
        <v>3</v>
      </c>
      <c r="V397">
        <v>4</v>
      </c>
      <c r="W397" t="s">
        <v>1908</v>
      </c>
      <c r="X397" t="s">
        <v>1846</v>
      </c>
    </row>
    <row r="398" spans="18:24">
      <c r="R398" t="s">
        <v>1614</v>
      </c>
      <c r="S398" t="s">
        <v>1897</v>
      </c>
      <c r="T398" t="s">
        <v>1672</v>
      </c>
      <c r="U398">
        <v>3</v>
      </c>
      <c r="V398">
        <v>4</v>
      </c>
      <c r="W398" t="s">
        <v>1909</v>
      </c>
      <c r="X398" t="s">
        <v>1716</v>
      </c>
    </row>
    <row r="399" spans="18:24">
      <c r="R399" t="s">
        <v>1617</v>
      </c>
      <c r="S399" t="s">
        <v>1892</v>
      </c>
      <c r="T399" t="s">
        <v>1672</v>
      </c>
      <c r="U399">
        <v>3</v>
      </c>
      <c r="V399">
        <v>4</v>
      </c>
      <c r="W399" t="s">
        <v>1910</v>
      </c>
      <c r="X399" t="s">
        <v>1716</v>
      </c>
    </row>
    <row r="400" spans="18:24">
      <c r="R400" t="s">
        <v>1617</v>
      </c>
      <c r="S400" t="s">
        <v>1894</v>
      </c>
      <c r="T400" t="s">
        <v>1670</v>
      </c>
      <c r="U400">
        <v>2</v>
      </c>
      <c r="V400">
        <v>3</v>
      </c>
      <c r="W400" t="s">
        <v>1911</v>
      </c>
      <c r="X400" t="s">
        <v>1716</v>
      </c>
    </row>
    <row r="401" spans="18:24">
      <c r="R401" t="s">
        <v>1617</v>
      </c>
      <c r="S401" t="s">
        <v>1896</v>
      </c>
      <c r="T401" t="s">
        <v>1672</v>
      </c>
      <c r="U401">
        <v>3</v>
      </c>
      <c r="V401">
        <v>4</v>
      </c>
      <c r="W401" t="s">
        <v>1908</v>
      </c>
      <c r="X401" t="s">
        <v>1846</v>
      </c>
    </row>
    <row r="402" spans="18:24">
      <c r="R402" t="s">
        <v>1617</v>
      </c>
      <c r="S402" t="s">
        <v>1897</v>
      </c>
      <c r="T402" t="s">
        <v>1675</v>
      </c>
      <c r="U402">
        <v>2</v>
      </c>
      <c r="V402">
        <v>3</v>
      </c>
      <c r="W402" t="s">
        <v>1912</v>
      </c>
      <c r="X402" t="s">
        <v>1716</v>
      </c>
    </row>
    <row r="403" spans="18:24">
      <c r="R403" t="s">
        <v>1643</v>
      </c>
      <c r="S403" t="s">
        <v>1892</v>
      </c>
      <c r="T403" t="s">
        <v>1672</v>
      </c>
      <c r="U403">
        <v>3</v>
      </c>
      <c r="V403">
        <v>4</v>
      </c>
      <c r="W403" t="s">
        <v>1913</v>
      </c>
      <c r="X403" t="s">
        <v>1716</v>
      </c>
    </row>
    <row r="404" spans="18:24">
      <c r="R404" t="s">
        <v>1643</v>
      </c>
      <c r="S404" t="s">
        <v>1894</v>
      </c>
      <c r="T404" t="s">
        <v>1672</v>
      </c>
      <c r="U404">
        <v>3</v>
      </c>
      <c r="V404">
        <v>4</v>
      </c>
      <c r="W404" t="s">
        <v>1914</v>
      </c>
      <c r="X404" t="s">
        <v>1716</v>
      </c>
    </row>
    <row r="405" spans="18:24">
      <c r="R405" t="s">
        <v>1643</v>
      </c>
      <c r="S405" t="s">
        <v>1896</v>
      </c>
      <c r="T405" t="s">
        <v>1672</v>
      </c>
      <c r="U405">
        <v>3</v>
      </c>
      <c r="V405">
        <v>4</v>
      </c>
      <c r="W405" t="s">
        <v>1908</v>
      </c>
      <c r="X405" t="s">
        <v>1846</v>
      </c>
    </row>
    <row r="406" spans="18:24">
      <c r="R406" t="s">
        <v>1643</v>
      </c>
      <c r="S406" t="s">
        <v>1897</v>
      </c>
      <c r="T406" t="s">
        <v>1668</v>
      </c>
      <c r="U406">
        <v>3</v>
      </c>
      <c r="V406">
        <v>4</v>
      </c>
      <c r="W406" t="s">
        <v>1915</v>
      </c>
      <c r="X406" t="s">
        <v>1716</v>
      </c>
    </row>
    <row r="407" spans="18:24">
      <c r="R407" t="s">
        <v>1620</v>
      </c>
      <c r="S407" t="s">
        <v>1892</v>
      </c>
      <c r="T407" t="s">
        <v>1680</v>
      </c>
      <c r="U407">
        <v>1</v>
      </c>
      <c r="V407">
        <v>1</v>
      </c>
      <c r="W407" t="s">
        <v>1916</v>
      </c>
      <c r="X407" t="s">
        <v>1716</v>
      </c>
    </row>
    <row r="408" spans="18:24">
      <c r="R408" t="s">
        <v>1620</v>
      </c>
      <c r="S408" t="s">
        <v>1894</v>
      </c>
      <c r="T408" t="s">
        <v>338</v>
      </c>
      <c r="U408">
        <v>4</v>
      </c>
      <c r="V408">
        <v>5</v>
      </c>
      <c r="W408" t="s">
        <v>1917</v>
      </c>
      <c r="X408" t="s">
        <v>1716</v>
      </c>
    </row>
    <row r="409" spans="18:24">
      <c r="R409" t="s">
        <v>1620</v>
      </c>
      <c r="S409" t="s">
        <v>1896</v>
      </c>
      <c r="T409" t="s">
        <v>1680</v>
      </c>
      <c r="U409">
        <v>1</v>
      </c>
      <c r="V409">
        <v>1</v>
      </c>
      <c r="W409" t="s">
        <v>1918</v>
      </c>
      <c r="X409" t="s">
        <v>1846</v>
      </c>
    </row>
    <row r="410" spans="18:24">
      <c r="R410" t="s">
        <v>1620</v>
      </c>
      <c r="S410" t="s">
        <v>1897</v>
      </c>
      <c r="T410" t="s">
        <v>1681</v>
      </c>
      <c r="U410">
        <v>4</v>
      </c>
      <c r="V410">
        <v>5</v>
      </c>
      <c r="W410" t="s">
        <v>1919</v>
      </c>
      <c r="X410" t="s">
        <v>1716</v>
      </c>
    </row>
    <row r="411" spans="18:24">
      <c r="R411" t="s">
        <v>1621</v>
      </c>
      <c r="S411" t="s">
        <v>1892</v>
      </c>
      <c r="T411" t="s">
        <v>1675</v>
      </c>
      <c r="U411">
        <v>2</v>
      </c>
      <c r="V411">
        <v>3</v>
      </c>
      <c r="W411" t="s">
        <v>1920</v>
      </c>
      <c r="X411" t="s">
        <v>1716</v>
      </c>
    </row>
    <row r="412" spans="18:24">
      <c r="R412" t="s">
        <v>1621</v>
      </c>
      <c r="S412" t="s">
        <v>1894</v>
      </c>
      <c r="T412" t="s">
        <v>1672</v>
      </c>
      <c r="U412">
        <v>3</v>
      </c>
      <c r="V412">
        <v>4</v>
      </c>
      <c r="W412" t="s">
        <v>1921</v>
      </c>
      <c r="X412" t="s">
        <v>1716</v>
      </c>
    </row>
    <row r="413" spans="18:24">
      <c r="R413" t="s">
        <v>1621</v>
      </c>
      <c r="S413" t="s">
        <v>1896</v>
      </c>
      <c r="T413" t="s">
        <v>1675</v>
      </c>
      <c r="U413">
        <v>2</v>
      </c>
      <c r="V413">
        <v>3</v>
      </c>
      <c r="W413" t="s">
        <v>1922</v>
      </c>
      <c r="X413" t="s">
        <v>1846</v>
      </c>
    </row>
    <row r="414" spans="18:24">
      <c r="R414" t="s">
        <v>1621</v>
      </c>
      <c r="S414" t="s">
        <v>1897</v>
      </c>
      <c r="T414" t="s">
        <v>1672</v>
      </c>
      <c r="U414">
        <v>3</v>
      </c>
      <c r="V414">
        <v>4</v>
      </c>
      <c r="W414" t="s">
        <v>1909</v>
      </c>
      <c r="X414" t="s">
        <v>1716</v>
      </c>
    </row>
    <row r="415" spans="18:24">
      <c r="R415" t="s">
        <v>1623</v>
      </c>
      <c r="S415" t="s">
        <v>1892</v>
      </c>
      <c r="T415" t="s">
        <v>1670</v>
      </c>
      <c r="U415">
        <v>2</v>
      </c>
      <c r="V415">
        <v>3</v>
      </c>
      <c r="W415" t="s">
        <v>1923</v>
      </c>
      <c r="X415" t="s">
        <v>1716</v>
      </c>
    </row>
    <row r="416" spans="18:24">
      <c r="R416" t="s">
        <v>1623</v>
      </c>
      <c r="S416" t="s">
        <v>1894</v>
      </c>
      <c r="T416" t="s">
        <v>1668</v>
      </c>
      <c r="U416">
        <v>3</v>
      </c>
      <c r="V416">
        <v>4</v>
      </c>
      <c r="W416" t="s">
        <v>1924</v>
      </c>
      <c r="X416" t="s">
        <v>1716</v>
      </c>
    </row>
    <row r="417" spans="18:24">
      <c r="R417" t="s">
        <v>1623</v>
      </c>
      <c r="S417" t="s">
        <v>1896</v>
      </c>
      <c r="T417" t="s">
        <v>1680</v>
      </c>
      <c r="U417">
        <v>1</v>
      </c>
      <c r="V417">
        <v>2</v>
      </c>
      <c r="W417" t="s">
        <v>1925</v>
      </c>
      <c r="X417" t="s">
        <v>1846</v>
      </c>
    </row>
    <row r="418" spans="18:24">
      <c r="R418" t="s">
        <v>1623</v>
      </c>
      <c r="S418" t="s">
        <v>1897</v>
      </c>
      <c r="T418" t="s">
        <v>1668</v>
      </c>
      <c r="U418">
        <v>3</v>
      </c>
      <c r="V418">
        <v>4</v>
      </c>
      <c r="W418" t="s">
        <v>1926</v>
      </c>
      <c r="X418" t="s">
        <v>1716</v>
      </c>
    </row>
    <row r="419" spans="18:24">
      <c r="R419" t="s">
        <v>1649</v>
      </c>
      <c r="S419" t="s">
        <v>1892</v>
      </c>
      <c r="T419" t="s">
        <v>1680</v>
      </c>
      <c r="U419">
        <v>1</v>
      </c>
      <c r="V419">
        <v>1</v>
      </c>
      <c r="W419" t="s">
        <v>1927</v>
      </c>
      <c r="X419" t="s">
        <v>1716</v>
      </c>
    </row>
    <row r="420" spans="18:24">
      <c r="R420" t="s">
        <v>1649</v>
      </c>
      <c r="S420" t="s">
        <v>1894</v>
      </c>
      <c r="T420" t="s">
        <v>1681</v>
      </c>
      <c r="U420">
        <v>4</v>
      </c>
      <c r="V420">
        <v>5</v>
      </c>
      <c r="W420" t="s">
        <v>1928</v>
      </c>
      <c r="X420" t="s">
        <v>1716</v>
      </c>
    </row>
    <row r="421" spans="18:24">
      <c r="R421" t="s">
        <v>1649</v>
      </c>
      <c r="S421" t="s">
        <v>1896</v>
      </c>
      <c r="T421" t="s">
        <v>1680</v>
      </c>
      <c r="U421">
        <v>1</v>
      </c>
      <c r="V421">
        <v>1</v>
      </c>
      <c r="W421" t="s">
        <v>1918</v>
      </c>
      <c r="X421" t="s">
        <v>1846</v>
      </c>
    </row>
    <row r="422" spans="18:24">
      <c r="R422" t="s">
        <v>1649</v>
      </c>
      <c r="S422" t="s">
        <v>1897</v>
      </c>
      <c r="T422" t="s">
        <v>1681</v>
      </c>
      <c r="U422">
        <v>4</v>
      </c>
      <c r="V422">
        <v>5</v>
      </c>
      <c r="W422" t="s">
        <v>1919</v>
      </c>
      <c r="X422" t="s">
        <v>1716</v>
      </c>
    </row>
    <row r="423" spans="18:24">
      <c r="R423" t="s">
        <v>1690</v>
      </c>
      <c r="S423" t="s">
        <v>1892</v>
      </c>
      <c r="T423" t="s">
        <v>1670</v>
      </c>
      <c r="U423">
        <v>2</v>
      </c>
      <c r="V423">
        <v>3</v>
      </c>
      <c r="W423" t="s">
        <v>1929</v>
      </c>
      <c r="X423" t="s">
        <v>1716</v>
      </c>
    </row>
    <row r="424" spans="18:24">
      <c r="R424" t="s">
        <v>1690</v>
      </c>
      <c r="S424" t="s">
        <v>1894</v>
      </c>
      <c r="T424" t="s">
        <v>1672</v>
      </c>
      <c r="U424">
        <v>3</v>
      </c>
      <c r="V424">
        <v>4</v>
      </c>
      <c r="W424" t="s">
        <v>1921</v>
      </c>
      <c r="X424" t="s">
        <v>1716</v>
      </c>
    </row>
    <row r="425" spans="18:24">
      <c r="R425" t="s">
        <v>1690</v>
      </c>
      <c r="S425" t="s">
        <v>1896</v>
      </c>
      <c r="T425" t="s">
        <v>1670</v>
      </c>
      <c r="U425">
        <v>2</v>
      </c>
      <c r="V425">
        <v>3</v>
      </c>
      <c r="W425" t="s">
        <v>1930</v>
      </c>
      <c r="X425" t="s">
        <v>1846</v>
      </c>
    </row>
    <row r="426" spans="18:24">
      <c r="R426" t="s">
        <v>1690</v>
      </c>
      <c r="S426" t="s">
        <v>1897</v>
      </c>
      <c r="T426" t="s">
        <v>1672</v>
      </c>
      <c r="U426">
        <v>3</v>
      </c>
      <c r="V426">
        <v>4</v>
      </c>
      <c r="W426" t="s">
        <v>1909</v>
      </c>
      <c r="X426" t="s">
        <v>1716</v>
      </c>
    </row>
    <row r="427" spans="18:24">
      <c r="R427" t="s">
        <v>1626</v>
      </c>
      <c r="S427" t="s">
        <v>1892</v>
      </c>
      <c r="T427" t="s">
        <v>1672</v>
      </c>
      <c r="U427">
        <v>3</v>
      </c>
      <c r="V427">
        <v>4</v>
      </c>
      <c r="W427" t="s">
        <v>1920</v>
      </c>
      <c r="X427" t="s">
        <v>1716</v>
      </c>
    </row>
    <row r="428" spans="18:24">
      <c r="R428" t="s">
        <v>1626</v>
      </c>
      <c r="S428" t="s">
        <v>1894</v>
      </c>
      <c r="T428" t="s">
        <v>1675</v>
      </c>
      <c r="U428">
        <v>2</v>
      </c>
      <c r="V428">
        <v>3</v>
      </c>
      <c r="W428" t="s">
        <v>1931</v>
      </c>
      <c r="X428" t="s">
        <v>1716</v>
      </c>
    </row>
    <row r="429" spans="18:24">
      <c r="R429" t="s">
        <v>1626</v>
      </c>
      <c r="S429" t="s">
        <v>1896</v>
      </c>
      <c r="T429" t="s">
        <v>1672</v>
      </c>
      <c r="U429">
        <v>3</v>
      </c>
      <c r="V429">
        <v>4</v>
      </c>
      <c r="W429" t="s">
        <v>1908</v>
      </c>
      <c r="X429" t="s">
        <v>1846</v>
      </c>
    </row>
    <row r="430" spans="18:24">
      <c r="R430" t="s">
        <v>1626</v>
      </c>
      <c r="S430" t="s">
        <v>1897</v>
      </c>
      <c r="T430" t="s">
        <v>1675</v>
      </c>
      <c r="U430">
        <v>2</v>
      </c>
      <c r="V430">
        <v>3</v>
      </c>
      <c r="W430" t="s">
        <v>1912</v>
      </c>
      <c r="X430" t="s">
        <v>1716</v>
      </c>
    </row>
    <row r="431" spans="18:24">
      <c r="R431" t="s">
        <v>1628</v>
      </c>
      <c r="S431" t="s">
        <v>1892</v>
      </c>
      <c r="T431" t="s">
        <v>1670</v>
      </c>
      <c r="U431">
        <v>2</v>
      </c>
      <c r="V431">
        <v>3</v>
      </c>
      <c r="W431" t="s">
        <v>1932</v>
      </c>
      <c r="X431" t="s">
        <v>1716</v>
      </c>
    </row>
    <row r="432" spans="18:24">
      <c r="R432" t="s">
        <v>1628</v>
      </c>
      <c r="S432" t="s">
        <v>1894</v>
      </c>
      <c r="T432" t="s">
        <v>1672</v>
      </c>
      <c r="U432">
        <v>3</v>
      </c>
      <c r="V432">
        <v>4</v>
      </c>
      <c r="W432" t="s">
        <v>1921</v>
      </c>
      <c r="X432" t="s">
        <v>1716</v>
      </c>
    </row>
    <row r="433" spans="18:24">
      <c r="R433" t="s">
        <v>1628</v>
      </c>
      <c r="S433" t="s">
        <v>1896</v>
      </c>
      <c r="T433" t="s">
        <v>1670</v>
      </c>
      <c r="U433">
        <v>2</v>
      </c>
      <c r="V433">
        <v>3</v>
      </c>
      <c r="W433" t="s">
        <v>1930</v>
      </c>
      <c r="X433" t="s">
        <v>1846</v>
      </c>
    </row>
    <row r="434" spans="18:24">
      <c r="R434" t="s">
        <v>1628</v>
      </c>
      <c r="S434" t="s">
        <v>1897</v>
      </c>
      <c r="T434" t="s">
        <v>1672</v>
      </c>
      <c r="U434">
        <v>3</v>
      </c>
      <c r="V434">
        <v>4</v>
      </c>
      <c r="W434" t="s">
        <v>1909</v>
      </c>
      <c r="X434" t="s">
        <v>1716</v>
      </c>
    </row>
    <row r="435" spans="18:24">
      <c r="R435" t="s">
        <v>1630</v>
      </c>
      <c r="S435" t="s">
        <v>1892</v>
      </c>
      <c r="T435" t="s">
        <v>1680</v>
      </c>
      <c r="U435">
        <v>1</v>
      </c>
      <c r="V435">
        <v>1</v>
      </c>
      <c r="W435" t="s">
        <v>1933</v>
      </c>
      <c r="X435" t="s">
        <v>1716</v>
      </c>
    </row>
    <row r="436" spans="18:24">
      <c r="R436" t="s">
        <v>1630</v>
      </c>
      <c r="S436" t="s">
        <v>1894</v>
      </c>
      <c r="T436" t="s">
        <v>1681</v>
      </c>
      <c r="U436">
        <v>5</v>
      </c>
      <c r="V436">
        <v>5</v>
      </c>
      <c r="W436" t="s">
        <v>1934</v>
      </c>
      <c r="X436" t="s">
        <v>1716</v>
      </c>
    </row>
    <row r="437" spans="18:24">
      <c r="R437" t="s">
        <v>1630</v>
      </c>
      <c r="S437" t="s">
        <v>1896</v>
      </c>
      <c r="T437" t="s">
        <v>1680</v>
      </c>
      <c r="U437">
        <v>1</v>
      </c>
      <c r="V437">
        <v>1</v>
      </c>
      <c r="W437" t="s">
        <v>1918</v>
      </c>
      <c r="X437" t="s">
        <v>1846</v>
      </c>
    </row>
    <row r="438" spans="18:24">
      <c r="R438" t="s">
        <v>1630</v>
      </c>
      <c r="S438" t="s">
        <v>1897</v>
      </c>
      <c r="T438" t="s">
        <v>1681</v>
      </c>
      <c r="U438">
        <v>5</v>
      </c>
      <c r="V438">
        <v>5</v>
      </c>
      <c r="W438" t="s">
        <v>1919</v>
      </c>
      <c r="X438" t="s">
        <v>1716</v>
      </c>
    </row>
    <row r="441" spans="18:24">
      <c r="R441" t="s">
        <v>1935</v>
      </c>
      <c r="S441" t="s">
        <v>1936</v>
      </c>
      <c r="T441" t="s">
        <v>1824</v>
      </c>
      <c r="U441" t="s">
        <v>1749</v>
      </c>
    </row>
    <row r="442" spans="18:24">
      <c r="R442" t="s">
        <v>1733</v>
      </c>
      <c r="S442" t="s">
        <v>1733</v>
      </c>
      <c r="T442" t="s">
        <v>1825</v>
      </c>
      <c r="U442" t="s">
        <v>1937</v>
      </c>
    </row>
    <row r="443" spans="18:24">
      <c r="R443" t="s">
        <v>1733</v>
      </c>
      <c r="S443" t="s">
        <v>1735</v>
      </c>
      <c r="T443" t="s">
        <v>1735</v>
      </c>
      <c r="U443" t="s">
        <v>1938</v>
      </c>
    </row>
    <row r="444" spans="18:24">
      <c r="R444" t="s">
        <v>1735</v>
      </c>
      <c r="S444" t="s">
        <v>1733</v>
      </c>
      <c r="T444" t="s">
        <v>1735</v>
      </c>
      <c r="U444" t="s">
        <v>1939</v>
      </c>
    </row>
    <row r="445" spans="18:24">
      <c r="R445" t="s">
        <v>1735</v>
      </c>
      <c r="S445" t="s">
        <v>1735</v>
      </c>
      <c r="T445" t="s">
        <v>1829</v>
      </c>
      <c r="U445" t="s">
        <v>1940</v>
      </c>
    </row>
  </sheetData>
  <mergeCells count="58">
    <mergeCell ref="C342:D343"/>
    <mergeCell ref="E342:E343"/>
    <mergeCell ref="F342:G342"/>
    <mergeCell ref="H342:O342"/>
    <mergeCell ref="C357:M358"/>
    <mergeCell ref="A11:C11"/>
    <mergeCell ref="A12:C12"/>
    <mergeCell ref="L12:N12"/>
    <mergeCell ref="A13:C13"/>
    <mergeCell ref="A7:C7"/>
    <mergeCell ref="A9:C9"/>
    <mergeCell ref="L9:N9"/>
    <mergeCell ref="A10:C10"/>
    <mergeCell ref="L10:N10"/>
    <mergeCell ref="B117:C117"/>
    <mergeCell ref="E117:F117"/>
    <mergeCell ref="G117:H117"/>
    <mergeCell ref="J117:M117"/>
    <mergeCell ref="R117:S117"/>
    <mergeCell ref="O117:P117"/>
    <mergeCell ref="AG117:AH117"/>
    <mergeCell ref="AJ117:AM117"/>
    <mergeCell ref="AO27:AP27"/>
    <mergeCell ref="U41:U42"/>
    <mergeCell ref="V41:X41"/>
    <mergeCell ref="Y41:AC41"/>
    <mergeCell ref="T117:U117"/>
    <mergeCell ref="W117:Z117"/>
    <mergeCell ref="AA27:AB27"/>
    <mergeCell ref="AB117:AC117"/>
    <mergeCell ref="AE117:AF117"/>
    <mergeCell ref="AI41:AI42"/>
    <mergeCell ref="AJ41:AL41"/>
    <mergeCell ref="AM41:AQ41"/>
    <mergeCell ref="I27:L28"/>
    <mergeCell ref="B28:C28"/>
    <mergeCell ref="B29:C29"/>
    <mergeCell ref="B30:C30"/>
    <mergeCell ref="I29:K29"/>
    <mergeCell ref="I30:K30"/>
    <mergeCell ref="I31:K31"/>
    <mergeCell ref="I32:K32"/>
    <mergeCell ref="I33:K33"/>
    <mergeCell ref="B31:C31"/>
    <mergeCell ref="B32:C32"/>
    <mergeCell ref="B33:C33"/>
    <mergeCell ref="B34:C34"/>
    <mergeCell ref="I34:K34"/>
    <mergeCell ref="B86:B87"/>
    <mergeCell ref="C86:C87"/>
    <mergeCell ref="H86:J86"/>
    <mergeCell ref="K41:O41"/>
    <mergeCell ref="D86:E86"/>
    <mergeCell ref="G41:G42"/>
    <mergeCell ref="H41:J41"/>
    <mergeCell ref="F86:G86"/>
    <mergeCell ref="I35:K35"/>
    <mergeCell ref="I36:K36"/>
  </mergeCells>
  <conditionalFormatting sqref="E352:E354 E363">
    <cfRule type="expression" dxfId="177" priority="1">
      <formula>ISNUMBER(SEARCH("RE-ANALYZE",$E352))</formula>
    </cfRule>
    <cfRule type="expression" dxfId="176" priority="2">
      <formula>ISNUMBER(SEARCH("REVIEW",$E352))</formula>
    </cfRule>
    <cfRule type="expression" dxfId="175" priority="3">
      <formula>ISNUMBER(SEARCH("CHECK",$E352))</formula>
    </cfRule>
    <cfRule type="expression" dxfId="174" priority="4">
      <formula>ISNUMBER(SEARCH("PASS",$E352))</formula>
    </cfRule>
  </conditionalFormatting>
  <conditionalFormatting sqref="F344:F347">
    <cfRule type="expression" dxfId="173" priority="9">
      <formula>ISNUMBER(SEARCH("RE-ANALYZE",$F344))</formula>
    </cfRule>
    <cfRule type="expression" dxfId="172" priority="10">
      <formula>ISNUMBER(SEARCH("REVIEW",$F344))</formula>
    </cfRule>
    <cfRule type="expression" dxfId="171" priority="11">
      <formula>ISNUMBER(SEARCH("CHECK",$F344))</formula>
    </cfRule>
    <cfRule type="expression" dxfId="170" priority="12">
      <formula>ISNUMBER(SEARCH("PASS",$F344))</formula>
    </cfRule>
  </conditionalFormatting>
  <conditionalFormatting sqref="M344:M347">
    <cfRule type="expression" dxfId="169" priority="5">
      <formula>ISNUMBER(SEARCH("RE-ANALYZE",$M344))</formula>
    </cfRule>
    <cfRule type="expression" dxfId="168" priority="6">
      <formula>ISNUMBER(SEARCH("REVIEW",$M344))</formula>
    </cfRule>
    <cfRule type="expression" dxfId="167" priority="7">
      <formula>ISNUMBER(SEARCH("CHECK",$M344))</formula>
    </cfRule>
    <cfRule type="expression" dxfId="166" priority="8">
      <formula>ISNUMBER(SEARCH("PASS",$M344))</formula>
    </cfRule>
  </conditionalFormatting>
  <dataValidations count="4">
    <dataValidation type="list" allowBlank="1" showInputMessage="1" showErrorMessage="1" sqref="E19:E20" xr:uid="{B32AD219-E641-7F4F-8D19-7A3EC9754359}">
      <formula1>$G$18:$G$19</formula1>
    </dataValidation>
    <dataValidation type="list" allowBlank="1" showInputMessage="1" showErrorMessage="1" sqref="E21" xr:uid="{79F7F8DA-8C4F-BE44-881E-F14F20008F74}">
      <formula1>$G$21:$G$22</formula1>
    </dataValidation>
    <dataValidation type="list" allowBlank="1" showInputMessage="1" showErrorMessage="1" sqref="P9" xr:uid="{4BF55EB7-3EE4-43DF-AAB4-E9A8DF54674D}">
      <formula1>"RAFLY,RIZKI,NOUFAL"</formula1>
    </dataValidation>
    <dataValidation type="list" allowBlank="1" showInputMessage="1" showErrorMessage="1" sqref="D12" xr:uid="{F2D7C2EA-16F6-4C4F-AAFA-4DAE1A6E57E6}">
      <formula1>$BB$44:$BB$55</formula1>
    </dataValidation>
  </dataValidations>
  <pageMargins left="0.7" right="0.7" top="0.75" bottom="0.75" header="0.3" footer="0.3"/>
  <pageSetup paperSize="14" orientation="portrait" horizontalDpi="0" verticalDpi="0"/>
  <ignoredErrors>
    <ignoredError sqref="F302:F303" formula="1"/>
  </ignoredErrors>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211E-F4EF-4A63-A028-1A3785532D8D}">
  <sheetPr>
    <tabColor rgb="FFFFC000"/>
  </sheetPr>
  <dimension ref="A1:AC220"/>
  <sheetViews>
    <sheetView showGridLines="0" view="pageLayout" topLeftCell="A120" zoomScale="94" zoomScaleNormal="100" zoomScaleSheetLayoutView="80" zoomScalePageLayoutView="94" workbookViewId="0">
      <selection activeCell="S17" sqref="S17:X17"/>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3"</f>
        <v>:  1 dari 3</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IF('WS-TRX-CU Multi'!D7="","",'WS-TRX-CU Multi'!D7)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"&amp;IF('WS-TRX-CU Multi'!D9="","",'WS-TRX-CU Multi'!D9)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"&amp;IF('WS-TRX-CU Multi'!D10="","",'WS-TRX-CU Multi'!D10)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"&amp;IF('WS-TRX-CU Multi'!D11="","",'WS-TRX-CU Multi'!D11)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"&amp;IF('WS-TRX-CU Multi'!D12="","",'WS-TRX-CU Multi'!D12)</f>
        <v>:  Lempung / Clay</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"&amp;IF('WS-TRX-CU Multi'!D13="","",'WS-TRX-CU Multi'!D13)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"&amp;IF('WS-TRX-CU Multi'!O12="","",TEXT('WS-TRX-CU Multi'!O12,"dd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'WS-TRX-CU Multi'!A2</f>
        <v>UJI TRIAKSIAL - TERKONSOLIDASI TIDAK TERDRAINASE (CU)</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INDUK'!$BS$38</f>
        <v>2455 : 2015</v>
      </c>
      <c r="W26" s="1704"/>
      <c r="X26" s="1704"/>
    </row>
    <row r="27" spans="1:24">
      <c r="A27" s="1650" t="str">
        <f>'WS-TRX-CU Multi'!A3</f>
        <v>TRIAXIAL TEST- CONSOLIDATED UNDRAINED ((CU)</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827"/>
      <c r="B28" s="827"/>
      <c r="C28" s="827"/>
      <c r="D28" s="827"/>
      <c r="E28" s="827"/>
      <c r="F28" s="827"/>
      <c r="G28" s="827"/>
      <c r="H28" s="827"/>
      <c r="I28" s="828"/>
      <c r="J28" s="827"/>
      <c r="K28" s="827"/>
      <c r="L28" s="335"/>
      <c r="M28" s="335"/>
      <c r="N28" s="335"/>
      <c r="O28" s="335"/>
      <c r="P28" s="335"/>
      <c r="Q28" s="335"/>
      <c r="R28" s="335"/>
      <c r="S28" s="335"/>
      <c r="T28" s="335"/>
      <c r="U28" s="335"/>
      <c r="V28" s="335"/>
      <c r="W28" s="335"/>
      <c r="X28" s="335"/>
    </row>
    <row r="29" spans="1:24">
      <c r="A29" s="541" t="s">
        <v>1362</v>
      </c>
      <c r="B29" s="673"/>
      <c r="C29" s="673"/>
      <c r="D29" s="673"/>
      <c r="E29" s="673"/>
      <c r="F29" s="673"/>
      <c r="G29" s="673"/>
      <c r="H29" s="673"/>
      <c r="I29" s="674"/>
      <c r="J29" s="673"/>
      <c r="K29" s="829"/>
      <c r="L29" s="1373"/>
      <c r="M29" s="784"/>
      <c r="N29" s="541" t="s">
        <v>1363</v>
      </c>
      <c r="O29" s="541"/>
      <c r="P29" s="541"/>
      <c r="Q29" s="541"/>
      <c r="R29" s="541"/>
      <c r="S29" s="541"/>
      <c r="T29" s="541"/>
      <c r="U29" s="541"/>
      <c r="V29" s="541"/>
      <c r="W29" s="541"/>
      <c r="X29" s="541"/>
    </row>
    <row r="30" spans="1:24" ht="15.75" customHeight="1">
      <c r="A30" s="1871" t="s">
        <v>575</v>
      </c>
      <c r="B30" s="1871"/>
      <c r="C30" s="1871"/>
      <c r="D30" s="1871"/>
      <c r="E30" s="1871"/>
      <c r="F30" s="1871"/>
      <c r="G30" s="1871"/>
      <c r="H30" s="1869" t="s">
        <v>1104</v>
      </c>
      <c r="I30" s="1869"/>
      <c r="J30" s="1869"/>
      <c r="K30" s="1869"/>
      <c r="L30" s="1869"/>
      <c r="N30" s="2081" t="s">
        <v>1364</v>
      </c>
      <c r="O30" s="2081"/>
      <c r="P30" s="2081"/>
      <c r="Q30" s="2081"/>
      <c r="R30" s="2081"/>
      <c r="S30" s="2081"/>
      <c r="T30" s="2081"/>
      <c r="U30" s="2081" t="s">
        <v>1365</v>
      </c>
      <c r="V30" s="2081"/>
      <c r="W30" s="2081"/>
      <c r="X30" s="2081"/>
    </row>
    <row r="31" spans="1:24">
      <c r="A31" s="1871" t="s">
        <v>1516</v>
      </c>
      <c r="B31" s="1871"/>
      <c r="C31" s="1871"/>
      <c r="D31" s="1871"/>
      <c r="E31" s="1871"/>
      <c r="F31" s="1871"/>
      <c r="G31" s="1871"/>
      <c r="H31" s="1876">
        <f>'WS-TRX-CU Multi'!D290</f>
        <v>1</v>
      </c>
      <c r="I31" s="1876"/>
      <c r="J31" s="1876"/>
      <c r="K31" s="1876"/>
      <c r="L31" s="1876"/>
      <c r="N31" s="2075"/>
      <c r="O31" s="2075"/>
      <c r="P31" s="2075"/>
      <c r="Q31" s="2075"/>
      <c r="R31" s="2075"/>
      <c r="S31" s="2075"/>
      <c r="T31" s="2075"/>
      <c r="U31" s="2075"/>
      <c r="V31" s="2075"/>
      <c r="W31" s="2075"/>
      <c r="X31" s="2075"/>
    </row>
    <row r="32" spans="1:24" ht="15.95" customHeight="1">
      <c r="A32" s="1871" t="s">
        <v>1534</v>
      </c>
      <c r="B32" s="1871"/>
      <c r="C32" s="1871"/>
      <c r="D32" s="1871"/>
      <c r="E32" s="1871"/>
      <c r="F32" s="1871"/>
      <c r="G32" s="1871"/>
      <c r="H32" s="1876">
        <f>'WS-TRX-CU Multi'!D291</f>
        <v>38</v>
      </c>
      <c r="I32" s="1876"/>
      <c r="J32" s="1876"/>
      <c r="K32" s="1876"/>
      <c r="L32" s="1876"/>
      <c r="N32" s="2068" t="s">
        <v>1366</v>
      </c>
      <c r="O32" s="2068"/>
      <c r="P32" s="2068"/>
      <c r="Q32" s="2068"/>
      <c r="R32" s="2068"/>
      <c r="S32" s="2068"/>
      <c r="T32" s="2068"/>
      <c r="U32" s="2068" t="str">
        <f>": Multi Stage"</f>
        <v>: Multi Stage</v>
      </c>
      <c r="V32" s="2068"/>
      <c r="W32" s="2068"/>
      <c r="X32" s="2068"/>
    </row>
    <row r="33" spans="1:29" ht="28.5" customHeight="1">
      <c r="A33" s="1871" t="s">
        <v>1106</v>
      </c>
      <c r="B33" s="1871"/>
      <c r="C33" s="1871"/>
      <c r="D33" s="1871"/>
      <c r="E33" s="1871"/>
      <c r="F33" s="1871"/>
      <c r="G33" s="1871"/>
      <c r="H33" s="1876">
        <f>'WS-TRX-CU Multi'!D292</f>
        <v>76</v>
      </c>
      <c r="I33" s="1876"/>
      <c r="J33" s="1876"/>
      <c r="K33" s="1876"/>
      <c r="L33" s="1876"/>
      <c r="M33" s="13"/>
      <c r="N33" s="1813" t="s">
        <v>1397</v>
      </c>
      <c r="O33" s="1813"/>
      <c r="P33" s="1813"/>
      <c r="Q33" s="1813"/>
      <c r="R33" s="1813"/>
      <c r="S33" s="1813"/>
      <c r="T33" s="1813"/>
      <c r="U33" s="1637" t="s">
        <v>1521</v>
      </c>
      <c r="V33" s="1637"/>
      <c r="W33" s="1637"/>
      <c r="X33" s="1637"/>
    </row>
    <row r="34" spans="1:29" ht="15.95" customHeight="1">
      <c r="A34" s="1871" t="s">
        <v>1536</v>
      </c>
      <c r="B34" s="1871"/>
      <c r="C34" s="1871"/>
      <c r="D34" s="1871"/>
      <c r="E34" s="1871"/>
      <c r="F34" s="1871"/>
      <c r="G34" s="1871"/>
      <c r="H34" s="1876">
        <f>'WS-TRX-CU Multi'!D293</f>
        <v>1133.54</v>
      </c>
      <c r="I34" s="1876"/>
      <c r="J34" s="1876"/>
      <c r="K34" s="1876"/>
      <c r="L34" s="1876"/>
      <c r="N34" s="1813" t="s">
        <v>1367</v>
      </c>
      <c r="O34" s="1813"/>
      <c r="P34" s="1813"/>
      <c r="Q34" s="1813"/>
      <c r="R34" s="1813"/>
      <c r="S34" s="1813"/>
      <c r="T34" s="1813"/>
      <c r="U34" s="1993" t="s">
        <v>1521</v>
      </c>
      <c r="V34" s="1993"/>
      <c r="W34" s="1993"/>
      <c r="X34" s="1993"/>
      <c r="AA34" s="335"/>
      <c r="AB34" s="1312" t="str">
        <f>"LHU No.            : "&amp; IF('DATA INDUK'!$H$17="","",'DATA INDUK'!$H$17)</f>
        <v>LHU No.            : 23/MGS/53/II/2026</v>
      </c>
      <c r="AC34" s="335"/>
    </row>
    <row r="35" spans="1:29" ht="15.95" customHeight="1">
      <c r="A35" s="1871" t="s">
        <v>1535</v>
      </c>
      <c r="B35" s="1871"/>
      <c r="C35" s="1871"/>
      <c r="D35" s="1871"/>
      <c r="E35" s="1871"/>
      <c r="F35" s="1871"/>
      <c r="G35" s="1871"/>
      <c r="H35" s="1876">
        <f>'WS-TRX-CU Multi'!D294</f>
        <v>86149.04</v>
      </c>
      <c r="I35" s="1876"/>
      <c r="J35" s="1876"/>
      <c r="K35" s="1876"/>
      <c r="L35" s="1876"/>
      <c r="M35" s="13"/>
      <c r="N35" s="1813" t="s">
        <v>1368</v>
      </c>
      <c r="O35" s="1813"/>
      <c r="P35" s="1813"/>
      <c r="Q35" s="1813"/>
      <c r="R35" s="1813"/>
      <c r="S35" s="1813"/>
      <c r="T35" s="1813"/>
      <c r="U35" s="1637" t="s">
        <v>1522</v>
      </c>
      <c r="V35" s="1637"/>
      <c r="W35" s="1637"/>
      <c r="X35" s="1637"/>
      <c r="AA35" s="335"/>
      <c r="AB35" s="338" t="str">
        <f>"LAB ID.         : "&amp;'Template LHU_CBRsoaked'!$N$13&amp;""</f>
        <v>LAB ID.         : 26-001-DS-001</v>
      </c>
      <c r="AC35" s="335"/>
    </row>
    <row r="36" spans="1:29" ht="15.95" customHeight="1">
      <c r="A36" s="1871" t="s">
        <v>1408</v>
      </c>
      <c r="B36" s="1871"/>
      <c r="C36" s="1871"/>
      <c r="D36" s="1871"/>
      <c r="E36" s="1871"/>
      <c r="F36" s="1871"/>
      <c r="G36" s="1871"/>
      <c r="H36" s="1876">
        <f>'WS-TRX-CU Multi'!D295</f>
        <v>57.55525007930634</v>
      </c>
      <c r="I36" s="1876"/>
      <c r="J36" s="1876"/>
      <c r="K36" s="1876"/>
      <c r="L36" s="1876"/>
      <c r="N36" s="1813" t="s">
        <v>1369</v>
      </c>
      <c r="O36" s="1813"/>
      <c r="P36" s="1813"/>
      <c r="Q36" s="1813"/>
      <c r="R36" s="1813"/>
      <c r="S36" s="1813"/>
      <c r="T36" s="1813"/>
      <c r="U36" s="2069" t="str">
        <f>": Back pressure saturation"</f>
        <v>: Back pressure saturation</v>
      </c>
      <c r="V36" s="2069"/>
      <c r="W36" s="2069"/>
      <c r="X36" s="2069"/>
      <c r="AA36" s="335" t="s">
        <v>1375</v>
      </c>
      <c r="AB36" s="338" t="str">
        <f>"TEST TYPE   : "&amp;AA36&amp;""</f>
        <v>TEST TYPE   : Triaxial (CU)</v>
      </c>
      <c r="AC36" s="335"/>
    </row>
    <row r="37" spans="1:29">
      <c r="A37" s="1871" t="s">
        <v>1109</v>
      </c>
      <c r="B37" s="1871"/>
      <c r="C37" s="1871"/>
      <c r="D37" s="1871"/>
      <c r="E37" s="1871"/>
      <c r="F37" s="1871"/>
      <c r="G37" s="1871"/>
      <c r="H37" s="1876">
        <f>'WS-TRX-CU Multi'!D296</f>
        <v>1.7295607704972684</v>
      </c>
      <c r="I37" s="1876"/>
      <c r="J37" s="1876"/>
      <c r="K37" s="1876"/>
      <c r="L37" s="1876"/>
      <c r="M37" s="782"/>
      <c r="N37" s="1372"/>
      <c r="O37" s="1372"/>
      <c r="P37" s="1372"/>
      <c r="Q37" s="1372"/>
      <c r="R37" s="1372"/>
      <c r="S37" s="1372"/>
      <c r="T37" s="1372"/>
      <c r="U37" s="1311"/>
      <c r="V37" s="1311"/>
      <c r="W37" s="1311"/>
      <c r="X37" s="1311"/>
      <c r="AA37" s="1310"/>
      <c r="AB37" s="338" t="str">
        <f>"DATE            : "&amp;TEXT('DATA INDUK'!$H$19,"yyyy-mm-dd")</f>
        <v>DATE            : 2026-01-29</v>
      </c>
      <c r="AC37" s="335"/>
    </row>
    <row r="38" spans="1:29" ht="15.95" customHeight="1">
      <c r="A38" s="1871" t="s">
        <v>1110</v>
      </c>
      <c r="B38" s="1871"/>
      <c r="C38" s="1871"/>
      <c r="D38" s="1871"/>
      <c r="E38" s="1871"/>
      <c r="F38" s="1871"/>
      <c r="G38" s="1871"/>
      <c r="H38" s="1876">
        <f>'WS-TRX-CU Multi'!D297</f>
        <v>1.0977487386974942</v>
      </c>
      <c r="I38" s="1876"/>
      <c r="J38" s="1876"/>
      <c r="K38" s="1876"/>
      <c r="L38" s="1876"/>
      <c r="N38" s="2075" t="s">
        <v>1370</v>
      </c>
      <c r="O38" s="2075"/>
      <c r="P38" s="2075"/>
      <c r="Q38" s="2075"/>
      <c r="R38" s="2075"/>
      <c r="S38" s="2076" t="s">
        <v>1371</v>
      </c>
      <c r="T38" s="2076"/>
      <c r="U38" s="2076"/>
      <c r="V38" s="2076"/>
      <c r="W38" s="2076"/>
      <c r="X38" s="2076"/>
      <c r="AA38" s="4"/>
    </row>
    <row r="39" spans="1:29" ht="15.95" customHeight="1">
      <c r="M39" s="13"/>
      <c r="N39" s="2077" t="s">
        <v>1373</v>
      </c>
      <c r="O39" s="2077"/>
      <c r="P39" s="2077"/>
      <c r="Q39" s="2077"/>
      <c r="R39" s="2077"/>
      <c r="S39" s="2078">
        <v>1</v>
      </c>
      <c r="T39" s="2079"/>
      <c r="U39" s="2079"/>
      <c r="V39" s="2079"/>
      <c r="W39" s="2079"/>
      <c r="X39" s="2080"/>
      <c r="AA39" s="4"/>
    </row>
    <row r="40" spans="1:29" ht="15.95" customHeight="1">
      <c r="A40" s="541" t="s">
        <v>1372</v>
      </c>
      <c r="B40" s="541"/>
      <c r="C40" s="541"/>
      <c r="D40" s="541"/>
      <c r="E40" s="541"/>
      <c r="F40" s="541"/>
      <c r="G40" s="541"/>
      <c r="H40" s="541"/>
      <c r="I40" s="541"/>
      <c r="J40" s="541"/>
      <c r="K40" s="541"/>
      <c r="L40" s="877"/>
      <c r="N40" s="1872" t="s">
        <v>1409</v>
      </c>
      <c r="O40" s="1872"/>
      <c r="P40" s="1872"/>
      <c r="Q40" s="1872"/>
      <c r="R40" s="1872"/>
      <c r="S40" s="1876">
        <f>'WS-TRX-CU Multi'!E302</f>
        <v>240</v>
      </c>
      <c r="T40" s="1876"/>
      <c r="U40" s="1876">
        <f>'WS-TRX-CU Multi'!F302</f>
        <v>290</v>
      </c>
      <c r="V40" s="1876"/>
      <c r="W40" s="1876">
        <f>'WS-TRX-CU Multi'!G302</f>
        <v>390</v>
      </c>
      <c r="X40" s="1876"/>
      <c r="Z40" s="1210"/>
      <c r="AA40" s="4"/>
    </row>
    <row r="41" spans="1:29" ht="15.95" customHeight="1">
      <c r="A41" s="1872" t="s">
        <v>1373</v>
      </c>
      <c r="B41" s="1872"/>
      <c r="C41" s="1872"/>
      <c r="D41" s="1872"/>
      <c r="E41" s="1872"/>
      <c r="F41" s="1872"/>
      <c r="G41" s="1872"/>
      <c r="H41" s="2020">
        <v>1</v>
      </c>
      <c r="I41" s="2020"/>
      <c r="J41" s="2020"/>
      <c r="K41" s="2020"/>
      <c r="L41" s="2020"/>
      <c r="N41" s="1872"/>
      <c r="O41" s="1872"/>
      <c r="P41" s="1872"/>
      <c r="Q41" s="1872"/>
      <c r="R41" s="1872"/>
      <c r="S41" s="1876"/>
      <c r="T41" s="1876"/>
      <c r="U41" s="1876"/>
      <c r="V41" s="1876"/>
      <c r="W41" s="1876"/>
      <c r="X41" s="1876"/>
    </row>
    <row r="42" spans="1:29" ht="15.95" customHeight="1">
      <c r="A42" s="1872"/>
      <c r="B42" s="1872"/>
      <c r="C42" s="1872"/>
      <c r="D42" s="1872"/>
      <c r="E42" s="1872"/>
      <c r="F42" s="1872"/>
      <c r="G42" s="1872"/>
      <c r="H42" s="2020"/>
      <c r="I42" s="2020"/>
      <c r="J42" s="2020"/>
      <c r="K42" s="2020"/>
      <c r="L42" s="2020"/>
      <c r="N42" s="1872" t="s">
        <v>1518</v>
      </c>
      <c r="O42" s="1872"/>
      <c r="P42" s="1872"/>
      <c r="Q42" s="1872"/>
      <c r="R42" s="1872"/>
      <c r="S42" s="1876">
        <f>'WS-TRX-CU Multi'!E303</f>
        <v>190</v>
      </c>
      <c r="T42" s="1876"/>
      <c r="U42" s="1876">
        <f>'WS-TRX-CU Multi'!F303</f>
        <v>190</v>
      </c>
      <c r="V42" s="1876"/>
      <c r="W42" s="1876">
        <f>'WS-TRX-CU Multi'!G303</f>
        <v>190</v>
      </c>
      <c r="X42" s="1876"/>
    </row>
    <row r="43" spans="1:29" ht="15.95" customHeight="1">
      <c r="A43" s="1872" t="s">
        <v>1527</v>
      </c>
      <c r="B43" s="1872"/>
      <c r="C43" s="1872"/>
      <c r="D43" s="1872"/>
      <c r="E43" s="1872"/>
      <c r="F43" s="1872"/>
      <c r="G43" s="1872"/>
      <c r="H43" s="2067">
        <f>'WS-TRX-CU Multi'!D316</f>
        <v>74.25321247151544</v>
      </c>
      <c r="I43" s="2067"/>
      <c r="J43" s="2067">
        <f>'WS-TRX-CU Multi'!E316</f>
        <v>111.78295083601547</v>
      </c>
      <c r="K43" s="2067"/>
      <c r="L43" s="2067">
        <f>'WS-TRX-CU Multi'!F316</f>
        <v>186.9165147993746</v>
      </c>
      <c r="N43" s="1872"/>
      <c r="O43" s="1872"/>
      <c r="P43" s="1872"/>
      <c r="Q43" s="1872"/>
      <c r="R43" s="1872"/>
      <c r="S43" s="1876"/>
      <c r="T43" s="1876"/>
      <c r="U43" s="1876"/>
      <c r="V43" s="1876"/>
      <c r="W43" s="1876"/>
      <c r="X43" s="1876"/>
      <c r="Z43" t="s">
        <v>1398</v>
      </c>
    </row>
    <row r="44" spans="1:29" ht="15.75" customHeight="1">
      <c r="A44" s="1872"/>
      <c r="B44" s="1872"/>
      <c r="C44" s="1872"/>
      <c r="D44" s="1872"/>
      <c r="E44" s="1872"/>
      <c r="F44" s="1872"/>
      <c r="G44" s="1872"/>
      <c r="H44" s="2067"/>
      <c r="I44" s="2067"/>
      <c r="J44" s="2067"/>
      <c r="K44" s="2067"/>
      <c r="L44" s="2067"/>
      <c r="N44" s="1872" t="s">
        <v>1519</v>
      </c>
      <c r="O44" s="1872"/>
      <c r="P44" s="1872"/>
      <c r="Q44" s="1872"/>
      <c r="R44" s="1872"/>
      <c r="S44" s="1876">
        <f>'WS-TRX-CU Multi'!E304</f>
        <v>50</v>
      </c>
      <c r="T44" s="1876"/>
      <c r="U44" s="1876">
        <f>'WS-TRX-CU Multi'!F304</f>
        <v>100</v>
      </c>
      <c r="V44" s="1876"/>
      <c r="W44" s="1876">
        <f>'WS-TRX-CU Multi'!G304</f>
        <v>200</v>
      </c>
      <c r="X44" s="1876"/>
      <c r="Z44" t="s">
        <v>1399</v>
      </c>
    </row>
    <row r="45" spans="1:29" ht="21.95" customHeight="1">
      <c r="A45" s="1872" t="s">
        <v>1528</v>
      </c>
      <c r="B45" s="1872"/>
      <c r="C45" s="1872"/>
      <c r="D45" s="1872"/>
      <c r="E45" s="1872"/>
      <c r="F45" s="1872"/>
      <c r="G45" s="1872"/>
      <c r="H45" s="2067">
        <f>'WS-TRX-CU Multi'!D317</f>
        <v>314.25321247151544</v>
      </c>
      <c r="I45" s="2067"/>
      <c r="J45" s="2067">
        <f>'WS-TRX-CU Multi'!E317</f>
        <v>401.78295083601546</v>
      </c>
      <c r="K45" s="2067"/>
      <c r="L45" s="2067">
        <f>'WS-TRX-CU Multi'!F317</f>
        <v>569.63479035390787</v>
      </c>
      <c r="M45" s="540"/>
      <c r="N45" s="1872"/>
      <c r="O45" s="1872"/>
      <c r="P45" s="1872"/>
      <c r="Q45" s="1872"/>
      <c r="R45" s="1872"/>
      <c r="S45" s="1876"/>
      <c r="T45" s="1876"/>
      <c r="U45" s="1876"/>
      <c r="V45" s="1876"/>
      <c r="W45" s="1876"/>
      <c r="X45" s="1876"/>
    </row>
    <row r="46" spans="1:29" ht="15.75" customHeight="1">
      <c r="A46" s="1872"/>
      <c r="B46" s="1872"/>
      <c r="C46" s="1872"/>
      <c r="D46" s="1872"/>
      <c r="E46" s="1872"/>
      <c r="F46" s="1872"/>
      <c r="G46" s="1872"/>
      <c r="H46" s="2067"/>
      <c r="I46" s="2067"/>
      <c r="J46" s="2067"/>
      <c r="K46" s="2067"/>
      <c r="L46" s="2067"/>
      <c r="N46" s="1872" t="s">
        <v>1520</v>
      </c>
      <c r="O46" s="1872"/>
      <c r="P46" s="1872"/>
      <c r="Q46" s="1872"/>
      <c r="R46" s="1872"/>
      <c r="S46" s="1876">
        <f>'WS-TRX-CU Multi'!E305</f>
        <v>228</v>
      </c>
      <c r="T46" s="1876"/>
      <c r="U46" s="1876">
        <f>'WS-TRX-CU Multi'!F305</f>
        <v>276</v>
      </c>
      <c r="V46" s="1876"/>
      <c r="W46" s="1876">
        <f>'WS-TRX-CU Multi'!G305</f>
        <v>374</v>
      </c>
      <c r="X46" s="1876"/>
    </row>
    <row r="47" spans="1:29">
      <c r="A47" s="1872" t="s">
        <v>1529</v>
      </c>
      <c r="B47" s="1872"/>
      <c r="C47" s="1872"/>
      <c r="D47" s="1872"/>
      <c r="E47" s="1872"/>
      <c r="F47" s="1872"/>
      <c r="G47" s="1872"/>
      <c r="H47" s="2067">
        <f>'WS-TRX-CU Multi'!D318</f>
        <v>109.25321247151544</v>
      </c>
      <c r="I47" s="2067"/>
      <c r="J47" s="2067">
        <f>'WS-TRX-CU Multi'!E318</f>
        <v>181.31186632768532</v>
      </c>
      <c r="K47" s="2067"/>
      <c r="L47" s="2067">
        <f>'WS-TRX-CU Multi'!F318</f>
        <v>316.63479035390787</v>
      </c>
      <c r="N47" s="1872"/>
      <c r="O47" s="1872"/>
      <c r="P47" s="1872"/>
      <c r="Q47" s="1872"/>
      <c r="R47" s="1872"/>
      <c r="S47" s="1876"/>
      <c r="T47" s="1876"/>
      <c r="U47" s="1876"/>
      <c r="V47" s="1876"/>
      <c r="W47" s="1876"/>
      <c r="X47" s="1876"/>
    </row>
    <row r="48" spans="1:29" ht="15.95" customHeight="1">
      <c r="A48" s="1872"/>
      <c r="B48" s="1872"/>
      <c r="C48" s="1872"/>
      <c r="D48" s="1872"/>
      <c r="E48" s="1872"/>
      <c r="F48" s="1872"/>
      <c r="G48" s="1872"/>
      <c r="H48" s="2067"/>
      <c r="I48" s="2067"/>
      <c r="J48" s="2067"/>
      <c r="K48" s="2067"/>
      <c r="L48" s="2067"/>
      <c r="M48" s="326"/>
      <c r="N48" s="1872" t="s">
        <v>1374</v>
      </c>
      <c r="O48" s="1872"/>
      <c r="P48" s="1872"/>
      <c r="Q48" s="1872"/>
      <c r="R48" s="1872"/>
      <c r="S48" s="1876">
        <f>'WS-TRX-CU Multi'!E306</f>
        <v>0.98</v>
      </c>
      <c r="T48" s="1876"/>
      <c r="U48" s="1876">
        <f>'WS-TRX-CU Multi'!F306</f>
        <v>0.6333333333333333</v>
      </c>
      <c r="V48" s="1876"/>
      <c r="W48" s="1876">
        <f>'WS-TRX-CU Multi'!G306</f>
        <v>0.6333333333333333</v>
      </c>
      <c r="X48" s="1876"/>
    </row>
    <row r="49" spans="1:24">
      <c r="A49" s="1872" t="s">
        <v>1530</v>
      </c>
      <c r="B49" s="1872"/>
      <c r="C49" s="1872"/>
      <c r="D49" s="1872"/>
      <c r="E49" s="1872"/>
      <c r="F49" s="1872"/>
      <c r="G49" s="1872"/>
      <c r="H49" s="2067">
        <f>'WS-TRX-CU Multi'!D319</f>
        <v>35</v>
      </c>
      <c r="I49" s="2067"/>
      <c r="J49" s="2067">
        <f>'WS-TRX-CU Multi'!E319</f>
        <v>70</v>
      </c>
      <c r="K49" s="2067"/>
      <c r="L49" s="2067">
        <f>'WS-TRX-CU Multi'!F319</f>
        <v>137</v>
      </c>
      <c r="M49" s="326"/>
      <c r="N49" s="1872"/>
      <c r="O49" s="1872"/>
      <c r="P49" s="1872"/>
      <c r="Q49" s="1872"/>
      <c r="R49" s="1872"/>
      <c r="S49" s="1876"/>
      <c r="T49" s="1876"/>
      <c r="U49" s="1876"/>
      <c r="V49" s="1876"/>
      <c r="W49" s="1876"/>
      <c r="X49" s="1876"/>
    </row>
    <row r="50" spans="1:24" ht="15.75" customHeight="1">
      <c r="A50" s="1872"/>
      <c r="B50" s="1872"/>
      <c r="C50" s="1872"/>
      <c r="D50" s="1872"/>
      <c r="E50" s="1872"/>
      <c r="F50" s="1872"/>
      <c r="G50" s="1872"/>
      <c r="H50" s="2067"/>
      <c r="I50" s="2067"/>
      <c r="J50" s="2067"/>
      <c r="K50" s="2067"/>
      <c r="L50" s="2067"/>
      <c r="M50" s="326"/>
      <c r="N50" s="1872" t="s">
        <v>1523</v>
      </c>
      <c r="O50" s="1872"/>
      <c r="P50" s="1872"/>
      <c r="Q50" s="1872"/>
      <c r="R50" s="1872"/>
      <c r="S50" s="1876">
        <f>'WS-TRX-CU Multi'!E307</f>
        <v>1126.4344781041996</v>
      </c>
      <c r="T50" s="1876"/>
      <c r="U50" s="1876">
        <f>'WS-TRX-CU Multi'!F307</f>
        <v>1118.7822876902715</v>
      </c>
      <c r="V50" s="1876"/>
      <c r="W50" s="1876">
        <f>'WS-TRX-CU Multi'!G307</f>
        <v>1108.7009849375761</v>
      </c>
      <c r="X50" s="1876"/>
    </row>
    <row r="51" spans="1:24" ht="9.9499999999999993" customHeight="1">
      <c r="A51" s="1872" t="s">
        <v>1531</v>
      </c>
      <c r="B51" s="1872"/>
      <c r="C51" s="1872"/>
      <c r="D51" s="1872"/>
      <c r="E51" s="1872"/>
      <c r="F51" s="1872"/>
      <c r="G51" s="1872"/>
      <c r="H51" s="2067">
        <f>'WS-TRX-CU Multi'!D320</f>
        <v>205</v>
      </c>
      <c r="I51" s="2067"/>
      <c r="J51" s="2067">
        <f>'WS-TRX-CU Multi'!E320</f>
        <v>220</v>
      </c>
      <c r="K51" s="2067"/>
      <c r="L51" s="2067">
        <f>'WS-TRX-CU Multi'!F320</f>
        <v>253</v>
      </c>
      <c r="M51" s="326"/>
      <c r="N51" s="1872"/>
      <c r="O51" s="1872"/>
      <c r="P51" s="1872"/>
      <c r="Q51" s="1872"/>
      <c r="R51" s="1872"/>
      <c r="S51" s="1876"/>
      <c r="T51" s="1876"/>
      <c r="U51" s="1876"/>
      <c r="V51" s="1876"/>
      <c r="W51" s="1876"/>
      <c r="X51" s="1876"/>
    </row>
    <row r="52" spans="1:24" ht="15.95" customHeight="1">
      <c r="A52" s="1872"/>
      <c r="B52" s="1872"/>
      <c r="C52" s="1872"/>
      <c r="D52" s="1872"/>
      <c r="E52" s="1872"/>
      <c r="F52" s="1872"/>
      <c r="G52" s="1872"/>
      <c r="H52" s="2067"/>
      <c r="I52" s="2067"/>
      <c r="J52" s="2067"/>
      <c r="K52" s="2067"/>
      <c r="L52" s="2067"/>
      <c r="M52" s="326"/>
      <c r="N52" s="1872" t="s">
        <v>1524</v>
      </c>
      <c r="O52" s="1872"/>
      <c r="P52" s="1872"/>
      <c r="Q52" s="1872"/>
      <c r="R52" s="1872"/>
      <c r="S52" s="1876">
        <f>'WS-TRX-CU Multi'!E308</f>
        <v>75.058995124418487</v>
      </c>
      <c r="T52" s="1876"/>
      <c r="U52" s="1876">
        <f>'WS-TRX-CU Multi'!F308</f>
        <v>74.052870617966278</v>
      </c>
      <c r="V52" s="1876"/>
      <c r="W52" s="1876">
        <f>'WS-TRX-CU Multi'!G308</f>
        <v>72.741921488002305</v>
      </c>
      <c r="X52" s="1876"/>
    </row>
    <row r="53" spans="1:24" ht="12.95" customHeight="1">
      <c r="A53" s="1872" t="s">
        <v>1532</v>
      </c>
      <c r="B53" s="1872"/>
      <c r="C53" s="1872"/>
      <c r="D53" s="1872"/>
      <c r="E53" s="1872"/>
      <c r="F53" s="1872"/>
      <c r="G53" s="1872"/>
      <c r="H53" s="2067">
        <f>'WS-TRX-CU Multi'!D321</f>
        <v>6.3949697062203867</v>
      </c>
      <c r="I53" s="2067"/>
      <c r="J53" s="2067">
        <f>'WS-TRX-CU Multi'!E321</f>
        <v>14.31409736252451</v>
      </c>
      <c r="K53" s="2067"/>
      <c r="L53" s="2067">
        <f>'WS-TRX-CU Multi'!F321</f>
        <v>15.3968987495708</v>
      </c>
      <c r="M53" s="326"/>
      <c r="N53" s="1872"/>
      <c r="O53" s="1872"/>
      <c r="P53" s="1872"/>
      <c r="Q53" s="1872"/>
      <c r="R53" s="1872"/>
      <c r="S53" s="1876"/>
      <c r="T53" s="1876"/>
      <c r="U53" s="1876"/>
      <c r="V53" s="1876"/>
      <c r="W53" s="1876"/>
      <c r="X53" s="1876"/>
    </row>
    <row r="54" spans="1:24" ht="15.75" customHeight="1">
      <c r="A54" s="1872"/>
      <c r="B54" s="1872"/>
      <c r="C54" s="1872"/>
      <c r="D54" s="1872"/>
      <c r="E54" s="1872"/>
      <c r="F54" s="1872"/>
      <c r="G54" s="1872"/>
      <c r="H54" s="2067"/>
      <c r="I54" s="2067"/>
      <c r="J54" s="2067"/>
      <c r="K54" s="2067"/>
      <c r="L54" s="2067"/>
      <c r="M54" s="326"/>
      <c r="N54" s="1872" t="s">
        <v>1525</v>
      </c>
      <c r="O54" s="1872"/>
      <c r="P54" s="1872"/>
      <c r="Q54" s="1872"/>
      <c r="R54" s="1872"/>
      <c r="S54" s="1876">
        <f>'WS-TRX-CU Multi'!E309</f>
        <v>84549.04</v>
      </c>
      <c r="T54" s="1876"/>
      <c r="U54" s="1876">
        <f>'WS-TRX-CU Multi'!F309</f>
        <v>82849.039999999994</v>
      </c>
      <c r="V54" s="1876"/>
      <c r="W54" s="1876">
        <f>'WS-TRX-CU Multi'!G309</f>
        <v>80649.039999999994</v>
      </c>
      <c r="X54" s="1876"/>
    </row>
    <row r="55" spans="1:24">
      <c r="A55" s="1872" t="s">
        <v>1533</v>
      </c>
      <c r="B55" s="1872"/>
      <c r="C55" s="1872"/>
      <c r="D55" s="1872"/>
      <c r="E55" s="1872"/>
      <c r="F55" s="1872"/>
      <c r="G55" s="1872"/>
      <c r="H55" s="2067">
        <f>'WS-TRX-CU Multi'!D322</f>
        <v>3.1215203563290124</v>
      </c>
      <c r="I55" s="2067"/>
      <c r="J55" s="2067">
        <f>'WS-TRX-CU Multi'!E322</f>
        <v>2.5968992976573637</v>
      </c>
      <c r="K55" s="2067"/>
      <c r="L55" s="2067">
        <f>'WS-TRX-CU Multi'!F322</f>
        <v>2.3112028492985974</v>
      </c>
      <c r="M55" s="326"/>
      <c r="N55" s="1872"/>
      <c r="O55" s="1872"/>
      <c r="P55" s="1872"/>
      <c r="Q55" s="1872"/>
      <c r="R55" s="1872"/>
      <c r="S55" s="1876"/>
      <c r="T55" s="1876"/>
      <c r="U55" s="1876"/>
      <c r="V55" s="1876"/>
      <c r="W55" s="1876"/>
      <c r="X55" s="1876"/>
    </row>
    <row r="56" spans="1:24">
      <c r="A56" s="1872"/>
      <c r="B56" s="1872"/>
      <c r="C56" s="1872"/>
      <c r="D56" s="1872"/>
      <c r="E56" s="1872"/>
      <c r="F56" s="1872"/>
      <c r="G56" s="1872"/>
      <c r="H56" s="2067"/>
      <c r="I56" s="2067"/>
      <c r="J56" s="2067"/>
      <c r="K56" s="2067"/>
      <c r="L56" s="2067"/>
      <c r="M56" s="326"/>
      <c r="N56" s="1872" t="s">
        <v>1526</v>
      </c>
      <c r="O56" s="1872"/>
      <c r="P56" s="1872"/>
      <c r="Q56" s="1872"/>
      <c r="R56" s="1872"/>
      <c r="S56" s="1873">
        <f>'WS-TRX-CU Multi'!E310</f>
        <v>0.53828701849999994</v>
      </c>
      <c r="T56" s="1873"/>
      <c r="U56" s="1873">
        <f>'WS-TRX-CU Multi'!F310</f>
        <v>0.53828701849999994</v>
      </c>
      <c r="V56" s="1873"/>
      <c r="W56" s="1873">
        <f>'WS-TRX-CU Multi'!G310</f>
        <v>0.53828701849999994</v>
      </c>
      <c r="X56" s="1873"/>
    </row>
    <row r="57" spans="1:24" ht="20.100000000000001" customHeight="1">
      <c r="M57" s="13"/>
      <c r="N57" s="1872"/>
      <c r="O57" s="1872"/>
      <c r="P57" s="1872"/>
      <c r="Q57" s="1872"/>
      <c r="R57" s="1872"/>
      <c r="S57" s="1873"/>
      <c r="T57" s="1873"/>
      <c r="U57" s="1873"/>
      <c r="V57" s="1873"/>
      <c r="W57" s="1873"/>
      <c r="X57" s="1873"/>
    </row>
    <row r="58" spans="1:24">
      <c r="T58" s="20" t="s">
        <v>1537</v>
      </c>
    </row>
    <row r="59" spans="1:24">
      <c r="C59" s="1768" t="s">
        <v>623</v>
      </c>
      <c r="D59" s="1769"/>
      <c r="E59" s="1769"/>
      <c r="F59" s="1769"/>
      <c r="G59" s="1770"/>
      <c r="H59" s="1768" t="s">
        <v>292</v>
      </c>
      <c r="I59" s="1769"/>
      <c r="J59" s="1769"/>
      <c r="K59" s="1769"/>
      <c r="L59" s="1769"/>
      <c r="M59" s="1768" t="s">
        <v>294</v>
      </c>
      <c r="N59" s="1769"/>
      <c r="O59" s="1769"/>
      <c r="P59" s="1769"/>
      <c r="Q59" s="1769"/>
      <c r="R59" s="1770"/>
      <c r="T59" s="328"/>
      <c r="U59" s="329"/>
      <c r="V59" s="329"/>
      <c r="W59" s="330"/>
    </row>
    <row r="60" spans="1:24" ht="15.95" customHeight="1">
      <c r="C60" s="1771" t="s">
        <v>624</v>
      </c>
      <c r="D60" s="1646"/>
      <c r="E60" s="1646"/>
      <c r="F60" s="1646"/>
      <c r="G60" s="1772"/>
      <c r="H60" s="1773" t="s">
        <v>293</v>
      </c>
      <c r="I60" s="1652"/>
      <c r="J60" s="1652"/>
      <c r="K60" s="1652"/>
      <c r="L60" s="1652"/>
      <c r="M60" s="1773" t="s">
        <v>295</v>
      </c>
      <c r="N60" s="1652"/>
      <c r="O60" s="1652"/>
      <c r="P60" s="1652"/>
      <c r="Q60" s="1652"/>
      <c r="R60" s="1774"/>
      <c r="T60" s="357"/>
      <c r="W60" s="331"/>
    </row>
    <row r="61" spans="1:24" ht="15.95" customHeight="1">
      <c r="C61" s="357"/>
      <c r="D61" s="359"/>
      <c r="E61" s="359"/>
      <c r="F61" s="359"/>
      <c r="G61" s="360"/>
      <c r="H61" s="357"/>
      <c r="I61"/>
      <c r="K61" s="4"/>
      <c r="M61" s="357"/>
      <c r="R61" s="331"/>
      <c r="T61" s="357"/>
      <c r="W61" s="331"/>
    </row>
    <row r="62" spans="1:24">
      <c r="C62" s="357"/>
      <c r="G62" s="331"/>
      <c r="H62" s="357"/>
      <c r="I62"/>
      <c r="K62" s="4"/>
      <c r="M62" s="357"/>
      <c r="R62" s="331"/>
      <c r="T62" s="357"/>
      <c r="W62" s="331"/>
    </row>
    <row r="63" spans="1:24">
      <c r="C63" s="357"/>
      <c r="G63" s="331"/>
      <c r="H63" s="357"/>
      <c r="I63"/>
      <c r="K63" s="4"/>
      <c r="M63" s="357"/>
      <c r="R63" s="331"/>
      <c r="T63" s="357"/>
      <c r="W63" s="331"/>
    </row>
    <row r="64" spans="1:24">
      <c r="C64" s="1777" t="str">
        <f>'WS-TRX-CU Multi'!O9</f>
        <v>RIZKI</v>
      </c>
      <c r="D64" s="1632"/>
      <c r="E64" s="1632"/>
      <c r="F64" s="1632"/>
      <c r="G64" s="1778"/>
      <c r="H64" s="1777" t="str">
        <f>IF(C64='WS-TRX-CU Multi'!O10," - ",'WS-TRX-CU Multi'!O10)</f>
        <v>NOUFAL</v>
      </c>
      <c r="I64" s="1632"/>
      <c r="J64" s="1632"/>
      <c r="K64" s="1632"/>
      <c r="L64" s="1632"/>
      <c r="M64" s="1777" t="str">
        <f>'WS-TRX-CU Multi'!O11</f>
        <v>A.SUMARTADJI</v>
      </c>
      <c r="N64" s="1632"/>
      <c r="O64" s="1632"/>
      <c r="P64" s="1632"/>
      <c r="Q64" s="1632"/>
      <c r="R64" s="1778"/>
      <c r="T64" s="357"/>
      <c r="W64" s="331"/>
    </row>
    <row r="65" spans="1:24" s="15" customFormat="1" ht="12">
      <c r="C65" s="1779" t="s">
        <v>299</v>
      </c>
      <c r="D65" s="1685"/>
      <c r="E65" s="1685"/>
      <c r="F65" s="1685"/>
      <c r="G65" s="1780"/>
      <c r="H65" s="1779" t="s">
        <v>305</v>
      </c>
      <c r="I65" s="1685"/>
      <c r="J65" s="1685"/>
      <c r="K65" s="1685"/>
      <c r="L65" s="1685"/>
      <c r="M65" s="1779" t="s">
        <v>298</v>
      </c>
      <c r="N65" s="1685"/>
      <c r="O65" s="1685"/>
      <c r="P65" s="1685"/>
      <c r="Q65" s="1685"/>
      <c r="R65" s="1780"/>
      <c r="S65" s="364"/>
      <c r="T65" s="366"/>
      <c r="U65" s="364"/>
      <c r="V65" s="364"/>
      <c r="W65" s="365"/>
      <c r="X65" s="364"/>
    </row>
    <row r="66" spans="1:24" ht="15.95" customHeight="1">
      <c r="C66" s="1783" t="s">
        <v>291</v>
      </c>
      <c r="D66" s="1784"/>
      <c r="E66" s="1775">
        <f>IF('DATA INDUK'!$H$19="","",'DATA INDUK'!$H$19-1)</f>
        <v>46050</v>
      </c>
      <c r="F66" s="1775"/>
      <c r="G66" s="1776"/>
      <c r="H66" s="1783" t="s">
        <v>291</v>
      </c>
      <c r="I66" s="1784"/>
      <c r="J66" s="1775">
        <f>IF('DATA INDUK'!$H$19="","",'DATA INDUK'!$H$19-1)</f>
        <v>46050</v>
      </c>
      <c r="K66" s="1775"/>
      <c r="L66" s="1776"/>
      <c r="M66" s="1783" t="s">
        <v>291</v>
      </c>
      <c r="N66" s="1784"/>
      <c r="O66" s="1784"/>
      <c r="P66" s="1775">
        <f>IF('DATA INDUK'!$H$19="","",'DATA INDUK'!$H$19-1)</f>
        <v>46050</v>
      </c>
      <c r="Q66" s="1775"/>
      <c r="R66" s="1776"/>
      <c r="T66" s="332"/>
      <c r="U66" s="333"/>
      <c r="V66" s="333"/>
      <c r="W66" s="334"/>
    </row>
    <row r="67" spans="1:24" ht="8.1" customHeight="1">
      <c r="B67" s="353"/>
      <c r="C67" s="353"/>
      <c r="D67" s="353"/>
      <c r="E67" s="353"/>
      <c r="F67" s="353"/>
      <c r="G67" s="353"/>
      <c r="J67" s="353"/>
      <c r="K67" s="353"/>
      <c r="L67" s="353"/>
      <c r="M67" s="353"/>
      <c r="N67" s="353"/>
      <c r="O67" s="353"/>
      <c r="P67" s="19"/>
    </row>
    <row r="68" spans="1:24" ht="15.95" customHeight="1">
      <c r="A68" s="1691" t="s">
        <v>899</v>
      </c>
      <c r="B68" s="1692"/>
      <c r="C68" s="1693"/>
      <c r="D68" s="965" t="s">
        <v>895</v>
      </c>
      <c r="E68" s="915"/>
      <c r="F68" s="916"/>
      <c r="G68" s="916"/>
      <c r="H68" s="916"/>
      <c r="I68" s="917"/>
      <c r="J68" s="916"/>
      <c r="K68" s="916"/>
      <c r="L68" s="918"/>
      <c r="M68" s="951" t="s">
        <v>90</v>
      </c>
      <c r="N68" s="916" t="s">
        <v>891</v>
      </c>
      <c r="O68" s="920"/>
      <c r="P68" s="920"/>
      <c r="Q68" s="920"/>
      <c r="R68" s="921"/>
      <c r="S68" s="921"/>
      <c r="T68" s="921"/>
      <c r="U68" s="921"/>
      <c r="V68" s="921"/>
      <c r="W68" s="921"/>
      <c r="X68" s="922"/>
    </row>
    <row r="69" spans="1:24">
      <c r="A69" s="1694"/>
      <c r="B69" s="1695"/>
      <c r="C69" s="1696"/>
      <c r="D69" s="966" t="s">
        <v>904</v>
      </c>
      <c r="E69" s="923"/>
      <c r="F69" s="923"/>
      <c r="G69" s="923"/>
      <c r="H69" s="923"/>
      <c r="I69" s="923"/>
      <c r="J69" s="923"/>
      <c r="K69" s="923"/>
      <c r="L69" s="924"/>
      <c r="M69" s="952" t="s">
        <v>90</v>
      </c>
      <c r="N69" s="926" t="s">
        <v>912</v>
      </c>
      <c r="O69" s="927"/>
      <c r="P69" s="927"/>
      <c r="Q69" s="927"/>
      <c r="R69" s="928"/>
      <c r="S69" s="928"/>
      <c r="T69" s="928"/>
      <c r="U69" s="928"/>
      <c r="V69" s="928"/>
      <c r="W69" s="928"/>
      <c r="X69" s="929"/>
    </row>
    <row r="70" spans="1:24" ht="15" customHeight="1">
      <c r="A70" s="1694"/>
      <c r="B70" s="1695"/>
      <c r="C70" s="1696"/>
      <c r="D70" s="966" t="s">
        <v>1580</v>
      </c>
      <c r="E70" s="923"/>
      <c r="F70" s="923"/>
      <c r="G70" s="923"/>
      <c r="H70" s="923"/>
      <c r="I70" s="923"/>
      <c r="J70" s="923"/>
      <c r="K70" s="923"/>
      <c r="L70" s="924"/>
      <c r="M70" s="953"/>
      <c r="N70" s="926" t="s">
        <v>1581</v>
      </c>
      <c r="O70" s="927"/>
      <c r="P70" s="927"/>
      <c r="Q70" s="927"/>
      <c r="R70" s="928"/>
      <c r="S70" s="928"/>
      <c r="T70" s="928"/>
      <c r="U70" s="928"/>
      <c r="V70" s="928"/>
      <c r="W70" s="928"/>
      <c r="X70" s="929"/>
    </row>
    <row r="71" spans="1:24" ht="15.95" customHeight="1">
      <c r="A71" s="1694"/>
      <c r="B71" s="1695"/>
      <c r="C71" s="1696"/>
      <c r="D71" s="966" t="s">
        <v>1322</v>
      </c>
      <c r="E71" s="923"/>
      <c r="F71" s="923"/>
      <c r="G71" s="923"/>
      <c r="H71" s="923"/>
      <c r="I71" s="923"/>
      <c r="J71" s="923"/>
      <c r="K71" s="923"/>
      <c r="L71" s="924"/>
      <c r="M71" s="952" t="s">
        <v>90</v>
      </c>
      <c r="N71" s="926" t="s">
        <v>898</v>
      </c>
      <c r="O71" s="931"/>
      <c r="P71" s="932"/>
      <c r="Q71" s="933"/>
      <c r="R71" s="934"/>
      <c r="S71" s="934"/>
      <c r="T71" s="934"/>
      <c r="U71" s="934"/>
      <c r="V71" s="934"/>
      <c r="W71" s="934"/>
      <c r="X71" s="935"/>
    </row>
    <row r="72" spans="1:24">
      <c r="A72" s="1697"/>
      <c r="B72" s="1698"/>
      <c r="C72" s="1699"/>
      <c r="D72" s="967" t="s">
        <v>897</v>
      </c>
      <c r="E72" s="936"/>
      <c r="F72" s="936"/>
      <c r="G72" s="936"/>
      <c r="H72" s="936"/>
      <c r="I72" s="936"/>
      <c r="J72" s="936"/>
      <c r="K72" s="936"/>
      <c r="L72" s="937"/>
      <c r="M72" s="954"/>
      <c r="N72" s="939" t="s">
        <v>894</v>
      </c>
      <c r="O72" s="940"/>
      <c r="P72" s="940"/>
      <c r="Q72" s="940"/>
      <c r="R72" s="940"/>
      <c r="S72" s="941"/>
      <c r="T72" s="940"/>
      <c r="U72" s="940"/>
      <c r="V72" s="941"/>
      <c r="W72" s="941"/>
      <c r="X72" s="942"/>
    </row>
    <row r="73" spans="1:24" ht="12" customHeight="1">
      <c r="B73" s="353"/>
      <c r="C73" s="353"/>
      <c r="D73" s="353"/>
      <c r="E73" s="353"/>
      <c r="F73" s="353"/>
      <c r="G73" s="353"/>
      <c r="J73" s="353"/>
      <c r="K73" s="353"/>
      <c r="L73" s="353"/>
      <c r="M73" s="353"/>
      <c r="N73" s="353"/>
      <c r="O73" s="353"/>
      <c r="P73" s="19"/>
      <c r="T73" s="912" t="str">
        <f>'DATA INDUK'!$BT$38</f>
        <v>23-MINEARTH-RM-LHU-TRX-CU-R0</v>
      </c>
    </row>
    <row r="74" spans="1:24">
      <c r="A74" s="361" t="s">
        <v>892</v>
      </c>
      <c r="B74" s="893"/>
      <c r="C74" s="893"/>
      <c r="D74" s="893"/>
      <c r="E74" s="893"/>
      <c r="F74" s="893"/>
      <c r="G74" s="893"/>
      <c r="H74" s="893"/>
      <c r="I74" s="894"/>
      <c r="J74" s="893"/>
      <c r="K74" s="361" t="s">
        <v>1330</v>
      </c>
      <c r="L74" s="893"/>
      <c r="M74" s="893"/>
      <c r="N74" s="893"/>
      <c r="O74" s="893"/>
      <c r="P74" s="893"/>
      <c r="Q74" s="893"/>
      <c r="R74" s="893"/>
      <c r="S74" s="361" t="s">
        <v>285</v>
      </c>
      <c r="T74" s="893"/>
      <c r="U74" s="895"/>
      <c r="V74" s="893"/>
      <c r="W74" s="893"/>
      <c r="X74" s="893"/>
    </row>
    <row r="75" spans="1:24">
      <c r="A75" s="361" t="s">
        <v>283</v>
      </c>
      <c r="B75" s="892"/>
      <c r="C75" s="892"/>
      <c r="D75" s="892"/>
      <c r="E75" s="892"/>
      <c r="F75" s="892"/>
      <c r="G75" s="892"/>
      <c r="H75" s="892"/>
      <c r="I75" s="891"/>
      <c r="J75" s="892"/>
      <c r="K75" s="361" t="s">
        <v>296</v>
      </c>
      <c r="L75" s="892"/>
      <c r="M75" s="892"/>
      <c r="N75" s="892"/>
      <c r="O75" s="892"/>
      <c r="P75" s="892"/>
      <c r="Q75" s="892"/>
      <c r="R75" s="892"/>
      <c r="S75" s="361" t="s">
        <v>289</v>
      </c>
      <c r="T75" s="892"/>
      <c r="U75" s="892"/>
      <c r="V75" s="892"/>
      <c r="W75" s="892"/>
      <c r="X75" s="892"/>
    </row>
    <row r="76" spans="1:24">
      <c r="A76" s="892"/>
      <c r="B76" s="361"/>
      <c r="C76" s="361"/>
      <c r="D76" s="361"/>
      <c r="E76" s="361"/>
      <c r="F76" s="361"/>
      <c r="G76" s="361"/>
      <c r="H76" s="336"/>
      <c r="I76" s="891"/>
      <c r="J76" s="336"/>
      <c r="K76" s="892"/>
      <c r="L76" s="336"/>
      <c r="M76" s="336"/>
      <c r="N76" s="336"/>
      <c r="O76" s="336"/>
      <c r="P76" s="892"/>
      <c r="Q76" s="336"/>
      <c r="R76" s="892"/>
      <c r="S76" s="892"/>
      <c r="T76" s="336"/>
      <c r="U76" s="336"/>
      <c r="V76" s="336"/>
      <c r="W76" s="336"/>
      <c r="X76" s="336"/>
    </row>
    <row r="77" spans="1:24">
      <c r="A77" s="353"/>
    </row>
    <row r="78" spans="1:24" ht="23.25">
      <c r="F78" s="1681" t="s">
        <v>302</v>
      </c>
      <c r="G78" s="1681"/>
      <c r="H78" s="1681"/>
      <c r="I78" s="1681"/>
      <c r="J78" s="1681"/>
      <c r="K78" s="1681"/>
      <c r="L78" s="1681"/>
      <c r="M78" s="1681"/>
      <c r="N78" s="1681"/>
      <c r="O78" s="1681"/>
      <c r="P78" s="1681"/>
      <c r="Q78" s="1681"/>
      <c r="R78" s="1681"/>
      <c r="S78" s="1681"/>
      <c r="T78" s="1681"/>
    </row>
    <row r="79" spans="1:24" ht="20.25">
      <c r="F79" s="1682" t="s">
        <v>1582</v>
      </c>
      <c r="G79" s="1682"/>
      <c r="H79" s="1682"/>
      <c r="I79" s="1682"/>
      <c r="J79" s="1682"/>
      <c r="K79" s="1682"/>
      <c r="L79" s="1682"/>
      <c r="M79" s="1682"/>
      <c r="N79" s="1682"/>
      <c r="O79" s="1682"/>
      <c r="P79" s="1682"/>
      <c r="Q79" s="1682"/>
      <c r="R79" s="1682"/>
      <c r="S79" s="1682"/>
      <c r="T79" s="1682"/>
    </row>
    <row r="80" spans="1:24">
      <c r="A80" s="333"/>
      <c r="B80" s="333"/>
      <c r="C80" s="333"/>
      <c r="D80" s="333"/>
      <c r="E80" s="333"/>
      <c r="F80" s="1745" t="s">
        <v>304</v>
      </c>
      <c r="G80" s="1745"/>
      <c r="H80" s="1745"/>
      <c r="I80" s="1745"/>
      <c r="J80" s="1745"/>
      <c r="K80" s="1745"/>
      <c r="L80" s="1745"/>
      <c r="M80" s="1745"/>
      <c r="N80" s="1745"/>
      <c r="O80" s="1745"/>
      <c r="P80" s="1745"/>
      <c r="Q80" s="1745"/>
      <c r="R80" s="1745"/>
      <c r="S80" s="1745"/>
      <c r="T80" s="1745"/>
      <c r="U80" s="333"/>
      <c r="V80" s="333"/>
      <c r="W80" s="333"/>
      <c r="X80" s="333"/>
    </row>
    <row r="81" spans="1:24" ht="8.1" customHeight="1"/>
    <row r="82" spans="1:24">
      <c r="A82" s="1680" t="s">
        <v>1346</v>
      </c>
      <c r="B82" s="1680"/>
      <c r="C82" s="1680"/>
      <c r="D82" s="1680"/>
      <c r="E82" s="656" t="str">
        <f>":  " &amp; IF('DATA INDUK'!$H$17="","",'DATA INDUK'!$H$17)</f>
        <v>:  23/MGS/53/II/2026</v>
      </c>
      <c r="G82" s="340"/>
      <c r="H82" s="340"/>
      <c r="I82" s="16"/>
      <c r="J82" s="340"/>
      <c r="K82" s="335"/>
      <c r="L82" s="335"/>
      <c r="M82" s="335"/>
      <c r="N82" s="335"/>
      <c r="O82" s="335"/>
      <c r="P82" s="335"/>
      <c r="Q82" s="335"/>
      <c r="R82" s="335"/>
      <c r="S82" s="335"/>
      <c r="T82" s="335"/>
      <c r="U82" s="335"/>
      <c r="V82" s="335"/>
      <c r="W82" s="335"/>
      <c r="X82" s="335"/>
    </row>
    <row r="83" spans="1:24">
      <c r="A83" s="1635" t="s">
        <v>1347</v>
      </c>
      <c r="B83" s="1635"/>
      <c r="C83" s="1635"/>
      <c r="D83" s="1635"/>
      <c r="E83" s="794" t="str">
        <f>":  "&amp;IF('DATA INDUK'!$H$18="","",'DATA INDUK'!$H$18)</f>
        <v>:  R0</v>
      </c>
      <c r="G83" s="672"/>
      <c r="H83" s="672"/>
      <c r="I83" s="1127"/>
      <c r="J83" s="672" t="s">
        <v>1348</v>
      </c>
      <c r="K83" s="672"/>
      <c r="L83" s="672"/>
      <c r="M83" s="1636" t="str">
        <f>":  "&amp;IF('DATA INDUK'!$H$19="","",TEXT('DATA INDUK'!$H$19,"dd mmmm yyyy"))</f>
        <v>:  29 January 2026</v>
      </c>
      <c r="N83" s="1636"/>
      <c r="O83" s="1636"/>
      <c r="P83" s="1636"/>
      <c r="Q83" s="1636"/>
      <c r="R83" s="1194"/>
      <c r="S83" s="1127"/>
      <c r="T83" s="1649" t="s">
        <v>1349</v>
      </c>
      <c r="U83" s="1649"/>
      <c r="V83" s="1649"/>
      <c r="W83" s="1635" t="str">
        <f>":  2 dari 3"</f>
        <v>:  2 dari 3</v>
      </c>
      <c r="X83" s="1635"/>
    </row>
    <row r="84" spans="1:24" ht="8.1" customHeight="1">
      <c r="A84" s="353"/>
    </row>
    <row r="85" spans="1:24">
      <c r="A85" s="1706" t="str">
        <f>A26</f>
        <v>UJI TRIAKSIAL - TERKONSOLIDASI TIDAK TERDRAINASE (CU)</v>
      </c>
      <c r="B85" s="1706"/>
      <c r="C85" s="1706"/>
      <c r="D85" s="1706"/>
      <c r="E85" s="1706"/>
      <c r="F85" s="1706"/>
      <c r="G85" s="1706"/>
      <c r="H85" s="1706"/>
      <c r="I85" s="1706"/>
      <c r="J85" s="1706"/>
      <c r="K85" s="1706"/>
      <c r="L85" s="1706"/>
      <c r="M85" s="1706"/>
      <c r="N85" s="1706"/>
      <c r="O85" s="1706"/>
      <c r="P85" s="1706"/>
      <c r="Q85" s="1706"/>
      <c r="R85" s="1706"/>
      <c r="S85" s="1706"/>
      <c r="T85" s="1706"/>
      <c r="U85" s="1705" t="s">
        <v>2</v>
      </c>
      <c r="V85" s="1704" t="str">
        <f>'DATA INDUK'!$BS$38</f>
        <v>2455 : 2015</v>
      </c>
      <c r="W85" s="1704"/>
      <c r="X85" s="1704"/>
    </row>
    <row r="86" spans="1:24">
      <c r="A86" s="1650" t="str">
        <f>A27</f>
        <v>TRIAXIAL TEST- CONSOLIDATED UNDRAINED ((CU)</v>
      </c>
      <c r="B86" s="1650"/>
      <c r="C86" s="1650"/>
      <c r="D86" s="1650"/>
      <c r="E86" s="1650"/>
      <c r="F86" s="1650"/>
      <c r="G86" s="1650"/>
      <c r="H86" s="1650"/>
      <c r="I86" s="1650"/>
      <c r="J86" s="1650"/>
      <c r="K86" s="1650"/>
      <c r="L86" s="1650"/>
      <c r="M86" s="1650"/>
      <c r="N86" s="1650"/>
      <c r="O86" s="1650"/>
      <c r="P86" s="1650"/>
      <c r="Q86" s="1650"/>
      <c r="R86" s="1650"/>
      <c r="S86" s="1650"/>
      <c r="T86" s="1650"/>
      <c r="U86" s="1705"/>
      <c r="V86" s="1704"/>
      <c r="W86" s="1704"/>
      <c r="X86" s="1704"/>
    </row>
    <row r="87" spans="1:24" ht="8.1" customHeight="1">
      <c r="A87" s="353"/>
    </row>
    <row r="88" spans="1:24">
      <c r="A88" s="541" t="s">
        <v>184</v>
      </c>
      <c r="B88" s="877"/>
      <c r="C88" s="877"/>
      <c r="D88" s="877"/>
      <c r="E88" s="877"/>
      <c r="F88" s="877"/>
      <c r="G88" s="877"/>
      <c r="H88" s="877"/>
      <c r="I88" s="878"/>
      <c r="J88" s="877"/>
      <c r="K88" s="877"/>
      <c r="L88" s="877"/>
      <c r="M88" s="877"/>
      <c r="N88" s="877"/>
      <c r="O88" s="877"/>
      <c r="P88" s="877"/>
      <c r="Q88" s="877"/>
      <c r="R88" s="877"/>
      <c r="S88" s="877"/>
      <c r="T88" s="877"/>
      <c r="U88" s="877"/>
      <c r="V88" s="877"/>
      <c r="W88" s="877"/>
      <c r="X88" s="877"/>
    </row>
    <row r="89" spans="1:24">
      <c r="A89" s="540" t="s">
        <v>1376</v>
      </c>
      <c r="B89" s="15"/>
      <c r="C89" s="15"/>
      <c r="D89" s="15"/>
      <c r="E89" s="15"/>
      <c r="F89" s="15"/>
      <c r="G89" s="15"/>
      <c r="H89" s="15"/>
      <c r="I89" s="1176"/>
      <c r="J89" s="15"/>
      <c r="K89" s="15"/>
      <c r="L89" s="15"/>
      <c r="M89" s="540"/>
      <c r="N89" s="540" t="s">
        <v>1377</v>
      </c>
      <c r="O89" s="15"/>
      <c r="P89" s="15"/>
      <c r="Q89" s="15"/>
      <c r="R89" s="15"/>
      <c r="S89" s="15"/>
      <c r="T89" s="15"/>
      <c r="U89" s="1176"/>
      <c r="V89" s="15"/>
      <c r="W89" s="15"/>
      <c r="X89" s="15"/>
    </row>
    <row r="90" spans="1:24">
      <c r="A90" s="1248" t="s">
        <v>1378</v>
      </c>
      <c r="B90" s="15"/>
      <c r="C90" s="15"/>
      <c r="D90" s="15"/>
      <c r="E90" s="15"/>
      <c r="F90" s="15"/>
      <c r="G90" s="15"/>
      <c r="H90" s="15"/>
      <c r="I90" s="1176"/>
      <c r="J90" s="15"/>
      <c r="K90" s="15"/>
      <c r="L90" s="15"/>
      <c r="M90" s="1248"/>
      <c r="N90" s="15" t="s">
        <v>1379</v>
      </c>
      <c r="O90" s="15"/>
      <c r="P90" s="15"/>
      <c r="Q90" s="15"/>
      <c r="R90" s="15"/>
      <c r="S90" s="15"/>
      <c r="T90" s="15"/>
      <c r="U90" s="1176"/>
      <c r="V90" s="15"/>
      <c r="W90" s="15"/>
      <c r="X90" s="15"/>
    </row>
    <row r="91" spans="1:24">
      <c r="A91" s="353"/>
    </row>
    <row r="92" spans="1:24">
      <c r="A92" s="353"/>
    </row>
    <row r="93" spans="1:24">
      <c r="A93" s="353"/>
    </row>
    <row r="94" spans="1:24">
      <c r="A94" s="353"/>
    </row>
    <row r="95" spans="1:24">
      <c r="A95" s="353"/>
    </row>
    <row r="96" spans="1:24">
      <c r="A96" s="353"/>
    </row>
    <row r="97" spans="1:18">
      <c r="A97" s="353"/>
    </row>
    <row r="98" spans="1:18">
      <c r="A98" s="353"/>
    </row>
    <row r="99" spans="1:18">
      <c r="A99" s="353"/>
    </row>
    <row r="100" spans="1:18">
      <c r="A100" s="353"/>
    </row>
    <row r="101" spans="1:18">
      <c r="A101" s="353"/>
    </row>
    <row r="103" spans="1:18">
      <c r="A103" s="540" t="s">
        <v>1380</v>
      </c>
      <c r="B103" s="15"/>
      <c r="C103" s="15"/>
      <c r="D103" s="15"/>
      <c r="E103" s="15"/>
      <c r="F103" s="15"/>
      <c r="G103" s="15"/>
      <c r="H103" s="15"/>
      <c r="I103" s="1176"/>
      <c r="J103" s="15"/>
      <c r="K103" s="15"/>
      <c r="L103" s="15"/>
    </row>
    <row r="104" spans="1:18">
      <c r="A104" s="1248" t="s">
        <v>1381</v>
      </c>
      <c r="B104" s="15"/>
      <c r="C104" s="15"/>
      <c r="D104" s="15"/>
      <c r="E104" s="15"/>
      <c r="F104" s="15"/>
      <c r="G104" s="15"/>
      <c r="H104" s="15"/>
      <c r="I104" s="1176"/>
      <c r="J104" s="15"/>
      <c r="K104" s="15"/>
      <c r="L104" s="15"/>
    </row>
    <row r="105" spans="1:18">
      <c r="A105" s="540"/>
    </row>
    <row r="106" spans="1:18">
      <c r="A106" s="353"/>
    </row>
    <row r="107" spans="1:18">
      <c r="A107" s="353"/>
    </row>
    <row r="108" spans="1:18">
      <c r="A108" s="353"/>
    </row>
    <row r="110" spans="1:18">
      <c r="A110" s="353"/>
    </row>
    <row r="111" spans="1:18">
      <c r="M111" s="710"/>
      <c r="N111" s="710"/>
      <c r="O111" s="710"/>
      <c r="P111" s="710"/>
      <c r="Q111" s="710"/>
      <c r="R111" s="710"/>
    </row>
    <row r="113" spans="1:14">
      <c r="M113" s="775"/>
      <c r="N113" s="15"/>
    </row>
    <row r="114" spans="1:14" ht="8.1" customHeight="1">
      <c r="M114" s="775"/>
    </row>
    <row r="115" spans="1:14">
      <c r="M115" s="775"/>
    </row>
    <row r="116" spans="1:14">
      <c r="M116" s="775"/>
    </row>
    <row r="117" spans="1:14" ht="8.1" customHeight="1">
      <c r="M117" s="775"/>
    </row>
    <row r="118" spans="1:14">
      <c r="M118" s="775"/>
    </row>
    <row r="119" spans="1:14">
      <c r="M119" s="775"/>
    </row>
    <row r="120" spans="1:14">
      <c r="M120" s="775"/>
    </row>
    <row r="121" spans="1:14">
      <c r="A121" s="353"/>
    </row>
    <row r="122" spans="1:14">
      <c r="A122" s="353"/>
      <c r="L122" s="710"/>
    </row>
    <row r="123" spans="1:14">
      <c r="A123" s="541" t="s">
        <v>1382</v>
      </c>
      <c r="B123" s="541"/>
      <c r="C123" s="541"/>
      <c r="D123" s="541"/>
      <c r="E123" s="541"/>
      <c r="F123" s="541"/>
      <c r="G123" s="541"/>
      <c r="H123" s="541"/>
      <c r="I123" s="541"/>
      <c r="J123" s="541"/>
      <c r="K123" s="541"/>
      <c r="L123" s="541"/>
    </row>
    <row r="124" spans="1:14">
      <c r="A124" s="353"/>
      <c r="C124" s="2074" t="s">
        <v>1383</v>
      </c>
      <c r="D124" s="2074"/>
      <c r="E124" s="2074"/>
      <c r="F124" s="2074"/>
      <c r="G124" s="2074"/>
      <c r="H124" s="2074"/>
      <c r="I124" s="2074" t="s">
        <v>1384</v>
      </c>
      <c r="J124" s="2074"/>
      <c r="K124" s="2074"/>
    </row>
    <row r="125" spans="1:14">
      <c r="A125" s="353"/>
      <c r="C125" s="2071" t="s">
        <v>1385</v>
      </c>
      <c r="D125" s="2071"/>
      <c r="E125" s="2071"/>
      <c r="F125" s="2071"/>
      <c r="G125" s="2071"/>
      <c r="H125" s="2071"/>
      <c r="I125" s="2072">
        <f>'WS-TRX-CU Multi'!N236</f>
        <v>15.627310499286921</v>
      </c>
      <c r="J125" s="2073"/>
      <c r="K125" s="1313" t="s">
        <v>465</v>
      </c>
    </row>
    <row r="126" spans="1:14">
      <c r="A126" s="353"/>
      <c r="C126" s="2071" t="s">
        <v>1386</v>
      </c>
      <c r="D126" s="2071"/>
      <c r="E126" s="2071"/>
      <c r="F126" s="2071"/>
      <c r="G126" s="2071"/>
      <c r="H126" s="2071"/>
      <c r="I126" s="2072">
        <f>'WS-TRX-CU Multi'!O235</f>
        <v>14.595745724848204</v>
      </c>
      <c r="J126" s="2073"/>
      <c r="K126" s="1313" t="s">
        <v>825</v>
      </c>
    </row>
    <row r="127" spans="1:14" ht="9" customHeight="1">
      <c r="A127" s="353"/>
      <c r="C127" s="1314"/>
      <c r="K127" s="1224"/>
    </row>
    <row r="128" spans="1:14">
      <c r="A128" s="353"/>
      <c r="C128" s="2071" t="s">
        <v>1387</v>
      </c>
      <c r="D128" s="2071"/>
      <c r="E128" s="2071"/>
      <c r="F128" s="2071"/>
      <c r="G128" s="2071"/>
      <c r="H128" s="2071"/>
      <c r="I128" s="2072">
        <f>'WS-TRX-CU Multi'!O265</f>
        <v>13.173350404143219</v>
      </c>
      <c r="J128" s="2073"/>
      <c r="K128" s="1313" t="s">
        <v>465</v>
      </c>
    </row>
    <row r="129" spans="1:24">
      <c r="A129" s="353"/>
      <c r="C129" s="2071" t="s">
        <v>1388</v>
      </c>
      <c r="D129" s="2071"/>
      <c r="E129" s="2071"/>
      <c r="F129" s="2071"/>
      <c r="G129" s="2071"/>
      <c r="H129" s="2071"/>
      <c r="I129" s="2072">
        <f>'WS-TRX-CU Multi'!O264</f>
        <v>20.072078103401552</v>
      </c>
      <c r="J129" s="2073"/>
      <c r="K129" s="1313" t="s">
        <v>825</v>
      </c>
    </row>
    <row r="130" spans="1:24">
      <c r="A130" s="353"/>
      <c r="T130" s="20" t="s">
        <v>1537</v>
      </c>
    </row>
    <row r="131" spans="1:24">
      <c r="C131" s="1768" t="s">
        <v>623</v>
      </c>
      <c r="D131" s="1769"/>
      <c r="E131" s="1769"/>
      <c r="F131" s="1769"/>
      <c r="G131" s="1770"/>
      <c r="H131" s="1768" t="s">
        <v>292</v>
      </c>
      <c r="I131" s="1769"/>
      <c r="J131" s="1769"/>
      <c r="K131" s="1769"/>
      <c r="L131" s="1769"/>
      <c r="M131" s="1768" t="s">
        <v>294</v>
      </c>
      <c r="N131" s="1769"/>
      <c r="O131" s="1769"/>
      <c r="P131" s="1769"/>
      <c r="Q131" s="1769"/>
      <c r="R131" s="1770"/>
      <c r="T131" s="328"/>
      <c r="U131" s="329"/>
      <c r="V131" s="329"/>
      <c r="W131" s="330"/>
    </row>
    <row r="132" spans="1:24">
      <c r="C132" s="1771" t="s">
        <v>624</v>
      </c>
      <c r="D132" s="1646"/>
      <c r="E132" s="1646"/>
      <c r="F132" s="1646"/>
      <c r="G132" s="1772"/>
      <c r="H132" s="1773" t="s">
        <v>293</v>
      </c>
      <c r="I132" s="1652"/>
      <c r="J132" s="1652"/>
      <c r="K132" s="1652"/>
      <c r="L132" s="1652"/>
      <c r="M132" s="1773" t="s">
        <v>295</v>
      </c>
      <c r="N132" s="1652"/>
      <c r="O132" s="1652"/>
      <c r="P132" s="1652"/>
      <c r="Q132" s="1652"/>
      <c r="R132" s="1774"/>
      <c r="T132" s="357"/>
      <c r="W132" s="331"/>
    </row>
    <row r="133" spans="1:24">
      <c r="C133" s="357"/>
      <c r="D133" s="359"/>
      <c r="E133" s="359"/>
      <c r="F133" s="359"/>
      <c r="G133" s="360"/>
      <c r="H133" s="357"/>
      <c r="I133"/>
      <c r="K133" s="4"/>
      <c r="M133" s="357"/>
      <c r="R133" s="331"/>
      <c r="T133" s="357"/>
      <c r="W133" s="331"/>
    </row>
    <row r="134" spans="1:24">
      <c r="C134" s="357"/>
      <c r="G134" s="331"/>
      <c r="H134" s="357"/>
      <c r="I134"/>
      <c r="K134" s="4"/>
      <c r="M134" s="357"/>
      <c r="R134" s="331"/>
      <c r="T134" s="357"/>
      <c r="W134" s="331"/>
    </row>
    <row r="135" spans="1:24">
      <c r="C135" s="357"/>
      <c r="G135" s="331"/>
      <c r="H135" s="357"/>
      <c r="I135"/>
      <c r="K135" s="4"/>
      <c r="M135" s="357"/>
      <c r="R135" s="331"/>
      <c r="T135" s="357"/>
      <c r="W135" s="331"/>
    </row>
    <row r="136" spans="1:24">
      <c r="C136" s="1777" t="str">
        <f>C64</f>
        <v>RIZKI</v>
      </c>
      <c r="D136" s="1632"/>
      <c r="E136" s="1632"/>
      <c r="F136" s="1632"/>
      <c r="G136" s="1778"/>
      <c r="H136" s="1777" t="str">
        <f>H64</f>
        <v>NOUFAL</v>
      </c>
      <c r="I136" s="1632"/>
      <c r="J136" s="1632"/>
      <c r="K136" s="1632"/>
      <c r="L136" s="1632"/>
      <c r="M136" s="1777" t="str">
        <f>M64</f>
        <v>A.SUMARTADJI</v>
      </c>
      <c r="N136" s="1632"/>
      <c r="O136" s="1632"/>
      <c r="P136" s="1632"/>
      <c r="Q136" s="1632"/>
      <c r="R136" s="1778"/>
      <c r="T136" s="357"/>
      <c r="W136" s="331"/>
    </row>
    <row r="137" spans="1:24">
      <c r="A137" s="15"/>
      <c r="B137" s="15"/>
      <c r="C137" s="1779" t="s">
        <v>299</v>
      </c>
      <c r="D137" s="1685"/>
      <c r="E137" s="1685"/>
      <c r="F137" s="1685"/>
      <c r="G137" s="1780"/>
      <c r="H137" s="1779" t="s">
        <v>305</v>
      </c>
      <c r="I137" s="1685"/>
      <c r="J137" s="1685"/>
      <c r="K137" s="1685"/>
      <c r="L137" s="1685"/>
      <c r="M137" s="1779" t="s">
        <v>298</v>
      </c>
      <c r="N137" s="1685"/>
      <c r="O137" s="1685"/>
      <c r="P137" s="1685"/>
      <c r="Q137" s="1685"/>
      <c r="R137" s="1780"/>
      <c r="S137" s="364"/>
      <c r="T137" s="366"/>
      <c r="U137" s="364"/>
      <c r="V137" s="364"/>
      <c r="W137" s="365"/>
      <c r="X137" s="364"/>
    </row>
    <row r="138" spans="1:24">
      <c r="C138" s="1781" t="s">
        <v>291</v>
      </c>
      <c r="D138" s="1782"/>
      <c r="E138" s="2025">
        <v>46050</v>
      </c>
      <c r="F138" s="2025"/>
      <c r="G138" s="2026"/>
      <c r="H138" s="1783" t="s">
        <v>291</v>
      </c>
      <c r="I138" s="1784"/>
      <c r="J138" s="1775">
        <v>46050</v>
      </c>
      <c r="K138" s="1775"/>
      <c r="L138" s="1776"/>
      <c r="M138" s="1783" t="s">
        <v>291</v>
      </c>
      <c r="N138" s="1784"/>
      <c r="O138" s="1784"/>
      <c r="P138" s="1775">
        <v>46050</v>
      </c>
      <c r="Q138" s="1775"/>
      <c r="R138" s="1776"/>
      <c r="T138" s="332"/>
      <c r="U138" s="333"/>
      <c r="V138" s="333"/>
      <c r="W138" s="334"/>
    </row>
    <row r="139" spans="1:24" ht="15.95" customHeight="1">
      <c r="B139" s="353"/>
      <c r="C139" s="353"/>
      <c r="D139" s="353"/>
      <c r="E139" s="353"/>
      <c r="F139" s="353"/>
      <c r="G139" s="353"/>
      <c r="J139" s="353"/>
      <c r="K139" s="353"/>
      <c r="L139" s="353"/>
      <c r="M139" s="353"/>
      <c r="N139" s="353"/>
      <c r="O139" s="353"/>
      <c r="P139" s="19"/>
    </row>
    <row r="140" spans="1:24" ht="15.95" customHeight="1">
      <c r="A140" s="1691" t="s">
        <v>899</v>
      </c>
      <c r="B140" s="1692"/>
      <c r="C140" s="1693"/>
      <c r="D140" s="965" t="s">
        <v>895</v>
      </c>
      <c r="E140" s="915"/>
      <c r="F140" s="916"/>
      <c r="G140" s="916"/>
      <c r="H140" s="916"/>
      <c r="I140" s="917"/>
      <c r="J140" s="916"/>
      <c r="K140" s="916"/>
      <c r="L140" s="918"/>
      <c r="M140" s="951" t="s">
        <v>90</v>
      </c>
      <c r="N140" s="916" t="s">
        <v>891</v>
      </c>
      <c r="O140" s="920"/>
      <c r="P140" s="920"/>
      <c r="Q140" s="920"/>
      <c r="R140" s="921"/>
      <c r="S140" s="921"/>
      <c r="T140" s="921"/>
      <c r="U140" s="921"/>
      <c r="V140" s="921"/>
      <c r="W140" s="921"/>
      <c r="X140" s="922"/>
    </row>
    <row r="141" spans="1:24">
      <c r="A141" s="1694"/>
      <c r="B141" s="1695"/>
      <c r="C141" s="1696"/>
      <c r="D141" s="966" t="s">
        <v>904</v>
      </c>
      <c r="E141" s="923"/>
      <c r="F141" s="923"/>
      <c r="G141" s="923"/>
      <c r="H141" s="923"/>
      <c r="I141" s="923"/>
      <c r="J141" s="923"/>
      <c r="K141" s="923"/>
      <c r="L141" s="924"/>
      <c r="M141" s="952" t="s">
        <v>90</v>
      </c>
      <c r="N141" s="926" t="s">
        <v>912</v>
      </c>
      <c r="O141" s="927"/>
      <c r="P141" s="927"/>
      <c r="Q141" s="927"/>
      <c r="R141" s="928"/>
      <c r="S141" s="928"/>
      <c r="T141" s="928"/>
      <c r="U141" s="928"/>
      <c r="V141" s="928"/>
      <c r="W141" s="928"/>
      <c r="X141" s="929"/>
    </row>
    <row r="142" spans="1:24">
      <c r="A142" s="1694"/>
      <c r="B142" s="1695"/>
      <c r="C142" s="1696"/>
      <c r="D142" s="966" t="s">
        <v>1580</v>
      </c>
      <c r="E142" s="923"/>
      <c r="F142" s="923"/>
      <c r="G142" s="923"/>
      <c r="H142" s="923"/>
      <c r="I142" s="923"/>
      <c r="J142" s="923"/>
      <c r="K142" s="923"/>
      <c r="L142" s="924"/>
      <c r="M142" s="953"/>
      <c r="N142" s="926" t="s">
        <v>1581</v>
      </c>
      <c r="O142" s="927"/>
      <c r="P142" s="927"/>
      <c r="Q142" s="927"/>
      <c r="R142" s="928"/>
      <c r="S142" s="928"/>
      <c r="T142" s="928"/>
      <c r="U142" s="928"/>
      <c r="V142" s="928"/>
      <c r="W142" s="928"/>
      <c r="X142" s="929"/>
    </row>
    <row r="143" spans="1:24" ht="15" customHeight="1">
      <c r="A143" s="1694"/>
      <c r="B143" s="1695"/>
      <c r="C143" s="1696"/>
      <c r="D143" s="966" t="s">
        <v>1322</v>
      </c>
      <c r="E143" s="923"/>
      <c r="F143" s="923"/>
      <c r="G143" s="923"/>
      <c r="H143" s="923"/>
      <c r="I143" s="923"/>
      <c r="J143" s="923"/>
      <c r="K143" s="923"/>
      <c r="L143" s="924"/>
      <c r="M143" s="952" t="s">
        <v>90</v>
      </c>
      <c r="N143" s="926" t="s">
        <v>898</v>
      </c>
      <c r="O143" s="931"/>
      <c r="P143" s="932"/>
      <c r="Q143" s="933"/>
      <c r="R143" s="934"/>
      <c r="S143" s="934"/>
      <c r="T143" s="934"/>
      <c r="U143" s="934"/>
      <c r="V143" s="934"/>
      <c r="W143" s="934"/>
      <c r="X143" s="935"/>
    </row>
    <row r="144" spans="1:24">
      <c r="A144" s="1697"/>
      <c r="B144" s="1698"/>
      <c r="C144" s="1699"/>
      <c r="D144" s="967" t="s">
        <v>897</v>
      </c>
      <c r="E144" s="936"/>
      <c r="F144" s="936"/>
      <c r="G144" s="936"/>
      <c r="H144" s="936"/>
      <c r="I144" s="936"/>
      <c r="J144" s="936"/>
      <c r="K144" s="936"/>
      <c r="L144" s="937"/>
      <c r="M144" s="954"/>
      <c r="N144" s="939" t="s">
        <v>894</v>
      </c>
      <c r="O144" s="940"/>
      <c r="P144" s="940"/>
      <c r="Q144" s="940"/>
      <c r="R144" s="940"/>
      <c r="S144" s="941"/>
      <c r="T144" s="940"/>
      <c r="U144" s="940"/>
      <c r="V144" s="941"/>
      <c r="W144" s="941"/>
      <c r="X144" s="942"/>
    </row>
    <row r="145" spans="1:24" ht="11.1" customHeight="1">
      <c r="B145" s="353"/>
      <c r="C145" s="353"/>
      <c r="D145" s="353"/>
      <c r="E145" s="353"/>
      <c r="F145" s="353"/>
      <c r="G145" s="353"/>
      <c r="J145" s="353"/>
      <c r="K145" s="353"/>
      <c r="L145" s="353"/>
      <c r="M145" s="353"/>
      <c r="N145" s="353"/>
      <c r="O145" s="353"/>
      <c r="P145" s="19"/>
      <c r="T145" s="912" t="str">
        <f>'DATA INDUK'!$BT$38</f>
        <v>23-MINEARTH-RM-LHU-TRX-CU-R0</v>
      </c>
    </row>
    <row r="146" spans="1:24">
      <c r="A146" s="361" t="s">
        <v>892</v>
      </c>
      <c r="B146" s="893"/>
      <c r="C146" s="893"/>
      <c r="D146" s="893"/>
      <c r="E146" s="893"/>
      <c r="F146" s="893"/>
      <c r="G146" s="893"/>
      <c r="H146" s="893"/>
      <c r="I146" s="894"/>
      <c r="J146" s="893"/>
      <c r="K146" s="361" t="s">
        <v>1330</v>
      </c>
      <c r="L146" s="893"/>
      <c r="M146" s="893"/>
      <c r="N146" s="893"/>
      <c r="O146" s="893"/>
      <c r="P146" s="893"/>
      <c r="Q146" s="893"/>
      <c r="R146" s="893"/>
      <c r="S146" s="361" t="s">
        <v>285</v>
      </c>
      <c r="T146" s="893"/>
      <c r="U146" s="895"/>
      <c r="V146" s="893"/>
      <c r="W146" s="893"/>
      <c r="X146" s="893"/>
    </row>
    <row r="147" spans="1:24" ht="15.95" customHeight="1">
      <c r="A147" s="361" t="s">
        <v>283</v>
      </c>
      <c r="B147" s="892"/>
      <c r="C147" s="892"/>
      <c r="D147" s="892"/>
      <c r="E147" s="892"/>
      <c r="F147" s="892"/>
      <c r="G147" s="892"/>
      <c r="H147" s="892"/>
      <c r="I147" s="891"/>
      <c r="J147" s="892"/>
      <c r="K147" s="361" t="s">
        <v>296</v>
      </c>
      <c r="L147" s="892"/>
      <c r="M147" s="892"/>
      <c r="N147" s="892"/>
      <c r="O147" s="892"/>
      <c r="P147" s="892"/>
      <c r="Q147" s="892"/>
      <c r="R147" s="892"/>
      <c r="S147" s="361" t="s">
        <v>289</v>
      </c>
      <c r="T147" s="892"/>
      <c r="U147" s="892"/>
      <c r="V147" s="892"/>
      <c r="W147" s="892"/>
      <c r="X147" s="892"/>
    </row>
    <row r="148" spans="1:24">
      <c r="A148" s="892"/>
      <c r="B148" s="361"/>
      <c r="C148" s="361"/>
      <c r="D148" s="361"/>
      <c r="E148" s="361"/>
      <c r="F148" s="361"/>
      <c r="G148" s="361"/>
      <c r="H148" s="336"/>
      <c r="I148" s="891"/>
      <c r="J148" s="336"/>
      <c r="K148" s="892"/>
      <c r="L148" s="336"/>
      <c r="M148" s="336"/>
      <c r="N148" s="336"/>
      <c r="O148" s="336"/>
      <c r="P148" s="892"/>
      <c r="Q148" s="336"/>
      <c r="R148" s="892"/>
      <c r="S148" s="892"/>
      <c r="T148" s="336"/>
      <c r="U148" s="336"/>
      <c r="V148" s="336"/>
      <c r="W148" s="336"/>
      <c r="X148" s="336"/>
    </row>
    <row r="149" spans="1:24" ht="23.25">
      <c r="F149" s="1681" t="s">
        <v>302</v>
      </c>
      <c r="G149" s="1681"/>
      <c r="H149" s="1681"/>
      <c r="I149" s="1681"/>
      <c r="J149" s="1681"/>
      <c r="K149" s="1681"/>
      <c r="L149" s="1681"/>
      <c r="M149" s="1681"/>
      <c r="N149" s="1681"/>
      <c r="O149" s="1681"/>
      <c r="P149" s="1681"/>
      <c r="Q149" s="1681"/>
      <c r="R149" s="1681"/>
      <c r="S149" s="1681"/>
      <c r="T149" s="1681"/>
    </row>
    <row r="150" spans="1:24" ht="20.25">
      <c r="F150" s="1682" t="s">
        <v>1582</v>
      </c>
      <c r="G150" s="1682"/>
      <c r="H150" s="1682"/>
      <c r="I150" s="1682"/>
      <c r="J150" s="1682"/>
      <c r="K150" s="1682"/>
      <c r="L150" s="1682"/>
      <c r="M150" s="1682"/>
      <c r="N150" s="1682"/>
      <c r="O150" s="1682"/>
      <c r="P150" s="1682"/>
      <c r="Q150" s="1682"/>
      <c r="R150" s="1682"/>
      <c r="S150" s="1682"/>
      <c r="T150" s="1682"/>
    </row>
    <row r="151" spans="1:24">
      <c r="F151" s="1683" t="s">
        <v>304</v>
      </c>
      <c r="G151" s="1683"/>
      <c r="H151" s="1683"/>
      <c r="I151" s="1683"/>
      <c r="J151" s="1683"/>
      <c r="K151" s="1683"/>
      <c r="L151" s="1683"/>
      <c r="M151" s="1683"/>
      <c r="N151" s="1683"/>
      <c r="O151" s="1683"/>
      <c r="P151" s="1683"/>
      <c r="Q151" s="1683"/>
      <c r="R151" s="1683"/>
      <c r="S151" s="1683"/>
      <c r="T151" s="1683"/>
    </row>
    <row r="152" spans="1:24" ht="8.1" customHeight="1">
      <c r="A152" s="333"/>
      <c r="B152" s="333"/>
      <c r="C152" s="333"/>
      <c r="D152" s="333"/>
      <c r="E152" s="333"/>
      <c r="F152" s="333"/>
      <c r="G152" s="333"/>
      <c r="H152" s="333"/>
      <c r="I152" s="337"/>
      <c r="J152" s="333"/>
      <c r="K152" s="333"/>
      <c r="L152" s="333"/>
      <c r="M152" s="333"/>
      <c r="N152" s="333"/>
      <c r="O152" s="333"/>
      <c r="P152" s="333"/>
      <c r="Q152" s="333"/>
      <c r="R152" s="333"/>
      <c r="S152" s="333"/>
      <c r="T152" s="333"/>
      <c r="U152" s="333"/>
      <c r="V152" s="333"/>
      <c r="W152" s="333"/>
      <c r="X152" s="333"/>
    </row>
    <row r="153" spans="1:24" ht="8.1" customHeight="1"/>
    <row r="154" spans="1:24">
      <c r="A154" s="1879" t="s">
        <v>1346</v>
      </c>
      <c r="B154" s="1680"/>
      <c r="C154" s="1680"/>
      <c r="D154" s="1680"/>
      <c r="E154" s="656" t="str">
        <f>":  " &amp; IF('DATA INDUK'!$H$17="","",'DATA INDUK'!$H$17)</f>
        <v>:  23/MGS/53/II/2026</v>
      </c>
      <c r="G154" s="340"/>
      <c r="H154" s="340"/>
      <c r="I154" s="16"/>
      <c r="J154" s="340"/>
      <c r="K154" s="335"/>
      <c r="L154" s="335"/>
      <c r="M154" s="335"/>
      <c r="N154" s="335"/>
      <c r="O154" s="335"/>
      <c r="P154" s="335"/>
      <c r="Q154" s="335"/>
      <c r="R154" s="335"/>
      <c r="S154" s="335"/>
      <c r="T154" s="335"/>
      <c r="U154" s="335"/>
      <c r="V154" s="335"/>
      <c r="W154" s="335"/>
      <c r="X154" s="1249"/>
    </row>
    <row r="155" spans="1:24">
      <c r="A155" s="1634" t="s">
        <v>1347</v>
      </c>
      <c r="B155" s="1635"/>
      <c r="C155" s="1635"/>
      <c r="D155" s="1635"/>
      <c r="E155" s="794" t="str">
        <f>":  "&amp;IF('DATA INDUK'!$H$18="","",'DATA INDUK'!$H$18)</f>
        <v>:  R0</v>
      </c>
      <c r="G155" s="672"/>
      <c r="H155" s="672"/>
      <c r="I155" s="1127"/>
      <c r="J155" s="672" t="s">
        <v>1348</v>
      </c>
      <c r="K155" s="672"/>
      <c r="L155" s="672"/>
      <c r="M155" s="1636" t="str">
        <f>":  "&amp;IF('DATA INDUK'!$H$19="","",TEXT('DATA INDUK'!$H$19,"dd mmmm yyyy"))</f>
        <v>:  29 January 2026</v>
      </c>
      <c r="N155" s="1636"/>
      <c r="O155" s="1636"/>
      <c r="P155" s="1636"/>
      <c r="Q155" s="1636"/>
      <c r="R155" s="1194"/>
      <c r="S155" s="1127"/>
      <c r="T155" s="1649" t="s">
        <v>1349</v>
      </c>
      <c r="U155" s="1649"/>
      <c r="V155" s="1649"/>
      <c r="W155" s="1635" t="str">
        <f>":  3 dari 3"</f>
        <v>:  3 dari 3</v>
      </c>
      <c r="X155" s="1648"/>
    </row>
    <row r="156" spans="1:24" ht="8.1" customHeight="1"/>
    <row r="157" spans="1:24" ht="21.95" customHeight="1">
      <c r="A157" s="1878" t="s">
        <v>288</v>
      </c>
      <c r="B157" s="1878"/>
      <c r="C157" s="1878"/>
      <c r="D157" s="1878"/>
      <c r="E157" s="1878"/>
      <c r="F157" s="1878"/>
      <c r="G157" s="1878"/>
      <c r="H157" s="1878"/>
      <c r="I157" s="1878"/>
      <c r="J157" s="1878"/>
      <c r="K157" s="1878"/>
      <c r="L157" s="1878"/>
      <c r="M157" s="1878"/>
      <c r="N157" s="1878"/>
      <c r="O157" s="1878"/>
      <c r="P157" s="1878"/>
      <c r="Q157" s="1878"/>
      <c r="R157" s="1878"/>
      <c r="S157" s="1878"/>
      <c r="T157" s="1878"/>
      <c r="U157" s="1878"/>
      <c r="V157" s="1878"/>
      <c r="W157" s="1878"/>
      <c r="X157" s="1878"/>
    </row>
    <row r="159" spans="1:24">
      <c r="A159" s="1117" t="s">
        <v>1400</v>
      </c>
      <c r="B159" s="1117"/>
      <c r="C159" s="1117"/>
      <c r="D159" s="1117"/>
      <c r="E159" s="1117"/>
      <c r="F159" s="1117"/>
      <c r="G159" s="1117"/>
      <c r="H159" s="1117"/>
      <c r="I159" s="1118"/>
      <c r="J159" s="1117"/>
      <c r="K159" s="1117"/>
      <c r="L159" s="1117"/>
      <c r="M159" s="1117"/>
      <c r="N159" s="1117"/>
      <c r="O159" s="1117"/>
      <c r="P159" s="1174"/>
      <c r="Q159" s="1174"/>
      <c r="R159" s="1174"/>
      <c r="S159" s="1174"/>
      <c r="T159" s="1174"/>
      <c r="U159" s="1174"/>
      <c r="V159" s="1174"/>
      <c r="W159" s="1174"/>
      <c r="X159" s="1174"/>
    </row>
    <row r="160" spans="1:24">
      <c r="A160" s="335"/>
      <c r="B160" s="335"/>
      <c r="C160" s="540" t="s">
        <v>1389</v>
      </c>
      <c r="D160" s="15"/>
      <c r="E160" s="15"/>
      <c r="F160" s="15"/>
      <c r="G160" s="15"/>
      <c r="H160" s="15"/>
      <c r="I160" s="1176"/>
      <c r="J160" s="15"/>
      <c r="K160" s="15"/>
      <c r="L160" s="15"/>
      <c r="M160" s="335"/>
      <c r="N160" s="335"/>
      <c r="O160" s="335"/>
    </row>
    <row r="161" spans="1:15">
      <c r="A161" s="335"/>
      <c r="B161" s="335"/>
      <c r="C161" s="1248" t="s">
        <v>1390</v>
      </c>
      <c r="D161" s="15"/>
      <c r="E161" s="15"/>
      <c r="F161" s="15"/>
      <c r="G161" s="15"/>
      <c r="H161" s="15"/>
      <c r="I161" s="1176"/>
      <c r="J161" s="15"/>
      <c r="K161" s="15"/>
      <c r="L161" s="15"/>
      <c r="M161" s="335"/>
      <c r="N161" s="335"/>
      <c r="O161" s="335"/>
    </row>
    <row r="178" spans="1:24">
      <c r="A178" s="1117" t="s">
        <v>1401</v>
      </c>
      <c r="B178" s="1117"/>
      <c r="C178" s="1117"/>
      <c r="D178" s="1117"/>
      <c r="E178" s="1117"/>
      <c r="F178" s="1117"/>
      <c r="G178" s="1117"/>
      <c r="H178" s="1117"/>
      <c r="I178" s="1118"/>
      <c r="J178" s="1117"/>
      <c r="K178" s="1117"/>
      <c r="L178" s="1117"/>
      <c r="M178" s="1117"/>
      <c r="N178" s="1117"/>
      <c r="O178" s="1117"/>
      <c r="P178" s="1174"/>
      <c r="Q178" s="1174"/>
      <c r="R178" s="1174"/>
      <c r="S178" s="1174"/>
      <c r="T178" s="1174"/>
      <c r="U178" s="1174"/>
      <c r="V178" s="1174"/>
      <c r="W178" s="1174"/>
      <c r="X178" s="1174"/>
    </row>
    <row r="208" spans="8:24">
      <c r="H208" s="686"/>
      <c r="I208" s="687"/>
      <c r="J208" s="686"/>
      <c r="K208" s="686"/>
      <c r="L208" s="686"/>
      <c r="M208" s="686"/>
      <c r="N208" s="686"/>
      <c r="O208" s="686"/>
      <c r="P208" s="686"/>
      <c r="Q208" s="686"/>
      <c r="R208" s="686"/>
      <c r="S208" s="686"/>
      <c r="U208" s="20" t="s">
        <v>1537</v>
      </c>
      <c r="V208" s="686"/>
      <c r="W208" s="686"/>
      <c r="X208" s="686"/>
    </row>
    <row r="209" spans="1:27">
      <c r="A209" s="700" t="s">
        <v>297</v>
      </c>
      <c r="B209" s="338"/>
      <c r="C209" s="338"/>
      <c r="D209" s="4"/>
      <c r="E209" s="4"/>
      <c r="F209" s="4"/>
      <c r="G209" s="690"/>
      <c r="H209" s="1798" t="s">
        <v>623</v>
      </c>
      <c r="I209" s="1798"/>
      <c r="J209" s="1798"/>
      <c r="K209" s="1799"/>
      <c r="L209" s="1800" t="s">
        <v>292</v>
      </c>
      <c r="M209" s="1800"/>
      <c r="N209" s="1800"/>
      <c r="O209" s="1801"/>
      <c r="P209" s="1802" t="s">
        <v>294</v>
      </c>
      <c r="Q209" s="1798"/>
      <c r="R209" s="1798"/>
      <c r="S209" s="1799"/>
      <c r="U209" s="698"/>
      <c r="V209" s="688"/>
      <c r="W209" s="688"/>
      <c r="X209" s="694"/>
    </row>
    <row r="210" spans="1:27" ht="15.95" customHeight="1">
      <c r="G210" s="691"/>
      <c r="H210" s="1675" t="s">
        <v>624</v>
      </c>
      <c r="I210" s="1675"/>
      <c r="J210" s="1675"/>
      <c r="K210" s="1785"/>
      <c r="L210" s="1675" t="s">
        <v>293</v>
      </c>
      <c r="M210" s="1675"/>
      <c r="N210" s="1675"/>
      <c r="O210" s="1785"/>
      <c r="P210" s="1794" t="s">
        <v>295</v>
      </c>
      <c r="Q210" s="1675"/>
      <c r="R210" s="1675"/>
      <c r="S210" s="1785"/>
      <c r="U210" s="697"/>
      <c r="X210" s="691"/>
    </row>
    <row r="211" spans="1:27">
      <c r="G211" s="691"/>
      <c r="I211" s="911"/>
      <c r="J211" s="911"/>
      <c r="K211" s="1121"/>
      <c r="O211" s="690"/>
      <c r="P211" s="697"/>
      <c r="S211" s="691"/>
      <c r="U211" s="697"/>
      <c r="X211" s="691"/>
    </row>
    <row r="212" spans="1:27">
      <c r="G212" s="691"/>
      <c r="H212" s="911"/>
      <c r="I212" s="911"/>
      <c r="J212" s="911"/>
      <c r="K212" s="1121"/>
      <c r="O212" s="690"/>
      <c r="P212" s="697"/>
      <c r="S212" s="691"/>
      <c r="U212" s="697"/>
      <c r="X212" s="691"/>
    </row>
    <row r="213" spans="1:27">
      <c r="G213" s="691"/>
      <c r="H213" s="911"/>
      <c r="I213" s="911"/>
      <c r="J213" s="911"/>
      <c r="K213" s="1121"/>
      <c r="O213" s="690"/>
      <c r="P213" s="697"/>
      <c r="S213" s="691"/>
      <c r="U213" s="697"/>
      <c r="X213" s="691"/>
    </row>
    <row r="214" spans="1:27">
      <c r="G214" s="691"/>
      <c r="H214" s="1797" t="str">
        <f>C64</f>
        <v>RIZKI</v>
      </c>
      <c r="I214" s="1665"/>
      <c r="J214" s="1665"/>
      <c r="K214" s="1796"/>
      <c r="L214" s="1665" t="str">
        <f>H64</f>
        <v>NOUFAL</v>
      </c>
      <c r="M214" s="1665"/>
      <c r="N214" s="1665"/>
      <c r="O214" s="1796"/>
      <c r="P214" s="1797" t="str">
        <f>M64</f>
        <v>A.SUMARTADJI</v>
      </c>
      <c r="Q214" s="1665"/>
      <c r="R214" s="1665"/>
      <c r="S214" s="1796"/>
      <c r="U214" s="697"/>
      <c r="X214" s="691"/>
    </row>
    <row r="215" spans="1:27">
      <c r="G215" s="691"/>
      <c r="H215" s="1668" t="str">
        <f>C65</f>
        <v>Teknisi/Analis</v>
      </c>
      <c r="I215" s="1668"/>
      <c r="J215" s="1668"/>
      <c r="K215" s="1755"/>
      <c r="L215" s="1668" t="str">
        <f>H65</f>
        <v>Koordinator Teknis</v>
      </c>
      <c r="M215" s="1668"/>
      <c r="N215" s="1668"/>
      <c r="O215" s="1755"/>
      <c r="P215" s="1754" t="str">
        <f>M65</f>
        <v>Kepala Laboratorium</v>
      </c>
      <c r="Q215" s="1668"/>
      <c r="R215" s="1668"/>
      <c r="S215" s="1755"/>
      <c r="U215" s="699"/>
      <c r="V215" s="358"/>
      <c r="W215" s="358"/>
      <c r="X215" s="695"/>
      <c r="Y215" s="358"/>
      <c r="Z215" s="358"/>
      <c r="AA215" s="358"/>
    </row>
    <row r="216" spans="1:27" ht="15.95" customHeight="1">
      <c r="G216" s="691"/>
      <c r="H216" s="1803" t="s">
        <v>291</v>
      </c>
      <c r="I216" s="1803"/>
      <c r="J216" s="1804">
        <f>E66</f>
        <v>46050</v>
      </c>
      <c r="K216" s="1805"/>
      <c r="L216" s="1806" t="s">
        <v>300</v>
      </c>
      <c r="M216" s="1806"/>
      <c r="N216" s="1807">
        <f>J66</f>
        <v>46050</v>
      </c>
      <c r="O216" s="1808"/>
      <c r="P216" s="1809" t="s">
        <v>301</v>
      </c>
      <c r="Q216" s="1810"/>
      <c r="R216" s="1792">
        <f>P66</f>
        <v>46050</v>
      </c>
      <c r="S216" s="1793"/>
      <c r="U216" s="692"/>
      <c r="V216" s="693"/>
      <c r="W216" s="693"/>
      <c r="X216" s="696"/>
    </row>
    <row r="217" spans="1:27" ht="8.1" customHeight="1">
      <c r="H217" s="688"/>
      <c r="I217" s="689"/>
      <c r="J217" s="688"/>
      <c r="K217" s="688"/>
      <c r="L217" s="688"/>
      <c r="M217" s="688"/>
      <c r="N217" s="688"/>
      <c r="O217" s="688"/>
      <c r="P217" s="688"/>
      <c r="Q217" s="688"/>
      <c r="R217" s="688"/>
      <c r="S217" s="688"/>
    </row>
    <row r="218" spans="1:27" ht="12" customHeight="1">
      <c r="B218" s="356"/>
      <c r="C218" s="356"/>
      <c r="D218" s="356"/>
      <c r="E218" s="356"/>
      <c r="T218" s="2070" t="str">
        <f>'DATA INDUK'!$BT$38</f>
        <v>23-MINEARTH-RM-LHU-TRX-CU-R0</v>
      </c>
      <c r="U218" s="2070"/>
      <c r="V218" s="2070"/>
      <c r="W218" s="2070"/>
      <c r="X218" s="2070"/>
    </row>
    <row r="219" spans="1:27" ht="18" customHeight="1">
      <c r="A219" s="362"/>
      <c r="B219" s="362"/>
      <c r="C219" s="362"/>
      <c r="D219" s="362"/>
      <c r="E219" s="362"/>
    </row>
    <row r="220" spans="1:27" ht="8.1" customHeight="1"/>
  </sheetData>
  <mergeCells count="226">
    <mergeCell ref="N15:R16"/>
    <mergeCell ref="S15:X16"/>
    <mergeCell ref="A9:L9"/>
    <mergeCell ref="A12:L12"/>
    <mergeCell ref="N12:X12"/>
    <mergeCell ref="A14:D14"/>
    <mergeCell ref="E14:L14"/>
    <mergeCell ref="F1:T1"/>
    <mergeCell ref="F2:T2"/>
    <mergeCell ref="F3:T3"/>
    <mergeCell ref="N13:R13"/>
    <mergeCell ref="S13:X13"/>
    <mergeCell ref="N14:R14"/>
    <mergeCell ref="S14:X14"/>
    <mergeCell ref="N17:R17"/>
    <mergeCell ref="S17:X17"/>
    <mergeCell ref="N18:R19"/>
    <mergeCell ref="S18:X19"/>
    <mergeCell ref="N20:R21"/>
    <mergeCell ref="S20:X21"/>
    <mergeCell ref="N22:R23"/>
    <mergeCell ref="S22:X23"/>
    <mergeCell ref="A30:G30"/>
    <mergeCell ref="A26:T26"/>
    <mergeCell ref="U26:U27"/>
    <mergeCell ref="V26:X27"/>
    <mergeCell ref="A27:T27"/>
    <mergeCell ref="A19:D20"/>
    <mergeCell ref="A17:L17"/>
    <mergeCell ref="N30:T31"/>
    <mergeCell ref="U30:X31"/>
    <mergeCell ref="N38:R38"/>
    <mergeCell ref="S38:X38"/>
    <mergeCell ref="N39:R39"/>
    <mergeCell ref="S39:X39"/>
    <mergeCell ref="A34:G34"/>
    <mergeCell ref="A35:G35"/>
    <mergeCell ref="A32:G32"/>
    <mergeCell ref="A33:G33"/>
    <mergeCell ref="A21:D22"/>
    <mergeCell ref="E21:L22"/>
    <mergeCell ref="A31:G31"/>
    <mergeCell ref="A36:G36"/>
    <mergeCell ref="A37:G37"/>
    <mergeCell ref="A38:G38"/>
    <mergeCell ref="H30:L30"/>
    <mergeCell ref="H31:L31"/>
    <mergeCell ref="S44:T45"/>
    <mergeCell ref="U48:V49"/>
    <mergeCell ref="W48:X49"/>
    <mergeCell ref="U40:V41"/>
    <mergeCell ref="W40:X41"/>
    <mergeCell ref="N42:R43"/>
    <mergeCell ref="S42:T43"/>
    <mergeCell ref="U42:V43"/>
    <mergeCell ref="W42:X43"/>
    <mergeCell ref="N40:R41"/>
    <mergeCell ref="S40:T41"/>
    <mergeCell ref="S46:T47"/>
    <mergeCell ref="U46:V47"/>
    <mergeCell ref="W46:X47"/>
    <mergeCell ref="N44:R45"/>
    <mergeCell ref="C60:G60"/>
    <mergeCell ref="H60:L60"/>
    <mergeCell ref="M60:R60"/>
    <mergeCell ref="C64:G64"/>
    <mergeCell ref="H64:L64"/>
    <mergeCell ref="M64:R64"/>
    <mergeCell ref="N56:R57"/>
    <mergeCell ref="S56:T57"/>
    <mergeCell ref="U56:V57"/>
    <mergeCell ref="C59:G59"/>
    <mergeCell ref="H59:L59"/>
    <mergeCell ref="M59:R59"/>
    <mergeCell ref="A68:C72"/>
    <mergeCell ref="F78:T78"/>
    <mergeCell ref="F79:T79"/>
    <mergeCell ref="F80:T80"/>
    <mergeCell ref="A82:D82"/>
    <mergeCell ref="A83:D83"/>
    <mergeCell ref="W83:X83"/>
    <mergeCell ref="C65:G65"/>
    <mergeCell ref="H65:L65"/>
    <mergeCell ref="M65:R65"/>
    <mergeCell ref="C66:D66"/>
    <mergeCell ref="E66:G66"/>
    <mergeCell ref="H66:I66"/>
    <mergeCell ref="J66:L66"/>
    <mergeCell ref="M66:O66"/>
    <mergeCell ref="P66:R66"/>
    <mergeCell ref="C125:H125"/>
    <mergeCell ref="I125:J125"/>
    <mergeCell ref="C126:H126"/>
    <mergeCell ref="I126:J126"/>
    <mergeCell ref="C128:H128"/>
    <mergeCell ref="I128:J128"/>
    <mergeCell ref="A85:T85"/>
    <mergeCell ref="U85:U86"/>
    <mergeCell ref="V85:X86"/>
    <mergeCell ref="A86:T86"/>
    <mergeCell ref="C124:H124"/>
    <mergeCell ref="I124:K124"/>
    <mergeCell ref="C129:H129"/>
    <mergeCell ref="I129:J129"/>
    <mergeCell ref="C131:G131"/>
    <mergeCell ref="H131:L131"/>
    <mergeCell ref="M131:R131"/>
    <mergeCell ref="F151:T151"/>
    <mergeCell ref="C132:G132"/>
    <mergeCell ref="H132:L132"/>
    <mergeCell ref="M132:R132"/>
    <mergeCell ref="H136:L136"/>
    <mergeCell ref="M136:R136"/>
    <mergeCell ref="C137:G137"/>
    <mergeCell ref="H137:L137"/>
    <mergeCell ref="M137:R137"/>
    <mergeCell ref="A140:C144"/>
    <mergeCell ref="F149:T149"/>
    <mergeCell ref="F150:T150"/>
    <mergeCell ref="C138:D138"/>
    <mergeCell ref="E138:G138"/>
    <mergeCell ref="H138:I138"/>
    <mergeCell ref="J138:L138"/>
    <mergeCell ref="M138:O138"/>
    <mergeCell ref="P138:R138"/>
    <mergeCell ref="P216:Q216"/>
    <mergeCell ref="R216:S216"/>
    <mergeCell ref="H210:K210"/>
    <mergeCell ref="L210:O210"/>
    <mergeCell ref="P210:S210"/>
    <mergeCell ref="H214:K214"/>
    <mergeCell ref="L214:O214"/>
    <mergeCell ref="P214:S214"/>
    <mergeCell ref="A157:X157"/>
    <mergeCell ref="H209:K209"/>
    <mergeCell ref="L209:O209"/>
    <mergeCell ref="P209:S209"/>
    <mergeCell ref="T218:X218"/>
    <mergeCell ref="A6:D6"/>
    <mergeCell ref="A7:D7"/>
    <mergeCell ref="M7:Q7"/>
    <mergeCell ref="T7:V7"/>
    <mergeCell ref="W7:X7"/>
    <mergeCell ref="A13:D13"/>
    <mergeCell ref="E13:L13"/>
    <mergeCell ref="H215:K215"/>
    <mergeCell ref="L215:O215"/>
    <mergeCell ref="P215:S215"/>
    <mergeCell ref="H216:I216"/>
    <mergeCell ref="J216:K216"/>
    <mergeCell ref="L216:M216"/>
    <mergeCell ref="N216:O216"/>
    <mergeCell ref="M83:Q83"/>
    <mergeCell ref="T83:V83"/>
    <mergeCell ref="C136:G136"/>
    <mergeCell ref="A154:D154"/>
    <mergeCell ref="A155:D155"/>
    <mergeCell ref="M155:Q155"/>
    <mergeCell ref="T155:V155"/>
    <mergeCell ref="W155:X155"/>
    <mergeCell ref="E19:L20"/>
    <mergeCell ref="L45:L46"/>
    <mergeCell ref="L47:L48"/>
    <mergeCell ref="L49:L50"/>
    <mergeCell ref="L51:L52"/>
    <mergeCell ref="L53:L54"/>
    <mergeCell ref="L55:L56"/>
    <mergeCell ref="H41:L42"/>
    <mergeCell ref="H37:L37"/>
    <mergeCell ref="H38:L38"/>
    <mergeCell ref="J43:K44"/>
    <mergeCell ref="J45:K46"/>
    <mergeCell ref="J47:K48"/>
    <mergeCell ref="J49:K50"/>
    <mergeCell ref="J51:K52"/>
    <mergeCell ref="J53:K54"/>
    <mergeCell ref="J55:K56"/>
    <mergeCell ref="L43:L44"/>
    <mergeCell ref="A53:G54"/>
    <mergeCell ref="A55:G56"/>
    <mergeCell ref="H53:I54"/>
    <mergeCell ref="H55:I56"/>
    <mergeCell ref="U32:X32"/>
    <mergeCell ref="U33:X33"/>
    <mergeCell ref="U34:X34"/>
    <mergeCell ref="U35:X35"/>
    <mergeCell ref="U36:X36"/>
    <mergeCell ref="N32:T32"/>
    <mergeCell ref="N33:T33"/>
    <mergeCell ref="N34:T34"/>
    <mergeCell ref="N35:T35"/>
    <mergeCell ref="N36:T36"/>
    <mergeCell ref="H32:L32"/>
    <mergeCell ref="H33:L33"/>
    <mergeCell ref="H34:L34"/>
    <mergeCell ref="H35:L35"/>
    <mergeCell ref="H36:L36"/>
    <mergeCell ref="W56:X57"/>
    <mergeCell ref="U52:V53"/>
    <mergeCell ref="W52:X53"/>
    <mergeCell ref="N54:R55"/>
    <mergeCell ref="S54:T55"/>
    <mergeCell ref="U54:V55"/>
    <mergeCell ref="W54:X55"/>
    <mergeCell ref="N52:R53"/>
    <mergeCell ref="S52:T53"/>
    <mergeCell ref="N50:R51"/>
    <mergeCell ref="S50:T51"/>
    <mergeCell ref="U50:V51"/>
    <mergeCell ref="W50:X51"/>
    <mergeCell ref="A41:G42"/>
    <mergeCell ref="A43:G44"/>
    <mergeCell ref="A45:G46"/>
    <mergeCell ref="A47:G48"/>
    <mergeCell ref="A49:G50"/>
    <mergeCell ref="A51:G52"/>
    <mergeCell ref="H43:I44"/>
    <mergeCell ref="H45:I46"/>
    <mergeCell ref="H47:I48"/>
    <mergeCell ref="H49:I50"/>
    <mergeCell ref="H51:I52"/>
    <mergeCell ref="N48:R49"/>
    <mergeCell ref="S48:T49"/>
    <mergeCell ref="U44:V45"/>
    <mergeCell ref="W44:X45"/>
    <mergeCell ref="N46:R47"/>
  </mergeCells>
  <pageMargins left="0.72" right="0.47" top="0.59" bottom="0.51" header="0.28000000000000003" footer="0.28000000000000003"/>
  <pageSetup paperSize="9" scale="70" orientation="portrait" r:id="rId1"/>
  <rowBreaks count="2" manualBreakCount="2">
    <brk id="76" max="23" man="1"/>
    <brk id="148" max="23" man="1"/>
  </rowBreaks>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B575-829F-9E42-88E3-1902F44582C4}">
  <dimension ref="A1:BI465"/>
  <sheetViews>
    <sheetView topLeftCell="P443" zoomScale="80" zoomScaleNormal="80" workbookViewId="0">
      <selection activeCell="Y61" sqref="Y61"/>
    </sheetView>
  </sheetViews>
  <sheetFormatPr defaultColWidth="11" defaultRowHeight="15.75"/>
  <cols>
    <col min="3" max="3" width="14.625" bestFit="1" customWidth="1"/>
    <col min="4" max="4" width="11.375" bestFit="1" customWidth="1"/>
    <col min="17" max="17" width="11.625" bestFit="1" customWidth="1"/>
    <col min="26" max="26" width="13.625" bestFit="1" customWidth="1"/>
    <col min="37" max="37" width="11.625" bestFit="1" customWidth="1"/>
    <col min="46" max="46" width="12.125" bestFit="1" customWidth="1"/>
  </cols>
  <sheetData>
    <row r="1" spans="1:20" ht="18">
      <c r="A1" s="708" t="s">
        <v>701</v>
      </c>
      <c r="B1" s="708"/>
      <c r="C1" s="708"/>
      <c r="D1" s="708"/>
      <c r="E1" s="708"/>
      <c r="F1" s="708"/>
      <c r="G1" s="708"/>
      <c r="H1" s="708"/>
      <c r="I1" s="708"/>
      <c r="J1" s="708"/>
      <c r="K1" s="708"/>
      <c r="L1" s="708"/>
      <c r="M1" s="708"/>
      <c r="N1" s="708"/>
      <c r="O1" s="708"/>
      <c r="P1" s="708"/>
      <c r="Q1" s="708"/>
      <c r="R1" s="708"/>
      <c r="S1" s="708"/>
      <c r="T1" s="708"/>
    </row>
    <row r="2" spans="1:20" ht="23.25">
      <c r="A2" s="663" t="s">
        <v>806</v>
      </c>
      <c r="B2" s="663"/>
      <c r="C2" s="663"/>
      <c r="D2" s="663"/>
      <c r="E2" s="663"/>
      <c r="F2" s="663"/>
      <c r="G2" s="663"/>
      <c r="H2" s="663"/>
      <c r="I2" s="663"/>
      <c r="J2" s="663"/>
      <c r="K2" s="663"/>
      <c r="L2" s="663"/>
      <c r="M2" s="663"/>
      <c r="N2" s="663"/>
      <c r="O2" s="663"/>
      <c r="P2" s="663"/>
      <c r="Q2" s="663"/>
      <c r="R2" s="663"/>
      <c r="S2" s="663"/>
      <c r="T2" s="663"/>
    </row>
    <row r="3" spans="1:20" ht="23.25">
      <c r="A3" s="664" t="s">
        <v>807</v>
      </c>
      <c r="B3" s="662"/>
      <c r="C3" s="662"/>
      <c r="D3" s="662"/>
      <c r="E3" s="662"/>
      <c r="F3" s="662"/>
      <c r="G3" s="662"/>
      <c r="H3" s="662"/>
      <c r="I3" s="662"/>
      <c r="J3" s="662"/>
      <c r="K3" s="662"/>
      <c r="L3" s="662"/>
      <c r="M3" s="662"/>
      <c r="N3" s="662"/>
      <c r="O3" s="662"/>
      <c r="P3" s="662"/>
      <c r="Q3" s="662"/>
      <c r="R3" s="662"/>
      <c r="S3" s="662"/>
      <c r="T3" s="662"/>
    </row>
    <row r="4" spans="1:20">
      <c r="A4" s="709"/>
      <c r="B4" s="709"/>
      <c r="C4" s="709"/>
      <c r="D4" s="709"/>
      <c r="E4" s="709"/>
      <c r="F4" s="709"/>
      <c r="G4" s="709"/>
      <c r="H4" s="709"/>
      <c r="I4" s="709"/>
      <c r="J4" s="709"/>
      <c r="K4" s="709"/>
      <c r="L4" s="709"/>
      <c r="M4" s="709"/>
      <c r="N4" s="709"/>
      <c r="O4" s="709"/>
      <c r="P4" s="709"/>
      <c r="Q4" s="709"/>
      <c r="R4" s="709"/>
      <c r="S4" s="709"/>
      <c r="T4" s="709"/>
    </row>
    <row r="5" spans="1:20">
      <c r="A5" s="335" t="s">
        <v>837</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 t="s">
        <v>775</v>
      </c>
      <c r="B7" s="1"/>
      <c r="C7" s="1"/>
      <c r="D7" s="539" t="str">
        <f>IFERROR(INDEX('DATA INDUK'!$H$27:$H$152,MATCH(ROW(D1),'DATA INDUK'!$BF$27:$BF$152,0)),"")</f>
        <v>26-001-DS-001</v>
      </c>
      <c r="E7" s="13"/>
      <c r="F7" s="13"/>
      <c r="G7" s="13"/>
      <c r="H7" s="15"/>
      <c r="I7" s="15"/>
      <c r="J7" s="15"/>
      <c r="K7" s="15"/>
      <c r="L7" s="15"/>
      <c r="M7" s="15"/>
      <c r="N7" s="15"/>
      <c r="O7" s="15"/>
      <c r="P7" s="15"/>
      <c r="Q7" s="15"/>
      <c r="R7" s="15"/>
      <c r="S7" s="15"/>
      <c r="T7" s="335"/>
    </row>
    <row r="8" spans="1:20">
      <c r="A8" s="13"/>
      <c r="B8" s="13"/>
      <c r="C8" s="13"/>
      <c r="D8" s="540"/>
      <c r="E8" s="15"/>
      <c r="F8" s="15"/>
      <c r="G8" s="15"/>
      <c r="H8" s="15"/>
      <c r="I8" s="15"/>
      <c r="J8" s="15"/>
      <c r="K8" s="15"/>
      <c r="L8" s="15"/>
      <c r="M8" s="15"/>
      <c r="N8" s="15"/>
      <c r="O8" s="15"/>
      <c r="P8" s="15"/>
      <c r="Q8" s="15"/>
      <c r="R8" s="15"/>
      <c r="S8" s="15"/>
      <c r="T8" s="15"/>
    </row>
    <row r="9" spans="1:20">
      <c r="A9" s="1"/>
      <c r="B9" s="1"/>
      <c r="C9" s="1"/>
      <c r="D9" s="13"/>
      <c r="E9" s="15"/>
      <c r="F9" s="15"/>
      <c r="G9" s="15"/>
      <c r="H9" s="15"/>
      <c r="I9" s="15"/>
      <c r="J9" s="15"/>
      <c r="K9" s="15"/>
      <c r="L9" s="1" t="s">
        <v>703</v>
      </c>
      <c r="M9" s="1"/>
      <c r="N9" s="1"/>
      <c r="O9" s="15" t="str">
        <f>IF($D$7="","",P9)</f>
        <v>RAFLY</v>
      </c>
      <c r="P9" s="588" t="s">
        <v>1054</v>
      </c>
      <c r="Q9" s="15"/>
      <c r="R9" s="15"/>
      <c r="S9" s="15"/>
      <c r="T9" s="15" t="str">
        <f>"TTD_"&amp;O9&amp;""</f>
        <v>TTD_RAFLY</v>
      </c>
    </row>
    <row r="10" spans="1:20">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row>
    <row r="11" spans="1:20">
      <c r="A11" s="1" t="s">
        <v>778</v>
      </c>
      <c r="B11" s="1"/>
      <c r="C11" s="1"/>
      <c r="D11" s="13" t="str">
        <f>IFERROR(INDEX('DATA INDUK'!$D$27:$D$152,MATCH(ROW(D1),'DATA INDUK'!$BF$27:$BF$152,0)),"")</f>
        <v>Disturbed Sample</v>
      </c>
      <c r="E11" s="15"/>
      <c r="F11" s="1520" t="s">
        <v>1659</v>
      </c>
      <c r="G11" s="15"/>
      <c r="H11" s="15"/>
      <c r="I11" s="15"/>
      <c r="J11" s="15"/>
      <c r="K11" s="15"/>
      <c r="L11" s="13" t="s">
        <v>716</v>
      </c>
      <c r="M11" s="15"/>
      <c r="N11" s="15"/>
      <c r="O11" s="15" t="str">
        <f t="shared" si="0"/>
        <v>A.SUMARTADJI</v>
      </c>
      <c r="P11" s="588" t="s">
        <v>766</v>
      </c>
      <c r="Q11" s="15"/>
      <c r="R11" s="15"/>
      <c r="S11" s="15"/>
      <c r="T11" s="15" t="str">
        <f>"TTD_"&amp;O11&amp;""</f>
        <v>TTD_A.SUMARTADJI</v>
      </c>
    </row>
    <row r="12" spans="1:20">
      <c r="A12" s="1" t="s">
        <v>779</v>
      </c>
      <c r="B12" s="1"/>
      <c r="C12" s="1"/>
      <c r="D12" s="1573" t="s">
        <v>1637</v>
      </c>
      <c r="E12" s="15"/>
      <c r="F12" s="1520" t="str">
        <f>IFERROR(INDEX($BE$56:$BE$67,
MATCH(D12,$BH$56:$BH$67,0)),
"CHECK DESKRIPSI")</f>
        <v>CSL</v>
      </c>
      <c r="G12" s="15"/>
      <c r="H12" s="15"/>
      <c r="I12" s="15"/>
      <c r="J12" s="15"/>
      <c r="K12" s="15"/>
      <c r="L12" s="1" t="s">
        <v>705</v>
      </c>
      <c r="M12" s="1"/>
      <c r="N12" s="1"/>
      <c r="O12" s="715"/>
      <c r="P12" s="15"/>
      <c r="Q12" s="15"/>
      <c r="R12" s="15"/>
      <c r="S12" s="15"/>
      <c r="T12" s="335"/>
    </row>
    <row r="13" spans="1:20">
      <c r="A13" s="1" t="s">
        <v>780</v>
      </c>
      <c r="B13" s="1"/>
      <c r="C13" s="1"/>
      <c r="D13" s="714"/>
      <c r="E13" s="15"/>
      <c r="F13" s="15"/>
      <c r="G13" s="15"/>
      <c r="H13" s="15"/>
      <c r="I13" s="15"/>
      <c r="J13" s="15"/>
      <c r="K13" s="15"/>
      <c r="L13" s="15"/>
      <c r="M13" s="15"/>
      <c r="N13" s="15"/>
      <c r="O13" s="15"/>
      <c r="P13" s="15"/>
      <c r="Q13" s="15"/>
      <c r="R13" s="15"/>
      <c r="S13" s="15"/>
      <c r="T13" s="335"/>
    </row>
    <row r="14" spans="1:20"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20">
      <c r="A15" s="539"/>
      <c r="B15" s="539"/>
      <c r="C15" s="539"/>
      <c r="D15" s="540"/>
      <c r="E15" s="540"/>
      <c r="F15" s="540"/>
      <c r="G15" s="540"/>
      <c r="H15" s="540"/>
      <c r="I15" s="540"/>
      <c r="J15" s="540"/>
      <c r="K15" s="540"/>
      <c r="L15" s="540"/>
      <c r="M15" s="540"/>
      <c r="N15" s="540"/>
      <c r="O15" s="540"/>
      <c r="P15" s="540"/>
      <c r="Q15" s="540"/>
      <c r="R15" s="540"/>
      <c r="S15" s="540"/>
      <c r="T15" s="531"/>
    </row>
    <row r="16" spans="1:20">
      <c r="A16" s="539"/>
      <c r="B16" s="539"/>
      <c r="C16" s="539"/>
      <c r="D16" s="540"/>
      <c r="E16" s="540"/>
      <c r="F16" s="540"/>
      <c r="G16" s="540"/>
      <c r="H16" s="540"/>
      <c r="I16" s="540"/>
      <c r="J16" s="540"/>
      <c r="K16" s="540"/>
      <c r="L16" s="540"/>
      <c r="M16" s="540"/>
      <c r="N16" s="540"/>
      <c r="O16" s="540"/>
      <c r="P16" s="540"/>
      <c r="Q16" s="540"/>
      <c r="R16" s="540"/>
      <c r="S16" s="540"/>
      <c r="T16" s="531"/>
    </row>
    <row r="17" spans="1:20">
      <c r="A17" s="539"/>
      <c r="B17" s="116" t="s">
        <v>575</v>
      </c>
      <c r="D17" s="116" t="s">
        <v>798</v>
      </c>
      <c r="E17" s="540"/>
      <c r="F17" s="540"/>
      <c r="G17" s="540"/>
      <c r="H17" s="540"/>
      <c r="I17" s="540"/>
      <c r="J17" s="540"/>
      <c r="K17" s="540"/>
      <c r="L17" s="540"/>
      <c r="M17" s="540"/>
      <c r="N17" s="540"/>
      <c r="O17" s="540"/>
      <c r="P17" s="540"/>
      <c r="Q17" s="540"/>
      <c r="R17" s="540"/>
      <c r="S17" s="540"/>
      <c r="T17" s="531"/>
    </row>
    <row r="18" spans="1:20">
      <c r="A18" s="539"/>
      <c r="B18" t="s">
        <v>799</v>
      </c>
      <c r="D18" t="s">
        <v>839</v>
      </c>
      <c r="E18" s="540"/>
      <c r="F18" s="540"/>
      <c r="G18" s="540" t="s">
        <v>828</v>
      </c>
      <c r="H18" s="540"/>
      <c r="I18" s="540"/>
      <c r="J18" s="540"/>
      <c r="K18" s="540"/>
      <c r="L18" s="540"/>
      <c r="M18" s="540"/>
      <c r="N18" s="540"/>
      <c r="O18" s="540"/>
      <c r="P18" s="540"/>
      <c r="Q18" s="540"/>
      <c r="R18" s="540"/>
      <c r="S18" s="540"/>
      <c r="T18" s="531"/>
    </row>
    <row r="19" spans="1:20">
      <c r="A19" s="539"/>
      <c r="B19" t="s">
        <v>838</v>
      </c>
      <c r="D19" t="str">
        <f>E19</f>
        <v>No</v>
      </c>
      <c r="E19" t="s">
        <v>1</v>
      </c>
      <c r="F19" s="540"/>
      <c r="G19" s="540" t="s">
        <v>1</v>
      </c>
      <c r="H19" s="540"/>
      <c r="I19" s="540"/>
      <c r="J19" s="540"/>
      <c r="K19" s="540"/>
      <c r="L19" s="540"/>
      <c r="M19" s="540"/>
      <c r="N19" s="540"/>
      <c r="O19" s="540"/>
      <c r="P19" s="540"/>
      <c r="Q19" s="540"/>
      <c r="R19" s="540"/>
      <c r="S19" s="540"/>
      <c r="T19" s="531"/>
    </row>
    <row r="20" spans="1:20">
      <c r="A20" s="539"/>
      <c r="B20" t="s">
        <v>802</v>
      </c>
      <c r="D20" t="str">
        <f>E20</f>
        <v>No</v>
      </c>
      <c r="E20" t="s">
        <v>1</v>
      </c>
      <c r="F20" s="540"/>
      <c r="G20" s="540"/>
      <c r="H20" s="540"/>
      <c r="I20" s="540"/>
      <c r="J20" s="540"/>
      <c r="K20" s="540"/>
      <c r="L20" s="540"/>
      <c r="M20" s="540"/>
      <c r="N20" s="540"/>
      <c r="O20" s="540"/>
      <c r="P20" s="540"/>
      <c r="Q20" s="540"/>
      <c r="R20" s="540"/>
      <c r="S20" s="540"/>
      <c r="T20" s="531"/>
    </row>
    <row r="21" spans="1:20">
      <c r="A21" s="539"/>
      <c r="B21" t="s">
        <v>803</v>
      </c>
      <c r="D21" t="str">
        <f>E21</f>
        <v>With Side drain</v>
      </c>
      <c r="E21" t="s">
        <v>817</v>
      </c>
      <c r="F21" s="540"/>
      <c r="G21" s="540" t="s">
        <v>817</v>
      </c>
      <c r="H21" s="540"/>
      <c r="I21" s="540"/>
      <c r="J21" s="540"/>
      <c r="K21" s="540"/>
      <c r="L21" s="540"/>
      <c r="M21" s="540"/>
      <c r="N21" s="540"/>
      <c r="O21" s="540"/>
      <c r="P21" s="540"/>
      <c r="Q21" s="540"/>
      <c r="R21" s="540"/>
      <c r="S21" s="540"/>
      <c r="T21" s="531"/>
    </row>
    <row r="22" spans="1:20">
      <c r="A22" s="539"/>
      <c r="B22" t="s">
        <v>804</v>
      </c>
      <c r="D22" t="s">
        <v>805</v>
      </c>
      <c r="E22" s="540"/>
      <c r="F22" s="540"/>
      <c r="G22" s="540" t="s">
        <v>829</v>
      </c>
      <c r="H22" s="540"/>
      <c r="I22" s="540"/>
      <c r="J22" s="540"/>
      <c r="K22" s="540"/>
      <c r="L22" s="540"/>
      <c r="M22" s="540"/>
      <c r="N22" s="540"/>
      <c r="O22" s="540"/>
      <c r="P22" s="540"/>
      <c r="Q22" s="540"/>
      <c r="R22" s="540"/>
      <c r="S22" s="540"/>
      <c r="T22" s="531"/>
    </row>
    <row r="23" spans="1:20">
      <c r="A23" s="539"/>
      <c r="B23" s="539"/>
      <c r="C23" s="539"/>
      <c r="D23" s="540"/>
      <c r="E23" s="540"/>
      <c r="F23" s="540"/>
      <c r="G23" s="540"/>
      <c r="H23" s="540"/>
      <c r="I23" s="540"/>
      <c r="J23" s="540"/>
      <c r="K23" s="540"/>
      <c r="L23" s="540"/>
      <c r="M23" s="540"/>
      <c r="N23" s="540"/>
      <c r="O23" s="540"/>
      <c r="P23" s="540"/>
      <c r="Q23" s="540"/>
      <c r="R23" s="540"/>
      <c r="S23" s="540"/>
      <c r="T23" s="531"/>
    </row>
    <row r="33" spans="1:50" ht="20.100000000000001" customHeight="1"/>
    <row r="34" spans="1:50" ht="24" customHeight="1">
      <c r="A34" s="116"/>
      <c r="B34" s="2084" t="s">
        <v>181</v>
      </c>
      <c r="C34" s="2084"/>
      <c r="D34" s="2084"/>
      <c r="E34" s="2084"/>
      <c r="F34" s="2084"/>
      <c r="G34" s="2084"/>
      <c r="H34" s="2084"/>
      <c r="I34" s="2084"/>
      <c r="J34" s="2084"/>
      <c r="K34" s="2084"/>
      <c r="L34" s="2084"/>
      <c r="M34" s="2084"/>
      <c r="N34" s="2084"/>
      <c r="R34" s="2084" t="s">
        <v>182</v>
      </c>
      <c r="S34" s="2084"/>
      <c r="T34" s="2084"/>
      <c r="U34" s="2084"/>
      <c r="V34" s="2084"/>
      <c r="W34" s="2084"/>
      <c r="X34" s="2084"/>
      <c r="Y34" s="2084"/>
      <c r="Z34" s="2084"/>
      <c r="AA34" s="2084"/>
      <c r="AB34" s="2084"/>
      <c r="AC34" s="2084"/>
      <c r="AD34" s="2084"/>
      <c r="AI34" s="2084" t="s">
        <v>183</v>
      </c>
      <c r="AJ34" s="2084"/>
      <c r="AK34" s="2084"/>
      <c r="AL34" s="2084"/>
      <c r="AM34" s="2084"/>
      <c r="AN34" s="2084"/>
      <c r="AO34" s="2084"/>
      <c r="AP34" s="2084"/>
      <c r="AQ34" s="2084"/>
      <c r="AR34" s="2084"/>
      <c r="AS34" s="2084"/>
      <c r="AT34" s="2084"/>
      <c r="AU34" s="2084"/>
    </row>
    <row r="36" spans="1:50" ht="23.25">
      <c r="A36" s="1443"/>
      <c r="B36" s="1442" t="s">
        <v>106</v>
      </c>
      <c r="C36" s="1443"/>
      <c r="D36" s="1443"/>
      <c r="E36" s="1443"/>
      <c r="F36" s="1443"/>
      <c r="G36" s="1443"/>
      <c r="H36" s="1443"/>
      <c r="I36" s="1443"/>
      <c r="J36" s="1443"/>
      <c r="K36" s="1443"/>
      <c r="L36" s="1443"/>
      <c r="M36" s="1443"/>
      <c r="N36" s="1443"/>
      <c r="O36" s="1443"/>
      <c r="P36" s="1443"/>
      <c r="Q36" s="1443"/>
      <c r="R36" s="1443"/>
      <c r="S36" s="1443"/>
      <c r="T36" s="1443"/>
      <c r="U36" s="1443"/>
      <c r="V36" s="1443"/>
      <c r="W36" s="1443"/>
      <c r="X36" s="1443"/>
      <c r="Y36" s="1443"/>
      <c r="Z36" s="1443"/>
      <c r="AA36" s="1443"/>
      <c r="AB36" s="1443"/>
      <c r="AC36" s="1443"/>
      <c r="AD36" s="1443"/>
      <c r="AE36" s="1443"/>
      <c r="AF36" s="1443"/>
      <c r="AG36" s="1443"/>
      <c r="AH36" s="1443"/>
      <c r="AI36" s="1443"/>
      <c r="AJ36" s="1443"/>
      <c r="AK36" s="1443"/>
      <c r="AL36" s="1443"/>
      <c r="AM36" s="1443"/>
      <c r="AN36" s="1443"/>
      <c r="AO36" s="1443"/>
      <c r="AP36" s="1443"/>
      <c r="AQ36" s="1443"/>
      <c r="AR36" s="1443"/>
      <c r="AS36" s="1443"/>
      <c r="AT36" s="1443"/>
      <c r="AU36" s="1443"/>
      <c r="AV36" s="1443"/>
      <c r="AW36" s="1443"/>
      <c r="AX36" s="1443"/>
    </row>
    <row r="38" spans="1:50">
      <c r="B38" s="75" t="s">
        <v>124</v>
      </c>
      <c r="C38" s="75"/>
      <c r="E38" s="100" t="s">
        <v>118</v>
      </c>
      <c r="F38" s="21"/>
      <c r="G38" s="101" t="s">
        <v>120</v>
      </c>
      <c r="I38" s="326"/>
      <c r="J38" s="326"/>
      <c r="K38" s="326"/>
      <c r="R38" s="75" t="s">
        <v>124</v>
      </c>
      <c r="S38" s="75"/>
      <c r="U38" s="100" t="s">
        <v>118</v>
      </c>
      <c r="V38" s="21"/>
      <c r="W38" s="101" t="s">
        <v>120</v>
      </c>
      <c r="Y38" s="1361"/>
      <c r="Z38" s="1361"/>
      <c r="AA38" s="1361"/>
      <c r="AB38" s="1361"/>
      <c r="AI38" s="75" t="s">
        <v>124</v>
      </c>
      <c r="AJ38" s="75"/>
      <c r="AL38" s="100" t="s">
        <v>118</v>
      </c>
      <c r="AM38" s="21"/>
      <c r="AN38" s="101" t="s">
        <v>120</v>
      </c>
      <c r="AP38" s="1360" t="s">
        <v>110</v>
      </c>
      <c r="AQ38" s="1360"/>
      <c r="AR38" s="1360"/>
      <c r="AS38" s="1455">
        <v>145</v>
      </c>
    </row>
    <row r="39" spans="1:50">
      <c r="B39" s="2041" t="s">
        <v>119</v>
      </c>
      <c r="C39" s="2041"/>
      <c r="D39" s="102">
        <v>76</v>
      </c>
      <c r="E39" s="21" t="s">
        <v>75</v>
      </c>
      <c r="F39">
        <f>D39/10</f>
        <v>7.6</v>
      </c>
      <c r="G39" s="21" t="s">
        <v>45</v>
      </c>
      <c r="I39" s="326"/>
      <c r="J39" s="326"/>
      <c r="K39" s="326"/>
      <c r="N39" s="21"/>
      <c r="R39" s="4" t="s">
        <v>119</v>
      </c>
      <c r="S39" s="4"/>
      <c r="T39" s="102">
        <v>76.400000000000006</v>
      </c>
      <c r="U39" s="21" t="s">
        <v>75</v>
      </c>
      <c r="V39">
        <f>T39/10</f>
        <v>7.6400000000000006</v>
      </c>
      <c r="W39" s="21" t="s">
        <v>45</v>
      </c>
      <c r="Y39" s="1361"/>
      <c r="Z39" s="1361"/>
      <c r="AA39" s="1361"/>
      <c r="AD39" s="21"/>
      <c r="AI39" s="4" t="s">
        <v>119</v>
      </c>
      <c r="AJ39" s="4"/>
      <c r="AK39" s="102">
        <v>76.400000000000006</v>
      </c>
      <c r="AL39" s="21" t="s">
        <v>75</v>
      </c>
      <c r="AM39">
        <f>AK39/10</f>
        <v>7.6400000000000006</v>
      </c>
      <c r="AN39" s="21" t="s">
        <v>45</v>
      </c>
      <c r="AP39" s="1360" t="s">
        <v>111</v>
      </c>
      <c r="AQ39" s="1360"/>
      <c r="AR39" s="1360"/>
      <c r="AS39" s="1387">
        <v>149.88999999999999</v>
      </c>
      <c r="AU39" s="21"/>
    </row>
    <row r="40" spans="1:50">
      <c r="B40" s="2041" t="s">
        <v>125</v>
      </c>
      <c r="C40" s="2041"/>
      <c r="D40" s="106">
        <v>38</v>
      </c>
      <c r="E40" s="103" t="s">
        <v>75</v>
      </c>
      <c r="F40">
        <f>D40/10</f>
        <v>3.8</v>
      </c>
      <c r="G40" s="21" t="s">
        <v>45</v>
      </c>
      <c r="I40" s="984" t="s">
        <v>110</v>
      </c>
      <c r="J40" s="984"/>
      <c r="K40" s="984"/>
      <c r="L40" s="1455">
        <v>145</v>
      </c>
      <c r="N40" s="1362"/>
      <c r="R40" s="4" t="s">
        <v>125</v>
      </c>
      <c r="S40" s="4"/>
      <c r="T40" s="106">
        <v>38</v>
      </c>
      <c r="U40" s="103" t="s">
        <v>75</v>
      </c>
      <c r="V40">
        <f>T40/10</f>
        <v>3.8</v>
      </c>
      <c r="W40" s="21" t="s">
        <v>45</v>
      </c>
      <c r="Y40" s="1360" t="s">
        <v>110</v>
      </c>
      <c r="Z40" s="1360"/>
      <c r="AA40" s="1360"/>
      <c r="AB40" s="1455">
        <v>145</v>
      </c>
      <c r="AD40" s="1362"/>
      <c r="AI40" s="4" t="s">
        <v>125</v>
      </c>
      <c r="AJ40" s="4"/>
      <c r="AK40" s="106">
        <v>38</v>
      </c>
      <c r="AL40" s="103" t="s">
        <v>75</v>
      </c>
      <c r="AM40">
        <f>AK40/10</f>
        <v>3.8</v>
      </c>
      <c r="AN40" s="21" t="s">
        <v>45</v>
      </c>
      <c r="AP40" s="1360" t="s">
        <v>113</v>
      </c>
      <c r="AQ40" s="1360"/>
      <c r="AR40" s="1360"/>
      <c r="AS40" s="1388">
        <v>104.64</v>
      </c>
      <c r="AU40" s="1362"/>
    </row>
    <row r="41" spans="1:50">
      <c r="B41" s="2041" t="s">
        <v>126</v>
      </c>
      <c r="C41" s="2041"/>
      <c r="D41" s="99">
        <f>(D40^2*3.14)/4</f>
        <v>1133.54</v>
      </c>
      <c r="E41" s="103" t="s">
        <v>107</v>
      </c>
      <c r="F41" s="104">
        <f>(F40^2*3.14)/4</f>
        <v>11.3354</v>
      </c>
      <c r="G41" s="105" t="s">
        <v>121</v>
      </c>
      <c r="I41" s="984" t="s">
        <v>111</v>
      </c>
      <c r="J41" s="984"/>
      <c r="K41" s="984"/>
      <c r="L41" s="1387">
        <v>149</v>
      </c>
      <c r="N41" s="1363"/>
      <c r="R41" s="4" t="s">
        <v>126</v>
      </c>
      <c r="S41" s="4"/>
      <c r="T41" s="99">
        <f>(T40^2*3.14)/4</f>
        <v>1133.54</v>
      </c>
      <c r="U41" s="103" t="s">
        <v>107</v>
      </c>
      <c r="V41" s="104">
        <f>(V40^2*3.14)/4</f>
        <v>11.3354</v>
      </c>
      <c r="W41" s="105" t="s">
        <v>121</v>
      </c>
      <c r="Y41" s="1360" t="s">
        <v>111</v>
      </c>
      <c r="Z41" s="1360"/>
      <c r="AA41" s="1360"/>
      <c r="AB41" s="1387">
        <v>149.87</v>
      </c>
      <c r="AD41" s="1363"/>
      <c r="AI41" s="4" t="s">
        <v>126</v>
      </c>
      <c r="AJ41" s="4"/>
      <c r="AK41" s="99">
        <f>(AK40^2*3.14)/4</f>
        <v>1133.54</v>
      </c>
      <c r="AL41" s="103" t="s">
        <v>107</v>
      </c>
      <c r="AM41" s="104">
        <f>(AM40^2*3.14)/4</f>
        <v>11.3354</v>
      </c>
      <c r="AN41" s="105" t="s">
        <v>121</v>
      </c>
      <c r="AP41" s="1360" t="s">
        <v>114</v>
      </c>
      <c r="AQ41" s="1360"/>
      <c r="AR41" s="1360"/>
      <c r="AS41" s="1456">
        <f>IFERROR(VLOOKUP(AS38,$BA$55:$BB$196,2,0),0)</f>
        <v>0</v>
      </c>
      <c r="AU41" s="1363"/>
    </row>
    <row r="42" spans="1:50">
      <c r="B42" s="2041" t="s">
        <v>127</v>
      </c>
      <c r="C42" s="2041"/>
      <c r="D42" s="99">
        <f>D41*D39</f>
        <v>86149.04</v>
      </c>
      <c r="E42" s="103" t="s">
        <v>122</v>
      </c>
      <c r="F42" s="104">
        <f>F41*F39</f>
        <v>86.149039999999999</v>
      </c>
      <c r="G42" s="105" t="s">
        <v>104</v>
      </c>
      <c r="I42" s="984" t="s">
        <v>113</v>
      </c>
      <c r="J42" s="984"/>
      <c r="K42" s="984"/>
      <c r="L42" s="1388">
        <v>104.09</v>
      </c>
      <c r="N42" s="1363"/>
      <c r="R42" s="4" t="s">
        <v>127</v>
      </c>
      <c r="S42" s="4"/>
      <c r="T42" s="99">
        <f>T41*T39</f>
        <v>86602.456000000006</v>
      </c>
      <c r="U42" s="103" t="s">
        <v>122</v>
      </c>
      <c r="V42" s="104">
        <f>V41*V39</f>
        <v>86.602456000000004</v>
      </c>
      <c r="W42" s="105" t="s">
        <v>104</v>
      </c>
      <c r="Y42" s="1360" t="s">
        <v>113</v>
      </c>
      <c r="Z42" s="1360"/>
      <c r="AA42" s="1360"/>
      <c r="AB42" s="1388">
        <v>104.67</v>
      </c>
      <c r="AD42" s="1363"/>
      <c r="AI42" s="4" t="s">
        <v>127</v>
      </c>
      <c r="AJ42" s="4"/>
      <c r="AK42" s="99">
        <f>AK41*AK39</f>
        <v>86602.456000000006</v>
      </c>
      <c r="AL42" s="103" t="s">
        <v>122</v>
      </c>
      <c r="AM42" s="104">
        <f>AM41*AM39</f>
        <v>86.602456000000004</v>
      </c>
      <c r="AN42" s="105" t="s">
        <v>104</v>
      </c>
      <c r="AP42" s="1360" t="s">
        <v>115</v>
      </c>
      <c r="AQ42" s="1360"/>
      <c r="AR42" s="1360"/>
      <c r="AS42" s="1389">
        <f>AS39-AS41</f>
        <v>149.88999999999999</v>
      </c>
      <c r="AU42" s="1363"/>
    </row>
    <row r="43" spans="1:50">
      <c r="B43" s="2041" t="s">
        <v>73</v>
      </c>
      <c r="C43" s="2041"/>
      <c r="D43" s="42">
        <f>L44/F42</f>
        <v>1.7295607704972684</v>
      </c>
      <c r="E43" t="s">
        <v>123</v>
      </c>
      <c r="F43" s="42"/>
      <c r="I43" s="984" t="s">
        <v>114</v>
      </c>
      <c r="J43" s="984"/>
      <c r="K43" s="984"/>
      <c r="L43" s="1456">
        <f>IFERROR(VLOOKUP(L40,$BA$55:$BB$196,2,0),0)</f>
        <v>0</v>
      </c>
      <c r="N43" s="1364"/>
      <c r="R43" s="4" t="s">
        <v>73</v>
      </c>
      <c r="S43" s="4"/>
      <c r="T43" s="78">
        <f>AB44/V42</f>
        <v>1.7305513829769446</v>
      </c>
      <c r="U43" t="s">
        <v>123</v>
      </c>
      <c r="V43" s="78"/>
      <c r="Y43" s="1360" t="s">
        <v>114</v>
      </c>
      <c r="Z43" s="1360"/>
      <c r="AA43" s="1360"/>
      <c r="AB43" s="1456">
        <f>IFERROR(VLOOKUP(AB40,$BA$55:$BB$196,2,0),0)</f>
        <v>0</v>
      </c>
      <c r="AD43" s="1364"/>
      <c r="AI43" s="4" t="s">
        <v>73</v>
      </c>
      <c r="AJ43" s="4"/>
      <c r="AK43" s="78">
        <f>AS42/AM42</f>
        <v>1.7307823233096298</v>
      </c>
      <c r="AL43" t="s">
        <v>123</v>
      </c>
      <c r="AM43" s="78"/>
      <c r="AP43" s="1360" t="s">
        <v>116</v>
      </c>
      <c r="AQ43" s="1360"/>
      <c r="AR43" s="1360"/>
      <c r="AS43" s="1389">
        <f>AS40-AS41</f>
        <v>104.64</v>
      </c>
      <c r="AU43" s="1364"/>
    </row>
    <row r="44" spans="1:50">
      <c r="B44" s="2041" t="s">
        <v>108</v>
      </c>
      <c r="C44" s="2041"/>
      <c r="D44" s="42">
        <f>L47</f>
        <v>43.145354981266209</v>
      </c>
      <c r="E44" t="s">
        <v>34</v>
      </c>
      <c r="I44" s="984" t="s">
        <v>115</v>
      </c>
      <c r="J44" s="984"/>
      <c r="K44" s="984"/>
      <c r="L44" s="1389">
        <f>L41-L43</f>
        <v>149</v>
      </c>
      <c r="N44" s="42"/>
      <c r="R44" s="4" t="s">
        <v>108</v>
      </c>
      <c r="S44" s="4"/>
      <c r="T44" s="78">
        <f>AB47</f>
        <v>43.18333811025127</v>
      </c>
      <c r="U44" t="s">
        <v>34</v>
      </c>
      <c r="V44" s="21"/>
      <c r="Y44" s="1360" t="s">
        <v>115</v>
      </c>
      <c r="Z44" s="1360"/>
      <c r="AA44" s="1360"/>
      <c r="AB44" s="1389">
        <f>AB41-AB43</f>
        <v>149.87</v>
      </c>
      <c r="AD44" s="42"/>
      <c r="AI44" s="4" t="s">
        <v>108</v>
      </c>
      <c r="AJ44" s="4"/>
      <c r="AK44" s="78">
        <f>AS45</f>
        <v>43.243501529051976</v>
      </c>
      <c r="AL44" t="s">
        <v>34</v>
      </c>
      <c r="AM44" s="21"/>
      <c r="AP44" s="1360" t="s">
        <v>117</v>
      </c>
      <c r="AQ44" s="1360"/>
      <c r="AR44" s="1360"/>
      <c r="AS44" s="1389">
        <f>AS42-AS43</f>
        <v>45.249999999999986</v>
      </c>
      <c r="AU44" s="42"/>
    </row>
    <row r="45" spans="1:50">
      <c r="B45" s="2041" t="s">
        <v>109</v>
      </c>
      <c r="C45" s="2041"/>
      <c r="D45" s="42">
        <f>D43/(1+(D44/100))</f>
        <v>1.2082549033628232</v>
      </c>
      <c r="E45" t="s">
        <v>123</v>
      </c>
      <c r="F45" s="42"/>
      <c r="I45" s="984" t="s">
        <v>116</v>
      </c>
      <c r="J45" s="984"/>
      <c r="K45" s="984"/>
      <c r="L45" s="1389">
        <f>L42-L43</f>
        <v>104.09</v>
      </c>
      <c r="N45" s="42"/>
      <c r="R45" s="4" t="s">
        <v>109</v>
      </c>
      <c r="S45" s="4"/>
      <c r="T45" s="42">
        <f>T43/(1+(T44/100))</f>
        <v>1.2086262311082723</v>
      </c>
      <c r="U45" t="s">
        <v>123</v>
      </c>
      <c r="V45" s="78"/>
      <c r="Y45" s="1360" t="s">
        <v>116</v>
      </c>
      <c r="Z45" s="1360"/>
      <c r="AA45" s="1360"/>
      <c r="AB45" s="1389">
        <f>AB42-AB43</f>
        <v>104.67</v>
      </c>
      <c r="AD45" s="42"/>
      <c r="AI45" s="4" t="s">
        <v>109</v>
      </c>
      <c r="AJ45" s="4"/>
      <c r="AK45" s="42">
        <f>AK43/(1+(AK44/100))</f>
        <v>1.2082798206092444</v>
      </c>
      <c r="AL45" t="s">
        <v>123</v>
      </c>
      <c r="AM45" s="78"/>
      <c r="AP45" s="1360" t="s">
        <v>108</v>
      </c>
      <c r="AQ45" s="1360"/>
      <c r="AR45" s="1360"/>
      <c r="AS45" s="1389">
        <f>(AS44/AS43)*100</f>
        <v>43.243501529051976</v>
      </c>
      <c r="AU45" s="42"/>
    </row>
    <row r="46" spans="1:50">
      <c r="E46" s="96"/>
      <c r="F46" s="42"/>
      <c r="I46" s="984" t="s">
        <v>117</v>
      </c>
      <c r="J46" s="984"/>
      <c r="K46" s="984"/>
      <c r="L46" s="1389">
        <f>L44-L45</f>
        <v>44.91</v>
      </c>
      <c r="N46" s="42"/>
      <c r="U46" s="96"/>
      <c r="V46" s="42"/>
      <c r="Y46" s="1360" t="s">
        <v>117</v>
      </c>
      <c r="Z46" s="1360"/>
      <c r="AA46" s="1360"/>
      <c r="AB46" s="1389">
        <f>AB44-AB45</f>
        <v>45.2</v>
      </c>
      <c r="AD46" s="42"/>
      <c r="AL46" s="96"/>
      <c r="AM46" s="42"/>
      <c r="AU46" s="42"/>
    </row>
    <row r="47" spans="1:50">
      <c r="E47" s="96"/>
      <c r="F47" s="42"/>
      <c r="I47" s="984" t="s">
        <v>108</v>
      </c>
      <c r="J47" s="984"/>
      <c r="K47" s="984"/>
      <c r="L47" s="1389">
        <f>(L46/L45)*100</f>
        <v>43.145354981266209</v>
      </c>
      <c r="N47" s="42"/>
      <c r="U47" s="96"/>
      <c r="V47" s="42"/>
      <c r="Y47" s="1360" t="s">
        <v>108</v>
      </c>
      <c r="Z47" s="1360"/>
      <c r="AA47" s="1360"/>
      <c r="AB47" s="1389">
        <f>(AB46/AB45)*100</f>
        <v>43.18333811025127</v>
      </c>
      <c r="AD47" s="42"/>
      <c r="AL47" s="96"/>
      <c r="AM47" s="42"/>
      <c r="AU47" s="42"/>
    </row>
    <row r="48" spans="1:50">
      <c r="E48" s="96"/>
      <c r="F48" s="42"/>
    </row>
    <row r="49" spans="1:61">
      <c r="E49" s="96"/>
      <c r="F49" s="42"/>
    </row>
    <row r="50" spans="1:61" s="1445" customFormat="1" ht="25.5" customHeight="1">
      <c r="A50" s="1443"/>
      <c r="B50" s="1442" t="s">
        <v>76</v>
      </c>
      <c r="C50" s="1443"/>
      <c r="D50" s="1443"/>
      <c r="E50" s="1443"/>
      <c r="F50" s="1443"/>
      <c r="G50" s="1443"/>
      <c r="H50" s="1443"/>
      <c r="I50" s="1443"/>
      <c r="J50" s="1443"/>
      <c r="K50" s="1443"/>
      <c r="L50" s="1443"/>
      <c r="M50" s="1443"/>
      <c r="N50" s="1443"/>
      <c r="O50" s="1443"/>
      <c r="P50" s="1443"/>
      <c r="Q50" s="1443"/>
      <c r="R50" s="1443"/>
      <c r="S50" s="1443"/>
      <c r="T50" s="1443"/>
      <c r="U50" s="1443"/>
      <c r="V50" s="1443"/>
      <c r="W50" s="1443"/>
      <c r="X50" s="1443"/>
      <c r="Y50" s="1443"/>
      <c r="Z50" s="1443"/>
      <c r="AA50" s="1443"/>
      <c r="AB50" s="1443"/>
      <c r="AC50" s="1443"/>
      <c r="AD50" s="1443"/>
      <c r="AE50" s="1443"/>
      <c r="AF50" s="1443"/>
      <c r="AG50" s="1443"/>
      <c r="AH50" s="1443"/>
      <c r="AI50" s="1443"/>
      <c r="AJ50" s="1443"/>
      <c r="AK50" s="1443"/>
      <c r="AL50" s="1443"/>
      <c r="AM50" s="1443"/>
      <c r="AN50" s="1443"/>
      <c r="AO50" s="1443"/>
      <c r="AP50" s="1443"/>
      <c r="AQ50" s="1443"/>
      <c r="AR50" s="1443"/>
      <c r="AS50" s="1443"/>
      <c r="AT50" s="1443"/>
      <c r="AU50" s="1443"/>
      <c r="AV50" s="1443"/>
      <c r="AW50" s="1443"/>
      <c r="AX50" s="1443"/>
    </row>
    <row r="52" spans="1:61" ht="33.950000000000003" customHeight="1">
      <c r="B52" s="44" t="s">
        <v>77</v>
      </c>
      <c r="C52" s="45" t="s">
        <v>78</v>
      </c>
      <c r="D52" s="45" t="s">
        <v>79</v>
      </c>
      <c r="E52" s="46" t="s">
        <v>80</v>
      </c>
      <c r="F52" s="2055" t="s">
        <v>81</v>
      </c>
      <c r="G52" s="2057" t="s">
        <v>82</v>
      </c>
      <c r="H52" s="2058"/>
      <c r="I52" s="2059"/>
      <c r="J52" s="2052" t="s">
        <v>83</v>
      </c>
      <c r="K52" s="2053"/>
      <c r="L52" s="2053"/>
      <c r="M52" s="2053"/>
      <c r="N52" s="2053"/>
      <c r="P52" s="1319"/>
      <c r="S52" s="1390" t="s">
        <v>77</v>
      </c>
      <c r="T52" s="1390" t="s">
        <v>78</v>
      </c>
      <c r="U52" s="1390" t="s">
        <v>79</v>
      </c>
      <c r="V52" s="1391" t="s">
        <v>80</v>
      </c>
      <c r="W52" s="2085" t="s">
        <v>81</v>
      </c>
      <c r="X52" s="2085" t="s">
        <v>82</v>
      </c>
      <c r="Y52" s="2085"/>
      <c r="Z52" s="2085"/>
      <c r="AA52" s="2082" t="s">
        <v>83</v>
      </c>
      <c r="AB52" s="2082"/>
      <c r="AC52" s="2082"/>
      <c r="AD52" s="2082"/>
      <c r="AE52" s="2082"/>
      <c r="AF52" s="1319"/>
      <c r="AJ52" s="1392" t="s">
        <v>77</v>
      </c>
      <c r="AK52" s="1392" t="s">
        <v>78</v>
      </c>
      <c r="AL52" s="1392" t="s">
        <v>79</v>
      </c>
      <c r="AM52" s="8" t="s">
        <v>80</v>
      </c>
      <c r="AN52" s="2085" t="s">
        <v>81</v>
      </c>
      <c r="AO52" s="2085" t="s">
        <v>82</v>
      </c>
      <c r="AP52" s="2085"/>
      <c r="AQ52" s="2085"/>
      <c r="AR52" s="2082" t="s">
        <v>83</v>
      </c>
      <c r="AS52" s="2082"/>
      <c r="AT52" s="2082"/>
      <c r="AU52" s="2082"/>
      <c r="AV52" s="2082"/>
      <c r="AW52" s="1319"/>
    </row>
    <row r="53" spans="1:61" ht="47.25">
      <c r="B53" s="47" t="s">
        <v>84</v>
      </c>
      <c r="C53" s="48" t="s">
        <v>84</v>
      </c>
      <c r="D53" s="48" t="s">
        <v>84</v>
      </c>
      <c r="E53" s="48" t="s">
        <v>84</v>
      </c>
      <c r="F53" s="2083"/>
      <c r="G53" s="48" t="s">
        <v>85</v>
      </c>
      <c r="H53" s="48" t="s">
        <v>86</v>
      </c>
      <c r="I53" s="48" t="s">
        <v>87</v>
      </c>
      <c r="J53" s="49" t="s">
        <v>85</v>
      </c>
      <c r="K53" s="50" t="s">
        <v>86</v>
      </c>
      <c r="L53" s="168" t="s">
        <v>87</v>
      </c>
      <c r="M53" s="1316" t="s">
        <v>88</v>
      </c>
      <c r="N53" s="1316" t="s">
        <v>89</v>
      </c>
      <c r="S53" s="1393" t="s">
        <v>84</v>
      </c>
      <c r="T53" s="1393" t="s">
        <v>84</v>
      </c>
      <c r="U53" s="1393" t="s">
        <v>84</v>
      </c>
      <c r="V53" s="1393" t="s">
        <v>84</v>
      </c>
      <c r="W53" s="2086"/>
      <c r="X53" s="1393" t="s">
        <v>85</v>
      </c>
      <c r="Y53" s="1393" t="s">
        <v>86</v>
      </c>
      <c r="Z53" s="1393" t="s">
        <v>87</v>
      </c>
      <c r="AA53" s="1395" t="s">
        <v>85</v>
      </c>
      <c r="AB53" s="1393" t="s">
        <v>86</v>
      </c>
      <c r="AC53" s="1394" t="s">
        <v>87</v>
      </c>
      <c r="AD53" s="1396" t="s">
        <v>88</v>
      </c>
      <c r="AE53" s="1396" t="s">
        <v>89</v>
      </c>
      <c r="AJ53" s="1393" t="s">
        <v>84</v>
      </c>
      <c r="AK53" s="1393" t="s">
        <v>84</v>
      </c>
      <c r="AL53" s="1393" t="s">
        <v>84</v>
      </c>
      <c r="AM53" s="1393" t="s">
        <v>84</v>
      </c>
      <c r="AN53" s="2086"/>
      <c r="AO53" s="1393" t="s">
        <v>85</v>
      </c>
      <c r="AP53" s="1393" t="s">
        <v>86</v>
      </c>
      <c r="AQ53" s="1393" t="s">
        <v>87</v>
      </c>
      <c r="AR53" s="1395" t="s">
        <v>85</v>
      </c>
      <c r="AS53" s="1393" t="s">
        <v>86</v>
      </c>
      <c r="AT53" s="1394" t="s">
        <v>87</v>
      </c>
      <c r="AU53" s="1426" t="s">
        <v>88</v>
      </c>
      <c r="AV53" s="1426" t="s">
        <v>89</v>
      </c>
      <c r="AW53" s="326"/>
    </row>
    <row r="54" spans="1:61">
      <c r="B54" s="52"/>
      <c r="C54" s="54"/>
      <c r="D54" s="54"/>
      <c r="E54" s="55"/>
      <c r="F54" s="56"/>
      <c r="G54" s="55"/>
      <c r="H54" s="55"/>
      <c r="I54" s="55"/>
      <c r="J54" s="55"/>
      <c r="K54" s="56"/>
      <c r="L54" s="58"/>
      <c r="M54" s="58"/>
      <c r="N54" s="1317"/>
      <c r="P54" s="21"/>
      <c r="S54" s="1397"/>
      <c r="T54" s="984"/>
      <c r="U54" s="984"/>
      <c r="V54" s="1398"/>
      <c r="W54" s="1399"/>
      <c r="X54" s="1398"/>
      <c r="Y54" s="1398"/>
      <c r="Z54" s="1398"/>
      <c r="AA54" s="1400"/>
      <c r="AB54" s="1401"/>
      <c r="AC54" s="1402"/>
      <c r="AD54" s="1400"/>
      <c r="AE54" s="1400"/>
      <c r="AJ54" s="1427"/>
      <c r="AK54" s="1394"/>
      <c r="AL54" s="1394"/>
      <c r="AM54" s="1393"/>
      <c r="AN54" s="1395"/>
      <c r="AO54" s="1393"/>
      <c r="AP54" s="1393"/>
      <c r="AQ54" s="1393"/>
      <c r="AR54" s="1393"/>
      <c r="AS54" s="1428"/>
      <c r="AT54" s="1429"/>
      <c r="AU54" s="1393"/>
      <c r="AV54" s="1393"/>
      <c r="AW54" s="326"/>
      <c r="BA54" s="1384" t="s">
        <v>366</v>
      </c>
      <c r="BB54" s="1375"/>
      <c r="BE54" s="370" t="s">
        <v>1641</v>
      </c>
      <c r="BF54" s="370"/>
      <c r="BG54" s="370"/>
      <c r="BH54" s="370"/>
      <c r="BI54" s="370"/>
    </row>
    <row r="55" spans="1:61">
      <c r="B55" s="59">
        <v>0</v>
      </c>
      <c r="C55" s="60">
        <v>0</v>
      </c>
      <c r="D55">
        <v>0</v>
      </c>
      <c r="E55" s="61"/>
      <c r="F55" s="62"/>
      <c r="G55" s="61"/>
      <c r="H55" s="61"/>
      <c r="I55" s="61"/>
      <c r="J55" s="61"/>
      <c r="K55" s="62"/>
      <c r="L55" s="64"/>
      <c r="M55" s="64"/>
      <c r="N55" s="1318"/>
      <c r="S55" s="1403">
        <v>0</v>
      </c>
      <c r="T55" s="1403">
        <v>0</v>
      </c>
      <c r="U55" s="1419">
        <v>0</v>
      </c>
      <c r="V55" s="1398"/>
      <c r="W55" s="1399"/>
      <c r="X55" s="1398"/>
      <c r="Y55" s="1398"/>
      <c r="Z55" s="1398"/>
      <c r="AA55" s="1400"/>
      <c r="AB55" s="1401"/>
      <c r="AC55" s="1402"/>
      <c r="AD55" s="1404"/>
      <c r="AE55" s="1404"/>
      <c r="AJ55" s="1430">
        <v>0</v>
      </c>
      <c r="AK55" s="1430">
        <v>0</v>
      </c>
      <c r="AL55" s="1431">
        <v>0</v>
      </c>
      <c r="AM55" s="1393"/>
      <c r="AN55" s="1395"/>
      <c r="AO55" s="1393"/>
      <c r="AP55" s="1393"/>
      <c r="AQ55" s="1393"/>
      <c r="AR55" s="1393"/>
      <c r="AS55" s="1428"/>
      <c r="AT55" s="1429"/>
      <c r="AU55" s="1394"/>
      <c r="AV55" s="1394"/>
      <c r="AW55" s="326"/>
      <c r="BA55" s="1376">
        <v>1</v>
      </c>
      <c r="BB55" s="1377">
        <v>9.0299999999999994</v>
      </c>
      <c r="BE55" s="370" t="s">
        <v>1611</v>
      </c>
      <c r="BF55" s="370" t="s">
        <v>1642</v>
      </c>
      <c r="BG55" s="370" t="s">
        <v>1632</v>
      </c>
      <c r="BH55" s="370" t="s">
        <v>1633</v>
      </c>
      <c r="BI55" s="370"/>
    </row>
    <row r="56" spans="1:61">
      <c r="B56" s="59">
        <v>50</v>
      </c>
      <c r="C56" s="60" t="s">
        <v>90</v>
      </c>
      <c r="D56" s="163">
        <v>10</v>
      </c>
      <c r="E56" s="61">
        <f>D56</f>
        <v>10</v>
      </c>
      <c r="F56" s="66">
        <f>E56/(B56-B55)</f>
        <v>0.2</v>
      </c>
      <c r="G56" s="61"/>
      <c r="H56" s="61"/>
      <c r="I56" s="61"/>
      <c r="J56" s="164">
        <v>18.100000000000001</v>
      </c>
      <c r="K56" s="164">
        <v>23.1</v>
      </c>
      <c r="L56" s="166">
        <f>ABS(K56-J56)</f>
        <v>5</v>
      </c>
      <c r="M56" s="64"/>
      <c r="N56" s="1318"/>
      <c r="S56" s="1403">
        <v>50</v>
      </c>
      <c r="T56" s="1403" t="s">
        <v>90</v>
      </c>
      <c r="U56" s="1420">
        <v>12</v>
      </c>
      <c r="V56" s="1398">
        <f>ABS(U56-U55)</f>
        <v>12</v>
      </c>
      <c r="W56" s="1405">
        <f>V56/(S56-S55)</f>
        <v>0.24</v>
      </c>
      <c r="X56" s="1398"/>
      <c r="Y56" s="1398"/>
      <c r="Z56" s="1398"/>
      <c r="AA56" s="1406">
        <v>17.100000000000001</v>
      </c>
      <c r="AB56" s="1406">
        <v>18.7</v>
      </c>
      <c r="AC56" s="1407">
        <f>ABS(AB56-AA56)</f>
        <v>1.5999999999999979</v>
      </c>
      <c r="AD56" s="1408">
        <f>AC56</f>
        <v>1.5999999999999979</v>
      </c>
      <c r="AE56" s="1404"/>
      <c r="AJ56" s="1430">
        <v>50</v>
      </c>
      <c r="AK56" s="1430" t="s">
        <v>90</v>
      </c>
      <c r="AL56" s="1432">
        <v>10</v>
      </c>
      <c r="AM56" s="1393">
        <f>ABS(AL56-AL55)</f>
        <v>10</v>
      </c>
      <c r="AN56" s="1374">
        <f>AM56/(AJ56-AJ55)</f>
        <v>0.2</v>
      </c>
      <c r="AO56" s="1393"/>
      <c r="AP56" s="1393"/>
      <c r="AQ56" s="1393"/>
      <c r="AR56" s="1433"/>
      <c r="AS56" s="1434"/>
      <c r="AT56" s="1429"/>
      <c r="AU56" s="1394"/>
      <c r="AV56" s="1394"/>
      <c r="AW56" s="326"/>
      <c r="BA56" s="1378">
        <v>2</v>
      </c>
      <c r="BB56" s="1379">
        <v>8.8420000000000005</v>
      </c>
      <c r="BE56" s="370" t="s">
        <v>1612</v>
      </c>
      <c r="BF56" s="370" t="s">
        <v>1613</v>
      </c>
      <c r="BG56" s="370" t="s">
        <v>1610</v>
      </c>
      <c r="BH56" s="370" t="s">
        <v>1510</v>
      </c>
      <c r="BI56" s="370"/>
    </row>
    <row r="57" spans="1:61">
      <c r="B57" s="59">
        <v>50</v>
      </c>
      <c r="C57" s="60">
        <v>40</v>
      </c>
      <c r="D57" s="163">
        <v>40</v>
      </c>
      <c r="E57" s="61"/>
      <c r="F57" s="66"/>
      <c r="G57" s="164">
        <v>22.4</v>
      </c>
      <c r="H57" s="115">
        <f>G59</f>
        <v>23.7</v>
      </c>
      <c r="I57" s="62">
        <f>ABS(G57-H57)</f>
        <v>1.3000000000000007</v>
      </c>
      <c r="J57" s="163"/>
      <c r="K57" s="164"/>
      <c r="L57" s="167"/>
      <c r="M57" s="64"/>
      <c r="N57" s="1318"/>
      <c r="S57" s="1403">
        <v>50</v>
      </c>
      <c r="T57" s="1403">
        <v>40</v>
      </c>
      <c r="U57" s="1420">
        <v>40</v>
      </c>
      <c r="V57" s="1398"/>
      <c r="W57" s="1409"/>
      <c r="X57" s="1410">
        <v>24</v>
      </c>
      <c r="Y57" s="1411">
        <f>X59</f>
        <v>24.8</v>
      </c>
      <c r="Z57" s="1399">
        <f>ABS(X57-Y57)</f>
        <v>0.80000000000000071</v>
      </c>
      <c r="AA57" s="1412"/>
      <c r="AB57" s="1413"/>
      <c r="AC57" s="1402"/>
      <c r="AD57" s="1408"/>
      <c r="AE57" s="1408">
        <f>Z57</f>
        <v>0.80000000000000071</v>
      </c>
      <c r="AJ57" s="1430">
        <v>50</v>
      </c>
      <c r="AK57" s="1430">
        <v>40</v>
      </c>
      <c r="AL57" s="1432">
        <v>40</v>
      </c>
      <c r="AM57" s="1393"/>
      <c r="AN57" s="1374"/>
      <c r="AO57" s="1435">
        <v>20</v>
      </c>
      <c r="AP57" s="1436">
        <f>AO59</f>
        <v>22.3</v>
      </c>
      <c r="AQ57" s="1395">
        <f>ABS(AO57-AP57)</f>
        <v>2.3000000000000007</v>
      </c>
      <c r="AR57" s="1433"/>
      <c r="AS57" s="1434"/>
      <c r="AT57" s="1429"/>
      <c r="AU57" s="1394"/>
      <c r="AV57" s="1394"/>
      <c r="AW57" s="326"/>
      <c r="BA57" s="1378">
        <v>3</v>
      </c>
      <c r="BB57" s="1380">
        <v>9.0410000000000004</v>
      </c>
      <c r="BE57" s="370" t="s">
        <v>1614</v>
      </c>
      <c r="BF57" s="370" t="s">
        <v>1615</v>
      </c>
      <c r="BG57" s="370" t="s">
        <v>1634</v>
      </c>
      <c r="BH57" s="370" t="s">
        <v>1635</v>
      </c>
      <c r="BI57" s="370"/>
    </row>
    <row r="58" spans="1:61">
      <c r="B58" s="59">
        <v>100</v>
      </c>
      <c r="C58" s="60" t="s">
        <v>90</v>
      </c>
      <c r="D58" s="163">
        <v>66</v>
      </c>
      <c r="E58" s="61">
        <f>ABS(D58-D57)</f>
        <v>26</v>
      </c>
      <c r="F58" s="66">
        <f>E58/(B58-B57)</f>
        <v>0.52</v>
      </c>
      <c r="G58" s="164"/>
      <c r="H58" s="115"/>
      <c r="I58" s="62"/>
      <c r="J58" s="164">
        <v>23.1</v>
      </c>
      <c r="K58" s="164">
        <v>26.3</v>
      </c>
      <c r="L58" s="166">
        <f>ABS(K58-J58)</f>
        <v>3.1999999999999993</v>
      </c>
      <c r="M58" s="64"/>
      <c r="N58" s="1318"/>
      <c r="S58" s="1403">
        <v>100</v>
      </c>
      <c r="T58" s="1403" t="s">
        <v>90</v>
      </c>
      <c r="U58" s="1420">
        <v>68</v>
      </c>
      <c r="V58" s="1398">
        <f>ABS(U58-U57)</f>
        <v>28</v>
      </c>
      <c r="W58" s="1409">
        <f>V58/(S58-S57)</f>
        <v>0.56000000000000005</v>
      </c>
      <c r="X58" s="1410"/>
      <c r="Y58" s="1411"/>
      <c r="Z58" s="1399"/>
      <c r="AA58" s="1406">
        <v>18.7</v>
      </c>
      <c r="AB58" s="1406">
        <v>22.4</v>
      </c>
      <c r="AC58" s="1407">
        <f>ABS(AB58-AA58)</f>
        <v>3.6999999999999993</v>
      </c>
      <c r="AD58" s="1408">
        <f>AC58</f>
        <v>3.6999999999999993</v>
      </c>
      <c r="AE58" s="1408"/>
      <c r="AJ58" s="1430">
        <v>100</v>
      </c>
      <c r="AK58" s="1430" t="s">
        <v>90</v>
      </c>
      <c r="AL58" s="1432">
        <v>62</v>
      </c>
      <c r="AM58" s="1393">
        <f>ABS(AL58-AL57)</f>
        <v>22</v>
      </c>
      <c r="AN58" s="1374">
        <f>AM58/(AJ58-AJ57)</f>
        <v>0.44</v>
      </c>
      <c r="AO58" s="1435"/>
      <c r="AP58" s="1436"/>
      <c r="AQ58" s="1395"/>
      <c r="AR58" s="1433"/>
      <c r="AS58" s="1434"/>
      <c r="AT58" s="1429"/>
      <c r="AU58" s="1394"/>
      <c r="AV58" s="1394"/>
      <c r="AW58" s="326"/>
      <c r="BA58" s="1381">
        <v>4</v>
      </c>
      <c r="BB58" s="1379">
        <v>8.9359999999999999</v>
      </c>
      <c r="BE58" s="370" t="s">
        <v>1617</v>
      </c>
      <c r="BF58" s="370" t="s">
        <v>1618</v>
      </c>
      <c r="BG58" s="370" t="s">
        <v>1636</v>
      </c>
      <c r="BH58" s="370" t="s">
        <v>1637</v>
      </c>
      <c r="BI58" s="370"/>
    </row>
    <row r="59" spans="1:61">
      <c r="B59" s="59">
        <v>100</v>
      </c>
      <c r="C59" s="60">
        <v>90</v>
      </c>
      <c r="D59" s="163">
        <v>90</v>
      </c>
      <c r="E59" s="61"/>
      <c r="F59" s="66"/>
      <c r="G59" s="164">
        <v>23.7</v>
      </c>
      <c r="H59" s="115">
        <f>G61</f>
        <v>26.4</v>
      </c>
      <c r="I59" s="62">
        <f>ABS(G59-H59)</f>
        <v>2.6999999999999993</v>
      </c>
      <c r="J59" s="163"/>
      <c r="K59" s="164"/>
      <c r="L59" s="167"/>
      <c r="M59" s="64"/>
      <c r="N59" s="1318"/>
      <c r="S59" s="1403">
        <v>100</v>
      </c>
      <c r="T59" s="1403">
        <v>90</v>
      </c>
      <c r="U59" s="1420">
        <v>90</v>
      </c>
      <c r="V59" s="1398"/>
      <c r="W59" s="1409"/>
      <c r="X59" s="1410">
        <v>24.8</v>
      </c>
      <c r="Y59" s="1411">
        <f>X61</f>
        <v>25.1</v>
      </c>
      <c r="Z59" s="1399">
        <f>ABS(X59-Y59)</f>
        <v>0.30000000000000071</v>
      </c>
      <c r="AA59" s="1412"/>
      <c r="AB59" s="1413"/>
      <c r="AC59" s="1402"/>
      <c r="AD59" s="1408"/>
      <c r="AE59" s="1408">
        <f>Z59</f>
        <v>0.30000000000000071</v>
      </c>
      <c r="AJ59" s="1430">
        <v>100</v>
      </c>
      <c r="AK59" s="1430">
        <v>90</v>
      </c>
      <c r="AL59" s="1432">
        <v>90</v>
      </c>
      <c r="AM59" s="1393"/>
      <c r="AN59" s="1374"/>
      <c r="AO59" s="1435">
        <v>22.3</v>
      </c>
      <c r="AP59" s="1436">
        <f>AO61</f>
        <v>25.5</v>
      </c>
      <c r="AQ59" s="1395">
        <f>ABS(AO59-AP59)</f>
        <v>3.1999999999999993</v>
      </c>
      <c r="AR59" s="1433"/>
      <c r="AS59" s="1434"/>
      <c r="AT59" s="1429"/>
      <c r="AU59" s="1394"/>
      <c r="AV59" s="1394"/>
      <c r="AW59" s="326"/>
      <c r="BA59" s="1381">
        <v>5</v>
      </c>
      <c r="BB59" s="1379">
        <v>8.8559999999999999</v>
      </c>
      <c r="BE59" s="370" t="s">
        <v>1643</v>
      </c>
      <c r="BF59" s="370" t="s">
        <v>1644</v>
      </c>
      <c r="BG59" s="370" t="s">
        <v>1645</v>
      </c>
      <c r="BH59" s="370" t="s">
        <v>1646</v>
      </c>
      <c r="BI59" s="370"/>
    </row>
    <row r="60" spans="1:61">
      <c r="B60" s="59">
        <v>150</v>
      </c>
      <c r="C60" s="60" t="s">
        <v>90</v>
      </c>
      <c r="D60" s="163">
        <v>130</v>
      </c>
      <c r="E60" s="61">
        <f>ABS(D60-D59)</f>
        <v>40</v>
      </c>
      <c r="F60" s="66">
        <f>E60/(B60-B59)</f>
        <v>0.8</v>
      </c>
      <c r="G60" s="164"/>
      <c r="H60" s="115"/>
      <c r="I60" s="62"/>
      <c r="J60" s="164">
        <v>26.3</v>
      </c>
      <c r="K60" s="164">
        <v>27.9</v>
      </c>
      <c r="L60" s="166">
        <f>ABS(K60-J60)</f>
        <v>1.5999999999999979</v>
      </c>
      <c r="M60" s="64"/>
      <c r="N60" s="1318"/>
      <c r="S60" s="1403">
        <v>150</v>
      </c>
      <c r="T60" s="1403" t="s">
        <v>90</v>
      </c>
      <c r="U60" s="1420">
        <v>130</v>
      </c>
      <c r="V60" s="1398">
        <f>ABS(U60-U59)</f>
        <v>40</v>
      </c>
      <c r="W60" s="1409">
        <f>V60/(S60-S59)</f>
        <v>0.8</v>
      </c>
      <c r="X60" s="1410"/>
      <c r="Y60" s="1411"/>
      <c r="Z60" s="1399"/>
      <c r="AA60" s="1406">
        <v>22.4</v>
      </c>
      <c r="AB60" s="1406">
        <v>24.2</v>
      </c>
      <c r="AC60" s="1407">
        <f>ABS(AB60-AA60)</f>
        <v>1.8000000000000007</v>
      </c>
      <c r="AD60" s="1408">
        <f>AC60</f>
        <v>1.8000000000000007</v>
      </c>
      <c r="AE60" s="1408"/>
      <c r="AJ60" s="1430">
        <v>150</v>
      </c>
      <c r="AK60" s="1430" t="s">
        <v>90</v>
      </c>
      <c r="AL60" s="1432">
        <v>124</v>
      </c>
      <c r="AM60" s="1393">
        <f>ABS(AL60-AL59)</f>
        <v>34</v>
      </c>
      <c r="AN60" s="1374">
        <f>AM60/(AJ60-AJ59)</f>
        <v>0.68</v>
      </c>
      <c r="AO60" s="1435"/>
      <c r="AP60" s="1436"/>
      <c r="AQ60" s="1395"/>
      <c r="AR60" s="1433"/>
      <c r="AS60" s="1434"/>
      <c r="AT60" s="1429"/>
      <c r="AU60" s="1394"/>
      <c r="AV60" s="1394"/>
      <c r="AW60" s="326"/>
      <c r="BA60" s="1381">
        <v>6</v>
      </c>
      <c r="BB60" s="1379">
        <v>8.7260000000000009</v>
      </c>
      <c r="BE60" s="370" t="s">
        <v>1620</v>
      </c>
      <c r="BF60" s="370" t="s">
        <v>1616</v>
      </c>
      <c r="BG60" s="370" t="s">
        <v>509</v>
      </c>
      <c r="BH60" s="370" t="s">
        <v>1638</v>
      </c>
      <c r="BI60" s="370"/>
    </row>
    <row r="61" spans="1:61">
      <c r="B61" s="59">
        <v>150</v>
      </c>
      <c r="C61" s="60">
        <v>190</v>
      </c>
      <c r="D61" s="163">
        <v>140</v>
      </c>
      <c r="E61" s="61"/>
      <c r="F61" s="66"/>
      <c r="G61" s="164">
        <v>26.4</v>
      </c>
      <c r="H61" s="115">
        <f>G63</f>
        <v>27.4</v>
      </c>
      <c r="I61" s="62">
        <f>ABS(G61-H61)</f>
        <v>1</v>
      </c>
      <c r="J61" s="165"/>
      <c r="K61" s="164"/>
      <c r="L61" s="167"/>
      <c r="M61" s="64"/>
      <c r="N61" s="1318"/>
      <c r="S61" s="1403">
        <v>150</v>
      </c>
      <c r="T61" s="1403">
        <v>190</v>
      </c>
      <c r="U61" s="1420">
        <v>140</v>
      </c>
      <c r="V61" s="1398"/>
      <c r="W61" s="1409"/>
      <c r="X61" s="1410">
        <v>25.1</v>
      </c>
      <c r="Y61" s="1411">
        <f>X63</f>
        <v>26.3</v>
      </c>
      <c r="Z61" s="1399">
        <f>ABS(X61-Y61)</f>
        <v>1.1999999999999993</v>
      </c>
      <c r="AA61" s="1414"/>
      <c r="AB61" s="1413"/>
      <c r="AC61" s="1402"/>
      <c r="AD61" s="1408"/>
      <c r="AE61" s="1408">
        <f>Z61</f>
        <v>1.1999999999999993</v>
      </c>
      <c r="AJ61" s="1430">
        <v>150</v>
      </c>
      <c r="AK61" s="1430">
        <v>190</v>
      </c>
      <c r="AL61" s="1432">
        <v>140</v>
      </c>
      <c r="AM61" s="1393"/>
      <c r="AN61" s="1374"/>
      <c r="AO61" s="1435">
        <v>25.5</v>
      </c>
      <c r="AP61" s="1436">
        <f>AO63</f>
        <v>26.2</v>
      </c>
      <c r="AQ61" s="1395">
        <f>ABS(AO61-AP61)</f>
        <v>0.69999999999999929</v>
      </c>
      <c r="AR61" s="1437"/>
      <c r="AS61" s="1434"/>
      <c r="AT61" s="1429"/>
      <c r="AU61" s="1394"/>
      <c r="AV61" s="1394"/>
      <c r="AW61" s="326"/>
      <c r="BA61" s="1381">
        <v>7</v>
      </c>
      <c r="BB61" s="1379">
        <v>8.8819999999999997</v>
      </c>
      <c r="BE61" s="370" t="s">
        <v>1621</v>
      </c>
      <c r="BF61" s="370" t="s">
        <v>1622</v>
      </c>
      <c r="BG61" s="370" t="s">
        <v>1639</v>
      </c>
      <c r="BH61" s="370" t="s">
        <v>1640</v>
      </c>
      <c r="BI61" s="370"/>
    </row>
    <row r="62" spans="1:61">
      <c r="B62" s="59">
        <v>200</v>
      </c>
      <c r="C62" s="60" t="s">
        <v>90</v>
      </c>
      <c r="D62" s="163">
        <v>185</v>
      </c>
      <c r="E62" s="61">
        <f>ABS(D62-D61)</f>
        <v>45</v>
      </c>
      <c r="F62" s="66">
        <f>E62/(B62-B61)</f>
        <v>0.9</v>
      </c>
      <c r="G62" s="164"/>
      <c r="H62" s="69"/>
      <c r="I62" s="62"/>
      <c r="J62" s="164">
        <v>27.9</v>
      </c>
      <c r="K62" s="164">
        <v>28.2</v>
      </c>
      <c r="L62" s="166">
        <f>ABS(K62-J62)</f>
        <v>0.30000000000000071</v>
      </c>
      <c r="M62" s="64"/>
      <c r="N62" s="1318"/>
      <c r="S62" s="1403">
        <v>200</v>
      </c>
      <c r="T62" s="1403" t="s">
        <v>90</v>
      </c>
      <c r="U62" s="1420">
        <v>184</v>
      </c>
      <c r="V62" s="1398">
        <f>ABS(U62-U61)</f>
        <v>44</v>
      </c>
      <c r="W62" s="1409">
        <f>V62/(S62-S61)</f>
        <v>0.88</v>
      </c>
      <c r="X62" s="1410"/>
      <c r="Y62" s="1415"/>
      <c r="Z62" s="1399"/>
      <c r="AA62" s="1406">
        <v>24.2</v>
      </c>
      <c r="AB62" s="1406">
        <v>26.2</v>
      </c>
      <c r="AC62" s="1407">
        <f>ABS(AB62-AA62)</f>
        <v>2</v>
      </c>
      <c r="AD62" s="1408">
        <f>AC62</f>
        <v>2</v>
      </c>
      <c r="AE62" s="1408"/>
      <c r="AJ62" s="1430">
        <v>200</v>
      </c>
      <c r="AK62" s="1430" t="s">
        <v>90</v>
      </c>
      <c r="AL62" s="1432">
        <v>182</v>
      </c>
      <c r="AM62" s="1393">
        <f>ABS(AL62-AL61)</f>
        <v>42</v>
      </c>
      <c r="AN62" s="1374">
        <f>AM62/(AJ62-AJ61)</f>
        <v>0.84</v>
      </c>
      <c r="AO62" s="1435"/>
      <c r="AP62" s="1438"/>
      <c r="AQ62" s="1395"/>
      <c r="AR62" s="1437"/>
      <c r="AS62" s="1439"/>
      <c r="AT62" s="1429"/>
      <c r="AU62" s="1394"/>
      <c r="AV62" s="1394"/>
      <c r="AW62" s="326"/>
      <c r="BA62" s="1381">
        <v>8</v>
      </c>
      <c r="BB62" s="1379">
        <v>8.8179999999999996</v>
      </c>
      <c r="BE62" s="370" t="s">
        <v>1623</v>
      </c>
      <c r="BF62" s="370" t="s">
        <v>1624</v>
      </c>
      <c r="BG62" s="370" t="s">
        <v>1647</v>
      </c>
      <c r="BH62" s="370" t="s">
        <v>1648</v>
      </c>
      <c r="BI62" s="370"/>
    </row>
    <row r="63" spans="1:61">
      <c r="B63" s="59">
        <v>200</v>
      </c>
      <c r="C63" s="60" t="s">
        <v>90</v>
      </c>
      <c r="D63" s="163">
        <v>190</v>
      </c>
      <c r="E63" s="61"/>
      <c r="F63" s="66"/>
      <c r="G63" s="164">
        <v>27.4</v>
      </c>
      <c r="H63" s="114">
        <v>29</v>
      </c>
      <c r="I63" s="62">
        <f>ABS(G63-H63)</f>
        <v>1.6000000000000014</v>
      </c>
      <c r="J63" s="163"/>
      <c r="K63" s="163"/>
      <c r="L63" s="1444"/>
      <c r="M63" s="73"/>
      <c r="N63" s="1318"/>
      <c r="S63" s="1403">
        <v>200</v>
      </c>
      <c r="T63" s="1403" t="s">
        <v>90</v>
      </c>
      <c r="U63" s="1420">
        <v>190</v>
      </c>
      <c r="V63" s="1398"/>
      <c r="W63" s="1409"/>
      <c r="X63" s="1410">
        <v>26.3</v>
      </c>
      <c r="Y63" s="1410">
        <v>26.7</v>
      </c>
      <c r="Z63" s="1399">
        <f>ABS(X63-Y63)</f>
        <v>0.39999999999999858</v>
      </c>
      <c r="AA63" s="1412"/>
      <c r="AB63" s="1412"/>
      <c r="AC63" s="1416"/>
      <c r="AD63" s="1408"/>
      <c r="AE63" s="1408">
        <f>Z63</f>
        <v>0.39999999999999858</v>
      </c>
      <c r="AJ63" s="1430">
        <v>200</v>
      </c>
      <c r="AK63" s="1430" t="s">
        <v>90</v>
      </c>
      <c r="AL63" s="1432">
        <v>190</v>
      </c>
      <c r="AM63" s="1393"/>
      <c r="AN63" s="1374"/>
      <c r="AO63" s="1435">
        <v>26.2</v>
      </c>
      <c r="AP63" s="1440">
        <v>27.7</v>
      </c>
      <c r="AQ63" s="1395">
        <f>ABS(AO63-AP63)</f>
        <v>1.5</v>
      </c>
      <c r="AR63" s="1437"/>
      <c r="AS63" s="1439"/>
      <c r="AT63" s="1441"/>
      <c r="AU63" s="1394"/>
      <c r="AV63" s="1394"/>
      <c r="AW63" s="326"/>
      <c r="BA63" s="1381">
        <v>9</v>
      </c>
      <c r="BB63" s="1379">
        <v>8.7989999999999995</v>
      </c>
      <c r="BE63" s="370" t="s">
        <v>1649</v>
      </c>
      <c r="BF63" s="370" t="s">
        <v>1650</v>
      </c>
      <c r="BG63" s="370" t="s">
        <v>1651</v>
      </c>
      <c r="BH63" s="370" t="s">
        <v>1652</v>
      </c>
      <c r="BI63" s="370"/>
    </row>
    <row r="64" spans="1:61">
      <c r="B64" s="59">
        <v>240</v>
      </c>
      <c r="C64" s="60" t="s">
        <v>90</v>
      </c>
      <c r="D64" s="163">
        <v>229</v>
      </c>
      <c r="E64" s="61">
        <f>ABS(D64-D63)</f>
        <v>39</v>
      </c>
      <c r="F64" s="66">
        <f>E64/(B64-B63)</f>
        <v>0.97499999999999998</v>
      </c>
      <c r="G64" s="69"/>
      <c r="H64" s="69"/>
      <c r="I64" s="62"/>
      <c r="J64" s="164">
        <v>28.2</v>
      </c>
      <c r="K64" s="164">
        <v>29</v>
      </c>
      <c r="L64" s="166">
        <f>ABS(J64-I64)</f>
        <v>28.2</v>
      </c>
      <c r="M64" s="73"/>
      <c r="N64" s="1318"/>
      <c r="S64" s="1403">
        <v>290</v>
      </c>
      <c r="T64" s="1403" t="s">
        <v>90</v>
      </c>
      <c r="U64" s="1420">
        <v>275</v>
      </c>
      <c r="V64" s="1398">
        <f>ABS(U64-U63)</f>
        <v>85</v>
      </c>
      <c r="W64" s="1409">
        <f>V64/(S65-S62)</f>
        <v>0.94444444444444442</v>
      </c>
      <c r="X64" s="1415"/>
      <c r="Y64" s="1415"/>
      <c r="Z64" s="1399"/>
      <c r="AA64" s="1406">
        <v>26.2</v>
      </c>
      <c r="AB64" s="1406">
        <v>28.5</v>
      </c>
      <c r="AC64" s="1407">
        <f>ABS(AB64-AA64)</f>
        <v>2.3000000000000007</v>
      </c>
      <c r="AD64" s="1408">
        <f>AC64</f>
        <v>2.3000000000000007</v>
      </c>
      <c r="AE64" s="1408"/>
      <c r="AJ64" s="1430">
        <v>290</v>
      </c>
      <c r="AK64" s="1430" t="s">
        <v>90</v>
      </c>
      <c r="AL64" s="1432">
        <v>276</v>
      </c>
      <c r="AM64" s="1393">
        <f>ABS(AL64-AL63)</f>
        <v>86</v>
      </c>
      <c r="AN64" s="1374">
        <f>AM64/(AJ64-AJ63)</f>
        <v>0.9555555555555556</v>
      </c>
      <c r="AO64" s="1438"/>
      <c r="AP64" s="1438"/>
      <c r="AQ64" s="1395"/>
      <c r="AR64" s="1437"/>
      <c r="AS64" s="1439"/>
      <c r="AT64" s="1441"/>
      <c r="AU64" s="1394"/>
      <c r="AV64" s="1394"/>
      <c r="AW64" s="326"/>
      <c r="BA64" s="1376">
        <v>10</v>
      </c>
      <c r="BB64" s="1377">
        <v>8.7929999999999993</v>
      </c>
      <c r="BE64" s="370" t="s">
        <v>1690</v>
      </c>
      <c r="BF64" s="370" t="s">
        <v>1619</v>
      </c>
      <c r="BG64" s="370" t="s">
        <v>510</v>
      </c>
      <c r="BH64" s="370" t="s">
        <v>1197</v>
      </c>
      <c r="BI64" s="370"/>
    </row>
    <row r="65" spans="2:61">
      <c r="B65" s="59">
        <v>290</v>
      </c>
      <c r="C65" s="60"/>
      <c r="D65" s="113"/>
      <c r="E65" s="61"/>
      <c r="F65" s="66"/>
      <c r="G65" s="69"/>
      <c r="H65" s="69"/>
      <c r="I65" s="62"/>
      <c r="J65" s="70"/>
      <c r="K65" s="70"/>
      <c r="L65" s="73"/>
      <c r="M65" s="73"/>
      <c r="N65" s="1318"/>
      <c r="S65" s="1403">
        <v>290</v>
      </c>
      <c r="T65" s="1403"/>
      <c r="U65" s="1419"/>
      <c r="V65" s="1398"/>
      <c r="W65" s="1409"/>
      <c r="X65" s="1415"/>
      <c r="Y65" s="1415"/>
      <c r="Z65" s="1399"/>
      <c r="AA65" s="1417"/>
      <c r="AB65" s="1417"/>
      <c r="AC65" s="984"/>
      <c r="AD65" s="984"/>
      <c r="AE65" s="984"/>
      <c r="AJ65" s="1430">
        <v>390</v>
      </c>
      <c r="AK65" s="1430"/>
      <c r="AL65" s="1432">
        <v>376</v>
      </c>
      <c r="AM65" s="1393">
        <f>ABS(AL65-AL63)</f>
        <v>186</v>
      </c>
      <c r="AN65" s="1374">
        <f>AM65/(AJ65-AJ63)</f>
        <v>0.97894736842105268</v>
      </c>
      <c r="AO65" s="1438"/>
      <c r="AP65" s="1438"/>
      <c r="AQ65" s="1395"/>
      <c r="AR65" s="1437"/>
      <c r="AS65" s="1437"/>
      <c r="AT65" s="1394"/>
      <c r="AU65" s="1394"/>
      <c r="AV65" s="1394"/>
      <c r="AW65" s="326"/>
      <c r="BA65" s="1376">
        <v>11</v>
      </c>
      <c r="BB65" s="1377">
        <v>8.8040000000000003</v>
      </c>
      <c r="BE65" s="370" t="s">
        <v>1626</v>
      </c>
      <c r="BF65" s="370" t="s">
        <v>1627</v>
      </c>
      <c r="BG65" s="370" t="s">
        <v>1653</v>
      </c>
      <c r="BH65" s="370" t="s">
        <v>1654</v>
      </c>
      <c r="BI65" s="370"/>
    </row>
    <row r="66" spans="2:61">
      <c r="B66" s="59">
        <v>390</v>
      </c>
      <c r="C66" s="60"/>
      <c r="D66" s="113"/>
      <c r="E66" s="61"/>
      <c r="F66" s="66"/>
      <c r="G66" s="69"/>
      <c r="H66" s="69"/>
      <c r="I66" s="74"/>
      <c r="J66" s="70"/>
      <c r="K66" s="70"/>
      <c r="L66" s="73"/>
      <c r="M66" s="73"/>
      <c r="N66" s="1318"/>
      <c r="S66" s="1403">
        <v>390</v>
      </c>
      <c r="T66" s="1403"/>
      <c r="U66" s="1419"/>
      <c r="V66" s="1398"/>
      <c r="W66" s="1409"/>
      <c r="X66" s="1415"/>
      <c r="Y66" s="1415"/>
      <c r="Z66" s="1418"/>
      <c r="AA66" s="1417"/>
      <c r="AB66" s="1417"/>
      <c r="AC66" s="984"/>
      <c r="AD66" s="984"/>
      <c r="AE66" s="984"/>
      <c r="AJ66" s="1421"/>
      <c r="AK66" s="1421"/>
      <c r="AL66" s="1421"/>
      <c r="AM66" s="1361"/>
      <c r="AN66" s="1422"/>
      <c r="AO66" s="1424"/>
      <c r="AP66" s="1424"/>
      <c r="AQ66" s="1425"/>
      <c r="AR66" s="1423"/>
      <c r="AS66" s="1423"/>
      <c r="AT66" s="326"/>
      <c r="AU66" s="326"/>
      <c r="AV66" s="326"/>
      <c r="AW66" s="326"/>
      <c r="BA66" s="1376">
        <v>12</v>
      </c>
      <c r="BB66" s="1377">
        <v>8.9280000000000008</v>
      </c>
      <c r="BE66" s="370" t="s">
        <v>1628</v>
      </c>
      <c r="BF66" s="370" t="s">
        <v>1629</v>
      </c>
      <c r="BG66" s="370" t="s">
        <v>1655</v>
      </c>
      <c r="BH66" s="370" t="s">
        <v>1656</v>
      </c>
      <c r="BI66" s="370"/>
    </row>
    <row r="67" spans="2:61">
      <c r="B67" s="109"/>
      <c r="C67" s="109"/>
      <c r="D67" s="830"/>
      <c r="E67" s="21"/>
      <c r="F67" s="78"/>
      <c r="G67" s="110"/>
      <c r="H67" s="110"/>
      <c r="I67" s="111"/>
      <c r="J67" s="112"/>
      <c r="K67" s="112"/>
      <c r="R67" s="109"/>
      <c r="T67" s="109"/>
      <c r="U67" s="109"/>
      <c r="V67" s="21"/>
      <c r="W67" s="78"/>
      <c r="X67" s="110"/>
      <c r="Y67" s="110"/>
      <c r="Z67" s="111"/>
      <c r="AA67" s="112"/>
      <c r="AB67" s="112"/>
      <c r="AI67" s="109"/>
      <c r="AK67" s="109"/>
      <c r="AL67" s="109"/>
      <c r="AM67" s="21"/>
      <c r="AN67" s="78"/>
      <c r="AO67" s="110"/>
      <c r="AP67" s="110"/>
      <c r="AQ67" s="111"/>
      <c r="AR67" s="112"/>
      <c r="AS67" s="112"/>
      <c r="BA67" s="1376">
        <v>13</v>
      </c>
      <c r="BB67" s="1377">
        <v>8.8770000000000007</v>
      </c>
      <c r="BE67" s="370" t="s">
        <v>1630</v>
      </c>
      <c r="BF67" s="370" t="s">
        <v>1631</v>
      </c>
      <c r="BG67" s="370" t="s">
        <v>1657</v>
      </c>
      <c r="BH67" s="370" t="s">
        <v>1658</v>
      </c>
      <c r="BI67" s="370"/>
    </row>
    <row r="68" spans="2:61" s="832" customFormat="1" ht="18.75">
      <c r="B68" s="833"/>
      <c r="C68" s="833"/>
      <c r="D68" s="834" t="s">
        <v>850</v>
      </c>
      <c r="E68" s="835"/>
      <c r="F68" s="836">
        <f>MAX(F54:F66)</f>
        <v>0.97499999999999998</v>
      </c>
      <c r="G68" s="837"/>
      <c r="H68" s="837"/>
      <c r="I68" s="838"/>
      <c r="J68" s="839"/>
      <c r="K68" s="839"/>
      <c r="R68" s="833"/>
      <c r="T68" s="833"/>
      <c r="U68" s="833"/>
      <c r="V68" s="835"/>
      <c r="W68" s="836">
        <f>MAX(W54:W66)</f>
        <v>0.94444444444444442</v>
      </c>
      <c r="X68" s="837"/>
      <c r="Y68" s="837"/>
      <c r="Z68" s="838"/>
      <c r="AA68" s="839"/>
      <c r="AB68" s="839"/>
      <c r="AI68" s="833"/>
      <c r="AK68" s="833"/>
      <c r="AL68" s="833"/>
      <c r="AM68" s="835"/>
      <c r="AN68" s="836">
        <f>MAX(AN54:AN66)</f>
        <v>0.97894736842105268</v>
      </c>
      <c r="AO68" s="837"/>
      <c r="AP68" s="837"/>
      <c r="AQ68" s="838"/>
      <c r="AR68" s="839"/>
      <c r="AS68" s="839"/>
      <c r="BA68" s="1376">
        <v>14</v>
      </c>
      <c r="BB68" s="1377">
        <v>8.8919999999999995</v>
      </c>
    </row>
    <row r="69" spans="2:61">
      <c r="B69" s="109"/>
      <c r="D69" s="109"/>
      <c r="E69" s="109"/>
      <c r="F69" s="21"/>
      <c r="G69" s="78"/>
      <c r="H69" s="110"/>
      <c r="I69" s="110"/>
      <c r="J69" s="111"/>
      <c r="K69" s="112"/>
      <c r="L69" s="112"/>
      <c r="R69" s="109"/>
      <c r="T69" s="109"/>
      <c r="U69" s="109"/>
      <c r="V69" s="21"/>
      <c r="W69" s="78"/>
      <c r="X69" s="110"/>
      <c r="Y69" s="110"/>
      <c r="Z69" s="111"/>
      <c r="AA69" s="112"/>
      <c r="AB69" s="112"/>
      <c r="AI69" s="109"/>
      <c r="AK69" s="109"/>
      <c r="AL69" s="109"/>
      <c r="AM69" s="21"/>
      <c r="AN69" s="78"/>
      <c r="AO69" s="110"/>
      <c r="AP69" s="110"/>
      <c r="AQ69" s="111"/>
      <c r="AR69" s="112"/>
      <c r="AS69" s="112"/>
      <c r="BA69" s="1376">
        <v>15</v>
      </c>
      <c r="BB69" s="1377">
        <v>8.9930000000000003</v>
      </c>
    </row>
    <row r="70" spans="2:61">
      <c r="B70" s="162" t="s">
        <v>128</v>
      </c>
      <c r="D70" s="109"/>
      <c r="E70" s="109"/>
      <c r="F70" s="21"/>
      <c r="G70" s="78"/>
      <c r="H70" s="110"/>
      <c r="I70" s="110"/>
      <c r="J70" s="111"/>
      <c r="K70" s="112"/>
      <c r="L70" s="112"/>
      <c r="Q70" s="4"/>
      <c r="R70" s="162" t="s">
        <v>128</v>
      </c>
      <c r="T70" s="109"/>
      <c r="U70" s="109"/>
      <c r="V70" s="21"/>
      <c r="W70" s="78"/>
      <c r="X70" s="110"/>
      <c r="Y70" s="110"/>
      <c r="Z70" s="111"/>
      <c r="AA70" s="112"/>
      <c r="AB70" s="112"/>
      <c r="AI70" s="162" t="s">
        <v>128</v>
      </c>
      <c r="AK70" s="109"/>
      <c r="AL70" s="109"/>
      <c r="AM70" s="21"/>
      <c r="AN70" s="78"/>
      <c r="AO70" s="110"/>
      <c r="AP70" s="110"/>
      <c r="AQ70" s="111"/>
      <c r="AR70" s="112"/>
      <c r="AS70" s="112"/>
      <c r="BA70" s="1376">
        <v>16</v>
      </c>
      <c r="BB70" s="1377">
        <v>8.9090000000000007</v>
      </c>
    </row>
    <row r="71" spans="2:61">
      <c r="B71" s="109" t="s">
        <v>129</v>
      </c>
      <c r="C71" t="s">
        <v>130</v>
      </c>
      <c r="D71" s="109"/>
      <c r="E71" s="109"/>
      <c r="F71" s="21"/>
      <c r="G71" s="78"/>
      <c r="H71" s="110"/>
      <c r="I71" s="110"/>
      <c r="J71" s="111"/>
      <c r="K71" s="112"/>
      <c r="L71" s="112"/>
      <c r="R71" s="109" t="s">
        <v>129</v>
      </c>
      <c r="S71" t="s">
        <v>130</v>
      </c>
      <c r="T71" s="109"/>
      <c r="U71" s="109"/>
      <c r="V71" s="21"/>
      <c r="W71" s="78"/>
      <c r="X71" s="110"/>
      <c r="Y71" s="110"/>
      <c r="Z71" s="111"/>
      <c r="AA71" s="112"/>
      <c r="AB71" s="112"/>
      <c r="AI71" s="109" t="s">
        <v>129</v>
      </c>
      <c r="AJ71" t="s">
        <v>130</v>
      </c>
      <c r="AK71" s="109"/>
      <c r="AL71" s="109"/>
      <c r="AM71" s="21"/>
      <c r="AN71" s="78"/>
      <c r="AO71" s="110"/>
      <c r="AP71" s="110"/>
      <c r="AQ71" s="111"/>
      <c r="AR71" s="112"/>
      <c r="AS71" s="112"/>
      <c r="BA71" s="1376">
        <v>17</v>
      </c>
      <c r="BB71" s="1377">
        <v>9.0489999999999995</v>
      </c>
    </row>
    <row r="72" spans="2:61">
      <c r="B72">
        <v>0</v>
      </c>
      <c r="D72" s="109"/>
      <c r="E72" s="109"/>
      <c r="F72" s="21"/>
      <c r="G72" s="78"/>
      <c r="H72" s="110"/>
      <c r="I72" s="110"/>
      <c r="J72" s="111"/>
      <c r="K72" s="112"/>
      <c r="L72" s="112"/>
      <c r="R72">
        <v>0</v>
      </c>
      <c r="T72" s="109"/>
      <c r="U72" s="109"/>
      <c r="V72" s="21"/>
      <c r="W72" s="78"/>
      <c r="X72" s="110"/>
      <c r="Y72" s="110"/>
      <c r="Z72" s="111"/>
      <c r="AA72" s="112"/>
      <c r="AB72" s="112"/>
      <c r="AI72">
        <v>0</v>
      </c>
      <c r="AK72" s="109"/>
      <c r="AL72" s="109"/>
      <c r="AM72" s="21"/>
      <c r="AN72" s="78"/>
      <c r="AO72" s="110"/>
      <c r="AP72" s="110"/>
      <c r="AQ72" s="111"/>
      <c r="AR72" s="112"/>
      <c r="AS72" s="112"/>
      <c r="BA72" s="1376">
        <v>18</v>
      </c>
      <c r="BB72" s="1377">
        <v>8.9339999999999993</v>
      </c>
    </row>
    <row r="73" spans="2:61">
      <c r="B73">
        <v>50</v>
      </c>
      <c r="C73" s="42">
        <f>F56</f>
        <v>0.2</v>
      </c>
      <c r="D73" s="109"/>
      <c r="E73" s="109"/>
      <c r="F73" s="21"/>
      <c r="G73" s="78"/>
      <c r="H73" s="110"/>
      <c r="I73" s="110"/>
      <c r="J73" s="111"/>
      <c r="K73" s="112"/>
      <c r="L73" s="112"/>
      <c r="R73">
        <v>50</v>
      </c>
      <c r="S73" s="42">
        <f>W56</f>
        <v>0.24</v>
      </c>
      <c r="T73" s="109"/>
      <c r="U73" s="109"/>
      <c r="V73" s="21"/>
      <c r="W73" s="78"/>
      <c r="X73" s="110"/>
      <c r="Y73" s="110"/>
      <c r="Z73" s="111"/>
      <c r="AA73" s="112"/>
      <c r="AB73" s="112"/>
      <c r="AI73">
        <v>50</v>
      </c>
      <c r="AJ73" s="42">
        <f>AN56</f>
        <v>0.2</v>
      </c>
      <c r="AK73" s="109"/>
      <c r="AL73" s="109"/>
      <c r="AM73" s="21"/>
      <c r="AN73" s="78"/>
      <c r="AO73" s="110"/>
      <c r="AP73" s="110"/>
      <c r="AQ73" s="111"/>
      <c r="AR73" s="112"/>
      <c r="AS73" s="112"/>
      <c r="BA73" s="1381">
        <v>19</v>
      </c>
      <c r="BB73" s="1379">
        <v>8.9610000000000003</v>
      </c>
    </row>
    <row r="74" spans="2:61">
      <c r="B74">
        <v>100</v>
      </c>
      <c r="C74" s="42">
        <f>F58</f>
        <v>0.52</v>
      </c>
      <c r="D74" s="109"/>
      <c r="E74" s="109"/>
      <c r="F74" s="21"/>
      <c r="G74" s="78"/>
      <c r="H74" s="110"/>
      <c r="I74" s="110"/>
      <c r="J74" s="111"/>
      <c r="K74" s="112"/>
      <c r="L74" s="112"/>
      <c r="R74">
        <v>100</v>
      </c>
      <c r="S74" s="42">
        <f>W58</f>
        <v>0.56000000000000005</v>
      </c>
      <c r="T74" s="109"/>
      <c r="U74" s="109"/>
      <c r="V74" s="21"/>
      <c r="W74" s="78"/>
      <c r="X74" s="110"/>
      <c r="Y74" s="110"/>
      <c r="Z74" s="111"/>
      <c r="AA74" s="112"/>
      <c r="AB74" s="112"/>
      <c r="AI74">
        <v>100</v>
      </c>
      <c r="AJ74" s="42">
        <f>AN58</f>
        <v>0.44</v>
      </c>
      <c r="AK74" s="109"/>
      <c r="AL74" s="109"/>
      <c r="AM74" s="21"/>
      <c r="AN74" s="78"/>
      <c r="AO74" s="110"/>
      <c r="AP74" s="110"/>
      <c r="AQ74" s="111"/>
      <c r="AR74" s="112"/>
      <c r="AS74" s="112"/>
      <c r="BA74" s="1381">
        <v>20</v>
      </c>
      <c r="BB74" s="1379">
        <v>8.7759999999999998</v>
      </c>
    </row>
    <row r="75" spans="2:61">
      <c r="B75">
        <v>150</v>
      </c>
      <c r="C75" s="42">
        <f>F60</f>
        <v>0.8</v>
      </c>
      <c r="D75" s="109"/>
      <c r="E75" s="109"/>
      <c r="F75" s="21"/>
      <c r="G75" s="78"/>
      <c r="H75" s="110"/>
      <c r="I75" s="110"/>
      <c r="J75" s="111"/>
      <c r="K75" s="112"/>
      <c r="L75" s="112"/>
      <c r="R75">
        <v>150</v>
      </c>
      <c r="S75" s="42">
        <f>W60</f>
        <v>0.8</v>
      </c>
      <c r="T75" s="109"/>
      <c r="U75" s="109"/>
      <c r="V75" s="21"/>
      <c r="W75" s="78"/>
      <c r="X75" s="110"/>
      <c r="Y75" s="110"/>
      <c r="Z75" s="111"/>
      <c r="AA75" s="112"/>
      <c r="AB75" s="112"/>
      <c r="AI75">
        <v>150</v>
      </c>
      <c r="AJ75" s="42">
        <f>AN60</f>
        <v>0.68</v>
      </c>
      <c r="AK75" s="109"/>
      <c r="AL75" s="109"/>
      <c r="AM75" s="21"/>
      <c r="AN75" s="78"/>
      <c r="AO75" s="110"/>
      <c r="AP75" s="110"/>
      <c r="AQ75" s="111"/>
      <c r="AR75" s="112"/>
      <c r="AS75" s="112"/>
      <c r="BA75" s="1381">
        <v>21</v>
      </c>
      <c r="BB75" s="1379">
        <v>8.9030000000000005</v>
      </c>
    </row>
    <row r="76" spans="2:61">
      <c r="B76">
        <v>200</v>
      </c>
      <c r="C76" s="42">
        <f>F62</f>
        <v>0.9</v>
      </c>
      <c r="D76" s="109"/>
      <c r="E76" s="109"/>
      <c r="F76" s="21"/>
      <c r="G76" s="78"/>
      <c r="H76" s="110"/>
      <c r="I76" s="110"/>
      <c r="J76" s="111"/>
      <c r="K76" s="112"/>
      <c r="L76" s="112"/>
      <c r="R76">
        <v>200</v>
      </c>
      <c r="S76" s="42">
        <f>W62</f>
        <v>0.88</v>
      </c>
      <c r="T76" s="109"/>
      <c r="U76" s="109"/>
      <c r="V76" s="21"/>
      <c r="W76" s="78"/>
      <c r="X76" s="110"/>
      <c r="Y76" s="110"/>
      <c r="Z76" s="111"/>
      <c r="AA76" s="112"/>
      <c r="AB76" s="112"/>
      <c r="AI76">
        <v>200</v>
      </c>
      <c r="AJ76" s="42">
        <f>AN62</f>
        <v>0.84</v>
      </c>
      <c r="AK76" s="109"/>
      <c r="AL76" s="109"/>
      <c r="AM76" s="21"/>
      <c r="AN76" s="78"/>
      <c r="AO76" s="110"/>
      <c r="AP76" s="110"/>
      <c r="AQ76" s="111"/>
      <c r="AR76" s="112"/>
      <c r="AS76" s="112"/>
      <c r="BA76" s="1381">
        <v>22</v>
      </c>
      <c r="BB76" s="1379">
        <v>8.843</v>
      </c>
    </row>
    <row r="77" spans="2:61">
      <c r="B77">
        <v>240</v>
      </c>
      <c r="C77" s="42">
        <f>F64</f>
        <v>0.97499999999999998</v>
      </c>
      <c r="D77" s="109"/>
      <c r="E77" s="109"/>
      <c r="F77" s="21"/>
      <c r="G77" s="78"/>
      <c r="H77" s="110"/>
      <c r="I77" s="110"/>
      <c r="J77" s="111"/>
      <c r="K77" s="112"/>
      <c r="L77" s="112"/>
      <c r="R77">
        <v>290</v>
      </c>
      <c r="S77" s="42">
        <f>W64</f>
        <v>0.94444444444444442</v>
      </c>
      <c r="T77" s="109"/>
      <c r="U77" s="109"/>
      <c r="V77" s="21"/>
      <c r="W77" s="78"/>
      <c r="X77" s="110"/>
      <c r="Y77" s="110"/>
      <c r="Z77" s="111"/>
      <c r="AA77" s="112"/>
      <c r="AB77" s="112"/>
      <c r="AI77">
        <v>290</v>
      </c>
      <c r="AJ77" s="42">
        <f>AN64</f>
        <v>0.9555555555555556</v>
      </c>
      <c r="AK77" s="109"/>
      <c r="AL77" s="109"/>
      <c r="AM77" s="21"/>
      <c r="AN77" s="78"/>
      <c r="AO77" s="110"/>
      <c r="AP77" s="110"/>
      <c r="AQ77" s="111"/>
      <c r="AR77" s="112"/>
      <c r="AS77" s="112"/>
      <c r="BA77" s="1381">
        <v>23</v>
      </c>
      <c r="BB77" s="1379">
        <v>8.84</v>
      </c>
    </row>
    <row r="78" spans="2:61">
      <c r="B78">
        <v>390</v>
      </c>
      <c r="C78" s="42">
        <f>F66</f>
        <v>0</v>
      </c>
      <c r="D78" s="109"/>
      <c r="E78" s="109"/>
      <c r="F78" s="21"/>
      <c r="G78" s="78"/>
      <c r="H78" s="110"/>
      <c r="I78" s="110"/>
      <c r="J78" s="111"/>
      <c r="K78" s="112"/>
      <c r="L78" s="112"/>
      <c r="S78" s="42"/>
      <c r="T78" s="109"/>
      <c r="U78" s="109"/>
      <c r="V78" s="21"/>
      <c r="W78" s="78"/>
      <c r="X78" s="110"/>
      <c r="Y78" s="110"/>
      <c r="Z78" s="111"/>
      <c r="AA78" s="112"/>
      <c r="AB78" s="112"/>
      <c r="AI78">
        <v>390</v>
      </c>
      <c r="AJ78" s="42">
        <f>AN65</f>
        <v>0.97894736842105268</v>
      </c>
      <c r="AK78" s="109"/>
      <c r="AL78" s="109"/>
      <c r="AM78" s="21"/>
      <c r="AN78" s="78"/>
      <c r="AO78" s="110"/>
      <c r="AP78" s="110"/>
      <c r="AQ78" s="111"/>
      <c r="AR78" s="112"/>
      <c r="AS78" s="112"/>
      <c r="BA78" s="1381">
        <v>24</v>
      </c>
      <c r="BB78" s="1379">
        <v>9.01</v>
      </c>
    </row>
    <row r="79" spans="2:61">
      <c r="B79" s="109"/>
      <c r="D79" s="109"/>
      <c r="E79" s="109"/>
      <c r="F79" s="21"/>
      <c r="G79" s="78"/>
      <c r="H79" s="110"/>
      <c r="I79" s="110"/>
      <c r="J79" s="111"/>
      <c r="K79" s="112"/>
      <c r="L79" s="112"/>
      <c r="BA79" s="1381">
        <v>25</v>
      </c>
      <c r="BB79" s="1379">
        <v>8.8119999999999994</v>
      </c>
    </row>
    <row r="80" spans="2:61">
      <c r="B80" s="109"/>
      <c r="D80" s="109"/>
      <c r="E80" s="109"/>
      <c r="F80" s="21"/>
      <c r="G80" s="78"/>
      <c r="H80" s="110"/>
      <c r="I80" s="110"/>
      <c r="J80" s="111"/>
      <c r="K80" s="112"/>
      <c r="L80" s="112"/>
      <c r="BA80" s="1381">
        <v>26</v>
      </c>
      <c r="BB80" s="1379">
        <v>8.8460000000000001</v>
      </c>
    </row>
    <row r="81" spans="1:54">
      <c r="B81" s="109"/>
      <c r="D81" s="109"/>
      <c r="E81" s="109"/>
      <c r="F81" s="21"/>
      <c r="G81" s="78"/>
      <c r="H81" s="110"/>
      <c r="I81" s="110"/>
      <c r="J81" s="111"/>
      <c r="K81" s="112"/>
      <c r="L81" s="112"/>
      <c r="BA81" s="1381">
        <v>27</v>
      </c>
      <c r="BB81" s="1379">
        <v>8.9139999999999997</v>
      </c>
    </row>
    <row r="82" spans="1:54">
      <c r="B82" s="109"/>
      <c r="D82" s="109"/>
      <c r="E82" s="109"/>
      <c r="F82" s="21"/>
      <c r="G82" s="78"/>
      <c r="H82" s="110"/>
      <c r="I82" s="110"/>
      <c r="J82" s="111"/>
      <c r="K82" s="112"/>
      <c r="L82" s="112"/>
      <c r="BA82" s="1381">
        <v>28</v>
      </c>
      <c r="BB82" s="1379">
        <v>9.9</v>
      </c>
    </row>
    <row r="83" spans="1:54">
      <c r="B83" s="109"/>
      <c r="D83" s="109"/>
      <c r="E83" s="109"/>
      <c r="F83" s="21"/>
      <c r="G83" s="78"/>
      <c r="H83" s="110"/>
      <c r="I83" s="110"/>
      <c r="J83" s="111"/>
      <c r="K83" s="112"/>
      <c r="L83" s="112"/>
      <c r="BA83" s="1381">
        <v>29</v>
      </c>
      <c r="BB83" s="1379">
        <v>8.9</v>
      </c>
    </row>
    <row r="84" spans="1:54">
      <c r="B84" s="109"/>
      <c r="D84" s="109"/>
      <c r="E84" s="109"/>
      <c r="F84" s="21"/>
      <c r="G84" s="78"/>
      <c r="H84" s="110"/>
      <c r="I84" s="110"/>
      <c r="J84" s="111"/>
      <c r="K84" s="112"/>
      <c r="L84" s="112"/>
      <c r="BA84" s="1378">
        <v>30</v>
      </c>
      <c r="BB84" s="1380">
        <v>8.8539999999999992</v>
      </c>
    </row>
    <row r="85" spans="1:54">
      <c r="B85" s="109"/>
      <c r="D85" s="109"/>
      <c r="E85" s="109"/>
      <c r="F85" s="21"/>
      <c r="G85" s="78"/>
      <c r="H85" s="110"/>
      <c r="I85" s="110"/>
      <c r="J85" s="111"/>
      <c r="K85" s="112"/>
      <c r="L85" s="112"/>
      <c r="BA85" s="1381">
        <v>31</v>
      </c>
      <c r="BB85" s="1379">
        <v>8.8149999999999995</v>
      </c>
    </row>
    <row r="86" spans="1:54">
      <c r="BA86" s="1381">
        <v>32</v>
      </c>
      <c r="BB86" s="1379">
        <v>8.9849999999999994</v>
      </c>
    </row>
    <row r="87" spans="1:54">
      <c r="BA87" s="1381">
        <v>33</v>
      </c>
      <c r="BB87" s="1379">
        <v>8.8970000000000002</v>
      </c>
    </row>
    <row r="88" spans="1:54" ht="23.25">
      <c r="A88" s="1442" t="s">
        <v>91</v>
      </c>
      <c r="B88" s="1442"/>
      <c r="C88" s="1442"/>
      <c r="D88" s="1442"/>
      <c r="E88" s="1442"/>
      <c r="F88" s="1442"/>
      <c r="G88" s="1442"/>
      <c r="H88" s="1442"/>
      <c r="I88" s="1442"/>
      <c r="J88" s="1442"/>
      <c r="K88" s="1442"/>
      <c r="L88" s="1442"/>
      <c r="M88" s="1442"/>
      <c r="N88" s="1442"/>
      <c r="O88" s="1442"/>
      <c r="P88" s="1442"/>
      <c r="Q88" s="1442"/>
      <c r="R88" s="1442"/>
      <c r="S88" s="1442"/>
      <c r="T88" s="1442"/>
      <c r="U88" s="1442"/>
      <c r="V88" s="1442"/>
      <c r="W88" s="1442"/>
      <c r="X88" s="1442"/>
      <c r="Y88" s="1442"/>
      <c r="Z88" s="1442"/>
      <c r="AA88" s="1442"/>
      <c r="AB88" s="1442"/>
      <c r="AC88" s="1442"/>
      <c r="AD88" s="1442"/>
      <c r="AE88" s="1442"/>
      <c r="AF88" s="1442"/>
      <c r="AG88" s="1442"/>
      <c r="AH88" s="1442"/>
      <c r="AI88" s="1442"/>
      <c r="AJ88" s="1442"/>
      <c r="AK88" s="1442"/>
      <c r="AL88" s="1442"/>
      <c r="AM88" s="1442"/>
      <c r="AN88" s="1442"/>
      <c r="AO88" s="1442"/>
      <c r="AP88" s="1442"/>
      <c r="AQ88" s="1442"/>
      <c r="AR88" s="1442"/>
      <c r="AS88" s="1442"/>
      <c r="AT88" s="1442"/>
      <c r="AU88" s="1442"/>
      <c r="AV88" s="1442"/>
      <c r="AW88" s="1442"/>
      <c r="AX88" s="1442"/>
      <c r="BA88" s="1381">
        <v>34</v>
      </c>
      <c r="BB88" s="1379">
        <v>8.91</v>
      </c>
    </row>
    <row r="89" spans="1:54">
      <c r="BA89" s="1376">
        <v>35</v>
      </c>
      <c r="BB89" s="1377">
        <v>8.7249999999999996</v>
      </c>
    </row>
    <row r="90" spans="1:54">
      <c r="B90" s="75" t="s">
        <v>92</v>
      </c>
      <c r="C90" s="75"/>
      <c r="E90" t="s">
        <v>0</v>
      </c>
      <c r="F90" s="76">
        <v>50</v>
      </c>
      <c r="G90" t="s">
        <v>84</v>
      </c>
      <c r="BA90" s="1376">
        <v>36</v>
      </c>
      <c r="BB90" s="1377">
        <v>8.7149999999999999</v>
      </c>
    </row>
    <row r="91" spans="1:54">
      <c r="B91" s="75" t="s">
        <v>77</v>
      </c>
      <c r="C91" s="75"/>
      <c r="E91" t="s">
        <v>0</v>
      </c>
      <c r="F91" s="75">
        <f>B64</f>
        <v>240</v>
      </c>
      <c r="G91" t="s">
        <v>84</v>
      </c>
      <c r="R91" s="75" t="s">
        <v>92</v>
      </c>
      <c r="S91" s="75"/>
      <c r="T91" s="76">
        <v>100</v>
      </c>
      <c r="U91" t="s">
        <v>84</v>
      </c>
      <c r="AI91" s="75" t="s">
        <v>92</v>
      </c>
      <c r="AJ91" s="75"/>
      <c r="AK91" s="75">
        <v>200</v>
      </c>
      <c r="AL91" t="s">
        <v>84</v>
      </c>
      <c r="BA91" s="1376">
        <v>37</v>
      </c>
      <c r="BB91" s="1377">
        <v>8.7520000000000007</v>
      </c>
    </row>
    <row r="92" spans="1:54">
      <c r="B92" s="75" t="s">
        <v>78</v>
      </c>
      <c r="C92" s="75"/>
      <c r="E92" t="s">
        <v>0</v>
      </c>
      <c r="F92" s="75">
        <f>C61</f>
        <v>190</v>
      </c>
      <c r="G92" t="s">
        <v>84</v>
      </c>
      <c r="R92" s="75" t="s">
        <v>77</v>
      </c>
      <c r="S92" s="75"/>
      <c r="T92" s="75">
        <f>B65</f>
        <v>290</v>
      </c>
      <c r="U92" t="s">
        <v>84</v>
      </c>
      <c r="AI92" s="75" t="s">
        <v>77</v>
      </c>
      <c r="AJ92" s="75"/>
      <c r="AK92" s="75">
        <f>B66</f>
        <v>390</v>
      </c>
      <c r="AL92" t="s">
        <v>84</v>
      </c>
      <c r="BA92" s="1376">
        <v>38</v>
      </c>
      <c r="BB92" s="1377">
        <v>8.73</v>
      </c>
    </row>
    <row r="93" spans="1:54">
      <c r="B93" s="75" t="s">
        <v>93</v>
      </c>
      <c r="C93" s="75"/>
      <c r="E93" t="s">
        <v>0</v>
      </c>
      <c r="F93" s="104">
        <f>MAX(D55:D66)</f>
        <v>229</v>
      </c>
      <c r="G93" t="s">
        <v>84</v>
      </c>
      <c r="R93" s="75" t="s">
        <v>78</v>
      </c>
      <c r="S93" s="75"/>
      <c r="T93" s="75">
        <f>C61</f>
        <v>190</v>
      </c>
      <c r="U93" t="s">
        <v>84</v>
      </c>
      <c r="AI93" s="75" t="s">
        <v>78</v>
      </c>
      <c r="AJ93" s="75"/>
      <c r="AK93" s="75">
        <f>C61</f>
        <v>190</v>
      </c>
      <c r="AL93" t="s">
        <v>84</v>
      </c>
      <c r="BA93" s="1376">
        <v>39</v>
      </c>
      <c r="BB93" s="1377">
        <v>8.8610000000000007</v>
      </c>
    </row>
    <row r="94" spans="1:54">
      <c r="B94" s="75" t="s">
        <v>94</v>
      </c>
      <c r="C94" s="75"/>
      <c r="E94" t="s">
        <v>0</v>
      </c>
      <c r="F94" s="75">
        <f>ABS(F93-F92)</f>
        <v>39</v>
      </c>
      <c r="G94" t="s">
        <v>84</v>
      </c>
      <c r="R94" s="75" t="s">
        <v>93</v>
      </c>
      <c r="S94" s="75"/>
      <c r="T94" s="75">
        <f>MAX(U55:U66)</f>
        <v>275</v>
      </c>
      <c r="U94" t="s">
        <v>84</v>
      </c>
      <c r="AI94" s="75" t="s">
        <v>105</v>
      </c>
      <c r="AJ94" s="75"/>
      <c r="AK94" s="75">
        <f>MAX(AL55:AL65)</f>
        <v>376</v>
      </c>
      <c r="AL94" t="s">
        <v>84</v>
      </c>
      <c r="BA94" s="1376">
        <v>40</v>
      </c>
      <c r="BB94" s="1377">
        <v>8.8580000000000005</v>
      </c>
    </row>
    <row r="95" spans="1:54">
      <c r="R95" s="75" t="s">
        <v>94</v>
      </c>
      <c r="S95" s="75"/>
      <c r="T95" s="75">
        <f>ABS(T94-T93)</f>
        <v>85</v>
      </c>
      <c r="U95" t="s">
        <v>84</v>
      </c>
      <c r="AI95" s="75" t="s">
        <v>94</v>
      </c>
      <c r="AJ95" s="75"/>
      <c r="AK95" s="75">
        <f>AK94-AK93</f>
        <v>186</v>
      </c>
      <c r="AL95" t="s">
        <v>84</v>
      </c>
      <c r="BA95" s="1376">
        <v>41</v>
      </c>
      <c r="BB95" s="1377">
        <v>8.7590000000000003</v>
      </c>
    </row>
    <row r="96" spans="1:54">
      <c r="B96" s="2045" t="s">
        <v>95</v>
      </c>
      <c r="C96" s="2047" t="s">
        <v>96</v>
      </c>
      <c r="D96" s="2049" t="s">
        <v>55</v>
      </c>
      <c r="E96" s="2051"/>
      <c r="F96" s="2049" t="s">
        <v>97</v>
      </c>
      <c r="G96" s="2051"/>
      <c r="H96" s="2049" t="s">
        <v>79</v>
      </c>
      <c r="I96" s="2050"/>
      <c r="J96" s="2051"/>
      <c r="BA96" s="1376">
        <v>42</v>
      </c>
      <c r="BB96" s="1377">
        <v>8.8000000000000007</v>
      </c>
    </row>
    <row r="97" spans="2:54">
      <c r="B97" s="2046"/>
      <c r="C97" s="2048"/>
      <c r="D97" s="82" t="s">
        <v>98</v>
      </c>
      <c r="E97" s="82" t="s">
        <v>98</v>
      </c>
      <c r="F97" s="82" t="s">
        <v>99</v>
      </c>
      <c r="G97" s="82" t="s">
        <v>100</v>
      </c>
      <c r="H97" s="82" t="s">
        <v>101</v>
      </c>
      <c r="I97" s="82" t="s">
        <v>100</v>
      </c>
      <c r="J97" s="82" t="s">
        <v>102</v>
      </c>
      <c r="R97" s="81" t="s">
        <v>95</v>
      </c>
      <c r="S97" s="82" t="s">
        <v>96</v>
      </c>
      <c r="T97" s="82" t="s">
        <v>55</v>
      </c>
      <c r="U97" s="82"/>
      <c r="V97" s="22" t="s">
        <v>97</v>
      </c>
      <c r="W97" s="22"/>
      <c r="X97" s="22" t="s">
        <v>79</v>
      </c>
      <c r="Y97" s="22"/>
      <c r="Z97" s="22"/>
      <c r="AI97" s="91" t="s">
        <v>95</v>
      </c>
      <c r="AJ97" s="22" t="s">
        <v>96</v>
      </c>
      <c r="AK97" s="82" t="s">
        <v>55</v>
      </c>
      <c r="AL97" s="82"/>
      <c r="AM97" s="22" t="s">
        <v>97</v>
      </c>
      <c r="AN97" s="22"/>
      <c r="AO97" s="22" t="s">
        <v>79</v>
      </c>
      <c r="AP97" s="22"/>
      <c r="AQ97" s="22"/>
      <c r="BA97" s="1376">
        <v>43</v>
      </c>
      <c r="BB97" s="1377">
        <v>8.8610000000000007</v>
      </c>
    </row>
    <row r="98" spans="2:54">
      <c r="B98" s="81"/>
      <c r="C98" s="82"/>
      <c r="D98" s="82" t="s">
        <v>103</v>
      </c>
      <c r="E98" s="82"/>
      <c r="F98" s="82"/>
      <c r="G98" s="82" t="s">
        <v>104</v>
      </c>
      <c r="H98" s="82" t="s">
        <v>84</v>
      </c>
      <c r="I98" s="82" t="s">
        <v>84</v>
      </c>
      <c r="J98" s="82" t="s">
        <v>34</v>
      </c>
      <c r="R98" s="81"/>
      <c r="S98" s="82"/>
      <c r="T98" s="82" t="s">
        <v>98</v>
      </c>
      <c r="U98" s="82" t="s">
        <v>98</v>
      </c>
      <c r="V98" s="82" t="s">
        <v>99</v>
      </c>
      <c r="W98" s="82" t="s">
        <v>100</v>
      </c>
      <c r="X98" s="82" t="s">
        <v>101</v>
      </c>
      <c r="Y98" s="82" t="s">
        <v>100</v>
      </c>
      <c r="Z98" s="82" t="s">
        <v>102</v>
      </c>
      <c r="AI98" s="81"/>
      <c r="AJ98" s="82"/>
      <c r="AK98" s="82" t="s">
        <v>98</v>
      </c>
      <c r="AL98" s="82" t="s">
        <v>98</v>
      </c>
      <c r="AM98" s="82" t="s">
        <v>99</v>
      </c>
      <c r="AN98" s="82" t="s">
        <v>100</v>
      </c>
      <c r="AO98" s="82" t="s">
        <v>101</v>
      </c>
      <c r="AP98" s="82" t="s">
        <v>100</v>
      </c>
      <c r="AQ98" s="82" t="s">
        <v>102</v>
      </c>
      <c r="BA98" s="1376">
        <v>44</v>
      </c>
      <c r="BB98" s="1377">
        <v>8.8780000000000001</v>
      </c>
    </row>
    <row r="99" spans="2:54">
      <c r="B99" s="121">
        <f>M59</f>
        <v>0</v>
      </c>
      <c r="C99" s="120">
        <v>0.33680555555555558</v>
      </c>
      <c r="D99" s="119">
        <v>0</v>
      </c>
      <c r="E99" s="86">
        <f t="shared" ref="E99:E112" si="1">SQRT(D99)</f>
        <v>0</v>
      </c>
      <c r="F99" s="295">
        <f>MAX(H57:H63)</f>
        <v>29</v>
      </c>
      <c r="G99" s="88">
        <v>0</v>
      </c>
      <c r="H99" s="89">
        <f>F93</f>
        <v>229</v>
      </c>
      <c r="I99" s="88">
        <v>0</v>
      </c>
      <c r="J99" s="86">
        <f t="shared" ref="J99:J112" si="2">(I99/$F$94)*100</f>
        <v>0</v>
      </c>
      <c r="R99" s="81"/>
      <c r="S99" s="82"/>
      <c r="T99" s="82" t="s">
        <v>103</v>
      </c>
      <c r="U99" s="82"/>
      <c r="V99" s="82"/>
      <c r="W99" s="82" t="s">
        <v>104</v>
      </c>
      <c r="X99" s="82" t="s">
        <v>84</v>
      </c>
      <c r="Y99" s="82" t="s">
        <v>84</v>
      </c>
      <c r="Z99" s="82" t="s">
        <v>34</v>
      </c>
      <c r="AI99" s="81"/>
      <c r="AJ99" s="82"/>
      <c r="AK99" s="82" t="s">
        <v>103</v>
      </c>
      <c r="AL99" s="82"/>
      <c r="AM99" s="82"/>
      <c r="AN99" s="82" t="s">
        <v>104</v>
      </c>
      <c r="AO99" s="82" t="s">
        <v>84</v>
      </c>
      <c r="AP99" s="82" t="s">
        <v>84</v>
      </c>
      <c r="AQ99" s="82" t="s">
        <v>34</v>
      </c>
      <c r="BA99" s="1376">
        <v>45</v>
      </c>
      <c r="BB99" s="1377">
        <v>8.9410000000000007</v>
      </c>
    </row>
    <row r="100" spans="2:54">
      <c r="B100" s="91"/>
      <c r="C100" s="92" t="b">
        <f>C99=D100</f>
        <v>0</v>
      </c>
      <c r="D100" s="119">
        <v>0.25</v>
      </c>
      <c r="E100" s="86">
        <f t="shared" si="1"/>
        <v>0.5</v>
      </c>
      <c r="F100" s="117">
        <v>27.2</v>
      </c>
      <c r="G100" s="88">
        <f>$F$99-F100</f>
        <v>1.8000000000000007</v>
      </c>
      <c r="H100" s="118">
        <v>225</v>
      </c>
      <c r="I100" s="88">
        <f>$H$99-H100</f>
        <v>4</v>
      </c>
      <c r="J100" s="86">
        <f t="shared" si="2"/>
        <v>10.256410256410255</v>
      </c>
      <c r="R100" s="121">
        <f>Z59</f>
        <v>0.30000000000000071</v>
      </c>
      <c r="S100" s="120">
        <v>0.34027777777777773</v>
      </c>
      <c r="T100" s="119">
        <v>0</v>
      </c>
      <c r="U100" s="86">
        <f t="shared" ref="U100:U113" si="3">SQRT(T100)</f>
        <v>0</v>
      </c>
      <c r="V100" s="295">
        <f>MAX(Y56:Y64)</f>
        <v>26.7</v>
      </c>
      <c r="W100" s="88">
        <v>0</v>
      </c>
      <c r="X100" s="89">
        <f>T94</f>
        <v>275</v>
      </c>
      <c r="Y100" s="88">
        <v>0</v>
      </c>
      <c r="Z100" s="90" t="e">
        <f>(Y100/$E$66)*100</f>
        <v>#DIV/0!</v>
      </c>
      <c r="AI100" s="83">
        <f>AH59</f>
        <v>0</v>
      </c>
      <c r="AJ100" s="84">
        <v>0.34375</v>
      </c>
      <c r="AK100" s="85">
        <v>0</v>
      </c>
      <c r="AL100" s="86">
        <f t="shared" ref="AL100:AL113" si="4">SQRT(AK100)</f>
        <v>0</v>
      </c>
      <c r="AM100" s="296">
        <v>27.7</v>
      </c>
      <c r="AN100" s="86">
        <v>0</v>
      </c>
      <c r="AO100" s="89">
        <f>AK94</f>
        <v>376</v>
      </c>
      <c r="AP100" s="86">
        <v>0</v>
      </c>
      <c r="AQ100" s="86">
        <f t="shared" ref="AQ100:AQ113" si="5">(AP100/$AK$95)*100</f>
        <v>0</v>
      </c>
      <c r="BA100" s="1376">
        <v>46</v>
      </c>
      <c r="BB100" s="1377">
        <v>9.01</v>
      </c>
    </row>
    <row r="101" spans="2:54">
      <c r="B101" s="91"/>
      <c r="C101" s="92">
        <v>0.3371527777777778</v>
      </c>
      <c r="D101" s="119">
        <v>0.5</v>
      </c>
      <c r="E101" s="86">
        <f t="shared" si="1"/>
        <v>0.70710678118654757</v>
      </c>
      <c r="F101" s="117">
        <v>27</v>
      </c>
      <c r="G101" s="88">
        <f t="shared" ref="G101:G112" si="6">$F$99-F101</f>
        <v>2</v>
      </c>
      <c r="H101" s="118">
        <v>220</v>
      </c>
      <c r="I101" s="88">
        <f t="shared" ref="I101:I112" si="7">$H$99-H101</f>
        <v>9</v>
      </c>
      <c r="J101" s="86">
        <f t="shared" si="2"/>
        <v>23.076923076923077</v>
      </c>
      <c r="R101" s="91"/>
      <c r="S101" s="92">
        <v>0.34045138888888887</v>
      </c>
      <c r="T101" s="119">
        <v>0.25</v>
      </c>
      <c r="U101" s="86">
        <f t="shared" si="3"/>
        <v>0.5</v>
      </c>
      <c r="V101" s="117">
        <v>25.4</v>
      </c>
      <c r="W101" s="88">
        <f t="shared" ref="W101:W113" si="8">$V$100-V101</f>
        <v>1.3000000000000007</v>
      </c>
      <c r="X101" s="118">
        <v>218</v>
      </c>
      <c r="Y101" s="88">
        <f t="shared" ref="Y101:Y113" si="9">$X$100-X101</f>
        <v>57</v>
      </c>
      <c r="Z101" s="90">
        <f t="shared" ref="Z101:Z113" si="10">(Y101/$T$95)*100</f>
        <v>67.058823529411754</v>
      </c>
      <c r="AI101" s="91"/>
      <c r="AJ101" s="92">
        <f t="shared" ref="AJ101:AJ113" si="11">$D$212+AK101/1440</f>
        <v>1.7361111111111112E-4</v>
      </c>
      <c r="AK101" s="85">
        <v>0.25</v>
      </c>
      <c r="AL101" s="86">
        <f t="shared" si="4"/>
        <v>0.5</v>
      </c>
      <c r="AM101" s="87">
        <v>27.4</v>
      </c>
      <c r="AN101" s="86">
        <f t="shared" ref="AN101:AN113" si="12">$AM$100-AM101</f>
        <v>0.30000000000000071</v>
      </c>
      <c r="AO101" s="93">
        <v>245</v>
      </c>
      <c r="AP101" s="86">
        <f t="shared" ref="AP101:AP113" si="13">$AO$100-AO101</f>
        <v>131</v>
      </c>
      <c r="AQ101" s="86">
        <f t="shared" si="5"/>
        <v>70.430107526881727</v>
      </c>
      <c r="BA101" s="1376">
        <v>47</v>
      </c>
      <c r="BB101" s="1377">
        <v>8.8993000000000002</v>
      </c>
    </row>
    <row r="102" spans="2:54">
      <c r="B102" s="91"/>
      <c r="C102" s="92">
        <v>0.33749999999999997</v>
      </c>
      <c r="D102" s="119">
        <v>1</v>
      </c>
      <c r="E102" s="86">
        <f t="shared" si="1"/>
        <v>1</v>
      </c>
      <c r="F102" s="117">
        <v>26.7</v>
      </c>
      <c r="G102" s="88">
        <f t="shared" si="6"/>
        <v>2.3000000000000007</v>
      </c>
      <c r="H102" s="118">
        <v>210</v>
      </c>
      <c r="I102" s="88">
        <f t="shared" si="7"/>
        <v>19</v>
      </c>
      <c r="J102" s="86">
        <f t="shared" si="2"/>
        <v>48.717948717948715</v>
      </c>
      <c r="R102" s="91"/>
      <c r="S102" s="92">
        <v>0.34062500000000001</v>
      </c>
      <c r="T102" s="119">
        <v>0.5</v>
      </c>
      <c r="U102" s="86">
        <f t="shared" si="3"/>
        <v>0.70710678118654757</v>
      </c>
      <c r="V102" s="117">
        <v>25.2</v>
      </c>
      <c r="W102" s="88">
        <f t="shared" si="8"/>
        <v>1.5</v>
      </c>
      <c r="X102" s="118">
        <v>212</v>
      </c>
      <c r="Y102" s="88">
        <f t="shared" si="9"/>
        <v>63</v>
      </c>
      <c r="Z102" s="90">
        <f t="shared" si="10"/>
        <v>74.117647058823536</v>
      </c>
      <c r="AI102" s="91"/>
      <c r="AJ102" s="92">
        <f t="shared" si="11"/>
        <v>3.4722222222222224E-4</v>
      </c>
      <c r="AK102" s="85">
        <v>0.5</v>
      </c>
      <c r="AL102" s="86">
        <f t="shared" si="4"/>
        <v>0.70710678118654757</v>
      </c>
      <c r="AM102" s="87">
        <v>27.2</v>
      </c>
      <c r="AN102" s="86">
        <f t="shared" si="12"/>
        <v>0.5</v>
      </c>
      <c r="AO102" s="93">
        <v>235</v>
      </c>
      <c r="AP102" s="86">
        <f t="shared" si="13"/>
        <v>141</v>
      </c>
      <c r="AQ102" s="86">
        <f t="shared" si="5"/>
        <v>75.806451612903231</v>
      </c>
      <c r="BA102" s="1376">
        <v>48</v>
      </c>
      <c r="BB102" s="1377">
        <v>8.7490000000000006</v>
      </c>
    </row>
    <row r="103" spans="2:54">
      <c r="B103" s="91"/>
      <c r="C103" s="92">
        <v>0.33836805555555555</v>
      </c>
      <c r="D103" s="119">
        <v>2.25</v>
      </c>
      <c r="E103" s="86">
        <f t="shared" si="1"/>
        <v>1.5</v>
      </c>
      <c r="F103" s="117">
        <v>26.3</v>
      </c>
      <c r="G103" s="88">
        <f t="shared" si="6"/>
        <v>2.6999999999999993</v>
      </c>
      <c r="H103" s="118">
        <v>205</v>
      </c>
      <c r="I103" s="88">
        <f t="shared" si="7"/>
        <v>24</v>
      </c>
      <c r="J103" s="86">
        <f t="shared" si="2"/>
        <v>61.53846153846154</v>
      </c>
      <c r="R103" s="91"/>
      <c r="S103" s="92">
        <v>0.34097222222222223</v>
      </c>
      <c r="T103" s="119">
        <v>1</v>
      </c>
      <c r="U103" s="86">
        <f t="shared" si="3"/>
        <v>1</v>
      </c>
      <c r="V103" s="117">
        <v>25</v>
      </c>
      <c r="W103" s="88">
        <f t="shared" si="8"/>
        <v>1.6999999999999993</v>
      </c>
      <c r="X103" s="118">
        <v>210</v>
      </c>
      <c r="Y103" s="88">
        <f t="shared" si="9"/>
        <v>65</v>
      </c>
      <c r="Z103" s="90">
        <f t="shared" si="10"/>
        <v>76.470588235294116</v>
      </c>
      <c r="AI103" s="91"/>
      <c r="AJ103" s="92">
        <f t="shared" si="11"/>
        <v>6.9444444444444447E-4</v>
      </c>
      <c r="AK103" s="85">
        <v>1</v>
      </c>
      <c r="AL103" s="86">
        <f t="shared" si="4"/>
        <v>1</v>
      </c>
      <c r="AM103" s="87">
        <v>27</v>
      </c>
      <c r="AN103" s="86">
        <f t="shared" si="12"/>
        <v>0.69999999999999929</v>
      </c>
      <c r="AO103" s="93">
        <v>230</v>
      </c>
      <c r="AP103" s="86">
        <f t="shared" si="13"/>
        <v>146</v>
      </c>
      <c r="AQ103" s="86">
        <f t="shared" si="5"/>
        <v>78.494623655913969</v>
      </c>
      <c r="BA103" s="1376">
        <v>49</v>
      </c>
      <c r="BB103" s="1377">
        <v>8.8219999999999992</v>
      </c>
    </row>
    <row r="104" spans="2:54">
      <c r="B104" s="91"/>
      <c r="C104" s="92">
        <f t="shared" ref="C104:C112" si="14">$D$91+D104/1440</f>
        <v>2.7777777777777779E-3</v>
      </c>
      <c r="D104" s="119">
        <v>4</v>
      </c>
      <c r="E104" s="86">
        <f t="shared" si="1"/>
        <v>2</v>
      </c>
      <c r="F104" s="117">
        <v>25.8</v>
      </c>
      <c r="G104" s="88">
        <f t="shared" si="6"/>
        <v>3.1999999999999993</v>
      </c>
      <c r="H104" s="118">
        <v>200</v>
      </c>
      <c r="I104" s="88">
        <f t="shared" si="7"/>
        <v>29</v>
      </c>
      <c r="J104" s="86">
        <f t="shared" si="2"/>
        <v>74.358974358974365</v>
      </c>
      <c r="R104" s="91"/>
      <c r="S104" s="92">
        <f t="shared" ref="S104:S113" si="15">$D$126+T104/1440</f>
        <v>1.5625000000000001E-3</v>
      </c>
      <c r="T104" s="119">
        <v>2.25</v>
      </c>
      <c r="U104" s="86">
        <f t="shared" si="3"/>
        <v>1.5</v>
      </c>
      <c r="V104" s="117">
        <v>24.8</v>
      </c>
      <c r="W104" s="88">
        <f t="shared" si="8"/>
        <v>1.8999999999999986</v>
      </c>
      <c r="X104" s="118">
        <v>208</v>
      </c>
      <c r="Y104" s="88">
        <f t="shared" si="9"/>
        <v>67</v>
      </c>
      <c r="Z104" s="90">
        <f t="shared" si="10"/>
        <v>78.82352941176471</v>
      </c>
      <c r="AI104" s="91"/>
      <c r="AJ104" s="92">
        <f t="shared" si="11"/>
        <v>1.5625000000000001E-3</v>
      </c>
      <c r="AK104" s="85">
        <v>2.25</v>
      </c>
      <c r="AL104" s="86">
        <f t="shared" si="4"/>
        <v>1.5</v>
      </c>
      <c r="AM104" s="87">
        <v>26.7</v>
      </c>
      <c r="AN104" s="86">
        <f t="shared" si="12"/>
        <v>1</v>
      </c>
      <c r="AO104" s="93">
        <v>225</v>
      </c>
      <c r="AP104" s="86">
        <f t="shared" si="13"/>
        <v>151</v>
      </c>
      <c r="AQ104" s="86">
        <f t="shared" si="5"/>
        <v>81.182795698924721</v>
      </c>
      <c r="BA104" s="1376">
        <v>50</v>
      </c>
      <c r="BB104" s="1377">
        <v>8.7810000000000006</v>
      </c>
    </row>
    <row r="105" spans="2:54">
      <c r="B105" s="91"/>
      <c r="C105" s="92">
        <f t="shared" si="14"/>
        <v>6.2500000000000003E-3</v>
      </c>
      <c r="D105" s="119">
        <v>9</v>
      </c>
      <c r="E105" s="86">
        <f t="shared" si="1"/>
        <v>3</v>
      </c>
      <c r="F105" s="117">
        <v>24.9</v>
      </c>
      <c r="G105" s="88">
        <f t="shared" si="6"/>
        <v>4.1000000000000014</v>
      </c>
      <c r="H105" s="118">
        <v>198</v>
      </c>
      <c r="I105" s="88">
        <f t="shared" si="7"/>
        <v>31</v>
      </c>
      <c r="J105" s="86">
        <f t="shared" si="2"/>
        <v>79.487179487179489</v>
      </c>
      <c r="R105" s="91"/>
      <c r="S105" s="92">
        <f t="shared" si="15"/>
        <v>2.7777777777777779E-3</v>
      </c>
      <c r="T105" s="119">
        <v>4</v>
      </c>
      <c r="U105" s="86">
        <f t="shared" si="3"/>
        <v>2</v>
      </c>
      <c r="V105" s="117">
        <v>24.6</v>
      </c>
      <c r="W105" s="88">
        <f t="shared" si="8"/>
        <v>2.0999999999999979</v>
      </c>
      <c r="X105" s="118">
        <v>206</v>
      </c>
      <c r="Y105" s="88">
        <f t="shared" si="9"/>
        <v>69</v>
      </c>
      <c r="Z105" s="90">
        <f t="shared" si="10"/>
        <v>81.17647058823529</v>
      </c>
      <c r="AI105" s="91"/>
      <c r="AJ105" s="92">
        <f t="shared" si="11"/>
        <v>2.7777777777777779E-3</v>
      </c>
      <c r="AK105" s="85">
        <v>4</v>
      </c>
      <c r="AL105" s="86">
        <f t="shared" si="4"/>
        <v>2</v>
      </c>
      <c r="AM105" s="87">
        <v>26.5</v>
      </c>
      <c r="AN105" s="86">
        <f t="shared" si="12"/>
        <v>1.1999999999999993</v>
      </c>
      <c r="AO105" s="93">
        <v>220</v>
      </c>
      <c r="AP105" s="86">
        <f t="shared" si="13"/>
        <v>156</v>
      </c>
      <c r="AQ105" s="86">
        <f t="shared" si="5"/>
        <v>83.870967741935488</v>
      </c>
      <c r="BA105" s="1376">
        <v>51</v>
      </c>
      <c r="BB105" s="1377">
        <v>8.843</v>
      </c>
    </row>
    <row r="106" spans="2:54">
      <c r="B106" s="91"/>
      <c r="C106" s="92">
        <f t="shared" si="14"/>
        <v>1.1111111111111112E-2</v>
      </c>
      <c r="D106" s="119">
        <v>16</v>
      </c>
      <c r="E106" s="86">
        <f t="shared" si="1"/>
        <v>4</v>
      </c>
      <c r="F106" s="117">
        <v>24.1</v>
      </c>
      <c r="G106" s="88">
        <f t="shared" si="6"/>
        <v>4.8999999999999986</v>
      </c>
      <c r="H106" s="118">
        <v>196</v>
      </c>
      <c r="I106" s="88">
        <f t="shared" si="7"/>
        <v>33</v>
      </c>
      <c r="J106" s="86">
        <f t="shared" si="2"/>
        <v>84.615384615384613</v>
      </c>
      <c r="R106" s="91"/>
      <c r="S106" s="92">
        <f t="shared" si="15"/>
        <v>6.2500000000000003E-3</v>
      </c>
      <c r="T106" s="119">
        <v>9</v>
      </c>
      <c r="U106" s="86">
        <f t="shared" si="3"/>
        <v>3</v>
      </c>
      <c r="V106" s="117">
        <v>24.1</v>
      </c>
      <c r="W106" s="88">
        <f t="shared" si="8"/>
        <v>2.5999999999999979</v>
      </c>
      <c r="X106" s="118">
        <v>205</v>
      </c>
      <c r="Y106" s="88">
        <f t="shared" si="9"/>
        <v>70</v>
      </c>
      <c r="Z106" s="90">
        <f t="shared" si="10"/>
        <v>82.35294117647058</v>
      </c>
      <c r="AI106" s="91"/>
      <c r="AJ106" s="92">
        <f t="shared" si="11"/>
        <v>6.2500000000000003E-3</v>
      </c>
      <c r="AK106" s="85">
        <v>9</v>
      </c>
      <c r="AL106" s="86">
        <f t="shared" si="4"/>
        <v>3</v>
      </c>
      <c r="AM106" s="87">
        <v>26.2</v>
      </c>
      <c r="AN106" s="86">
        <f t="shared" si="12"/>
        <v>1.5</v>
      </c>
      <c r="AO106" s="93">
        <v>215</v>
      </c>
      <c r="AP106" s="86">
        <f t="shared" si="13"/>
        <v>161</v>
      </c>
      <c r="AQ106" s="86">
        <f t="shared" si="5"/>
        <v>86.55913978494624</v>
      </c>
      <c r="BA106" s="1376">
        <v>52</v>
      </c>
      <c r="BB106" s="1377">
        <v>8.8580000000000005</v>
      </c>
    </row>
    <row r="107" spans="2:54">
      <c r="B107" s="91"/>
      <c r="C107" s="92">
        <f t="shared" si="14"/>
        <v>1.7361111111111112E-2</v>
      </c>
      <c r="D107" s="119">
        <v>25</v>
      </c>
      <c r="E107" s="86">
        <f t="shared" si="1"/>
        <v>5</v>
      </c>
      <c r="F107" s="117">
        <v>23.4</v>
      </c>
      <c r="G107" s="88">
        <f t="shared" si="6"/>
        <v>5.6000000000000014</v>
      </c>
      <c r="H107" s="118">
        <v>194</v>
      </c>
      <c r="I107" s="88">
        <f t="shared" si="7"/>
        <v>35</v>
      </c>
      <c r="J107" s="86">
        <f t="shared" si="2"/>
        <v>89.743589743589752</v>
      </c>
      <c r="R107" s="91"/>
      <c r="S107" s="92">
        <f t="shared" si="15"/>
        <v>1.1111111111111112E-2</v>
      </c>
      <c r="T107" s="119">
        <v>16</v>
      </c>
      <c r="U107" s="86">
        <f t="shared" si="3"/>
        <v>4</v>
      </c>
      <c r="V107" s="117">
        <v>23.8</v>
      </c>
      <c r="W107" s="88">
        <f t="shared" si="8"/>
        <v>2.8999999999999986</v>
      </c>
      <c r="X107" s="118">
        <v>202</v>
      </c>
      <c r="Y107" s="88">
        <f t="shared" si="9"/>
        <v>73</v>
      </c>
      <c r="Z107" s="90">
        <f t="shared" si="10"/>
        <v>85.882352941176464</v>
      </c>
      <c r="AI107" s="91"/>
      <c r="AJ107" s="92">
        <f t="shared" si="11"/>
        <v>1.1111111111111112E-2</v>
      </c>
      <c r="AK107" s="85">
        <v>16</v>
      </c>
      <c r="AL107" s="86">
        <f t="shared" si="4"/>
        <v>4</v>
      </c>
      <c r="AM107" s="87">
        <v>25.9</v>
      </c>
      <c r="AN107" s="86">
        <f t="shared" si="12"/>
        <v>1.8000000000000007</v>
      </c>
      <c r="AO107" s="93">
        <v>210</v>
      </c>
      <c r="AP107" s="86">
        <f t="shared" si="13"/>
        <v>166</v>
      </c>
      <c r="AQ107" s="86">
        <f t="shared" si="5"/>
        <v>89.247311827956992</v>
      </c>
      <c r="BA107" s="1376">
        <v>53</v>
      </c>
      <c r="BB107" s="1377">
        <v>8.7810000000000006</v>
      </c>
    </row>
    <row r="108" spans="2:54">
      <c r="B108" s="91"/>
      <c r="C108" s="92">
        <f t="shared" si="14"/>
        <v>2.5000000000000001E-2</v>
      </c>
      <c r="D108" s="119">
        <v>36</v>
      </c>
      <c r="E108" s="86">
        <f t="shared" si="1"/>
        <v>6</v>
      </c>
      <c r="F108" s="117">
        <v>23</v>
      </c>
      <c r="G108" s="88">
        <f t="shared" si="6"/>
        <v>6</v>
      </c>
      <c r="H108" s="118">
        <v>193</v>
      </c>
      <c r="I108" s="88">
        <f t="shared" si="7"/>
        <v>36</v>
      </c>
      <c r="J108" s="86">
        <f t="shared" si="2"/>
        <v>92.307692307692307</v>
      </c>
      <c r="R108" s="91"/>
      <c r="S108" s="92">
        <f t="shared" si="15"/>
        <v>1.7361111111111112E-2</v>
      </c>
      <c r="T108" s="119">
        <v>25</v>
      </c>
      <c r="U108" s="86">
        <f t="shared" si="3"/>
        <v>5</v>
      </c>
      <c r="V108" s="117">
        <v>23.6</v>
      </c>
      <c r="W108" s="88">
        <f t="shared" si="8"/>
        <v>3.0999999999999979</v>
      </c>
      <c r="X108" s="118">
        <v>200</v>
      </c>
      <c r="Y108" s="88">
        <f t="shared" si="9"/>
        <v>75</v>
      </c>
      <c r="Z108" s="90">
        <f t="shared" si="10"/>
        <v>88.235294117647058</v>
      </c>
      <c r="AI108" s="91"/>
      <c r="AJ108" s="92">
        <f t="shared" si="11"/>
        <v>1.7361111111111112E-2</v>
      </c>
      <c r="AK108" s="85">
        <v>25</v>
      </c>
      <c r="AL108" s="86">
        <f t="shared" si="4"/>
        <v>5</v>
      </c>
      <c r="AM108" s="87">
        <v>25.7</v>
      </c>
      <c r="AN108" s="86">
        <f t="shared" si="12"/>
        <v>2</v>
      </c>
      <c r="AO108" s="93">
        <v>207</v>
      </c>
      <c r="AP108" s="86">
        <f t="shared" si="13"/>
        <v>169</v>
      </c>
      <c r="AQ108" s="86">
        <f t="shared" si="5"/>
        <v>90.86021505376344</v>
      </c>
      <c r="BA108" s="1376">
        <v>54</v>
      </c>
      <c r="BB108" s="1377">
        <v>8.9179999999999993</v>
      </c>
    </row>
    <row r="109" spans="2:54">
      <c r="B109" s="91"/>
      <c r="C109" s="92">
        <f t="shared" si="14"/>
        <v>4.4444444444444446E-2</v>
      </c>
      <c r="D109" s="119">
        <v>64</v>
      </c>
      <c r="E109" s="86">
        <f t="shared" si="1"/>
        <v>8</v>
      </c>
      <c r="F109" s="117">
        <v>22.7</v>
      </c>
      <c r="G109" s="88">
        <f t="shared" si="6"/>
        <v>6.3000000000000007</v>
      </c>
      <c r="H109" s="118">
        <v>192</v>
      </c>
      <c r="I109" s="88">
        <f t="shared" si="7"/>
        <v>37</v>
      </c>
      <c r="J109" s="86">
        <f t="shared" si="2"/>
        <v>94.871794871794862</v>
      </c>
      <c r="R109" s="91"/>
      <c r="S109" s="92">
        <f t="shared" si="15"/>
        <v>2.5000000000000001E-2</v>
      </c>
      <c r="T109" s="119">
        <v>36</v>
      </c>
      <c r="U109" s="86">
        <f t="shared" si="3"/>
        <v>6</v>
      </c>
      <c r="V109" s="117">
        <v>23.5</v>
      </c>
      <c r="W109" s="88">
        <f t="shared" si="8"/>
        <v>3.1999999999999993</v>
      </c>
      <c r="X109" s="118">
        <v>198</v>
      </c>
      <c r="Y109" s="88">
        <f t="shared" si="9"/>
        <v>77</v>
      </c>
      <c r="Z109" s="90">
        <f t="shared" si="10"/>
        <v>90.588235294117652</v>
      </c>
      <c r="AI109" s="91"/>
      <c r="AJ109" s="92">
        <f t="shared" si="11"/>
        <v>2.5000000000000001E-2</v>
      </c>
      <c r="AK109" s="85">
        <v>36</v>
      </c>
      <c r="AL109" s="86">
        <f t="shared" si="4"/>
        <v>6</v>
      </c>
      <c r="AM109" s="87">
        <v>25.5</v>
      </c>
      <c r="AN109" s="86">
        <f t="shared" si="12"/>
        <v>2.1999999999999993</v>
      </c>
      <c r="AO109" s="93">
        <v>205</v>
      </c>
      <c r="AP109" s="86">
        <f t="shared" si="13"/>
        <v>171</v>
      </c>
      <c r="AQ109" s="86">
        <f t="shared" si="5"/>
        <v>91.935483870967744</v>
      </c>
      <c r="BA109" s="1376">
        <v>55</v>
      </c>
      <c r="BB109" s="1377">
        <v>9.0299999999999994</v>
      </c>
    </row>
    <row r="110" spans="2:54">
      <c r="B110" s="91"/>
      <c r="C110" s="92">
        <f t="shared" si="14"/>
        <v>8.4027777777777785E-2</v>
      </c>
      <c r="D110" s="119">
        <v>121</v>
      </c>
      <c r="E110" s="86">
        <f t="shared" si="1"/>
        <v>11</v>
      </c>
      <c r="F110" s="117">
        <v>22.5</v>
      </c>
      <c r="G110" s="88">
        <f t="shared" si="6"/>
        <v>6.5</v>
      </c>
      <c r="H110" s="118">
        <v>191</v>
      </c>
      <c r="I110" s="88">
        <f t="shared" si="7"/>
        <v>38</v>
      </c>
      <c r="J110" s="86">
        <f t="shared" si="2"/>
        <v>97.435897435897431</v>
      </c>
      <c r="R110" s="91"/>
      <c r="S110" s="92">
        <f t="shared" si="15"/>
        <v>4.4444444444444446E-2</v>
      </c>
      <c r="T110" s="119">
        <v>64</v>
      </c>
      <c r="U110" s="86">
        <f t="shared" si="3"/>
        <v>8</v>
      </c>
      <c r="V110" s="117">
        <v>23.3</v>
      </c>
      <c r="W110" s="88">
        <f t="shared" si="8"/>
        <v>3.3999999999999986</v>
      </c>
      <c r="X110" s="118">
        <v>195</v>
      </c>
      <c r="Y110" s="88">
        <f t="shared" si="9"/>
        <v>80</v>
      </c>
      <c r="Z110" s="90">
        <f t="shared" si="10"/>
        <v>94.117647058823522</v>
      </c>
      <c r="AI110" s="91"/>
      <c r="AJ110" s="92">
        <f t="shared" si="11"/>
        <v>4.4444444444444446E-2</v>
      </c>
      <c r="AK110" s="85">
        <v>64</v>
      </c>
      <c r="AL110" s="86">
        <f t="shared" si="4"/>
        <v>8</v>
      </c>
      <c r="AM110" s="87">
        <v>25.3</v>
      </c>
      <c r="AN110" s="86">
        <f t="shared" si="12"/>
        <v>2.3999999999999986</v>
      </c>
      <c r="AO110" s="93">
        <v>202</v>
      </c>
      <c r="AP110" s="86">
        <f t="shared" si="13"/>
        <v>174</v>
      </c>
      <c r="AQ110" s="86">
        <f t="shared" si="5"/>
        <v>93.548387096774192</v>
      </c>
      <c r="BA110" s="1376">
        <v>56</v>
      </c>
      <c r="BB110" s="1377">
        <v>8.9239999999999995</v>
      </c>
    </row>
    <row r="111" spans="2:54">
      <c r="B111" s="91"/>
      <c r="C111" s="92">
        <f t="shared" si="14"/>
        <v>0.15625</v>
      </c>
      <c r="D111" s="119">
        <v>225</v>
      </c>
      <c r="E111" s="86">
        <f t="shared" si="1"/>
        <v>15</v>
      </c>
      <c r="F111" s="117">
        <v>22.3</v>
      </c>
      <c r="G111" s="88">
        <f t="shared" si="6"/>
        <v>6.6999999999999993</v>
      </c>
      <c r="H111" s="118">
        <v>190</v>
      </c>
      <c r="I111" s="88">
        <f t="shared" si="7"/>
        <v>39</v>
      </c>
      <c r="J111" s="86">
        <f t="shared" si="2"/>
        <v>100</v>
      </c>
      <c r="R111" s="91"/>
      <c r="S111" s="92">
        <f t="shared" si="15"/>
        <v>8.4027777777777785E-2</v>
      </c>
      <c r="T111" s="119">
        <v>121</v>
      </c>
      <c r="U111" s="86">
        <f t="shared" si="3"/>
        <v>11</v>
      </c>
      <c r="V111" s="117">
        <v>23.2</v>
      </c>
      <c r="W111" s="88">
        <f t="shared" si="8"/>
        <v>3.5</v>
      </c>
      <c r="X111" s="118">
        <v>192</v>
      </c>
      <c r="Y111" s="88">
        <f t="shared" si="9"/>
        <v>83</v>
      </c>
      <c r="Z111" s="90">
        <f t="shared" si="10"/>
        <v>97.647058823529406</v>
      </c>
      <c r="AI111" s="91"/>
      <c r="AJ111" s="92">
        <f t="shared" si="11"/>
        <v>8.4027777777777785E-2</v>
      </c>
      <c r="AK111" s="85">
        <v>121</v>
      </c>
      <c r="AL111" s="86">
        <f t="shared" si="4"/>
        <v>11</v>
      </c>
      <c r="AM111" s="87">
        <v>25.2</v>
      </c>
      <c r="AN111" s="86">
        <f t="shared" si="12"/>
        <v>2.5</v>
      </c>
      <c r="AO111" s="93">
        <v>198</v>
      </c>
      <c r="AP111" s="86">
        <f t="shared" si="13"/>
        <v>178</v>
      </c>
      <c r="AQ111" s="86">
        <f t="shared" si="5"/>
        <v>95.6989247311828</v>
      </c>
      <c r="BA111" s="1376">
        <v>57</v>
      </c>
      <c r="BB111" s="1377">
        <v>9.0109999999999992</v>
      </c>
    </row>
    <row r="112" spans="2:54">
      <c r="B112" s="94"/>
      <c r="C112" s="92">
        <f t="shared" si="14"/>
        <v>0.75694444444444442</v>
      </c>
      <c r="D112" s="119">
        <v>1090</v>
      </c>
      <c r="E112" s="86">
        <f t="shared" si="1"/>
        <v>33.015148038438355</v>
      </c>
      <c r="F112" s="117">
        <v>22.1</v>
      </c>
      <c r="G112" s="88">
        <f t="shared" si="6"/>
        <v>6.8999999999999986</v>
      </c>
      <c r="H112" s="118">
        <v>190</v>
      </c>
      <c r="I112" s="88">
        <f t="shared" si="7"/>
        <v>39</v>
      </c>
      <c r="J112" s="86">
        <f t="shared" si="2"/>
        <v>100</v>
      </c>
      <c r="R112" s="91"/>
      <c r="S112" s="92">
        <f t="shared" si="15"/>
        <v>0.15625</v>
      </c>
      <c r="T112" s="119">
        <v>225</v>
      </c>
      <c r="U112" s="86">
        <f t="shared" si="3"/>
        <v>15</v>
      </c>
      <c r="V112" s="117">
        <v>23.1</v>
      </c>
      <c r="W112" s="88">
        <f t="shared" si="8"/>
        <v>3.5999999999999979</v>
      </c>
      <c r="X112" s="118">
        <v>190</v>
      </c>
      <c r="Y112" s="88">
        <f t="shared" si="9"/>
        <v>85</v>
      </c>
      <c r="Z112" s="90">
        <f t="shared" si="10"/>
        <v>100</v>
      </c>
      <c r="AI112" s="91"/>
      <c r="AJ112" s="92">
        <f t="shared" si="11"/>
        <v>0.15625</v>
      </c>
      <c r="AK112" s="85">
        <v>225</v>
      </c>
      <c r="AL112" s="86">
        <f t="shared" si="4"/>
        <v>15</v>
      </c>
      <c r="AM112" s="87">
        <v>25.2</v>
      </c>
      <c r="AN112" s="86">
        <f t="shared" si="12"/>
        <v>2.5</v>
      </c>
      <c r="AO112" s="93">
        <v>194</v>
      </c>
      <c r="AP112" s="86">
        <f t="shared" si="13"/>
        <v>182</v>
      </c>
      <c r="AQ112" s="86">
        <f t="shared" si="5"/>
        <v>97.849462365591393</v>
      </c>
      <c r="BA112" s="1376">
        <v>58</v>
      </c>
      <c r="BB112" s="1377">
        <v>8.8539999999999992</v>
      </c>
    </row>
    <row r="113" spans="1:54">
      <c r="B113" s="75"/>
      <c r="D113" s="79"/>
      <c r="H113" s="80"/>
      <c r="J113" s="77"/>
      <c r="O113" s="75"/>
      <c r="Q113" s="79"/>
      <c r="R113" s="94"/>
      <c r="S113" s="92">
        <f t="shared" si="15"/>
        <v>0.75694444444444442</v>
      </c>
      <c r="T113" s="119">
        <v>1090</v>
      </c>
      <c r="U113" s="86">
        <f t="shared" si="3"/>
        <v>33.015148038438355</v>
      </c>
      <c r="V113" s="117">
        <v>23</v>
      </c>
      <c r="W113" s="88">
        <f t="shared" si="8"/>
        <v>3.6999999999999993</v>
      </c>
      <c r="X113" s="118">
        <v>190</v>
      </c>
      <c r="Y113" s="88">
        <f t="shared" si="9"/>
        <v>85</v>
      </c>
      <c r="Z113" s="90">
        <f t="shared" si="10"/>
        <v>100</v>
      </c>
      <c r="AB113" s="95"/>
      <c r="AI113" s="94"/>
      <c r="AJ113" s="92">
        <f t="shared" si="11"/>
        <v>0.75694444444444442</v>
      </c>
      <c r="AK113" s="85">
        <v>1090</v>
      </c>
      <c r="AL113" s="86">
        <f t="shared" si="4"/>
        <v>33.015148038438355</v>
      </c>
      <c r="AM113" s="87">
        <v>25.2</v>
      </c>
      <c r="AN113" s="86">
        <f t="shared" si="12"/>
        <v>2.5</v>
      </c>
      <c r="AO113" s="93">
        <v>190</v>
      </c>
      <c r="AP113" s="86">
        <f t="shared" si="13"/>
        <v>186</v>
      </c>
      <c r="AQ113" s="86">
        <f t="shared" si="5"/>
        <v>100</v>
      </c>
      <c r="BA113" s="1376">
        <v>59</v>
      </c>
      <c r="BB113" s="1377">
        <v>8.8989999999999991</v>
      </c>
    </row>
    <row r="114" spans="1:54">
      <c r="B114" s="75"/>
      <c r="C114" t="s">
        <v>1538</v>
      </c>
      <c r="D114" s="79"/>
      <c r="G114" s="42">
        <f>MAX(G99:G112)</f>
        <v>6.8999999999999986</v>
      </c>
      <c r="H114" s="80"/>
      <c r="J114" s="77"/>
      <c r="O114" s="75"/>
      <c r="Q114" s="79"/>
      <c r="R114" s="1446"/>
      <c r="S114" s="1447"/>
      <c r="T114" s="756"/>
      <c r="U114" s="77"/>
      <c r="V114" s="1448"/>
      <c r="W114" s="78"/>
      <c r="X114" s="1449"/>
      <c r="Y114" s="78"/>
      <c r="Z114" s="157"/>
      <c r="AB114" s="95"/>
      <c r="AI114" s="1446"/>
      <c r="AJ114" s="1447"/>
      <c r="AK114" s="1450"/>
      <c r="AL114" s="77"/>
      <c r="AM114" s="1451"/>
      <c r="AN114" s="77"/>
      <c r="AO114" s="1452"/>
      <c r="AP114" s="77"/>
      <c r="AQ114" s="77"/>
      <c r="BA114" s="1376">
        <v>60</v>
      </c>
      <c r="BB114" s="1377">
        <v>8.8209999999999997</v>
      </c>
    </row>
    <row r="115" spans="1:54">
      <c r="B115" s="75"/>
      <c r="D115" s="79"/>
      <c r="H115" s="80"/>
      <c r="J115" s="77"/>
      <c r="O115" s="75"/>
      <c r="Q115" s="79"/>
      <c r="R115" s="1446"/>
      <c r="S115" s="1447"/>
      <c r="T115" s="756"/>
      <c r="U115" s="77"/>
      <c r="V115" s="1448"/>
      <c r="W115" s="42">
        <f>MAX(W100:W113)</f>
        <v>3.6999999999999993</v>
      </c>
      <c r="X115" s="1449"/>
      <c r="Y115" s="78"/>
      <c r="Z115" s="157"/>
      <c r="AB115" s="95"/>
      <c r="AI115" s="1446"/>
      <c r="AJ115" s="1447"/>
      <c r="AK115" s="1450"/>
      <c r="AL115" s="77"/>
      <c r="AM115" s="1451"/>
      <c r="AN115" s="42">
        <f>MAX(AN100:AN113)</f>
        <v>2.5</v>
      </c>
      <c r="AO115" s="1452"/>
      <c r="AP115" s="77"/>
      <c r="AQ115" s="77"/>
      <c r="BA115" s="1376">
        <v>61</v>
      </c>
      <c r="BB115" s="1377">
        <v>8.8450000000000006</v>
      </c>
    </row>
    <row r="116" spans="1:54">
      <c r="B116" s="75"/>
      <c r="D116" s="79"/>
      <c r="H116" s="80"/>
      <c r="J116" s="77"/>
      <c r="O116" s="75"/>
      <c r="Q116" s="79"/>
      <c r="R116" s="1446"/>
      <c r="S116" s="1447"/>
      <c r="T116" s="756"/>
      <c r="U116" s="77"/>
      <c r="V116" s="1448"/>
      <c r="W116" s="78"/>
      <c r="X116" s="1449"/>
      <c r="Y116" s="78"/>
      <c r="Z116" s="157"/>
      <c r="AB116" s="95"/>
      <c r="AI116" s="1446"/>
      <c r="AJ116" s="1447"/>
      <c r="AK116" s="1450"/>
      <c r="AL116" s="77"/>
      <c r="AM116" s="1451"/>
      <c r="AN116" s="77"/>
      <c r="AO116" s="1452"/>
      <c r="AP116" s="77"/>
      <c r="AQ116" s="77"/>
      <c r="BA116" s="1376">
        <v>62</v>
      </c>
      <c r="BB116" s="1377">
        <v>8.76</v>
      </c>
    </row>
    <row r="117" spans="1:54">
      <c r="B117" s="75"/>
      <c r="D117" s="79"/>
      <c r="H117" s="80"/>
      <c r="J117" s="77"/>
      <c r="O117" s="75"/>
      <c r="Q117" s="79"/>
      <c r="R117" s="1446"/>
      <c r="S117" s="1447"/>
      <c r="T117" s="756"/>
      <c r="U117" s="77"/>
      <c r="V117" s="1448"/>
      <c r="W117" s="78"/>
      <c r="X117" s="1449"/>
      <c r="Y117" s="78"/>
      <c r="Z117" s="157"/>
      <c r="AB117" s="95"/>
      <c r="AI117" s="1446"/>
      <c r="AJ117" s="1447"/>
      <c r="AK117" s="1450"/>
      <c r="AL117" s="77"/>
      <c r="AM117" s="1451"/>
      <c r="AN117" s="77"/>
      <c r="AO117" s="1452"/>
      <c r="AP117" s="77"/>
      <c r="AQ117" s="77"/>
      <c r="BA117" s="1376">
        <v>63</v>
      </c>
      <c r="BB117" s="1377">
        <v>8.86</v>
      </c>
    </row>
    <row r="118" spans="1:54">
      <c r="BA118" s="1376">
        <v>64</v>
      </c>
      <c r="BB118" s="1377">
        <v>8.8089999999999993</v>
      </c>
    </row>
    <row r="119" spans="1:54" ht="24" customHeight="1">
      <c r="A119" s="1442"/>
      <c r="B119" s="1442" t="s">
        <v>137</v>
      </c>
      <c r="C119" s="1442"/>
      <c r="D119" s="1442"/>
      <c r="E119" s="1442"/>
      <c r="F119" s="1442"/>
      <c r="G119" s="1442"/>
      <c r="H119" s="1442"/>
      <c r="I119" s="1442"/>
      <c r="J119" s="1442"/>
      <c r="K119" s="1442"/>
      <c r="L119" s="1442"/>
      <c r="M119" s="1442"/>
      <c r="N119" s="1442"/>
      <c r="O119" s="1442"/>
      <c r="P119" s="1442"/>
      <c r="Q119" s="1442"/>
      <c r="R119" s="1442"/>
      <c r="S119" s="1442"/>
      <c r="T119" s="1442"/>
      <c r="U119" s="1442"/>
      <c r="V119" s="1442"/>
      <c r="W119" s="1442"/>
      <c r="X119" s="1442"/>
      <c r="Y119" s="1442"/>
      <c r="Z119" s="1442"/>
      <c r="AA119" s="1442"/>
      <c r="AB119" s="1442"/>
      <c r="AC119" s="1442"/>
      <c r="AD119" s="1442"/>
      <c r="AE119" s="1442"/>
      <c r="AF119" s="1442"/>
      <c r="AG119" s="1442"/>
      <c r="AH119" s="1442"/>
      <c r="AI119" s="1442"/>
      <c r="AJ119" s="1442"/>
      <c r="AK119" s="1442"/>
      <c r="AL119" s="1442"/>
      <c r="AM119" s="1442"/>
      <c r="AN119" s="1442"/>
      <c r="AO119" s="1442"/>
      <c r="AP119" s="1442"/>
      <c r="AQ119" s="1442"/>
      <c r="AR119" s="1442"/>
      <c r="AS119" s="1442"/>
      <c r="AT119" s="1442"/>
      <c r="AU119" s="1442"/>
      <c r="AV119" s="1442"/>
      <c r="AW119" s="1442"/>
      <c r="AX119" s="1442"/>
      <c r="BA119" s="1376">
        <v>65</v>
      </c>
      <c r="BB119" s="1377">
        <v>8.8840000000000003</v>
      </c>
    </row>
    <row r="120" spans="1:54">
      <c r="AF120" s="42"/>
      <c r="BA120" s="1376">
        <v>66</v>
      </c>
      <c r="BB120" s="1377">
        <v>8.923</v>
      </c>
    </row>
    <row r="121" spans="1:54">
      <c r="B121" t="str">
        <f>B90</f>
        <v>Effective pressure</v>
      </c>
      <c r="D121">
        <f>F90</f>
        <v>50</v>
      </c>
      <c r="E121" t="s">
        <v>465</v>
      </c>
      <c r="G121" s="4" t="s">
        <v>138</v>
      </c>
      <c r="H121" s="1453">
        <f>G114/$F$42</f>
        <v>8.0093753801551343E-2</v>
      </c>
      <c r="J121" t="s">
        <v>139</v>
      </c>
      <c r="L121" s="42">
        <f>L123/L122</f>
        <v>1101.5697646667575</v>
      </c>
      <c r="M121" t="s">
        <v>107</v>
      </c>
      <c r="R121" t="s">
        <v>92</v>
      </c>
      <c r="T121">
        <f>T91</f>
        <v>100</v>
      </c>
      <c r="U121" t="s">
        <v>465</v>
      </c>
      <c r="W121" s="4" t="s">
        <v>138</v>
      </c>
      <c r="X121" s="1454">
        <f>W115/$V$42</f>
        <v>4.2723961546771827E-2</v>
      </c>
      <c r="Z121" t="s">
        <v>139</v>
      </c>
      <c r="AB121" s="42">
        <f>AB123/AB122</f>
        <v>1116.9236150139643</v>
      </c>
      <c r="AC121" t="s">
        <v>107</v>
      </c>
      <c r="AI121" t="s">
        <v>92</v>
      </c>
      <c r="AK121">
        <f>AK91</f>
        <v>200</v>
      </c>
      <c r="AL121" t="s">
        <v>465</v>
      </c>
      <c r="AM121" s="42"/>
      <c r="AN121" s="4" t="s">
        <v>138</v>
      </c>
      <c r="AO121" s="1454">
        <f>AN115/$AM$42</f>
        <v>2.8867541585656645E-2</v>
      </c>
      <c r="AQ121" t="s">
        <v>139</v>
      </c>
      <c r="AS121" s="42">
        <f>AS123/AS122</f>
        <v>1122.4184613167072</v>
      </c>
      <c r="AT121" t="s">
        <v>107</v>
      </c>
      <c r="BA121" s="1376">
        <v>67</v>
      </c>
      <c r="BB121" s="1377">
        <v>8.9600000000000009</v>
      </c>
    </row>
    <row r="122" spans="1:54">
      <c r="B122" t="str">
        <f>B91</f>
        <v>Cell pressure</v>
      </c>
      <c r="D122">
        <f>F91</f>
        <v>240</v>
      </c>
      <c r="E122" t="s">
        <v>465</v>
      </c>
      <c r="G122" s="4"/>
      <c r="H122" s="126"/>
      <c r="J122" t="s">
        <v>140</v>
      </c>
      <c r="L122" s="42">
        <f>D39*(1-((2/3)*H121))</f>
        <v>71.941916474054736</v>
      </c>
      <c r="M122" t="s">
        <v>75</v>
      </c>
      <c r="R122" t="s">
        <v>77</v>
      </c>
      <c r="T122">
        <f>T92</f>
        <v>290</v>
      </c>
      <c r="U122" t="s">
        <v>465</v>
      </c>
      <c r="W122" s="4"/>
      <c r="X122" s="126"/>
      <c r="Z122" t="s">
        <v>140</v>
      </c>
      <c r="AB122" s="42">
        <f>$T$39*(1-((2/3)*X121))</f>
        <v>74.223926225217753</v>
      </c>
      <c r="AC122" t="s">
        <v>75</v>
      </c>
      <c r="AI122" t="s">
        <v>77</v>
      </c>
      <c r="AK122">
        <f>AK92</f>
        <v>390</v>
      </c>
      <c r="AL122" t="s">
        <v>465</v>
      </c>
      <c r="AM122" s="42"/>
      <c r="AN122" s="4"/>
      <c r="AO122" s="126"/>
      <c r="AQ122" t="s">
        <v>140</v>
      </c>
      <c r="AS122" s="42">
        <f>$AK$39*(1-((2/3)*AO121))</f>
        <v>74.929679881903894</v>
      </c>
      <c r="AT122" t="s">
        <v>75</v>
      </c>
      <c r="BA122" s="1376">
        <v>68</v>
      </c>
      <c r="BB122" s="1377">
        <v>8.9870000000000001</v>
      </c>
    </row>
    <row r="123" spans="1:54">
      <c r="B123" t="str">
        <f>B92</f>
        <v>Back pressure</v>
      </c>
      <c r="D123">
        <f>F92</f>
        <v>190</v>
      </c>
      <c r="E123" t="s">
        <v>465</v>
      </c>
      <c r="G123" s="130"/>
      <c r="H123" s="131"/>
      <c r="J123" t="s">
        <v>141</v>
      </c>
      <c r="L123" s="42">
        <f>D42*(1-H121)</f>
        <v>79249.039999999994</v>
      </c>
      <c r="M123" t="s">
        <v>122</v>
      </c>
      <c r="R123" t="s">
        <v>78</v>
      </c>
      <c r="T123">
        <f>T93</f>
        <v>190</v>
      </c>
      <c r="U123" t="s">
        <v>465</v>
      </c>
      <c r="W123" s="130"/>
      <c r="X123" s="131"/>
      <c r="Z123" t="s">
        <v>141</v>
      </c>
      <c r="AB123" s="42">
        <f>$T$42*(1-X121)</f>
        <v>82902.456000000006</v>
      </c>
      <c r="AC123" t="s">
        <v>122</v>
      </c>
      <c r="AI123" t="s">
        <v>78</v>
      </c>
      <c r="AK123">
        <f>AK93</f>
        <v>190</v>
      </c>
      <c r="AL123" t="s">
        <v>465</v>
      </c>
      <c r="AN123" s="130"/>
      <c r="AO123" s="131"/>
      <c r="AQ123" t="s">
        <v>141</v>
      </c>
      <c r="AS123" s="42">
        <f>$AK$42*(1-AO121)</f>
        <v>84102.456000000006</v>
      </c>
      <c r="AT123" t="s">
        <v>122</v>
      </c>
      <c r="BA123" s="1376">
        <v>69</v>
      </c>
      <c r="BB123" s="1377">
        <v>8.8239999999999998</v>
      </c>
    </row>
    <row r="124" spans="1:54">
      <c r="B124" t="str">
        <f>B93</f>
        <v>PWP after build-up</v>
      </c>
      <c r="D124">
        <f>F93</f>
        <v>229</v>
      </c>
      <c r="E124" t="s">
        <v>465</v>
      </c>
      <c r="J124" t="s">
        <v>142</v>
      </c>
      <c r="R124" t="s">
        <v>93</v>
      </c>
      <c r="T124">
        <f>T94</f>
        <v>275</v>
      </c>
      <c r="U124" t="s">
        <v>465</v>
      </c>
      <c r="Z124" t="s">
        <v>142</v>
      </c>
      <c r="AI124" t="s">
        <v>93</v>
      </c>
      <c r="AK124">
        <f>AK94</f>
        <v>376</v>
      </c>
      <c r="AL124" t="s">
        <v>465</v>
      </c>
      <c r="AQ124" t="s">
        <v>142</v>
      </c>
      <c r="BA124" s="1376">
        <v>70</v>
      </c>
      <c r="BB124" s="1377">
        <v>8.923</v>
      </c>
    </row>
    <row r="125" spans="1:54">
      <c r="B125" t="str">
        <f>B94</f>
        <v>Difference</v>
      </c>
      <c r="D125">
        <f>F94</f>
        <v>39</v>
      </c>
      <c r="E125" t="s">
        <v>465</v>
      </c>
      <c r="J125" t="s">
        <v>143</v>
      </c>
      <c r="L125" s="102">
        <v>0.1206324</v>
      </c>
      <c r="M125" t="s">
        <v>204</v>
      </c>
      <c r="R125" t="s">
        <v>94</v>
      </c>
      <c r="T125">
        <f>T95</f>
        <v>85</v>
      </c>
      <c r="U125" t="s">
        <v>465</v>
      </c>
      <c r="Z125" t="s">
        <v>143</v>
      </c>
      <c r="AB125" s="102">
        <f>L125</f>
        <v>0.1206324</v>
      </c>
      <c r="AC125" t="s">
        <v>204</v>
      </c>
      <c r="AI125" t="s">
        <v>94</v>
      </c>
      <c r="AK125">
        <f>AK95</f>
        <v>186</v>
      </c>
      <c r="AL125" t="s">
        <v>465</v>
      </c>
      <c r="AQ125" t="s">
        <v>143</v>
      </c>
      <c r="AS125" s="102">
        <f>AB125</f>
        <v>0.1206324</v>
      </c>
      <c r="AT125" t="s">
        <v>204</v>
      </c>
      <c r="BA125" s="1376">
        <v>71</v>
      </c>
      <c r="BB125" s="1377">
        <v>8.8940000000000001</v>
      </c>
    </row>
    <row r="126" spans="1:54">
      <c r="BA126" s="1376">
        <v>72</v>
      </c>
      <c r="BB126" s="1377">
        <v>8.8279999999999994</v>
      </c>
    </row>
    <row r="127" spans="1:54" ht="31.5">
      <c r="B127" s="2066" t="s">
        <v>145</v>
      </c>
      <c r="C127" s="2066"/>
      <c r="D127" s="153" t="s">
        <v>146</v>
      </c>
      <c r="E127" s="2057" t="s">
        <v>147</v>
      </c>
      <c r="F127" s="2059"/>
      <c r="G127" s="2057" t="s">
        <v>79</v>
      </c>
      <c r="H127" s="2059"/>
      <c r="I127" s="132" t="s">
        <v>148</v>
      </c>
      <c r="J127" s="2057" t="s">
        <v>149</v>
      </c>
      <c r="K127" s="2058"/>
      <c r="L127" s="2058"/>
      <c r="M127" s="2059"/>
      <c r="N127" s="5"/>
      <c r="R127" s="318" t="s">
        <v>145</v>
      </c>
      <c r="S127" s="318"/>
      <c r="T127" s="153" t="s">
        <v>146</v>
      </c>
      <c r="U127" s="315" t="s">
        <v>147</v>
      </c>
      <c r="V127" s="317"/>
      <c r="W127" s="315" t="s">
        <v>79</v>
      </c>
      <c r="X127" s="317"/>
      <c r="Y127" s="132" t="s">
        <v>148</v>
      </c>
      <c r="Z127" s="315" t="s">
        <v>149</v>
      </c>
      <c r="AA127" s="316"/>
      <c r="AB127" s="316"/>
      <c r="AC127" s="317"/>
      <c r="AI127" s="318" t="s">
        <v>145</v>
      </c>
      <c r="AJ127" s="318"/>
      <c r="AK127" s="153" t="s">
        <v>146</v>
      </c>
      <c r="AL127" s="315" t="s">
        <v>147</v>
      </c>
      <c r="AM127" s="317"/>
      <c r="AN127" s="315" t="s">
        <v>79</v>
      </c>
      <c r="AO127" s="317"/>
      <c r="AP127" s="132" t="s">
        <v>148</v>
      </c>
      <c r="AQ127" s="315" t="s">
        <v>149</v>
      </c>
      <c r="AR127" s="316"/>
      <c r="AS127" s="316"/>
      <c r="AT127" s="317"/>
      <c r="BA127" s="1376">
        <v>73</v>
      </c>
      <c r="BB127" s="1377">
        <v>8.8030000000000008</v>
      </c>
    </row>
    <row r="128" spans="1:54" ht="31.5">
      <c r="B128" s="132" t="s">
        <v>150</v>
      </c>
      <c r="C128" s="141" t="s">
        <v>151</v>
      </c>
      <c r="D128" s="142"/>
      <c r="E128" s="132" t="s">
        <v>150</v>
      </c>
      <c r="F128" s="132" t="s">
        <v>58</v>
      </c>
      <c r="G128" s="132" t="s">
        <v>152</v>
      </c>
      <c r="H128" s="132" t="s">
        <v>153</v>
      </c>
      <c r="I128" s="143" t="s">
        <v>154</v>
      </c>
      <c r="J128" s="143" t="s">
        <v>155</v>
      </c>
      <c r="K128" s="143" t="s">
        <v>156</v>
      </c>
      <c r="L128" s="143" t="s">
        <v>157</v>
      </c>
      <c r="M128" s="143" t="s">
        <v>158</v>
      </c>
      <c r="N128" s="133"/>
      <c r="R128" s="132" t="s">
        <v>150</v>
      </c>
      <c r="S128" s="141" t="s">
        <v>151</v>
      </c>
      <c r="T128" s="142"/>
      <c r="U128" s="132" t="s">
        <v>150</v>
      </c>
      <c r="V128" s="132" t="s">
        <v>58</v>
      </c>
      <c r="W128" s="132" t="s">
        <v>152</v>
      </c>
      <c r="X128" s="132" t="s">
        <v>153</v>
      </c>
      <c r="Y128" s="143" t="s">
        <v>154</v>
      </c>
      <c r="Z128" s="143" t="s">
        <v>155</v>
      </c>
      <c r="AA128" s="143" t="s">
        <v>156</v>
      </c>
      <c r="AB128" s="143" t="s">
        <v>157</v>
      </c>
      <c r="AC128" s="143" t="s">
        <v>158</v>
      </c>
      <c r="AI128" s="132" t="s">
        <v>150</v>
      </c>
      <c r="AJ128" s="141" t="s">
        <v>151</v>
      </c>
      <c r="AK128" s="142"/>
      <c r="AL128" s="132" t="s">
        <v>150</v>
      </c>
      <c r="AM128" s="132" t="s">
        <v>58</v>
      </c>
      <c r="AN128" s="132" t="s">
        <v>152</v>
      </c>
      <c r="AO128" s="132" t="s">
        <v>153</v>
      </c>
      <c r="AP128" s="143" t="s">
        <v>154</v>
      </c>
      <c r="AQ128" s="143" t="s">
        <v>155</v>
      </c>
      <c r="AR128" s="143" t="s">
        <v>156</v>
      </c>
      <c r="AS128" s="143" t="s">
        <v>157</v>
      </c>
      <c r="AT128" s="143" t="s">
        <v>158</v>
      </c>
      <c r="BA128" s="1376">
        <v>74</v>
      </c>
      <c r="BB128" s="1377">
        <v>8.9489999999999998</v>
      </c>
    </row>
    <row r="129" spans="2:54">
      <c r="B129" s="22"/>
      <c r="C129" s="81" t="s">
        <v>75</v>
      </c>
      <c r="D129" s="82" t="s">
        <v>34</v>
      </c>
      <c r="E129" s="82" t="s">
        <v>62</v>
      </c>
      <c r="F129" s="82" t="s">
        <v>265</v>
      </c>
      <c r="G129" s="82" t="s">
        <v>465</v>
      </c>
      <c r="H129" s="82"/>
      <c r="I129" s="82" t="s">
        <v>465</v>
      </c>
      <c r="J129" t="s">
        <v>465</v>
      </c>
      <c r="K129" t="s">
        <v>465</v>
      </c>
      <c r="L129" t="s">
        <v>465</v>
      </c>
      <c r="M129" s="144"/>
      <c r="N129" s="21"/>
      <c r="R129" s="22"/>
      <c r="S129" s="81" t="s">
        <v>75</v>
      </c>
      <c r="T129" s="82" t="s">
        <v>34</v>
      </c>
      <c r="U129" s="82" t="s">
        <v>62</v>
      </c>
      <c r="V129" s="82" t="s">
        <v>1391</v>
      </c>
      <c r="W129" t="s">
        <v>465</v>
      </c>
      <c r="X129" s="82"/>
      <c r="Y129" t="s">
        <v>465</v>
      </c>
      <c r="Z129" t="s">
        <v>465</v>
      </c>
      <c r="AA129" t="s">
        <v>465</v>
      </c>
      <c r="AB129" t="s">
        <v>465</v>
      </c>
      <c r="AC129" s="144"/>
      <c r="AI129" s="22"/>
      <c r="AJ129" s="81" t="s">
        <v>75</v>
      </c>
      <c r="AK129" s="82" t="s">
        <v>34</v>
      </c>
      <c r="AL129" s="82" t="s">
        <v>62</v>
      </c>
      <c r="AM129" s="82" t="s">
        <v>1391</v>
      </c>
      <c r="AN129" t="s">
        <v>465</v>
      </c>
      <c r="AO129" s="82"/>
      <c r="AP129" s="21" t="s">
        <v>465</v>
      </c>
      <c r="AQ129" s="21" t="s">
        <v>465</v>
      </c>
      <c r="AR129" s="21" t="s">
        <v>465</v>
      </c>
      <c r="AS129" s="21" t="s">
        <v>465</v>
      </c>
      <c r="AT129" s="144"/>
      <c r="BA129" s="1376">
        <v>75</v>
      </c>
      <c r="BB129" s="1377">
        <v>8.8510000000000009</v>
      </c>
    </row>
    <row r="130" spans="2:54">
      <c r="B130" s="297">
        <v>0</v>
      </c>
      <c r="C130" s="146">
        <v>0</v>
      </c>
      <c r="D130" s="147">
        <f>(C130/$L$122)*100</f>
        <v>0</v>
      </c>
      <c r="E130" s="148">
        <v>0</v>
      </c>
      <c r="F130" s="148">
        <f>E130*$L$125</f>
        <v>0</v>
      </c>
      <c r="G130" s="149">
        <f>D123</f>
        <v>190</v>
      </c>
      <c r="H130" s="97">
        <v>0</v>
      </c>
      <c r="I130" s="97">
        <v>0</v>
      </c>
      <c r="J130" s="150">
        <f>$D$122+I130</f>
        <v>240</v>
      </c>
      <c r="K130" s="150">
        <f>J130-G130</f>
        <v>50</v>
      </c>
      <c r="L130" s="148">
        <f>$D$122-G130</f>
        <v>50</v>
      </c>
      <c r="M130" s="97">
        <f t="shared" ref="M130:M154" si="16">K130/L130</f>
        <v>1</v>
      </c>
      <c r="N130" s="96"/>
      <c r="R130" s="298">
        <v>0</v>
      </c>
      <c r="S130" s="151">
        <f>(R130-$R$130)/100</f>
        <v>0</v>
      </c>
      <c r="T130" s="147">
        <f t="shared" ref="T130:T160" si="17">(S130/$AB$122)*100</f>
        <v>0</v>
      </c>
      <c r="U130" s="148">
        <v>0</v>
      </c>
      <c r="V130" s="148">
        <f>U130*$L$125</f>
        <v>0</v>
      </c>
      <c r="W130" s="149">
        <f>T123</f>
        <v>190</v>
      </c>
      <c r="X130" s="97">
        <v>0</v>
      </c>
      <c r="Y130" s="97">
        <v>0</v>
      </c>
      <c r="Z130" s="150">
        <f t="shared" ref="Z130:Z160" si="18">$T$122+Y130</f>
        <v>290</v>
      </c>
      <c r="AA130" s="150">
        <f>Z130-W130</f>
        <v>100</v>
      </c>
      <c r="AB130" s="148">
        <f t="shared" ref="AB130:AB160" si="19">$T$122-W130</f>
        <v>100</v>
      </c>
      <c r="AC130" s="147">
        <f t="shared" ref="AC130:AC154" si="20">AA130/AB130</f>
        <v>1</v>
      </c>
      <c r="AI130" s="298">
        <v>0</v>
      </c>
      <c r="AJ130" s="151">
        <f>(AI130-$B$130)/100</f>
        <v>0</v>
      </c>
      <c r="AK130" s="147">
        <f t="shared" ref="AK130:AK158" si="21">(AJ130/$AS$122)*100</f>
        <v>0</v>
      </c>
      <c r="AL130" s="148">
        <v>0</v>
      </c>
      <c r="AM130" s="148">
        <f t="shared" ref="AM130:AM158" si="22">AL130*$AS$125</f>
        <v>0</v>
      </c>
      <c r="AN130" s="149">
        <f>MIN(AO100:AO113)</f>
        <v>190</v>
      </c>
      <c r="AO130" s="97">
        <v>0</v>
      </c>
      <c r="AP130" s="97">
        <v>0</v>
      </c>
      <c r="AQ130" s="150">
        <f t="shared" ref="AQ130:AQ158" si="23">$AK$122+AP130</f>
        <v>390</v>
      </c>
      <c r="AR130" s="150">
        <f>AQ130-AN130</f>
        <v>200</v>
      </c>
      <c r="AS130" s="148">
        <f t="shared" ref="AS130:AS158" si="24">$AK$122-AN130</f>
        <v>200</v>
      </c>
      <c r="AT130" s="147">
        <f>AR130/AS130</f>
        <v>1</v>
      </c>
      <c r="BA130" s="1376">
        <v>76</v>
      </c>
      <c r="BB130" s="1377">
        <v>8.7460000000000004</v>
      </c>
    </row>
    <row r="131" spans="2:54">
      <c r="B131" s="297">
        <v>10</v>
      </c>
      <c r="C131" s="151">
        <f>(B131-$B$130)/100</f>
        <v>0.1</v>
      </c>
      <c r="D131" s="147">
        <f t="shared" ref="D131:D159" si="25">(C131/$L$122)*100</f>
        <v>0.13900102318801055</v>
      </c>
      <c r="E131" s="325">
        <v>30</v>
      </c>
      <c r="F131" s="148">
        <f t="shared" ref="F131:F159" si="26">E131*$L$125</f>
        <v>3.6189719999999999</v>
      </c>
      <c r="G131" s="325">
        <v>192.5</v>
      </c>
      <c r="H131" s="148">
        <f>G131-$G$130</f>
        <v>2.5</v>
      </c>
      <c r="I131" s="147">
        <f>(F131/$L$121)*((1-(D131/100)))*9806.65</f>
        <v>32.172869525735706</v>
      </c>
      <c r="J131" s="150">
        <f>$D$122+I131</f>
        <v>272.17286952573568</v>
      </c>
      <c r="K131" s="150">
        <f t="shared" ref="K131:K154" si="27">J131-G131</f>
        <v>79.672869525735678</v>
      </c>
      <c r="L131" s="148">
        <f t="shared" ref="L131:L154" si="28">$D$122-G131</f>
        <v>47.5</v>
      </c>
      <c r="M131" s="147">
        <f t="shared" si="16"/>
        <v>1.6773235689628563</v>
      </c>
      <c r="N131" s="137"/>
      <c r="R131" s="297">
        <v>10</v>
      </c>
      <c r="S131" s="151">
        <f>(R131-$B$130)/100</f>
        <v>0.1</v>
      </c>
      <c r="T131" s="147">
        <f t="shared" si="17"/>
        <v>0.13472744583272231</v>
      </c>
      <c r="U131" s="128">
        <v>21.514607500223487</v>
      </c>
      <c r="V131" s="148">
        <f t="shared" ref="V131:V160" si="29">U131*$L$125</f>
        <v>2.5953587378099598</v>
      </c>
      <c r="W131" s="129">
        <v>194</v>
      </c>
      <c r="X131" s="148">
        <f t="shared" ref="X131:X160" si="30">W131-$W$130</f>
        <v>4</v>
      </c>
      <c r="Y131" s="147">
        <f>(V131/$AB$121)*((1-(T131/100)))*9806.65</f>
        <v>22.756689802609941</v>
      </c>
      <c r="Z131" s="150">
        <f t="shared" si="18"/>
        <v>312.75668980260991</v>
      </c>
      <c r="AA131" s="150">
        <f t="shared" ref="AA131:AA154" si="31">Z131-W131</f>
        <v>118.75668980260991</v>
      </c>
      <c r="AB131" s="148">
        <f t="shared" si="19"/>
        <v>96</v>
      </c>
      <c r="AC131" s="147">
        <f t="shared" si="20"/>
        <v>1.2370488521105198</v>
      </c>
      <c r="AI131" s="297">
        <v>10</v>
      </c>
      <c r="AJ131" s="151">
        <f t="shared" ref="AJ131:AJ154" si="32">(AI131-$B$130)/100</f>
        <v>0.1</v>
      </c>
      <c r="AK131" s="147">
        <f t="shared" si="21"/>
        <v>0.13345846419951249</v>
      </c>
      <c r="AL131" s="152">
        <v>37.158908817031374</v>
      </c>
      <c r="AM131" s="148">
        <f t="shared" si="22"/>
        <v>4.4825683519796558</v>
      </c>
      <c r="AN131" s="152">
        <v>194.8</v>
      </c>
      <c r="AO131" s="148">
        <f t="shared" ref="AO131:AO158" si="33">AN131-$AN$130</f>
        <v>4.8000000000000114</v>
      </c>
      <c r="AP131" s="147">
        <f>(AM131/$AS$121)*((1-(AK131/100)))*9806.65</f>
        <v>39.112250434018655</v>
      </c>
      <c r="AQ131" s="150">
        <f t="shared" si="23"/>
        <v>429.11225043401868</v>
      </c>
      <c r="AR131" s="150">
        <f t="shared" ref="AR131:AR154" si="34">AQ131-AN131</f>
        <v>234.31225043401867</v>
      </c>
      <c r="AS131" s="148">
        <f t="shared" si="24"/>
        <v>195.2</v>
      </c>
      <c r="AT131" s="147">
        <f t="shared" ref="AT131:AT154" si="35">AR131/AS131</f>
        <v>1.2003701354201777</v>
      </c>
      <c r="BA131" s="1376">
        <v>77</v>
      </c>
      <c r="BB131" s="1377">
        <v>8.843</v>
      </c>
    </row>
    <row r="132" spans="2:54">
      <c r="B132" s="297">
        <v>20</v>
      </c>
      <c r="C132" s="151">
        <f t="shared" ref="C132:C159" si="36">(B132-$B$130)/100</f>
        <v>0.2</v>
      </c>
      <c r="D132" s="147">
        <f t="shared" si="25"/>
        <v>0.27800204637602111</v>
      </c>
      <c r="E132" s="325">
        <v>26.166773449701449</v>
      </c>
      <c r="F132" s="148">
        <f t="shared" si="26"/>
        <v>3.1565606814937652</v>
      </c>
      <c r="G132" s="325">
        <v>193.3</v>
      </c>
      <c r="H132" s="148">
        <f t="shared" ref="H132:H154" si="37">G132-$G$130</f>
        <v>3.3000000000000114</v>
      </c>
      <c r="I132" s="147">
        <f t="shared" ref="I132:I159" si="38">(F132/$L$121)*((1-(D132/100)))*9806.65</f>
        <v>28.02294549951068</v>
      </c>
      <c r="J132" s="150">
        <f t="shared" ref="J132:J154" si="39">$D$122+I132</f>
        <v>268.02294549951068</v>
      </c>
      <c r="K132" s="150">
        <f t="shared" si="27"/>
        <v>74.722945499510672</v>
      </c>
      <c r="L132" s="148">
        <f t="shared" si="28"/>
        <v>46.699999999999989</v>
      </c>
      <c r="M132" s="147">
        <f t="shared" si="16"/>
        <v>1.6000630727946614</v>
      </c>
      <c r="N132" s="137"/>
      <c r="R132" s="297">
        <v>20</v>
      </c>
      <c r="S132" s="151">
        <f t="shared" ref="S132:S154" si="40">(R132-$B$130)/100</f>
        <v>0.2</v>
      </c>
      <c r="T132" s="147">
        <f t="shared" si="17"/>
        <v>0.26945489166544462</v>
      </c>
      <c r="U132" s="128">
        <v>48.789096927584133</v>
      </c>
      <c r="V132" s="148">
        <f t="shared" si="29"/>
        <v>5.8855458562071004</v>
      </c>
      <c r="W132" s="129">
        <v>195.5</v>
      </c>
      <c r="X132" s="148">
        <f t="shared" si="30"/>
        <v>5.5</v>
      </c>
      <c r="Y132" s="147">
        <f t="shared" ref="Y132:Y160" si="41">(V132/$AB$121)*((1-(T132/100)))*9806.65</f>
        <v>51.536170335660479</v>
      </c>
      <c r="Z132" s="150">
        <f t="shared" si="18"/>
        <v>341.53617033566047</v>
      </c>
      <c r="AA132" s="150">
        <f t="shared" si="31"/>
        <v>146.03617033566047</v>
      </c>
      <c r="AB132" s="148">
        <f t="shared" si="19"/>
        <v>94.5</v>
      </c>
      <c r="AC132" s="147">
        <f t="shared" si="20"/>
        <v>1.5453562998482591</v>
      </c>
      <c r="AI132" s="297">
        <v>20</v>
      </c>
      <c r="AJ132" s="151">
        <f t="shared" si="32"/>
        <v>0.2</v>
      </c>
      <c r="AK132" s="147">
        <f t="shared" si="21"/>
        <v>0.26691692839902498</v>
      </c>
      <c r="AL132" s="152">
        <v>77.724717190459671</v>
      </c>
      <c r="AM132" s="148">
        <f t="shared" si="22"/>
        <v>9.3761191740064067</v>
      </c>
      <c r="AN132" s="152">
        <v>198.6</v>
      </c>
      <c r="AO132" s="148">
        <f t="shared" si="33"/>
        <v>8.5999999999999943</v>
      </c>
      <c r="AP132" s="147">
        <f t="shared" ref="AP132:AP158" si="42">(AM132/$AS$121)*((1-(AK132/100)))*9806.65</f>
        <v>81.701162827581356</v>
      </c>
      <c r="AQ132" s="150">
        <f t="shared" si="23"/>
        <v>471.70116282758136</v>
      </c>
      <c r="AR132" s="150">
        <f t="shared" si="34"/>
        <v>273.10116282758133</v>
      </c>
      <c r="AS132" s="148">
        <f t="shared" si="24"/>
        <v>191.4</v>
      </c>
      <c r="AT132" s="147">
        <f t="shared" si="35"/>
        <v>1.4268608298201741</v>
      </c>
      <c r="BA132" s="1376">
        <v>78</v>
      </c>
      <c r="BB132" s="1377">
        <v>8.8279999999999994</v>
      </c>
    </row>
    <row r="133" spans="2:54">
      <c r="B133" s="297">
        <v>40</v>
      </c>
      <c r="C133" s="151">
        <f t="shared" si="36"/>
        <v>0.4</v>
      </c>
      <c r="D133" s="147">
        <f t="shared" si="25"/>
        <v>0.55600409275204221</v>
      </c>
      <c r="E133" s="325">
        <v>47.658234193679775</v>
      </c>
      <c r="F133" s="148">
        <f t="shared" si="26"/>
        <v>5.7491271705456564</v>
      </c>
      <c r="G133" s="325">
        <v>194.6</v>
      </c>
      <c r="H133" s="148">
        <f t="shared" si="37"/>
        <v>4.5999999999999943</v>
      </c>
      <c r="I133" s="147">
        <f t="shared" si="38"/>
        <v>50.896644450853614</v>
      </c>
      <c r="J133" s="150">
        <f t="shared" si="39"/>
        <v>290.89664445085361</v>
      </c>
      <c r="K133" s="150">
        <f t="shared" si="27"/>
        <v>96.29664445085362</v>
      </c>
      <c r="L133" s="148">
        <f t="shared" si="28"/>
        <v>45.400000000000006</v>
      </c>
      <c r="M133" s="147">
        <f t="shared" si="16"/>
        <v>2.1210714636751895</v>
      </c>
      <c r="N133" s="137"/>
      <c r="R133" s="297">
        <v>40</v>
      </c>
      <c r="S133" s="151">
        <f t="shared" si="40"/>
        <v>0.4</v>
      </c>
      <c r="T133" s="147">
        <f t="shared" si="17"/>
        <v>0.53890978333088924</v>
      </c>
      <c r="U133" s="128">
        <v>80.261524893257089</v>
      </c>
      <c r="V133" s="148">
        <f t="shared" si="29"/>
        <v>9.6821403755333471</v>
      </c>
      <c r="W133" s="129">
        <v>199.1</v>
      </c>
      <c r="X133" s="148">
        <f t="shared" si="30"/>
        <v>9.0999999999999943</v>
      </c>
      <c r="Y133" s="147">
        <f t="shared" si="41"/>
        <v>84.551592645823021</v>
      </c>
      <c r="Z133" s="150">
        <f t="shared" si="18"/>
        <v>374.55159264582301</v>
      </c>
      <c r="AA133" s="150">
        <f t="shared" si="31"/>
        <v>175.45159264582301</v>
      </c>
      <c r="AB133" s="148">
        <f t="shared" si="19"/>
        <v>90.9</v>
      </c>
      <c r="AC133" s="147">
        <f t="shared" si="20"/>
        <v>1.9301605351575688</v>
      </c>
      <c r="AI133" s="297">
        <v>40</v>
      </c>
      <c r="AJ133" s="151">
        <f t="shared" si="32"/>
        <v>0.4</v>
      </c>
      <c r="AK133" s="147">
        <f t="shared" si="21"/>
        <v>0.53383385679804995</v>
      </c>
      <c r="AL133" s="152">
        <v>112.87303689732384</v>
      </c>
      <c r="AM133" s="148">
        <f t="shared" si="22"/>
        <v>13.616145336212728</v>
      </c>
      <c r="AN133" s="152">
        <v>204.6</v>
      </c>
      <c r="AO133" s="148">
        <f t="shared" si="33"/>
        <v>14.599999999999994</v>
      </c>
      <c r="AP133" s="147">
        <f t="shared" si="42"/>
        <v>118.33015443622463</v>
      </c>
      <c r="AQ133" s="150">
        <f t="shared" si="23"/>
        <v>508.33015443622463</v>
      </c>
      <c r="AR133" s="150">
        <f t="shared" si="34"/>
        <v>303.73015443622467</v>
      </c>
      <c r="AS133" s="148">
        <f t="shared" si="24"/>
        <v>185.4</v>
      </c>
      <c r="AT133" s="147">
        <f t="shared" si="35"/>
        <v>1.6382424726872959</v>
      </c>
      <c r="BA133" s="1376">
        <v>79</v>
      </c>
      <c r="BB133" s="1377">
        <v>8.9149999999999991</v>
      </c>
    </row>
    <row r="134" spans="2:54">
      <c r="B134" s="297">
        <v>60</v>
      </c>
      <c r="C134" s="151">
        <f t="shared" si="36"/>
        <v>0.6</v>
      </c>
      <c r="D134" s="147">
        <f t="shared" si="25"/>
        <v>0.83400613912806321</v>
      </c>
      <c r="E134" s="325">
        <v>71.826404083972193</v>
      </c>
      <c r="F134" s="148">
        <f t="shared" si="26"/>
        <v>8.6645915080193667</v>
      </c>
      <c r="G134" s="325">
        <v>196</v>
      </c>
      <c r="H134" s="148">
        <f t="shared" si="37"/>
        <v>6</v>
      </c>
      <c r="I134" s="147">
        <f t="shared" si="38"/>
        <v>76.492618859333604</v>
      </c>
      <c r="J134" s="150">
        <f t="shared" si="39"/>
        <v>316.49261885933362</v>
      </c>
      <c r="K134" s="150">
        <f t="shared" si="27"/>
        <v>120.49261885933362</v>
      </c>
      <c r="L134" s="148">
        <f t="shared" si="28"/>
        <v>44</v>
      </c>
      <c r="M134" s="147">
        <f t="shared" si="16"/>
        <v>2.7384686104394005</v>
      </c>
      <c r="N134" s="137"/>
      <c r="R134" s="297">
        <v>60</v>
      </c>
      <c r="S134" s="151">
        <f t="shared" si="40"/>
        <v>0.6</v>
      </c>
      <c r="T134" s="147">
        <f t="shared" si="17"/>
        <v>0.80836467499633358</v>
      </c>
      <c r="U134" s="128">
        <v>100.5422661794878</v>
      </c>
      <c r="V134" s="148">
        <f t="shared" si="29"/>
        <v>12.128654870670443</v>
      </c>
      <c r="W134" s="129">
        <v>201.8</v>
      </c>
      <c r="X134" s="148">
        <f t="shared" si="30"/>
        <v>11.800000000000011</v>
      </c>
      <c r="Y134" s="147">
        <f t="shared" si="41"/>
        <v>105.62941892137292</v>
      </c>
      <c r="Z134" s="150">
        <f t="shared" si="18"/>
        <v>395.62941892137292</v>
      </c>
      <c r="AA134" s="150">
        <f t="shared" si="31"/>
        <v>193.82941892137291</v>
      </c>
      <c r="AB134" s="148">
        <f t="shared" si="19"/>
        <v>88.199999999999989</v>
      </c>
      <c r="AC134" s="147">
        <f t="shared" si="20"/>
        <v>2.1976124594259971</v>
      </c>
      <c r="AI134" s="297">
        <v>60</v>
      </c>
      <c r="AJ134" s="151">
        <f t="shared" si="32"/>
        <v>0.6</v>
      </c>
      <c r="AK134" s="147">
        <f t="shared" si="21"/>
        <v>0.80075078519707477</v>
      </c>
      <c r="AL134" s="152">
        <v>137.40351708262932</v>
      </c>
      <c r="AM134" s="148">
        <f t="shared" si="22"/>
        <v>16.575316034118572</v>
      </c>
      <c r="AN134" s="152">
        <v>213.2</v>
      </c>
      <c r="AO134" s="148">
        <f t="shared" si="33"/>
        <v>23.199999999999989</v>
      </c>
      <c r="AP134" s="147">
        <f t="shared" si="42"/>
        <v>143.66007115046528</v>
      </c>
      <c r="AQ134" s="150">
        <f t="shared" si="23"/>
        <v>533.66007115046523</v>
      </c>
      <c r="AR134" s="150">
        <f t="shared" si="34"/>
        <v>320.46007115046524</v>
      </c>
      <c r="AS134" s="148">
        <f t="shared" si="24"/>
        <v>176.8</v>
      </c>
      <c r="AT134" s="147">
        <f t="shared" si="35"/>
        <v>1.8125569635207308</v>
      </c>
      <c r="BA134" s="1376">
        <v>80</v>
      </c>
      <c r="BB134" s="1377">
        <v>8.8130000000000006</v>
      </c>
    </row>
    <row r="135" spans="2:54">
      <c r="B135" s="297">
        <v>80</v>
      </c>
      <c r="C135" s="151">
        <f t="shared" si="36"/>
        <v>0.8</v>
      </c>
      <c r="D135" s="147">
        <f t="shared" si="25"/>
        <v>1.1120081855040844</v>
      </c>
      <c r="E135" s="325">
        <v>80.021209518318159</v>
      </c>
      <c r="F135" s="148">
        <f t="shared" si="26"/>
        <v>9.6531505550975627</v>
      </c>
      <c r="G135" s="325">
        <v>197.5</v>
      </c>
      <c r="H135" s="148">
        <f t="shared" si="37"/>
        <v>7.5</v>
      </c>
      <c r="I135" s="147">
        <f t="shared" si="38"/>
        <v>84.980895971290664</v>
      </c>
      <c r="J135" s="150">
        <f t="shared" si="39"/>
        <v>324.98089597129069</v>
      </c>
      <c r="K135" s="150">
        <f t="shared" si="27"/>
        <v>127.48089597129069</v>
      </c>
      <c r="L135" s="148">
        <f t="shared" si="28"/>
        <v>42.5</v>
      </c>
      <c r="M135" s="147">
        <f t="shared" si="16"/>
        <v>2.999550493442134</v>
      </c>
      <c r="N135" s="137"/>
      <c r="R135" s="297">
        <v>80</v>
      </c>
      <c r="S135" s="151">
        <f t="shared" si="40"/>
        <v>0.8</v>
      </c>
      <c r="T135" s="147">
        <f t="shared" si="17"/>
        <v>1.0778195666617785</v>
      </c>
      <c r="U135" s="128">
        <v>119.54792601690181</v>
      </c>
      <c r="V135" s="148">
        <f t="shared" si="29"/>
        <v>14.421353230441307</v>
      </c>
      <c r="W135" s="129">
        <v>205.7</v>
      </c>
      <c r="X135" s="148">
        <f t="shared" si="30"/>
        <v>15.699999999999989</v>
      </c>
      <c r="Y135" s="147">
        <f t="shared" si="41"/>
        <v>125.25552660060487</v>
      </c>
      <c r="Z135" s="150">
        <f t="shared" si="18"/>
        <v>415.25552660060487</v>
      </c>
      <c r="AA135" s="150">
        <f t="shared" si="31"/>
        <v>209.55552660060488</v>
      </c>
      <c r="AB135" s="148">
        <f t="shared" si="19"/>
        <v>84.300000000000011</v>
      </c>
      <c r="AC135" s="147">
        <f t="shared" si="20"/>
        <v>2.4858306832811965</v>
      </c>
      <c r="AI135" s="297">
        <v>80</v>
      </c>
      <c r="AJ135" s="151">
        <f t="shared" si="32"/>
        <v>0.8</v>
      </c>
      <c r="AK135" s="147">
        <f t="shared" si="21"/>
        <v>1.0676677135960999</v>
      </c>
      <c r="AL135" s="152">
        <v>163.73348846581706</v>
      </c>
      <c r="AM135" s="148">
        <f t="shared" si="22"/>
        <v>19.75156367400383</v>
      </c>
      <c r="AN135" s="152">
        <v>218</v>
      </c>
      <c r="AO135" s="148">
        <f t="shared" si="33"/>
        <v>28</v>
      </c>
      <c r="AP135" s="147">
        <f t="shared" si="42"/>
        <v>170.72833500140825</v>
      </c>
      <c r="AQ135" s="150">
        <f t="shared" si="23"/>
        <v>560.72833500140825</v>
      </c>
      <c r="AR135" s="150">
        <f t="shared" si="34"/>
        <v>342.72833500140825</v>
      </c>
      <c r="AS135" s="148">
        <f t="shared" si="24"/>
        <v>172</v>
      </c>
      <c r="AT135" s="147">
        <f t="shared" si="35"/>
        <v>1.9926065988453969</v>
      </c>
      <c r="BA135" s="1376">
        <v>81</v>
      </c>
      <c r="BB135" s="1377">
        <v>8.9649999999999999</v>
      </c>
    </row>
    <row r="136" spans="2:54">
      <c r="B136" s="297">
        <v>100</v>
      </c>
      <c r="C136" s="151">
        <f t="shared" si="36"/>
        <v>1</v>
      </c>
      <c r="D136" s="147">
        <f t="shared" si="25"/>
        <v>1.3900102318801055</v>
      </c>
      <c r="E136" s="325">
        <v>86.873297738308224</v>
      </c>
      <c r="F136" s="148">
        <f t="shared" si="26"/>
        <v>10.479734402086693</v>
      </c>
      <c r="G136" s="325">
        <v>198.4</v>
      </c>
      <c r="H136" s="148">
        <f t="shared" si="37"/>
        <v>8.4000000000000057</v>
      </c>
      <c r="I136" s="147">
        <f t="shared" si="38"/>
        <v>91.998311859045145</v>
      </c>
      <c r="J136" s="150">
        <f t="shared" si="39"/>
        <v>331.99831185904515</v>
      </c>
      <c r="K136" s="150">
        <f t="shared" si="27"/>
        <v>133.59831185904514</v>
      </c>
      <c r="L136" s="148">
        <f t="shared" si="28"/>
        <v>41.599999999999994</v>
      </c>
      <c r="M136" s="147">
        <f t="shared" si="16"/>
        <v>3.2114978812270469</v>
      </c>
      <c r="N136" s="137"/>
      <c r="R136" s="297">
        <v>100</v>
      </c>
      <c r="S136" s="151">
        <f t="shared" si="40"/>
        <v>1</v>
      </c>
      <c r="T136" s="147">
        <f t="shared" si="17"/>
        <v>1.3472744583272229</v>
      </c>
      <c r="U136" s="128">
        <v>127.02113127362773</v>
      </c>
      <c r="V136" s="148">
        <f t="shared" si="29"/>
        <v>15.32286391625277</v>
      </c>
      <c r="W136" s="129">
        <v>210</v>
      </c>
      <c r="X136" s="148">
        <f t="shared" si="30"/>
        <v>20</v>
      </c>
      <c r="Y136" s="147">
        <f t="shared" si="41"/>
        <v>132.72301389893315</v>
      </c>
      <c r="Z136" s="150">
        <f t="shared" si="18"/>
        <v>422.72301389893312</v>
      </c>
      <c r="AA136" s="150">
        <f t="shared" si="31"/>
        <v>212.72301389893312</v>
      </c>
      <c r="AB136" s="148">
        <f t="shared" si="19"/>
        <v>80</v>
      </c>
      <c r="AC136" s="147">
        <f t="shared" si="20"/>
        <v>2.6590376737366639</v>
      </c>
      <c r="AI136" s="297">
        <v>100</v>
      </c>
      <c r="AJ136" s="151">
        <f t="shared" si="32"/>
        <v>1</v>
      </c>
      <c r="AK136" s="147">
        <f t="shared" si="21"/>
        <v>1.3345846419951246</v>
      </c>
      <c r="AL136" s="152">
        <v>175.63900899859053</v>
      </c>
      <c r="AM136" s="148">
        <f t="shared" si="22"/>
        <v>21.187755189121571</v>
      </c>
      <c r="AN136" s="152">
        <v>224.8</v>
      </c>
      <c r="AO136" s="148">
        <f t="shared" si="33"/>
        <v>34.800000000000011</v>
      </c>
      <c r="AP136" s="147">
        <f t="shared" si="42"/>
        <v>182.64835666741789</v>
      </c>
      <c r="AQ136" s="150">
        <f t="shared" si="23"/>
        <v>572.64835666741783</v>
      </c>
      <c r="AR136" s="150">
        <f t="shared" si="34"/>
        <v>347.84835666741782</v>
      </c>
      <c r="AS136" s="148">
        <f t="shared" si="24"/>
        <v>165.2</v>
      </c>
      <c r="AT136" s="147">
        <f t="shared" si="35"/>
        <v>2.1056195924177836</v>
      </c>
      <c r="BA136" s="1376">
        <v>82</v>
      </c>
      <c r="BB136" s="1377">
        <v>8.7970000000000006</v>
      </c>
    </row>
    <row r="137" spans="2:54">
      <c r="B137" s="297">
        <v>120</v>
      </c>
      <c r="C137" s="151">
        <f t="shared" si="36"/>
        <v>1.2</v>
      </c>
      <c r="D137" s="147">
        <f t="shared" si="25"/>
        <v>1.6680122782561264</v>
      </c>
      <c r="E137" s="325">
        <v>94.656268346253526</v>
      </c>
      <c r="F137" s="148">
        <f t="shared" si="26"/>
        <v>11.418612825652595</v>
      </c>
      <c r="G137" s="325">
        <v>200</v>
      </c>
      <c r="H137" s="148">
        <f t="shared" si="37"/>
        <v>10</v>
      </c>
      <c r="I137" s="147">
        <f t="shared" si="38"/>
        <v>99.957833400324461</v>
      </c>
      <c r="J137" s="150">
        <f t="shared" si="39"/>
        <v>339.95783340032449</v>
      </c>
      <c r="K137" s="150">
        <f t="shared" si="27"/>
        <v>139.95783340032449</v>
      </c>
      <c r="L137" s="148">
        <f t="shared" si="28"/>
        <v>40</v>
      </c>
      <c r="M137" s="147">
        <f t="shared" si="16"/>
        <v>3.4989458350081124</v>
      </c>
      <c r="N137" s="137"/>
      <c r="R137" s="297">
        <v>120</v>
      </c>
      <c r="S137" s="151">
        <f t="shared" si="40"/>
        <v>1.2</v>
      </c>
      <c r="T137" s="147">
        <f t="shared" si="17"/>
        <v>1.6167293499926672</v>
      </c>
      <c r="U137" s="128">
        <v>134.53465225603031</v>
      </c>
      <c r="V137" s="148">
        <f t="shared" si="29"/>
        <v>16.22923798481035</v>
      </c>
      <c r="W137" s="129">
        <v>215</v>
      </c>
      <c r="X137" s="148">
        <f t="shared" si="30"/>
        <v>25</v>
      </c>
      <c r="Y137" s="147">
        <f t="shared" si="41"/>
        <v>140.18985521114206</v>
      </c>
      <c r="Z137" s="150">
        <f t="shared" si="18"/>
        <v>430.18985521114206</v>
      </c>
      <c r="AA137" s="150">
        <f t="shared" si="31"/>
        <v>215.18985521114206</v>
      </c>
      <c r="AB137" s="148">
        <f t="shared" si="19"/>
        <v>75</v>
      </c>
      <c r="AC137" s="147">
        <f t="shared" si="20"/>
        <v>2.8691980694818939</v>
      </c>
      <c r="AI137" s="297">
        <v>120</v>
      </c>
      <c r="AJ137" s="151">
        <f t="shared" si="32"/>
        <v>1.2</v>
      </c>
      <c r="AK137" s="147">
        <f t="shared" si="21"/>
        <v>1.6015015703941495</v>
      </c>
      <c r="AL137" s="152">
        <v>183.41875389023198</v>
      </c>
      <c r="AM137" s="148">
        <f t="shared" si="22"/>
        <v>22.126244486788021</v>
      </c>
      <c r="AN137" s="152">
        <v>227.8</v>
      </c>
      <c r="AO137" s="148">
        <f t="shared" si="33"/>
        <v>37.800000000000011</v>
      </c>
      <c r="AP137" s="147">
        <f t="shared" si="42"/>
        <v>190.22257323298905</v>
      </c>
      <c r="AQ137" s="150">
        <f t="shared" si="23"/>
        <v>580.22257323298902</v>
      </c>
      <c r="AR137" s="150">
        <f t="shared" si="34"/>
        <v>352.42257323298901</v>
      </c>
      <c r="AS137" s="148">
        <f t="shared" si="24"/>
        <v>162.19999999999999</v>
      </c>
      <c r="AT137" s="147">
        <f t="shared" si="35"/>
        <v>2.1727655563069606</v>
      </c>
      <c r="BA137" s="1376">
        <v>83</v>
      </c>
      <c r="BB137" s="1377">
        <v>8.9280000000000008</v>
      </c>
    </row>
    <row r="138" spans="2:54">
      <c r="B138" s="297">
        <v>140</v>
      </c>
      <c r="C138" s="151">
        <f t="shared" si="36"/>
        <v>1.4</v>
      </c>
      <c r="D138" s="147">
        <f t="shared" si="25"/>
        <v>1.9460143246321477</v>
      </c>
      <c r="E138" s="325">
        <v>102.58092871709566</v>
      </c>
      <c r="F138" s="148">
        <f t="shared" si="26"/>
        <v>12.374583625372171</v>
      </c>
      <c r="G138" s="325">
        <v>201.2</v>
      </c>
      <c r="H138" s="148">
        <f t="shared" si="37"/>
        <v>11.199999999999989</v>
      </c>
      <c r="I138" s="147">
        <f t="shared" si="38"/>
        <v>108.02008503368103</v>
      </c>
      <c r="J138" s="150">
        <f t="shared" si="39"/>
        <v>348.02008503368103</v>
      </c>
      <c r="K138" s="150">
        <f t="shared" si="27"/>
        <v>146.82008503368104</v>
      </c>
      <c r="L138" s="148">
        <f t="shared" si="28"/>
        <v>38.800000000000011</v>
      </c>
      <c r="M138" s="147">
        <f t="shared" si="16"/>
        <v>3.7840228101464173</v>
      </c>
      <c r="N138" s="137"/>
      <c r="R138" s="297">
        <v>140</v>
      </c>
      <c r="S138" s="151">
        <f t="shared" si="40"/>
        <v>1.4</v>
      </c>
      <c r="T138" s="147">
        <f t="shared" si="17"/>
        <v>1.886184241658112</v>
      </c>
      <c r="U138" s="128">
        <v>141.01563771432726</v>
      </c>
      <c r="V138" s="148">
        <f t="shared" si="29"/>
        <v>17.01105481500981</v>
      </c>
      <c r="W138" s="129">
        <v>219</v>
      </c>
      <c r="X138" s="148">
        <f t="shared" si="30"/>
        <v>29</v>
      </c>
      <c r="Y138" s="147">
        <f t="shared" si="41"/>
        <v>146.54081836752269</v>
      </c>
      <c r="Z138" s="150">
        <f t="shared" si="18"/>
        <v>436.54081836752266</v>
      </c>
      <c r="AA138" s="150">
        <f t="shared" si="31"/>
        <v>217.54081836752266</v>
      </c>
      <c r="AB138" s="148">
        <f t="shared" si="19"/>
        <v>71</v>
      </c>
      <c r="AC138" s="147">
        <f t="shared" si="20"/>
        <v>3.0639551882749672</v>
      </c>
      <c r="AI138" s="297">
        <v>140</v>
      </c>
      <c r="AJ138" s="151">
        <f t="shared" si="32"/>
        <v>1.4</v>
      </c>
      <c r="AK138" s="147">
        <f t="shared" si="21"/>
        <v>1.8684184987931742</v>
      </c>
      <c r="AL138" s="152">
        <v>189.32001549963957</v>
      </c>
      <c r="AM138" s="148">
        <f t="shared" si="22"/>
        <v>22.838127837758719</v>
      </c>
      <c r="AN138" s="152">
        <v>231</v>
      </c>
      <c r="AO138" s="148">
        <f t="shared" si="33"/>
        <v>41</v>
      </c>
      <c r="AP138" s="147">
        <f t="shared" si="42"/>
        <v>195.81013731447291</v>
      </c>
      <c r="AQ138" s="150">
        <f t="shared" si="23"/>
        <v>585.81013731447297</v>
      </c>
      <c r="AR138" s="150">
        <f t="shared" si="34"/>
        <v>354.81013731447297</v>
      </c>
      <c r="AS138" s="148">
        <f t="shared" si="24"/>
        <v>159</v>
      </c>
      <c r="AT138" s="147">
        <f t="shared" si="35"/>
        <v>2.2315102975753018</v>
      </c>
      <c r="BA138" s="1376">
        <v>84</v>
      </c>
      <c r="BB138" s="1377">
        <v>8.9039999999999999</v>
      </c>
    </row>
    <row r="139" spans="2:54">
      <c r="B139" s="297">
        <v>160</v>
      </c>
      <c r="C139" s="151">
        <f t="shared" si="36"/>
        <v>1.6</v>
      </c>
      <c r="D139" s="147">
        <f t="shared" si="25"/>
        <v>2.2240163710081688</v>
      </c>
      <c r="E139" s="325">
        <v>108.8508938318639</v>
      </c>
      <c r="F139" s="148">
        <f t="shared" si="26"/>
        <v>13.130944565082938</v>
      </c>
      <c r="G139" s="325">
        <v>202.3</v>
      </c>
      <c r="H139" s="148">
        <f t="shared" si="37"/>
        <v>12.300000000000011</v>
      </c>
      <c r="I139" s="147">
        <f t="shared" si="38"/>
        <v>114.29752597847606</v>
      </c>
      <c r="J139" s="150">
        <f t="shared" si="39"/>
        <v>354.29752597847607</v>
      </c>
      <c r="K139" s="150">
        <f t="shared" si="27"/>
        <v>151.99752597847606</v>
      </c>
      <c r="L139" s="148">
        <f t="shared" si="28"/>
        <v>37.699999999999989</v>
      </c>
      <c r="M139" s="147">
        <f t="shared" si="16"/>
        <v>4.0317646148136896</v>
      </c>
      <c r="N139" s="137"/>
      <c r="R139" s="297">
        <v>160</v>
      </c>
      <c r="S139" s="151">
        <f t="shared" si="40"/>
        <v>1.6</v>
      </c>
      <c r="T139" s="147">
        <f t="shared" si="17"/>
        <v>2.1556391333235569</v>
      </c>
      <c r="U139" s="128">
        <v>145.27198930452928</v>
      </c>
      <c r="V139" s="148">
        <f t="shared" si="29"/>
        <v>17.5245087225797</v>
      </c>
      <c r="W139" s="129">
        <v>223</v>
      </c>
      <c r="X139" s="148">
        <f t="shared" si="30"/>
        <v>33</v>
      </c>
      <c r="Y139" s="147">
        <f t="shared" si="41"/>
        <v>150.54933965017838</v>
      </c>
      <c r="Z139" s="150">
        <f t="shared" si="18"/>
        <v>440.54933965017835</v>
      </c>
      <c r="AA139" s="150">
        <f t="shared" si="31"/>
        <v>217.54933965017835</v>
      </c>
      <c r="AB139" s="148">
        <f t="shared" si="19"/>
        <v>67</v>
      </c>
      <c r="AC139" s="147">
        <f t="shared" si="20"/>
        <v>3.2470050694056471</v>
      </c>
      <c r="AI139" s="297">
        <v>160</v>
      </c>
      <c r="AJ139" s="151">
        <f t="shared" si="32"/>
        <v>1.6</v>
      </c>
      <c r="AK139" s="147">
        <f t="shared" si="21"/>
        <v>2.1353354271921998</v>
      </c>
      <c r="AL139" s="152">
        <v>192.84590826560716</v>
      </c>
      <c r="AM139" s="148">
        <f t="shared" si="22"/>
        <v>23.26346474426003</v>
      </c>
      <c r="AN139" s="152">
        <v>234.4</v>
      </c>
      <c r="AO139" s="148">
        <f t="shared" si="33"/>
        <v>44.400000000000006</v>
      </c>
      <c r="AP139" s="147">
        <f t="shared" si="42"/>
        <v>198.91438120413395</v>
      </c>
      <c r="AQ139" s="150">
        <f t="shared" si="23"/>
        <v>588.91438120413397</v>
      </c>
      <c r="AR139" s="150">
        <f t="shared" si="34"/>
        <v>354.514381204134</v>
      </c>
      <c r="AS139" s="148">
        <f t="shared" si="24"/>
        <v>155.6</v>
      </c>
      <c r="AT139" s="147">
        <f t="shared" si="35"/>
        <v>2.278370059152532</v>
      </c>
      <c r="BA139" s="1376">
        <v>85</v>
      </c>
      <c r="BB139" s="1377">
        <v>8.7690000000000001</v>
      </c>
    </row>
    <row r="140" spans="2:54">
      <c r="B140" s="297">
        <v>180</v>
      </c>
      <c r="C140" s="151">
        <f t="shared" si="36"/>
        <v>1.8</v>
      </c>
      <c r="D140" s="147">
        <f t="shared" si="25"/>
        <v>2.5020184173841895</v>
      </c>
      <c r="E140" s="325">
        <v>116.7571123545348</v>
      </c>
      <c r="F140" s="148">
        <f t="shared" si="26"/>
        <v>14.084690680397184</v>
      </c>
      <c r="G140" s="325">
        <v>202.8</v>
      </c>
      <c r="H140" s="148">
        <f t="shared" si="37"/>
        <v>12.800000000000011</v>
      </c>
      <c r="I140" s="147">
        <f t="shared" si="38"/>
        <v>122.25077110185219</v>
      </c>
      <c r="J140" s="150">
        <f t="shared" si="39"/>
        <v>362.25077110185219</v>
      </c>
      <c r="K140" s="150">
        <f t="shared" si="27"/>
        <v>159.45077110185218</v>
      </c>
      <c r="L140" s="148">
        <f t="shared" si="28"/>
        <v>37.199999999999989</v>
      </c>
      <c r="M140" s="147">
        <f t="shared" si="16"/>
        <v>4.2863110511250602</v>
      </c>
      <c r="N140" s="137"/>
      <c r="R140" s="297">
        <v>180</v>
      </c>
      <c r="S140" s="151">
        <f t="shared" si="40"/>
        <v>1.8</v>
      </c>
      <c r="T140" s="147">
        <f t="shared" si="17"/>
        <v>2.4250940249890012</v>
      </c>
      <c r="U140" s="128">
        <v>148.25667187766427</v>
      </c>
      <c r="V140" s="148">
        <f t="shared" si="29"/>
        <v>17.884558144615148</v>
      </c>
      <c r="W140" s="129">
        <v>226.9</v>
      </c>
      <c r="X140" s="148">
        <f t="shared" si="30"/>
        <v>36.900000000000006</v>
      </c>
      <c r="Y140" s="147">
        <f t="shared" si="41"/>
        <v>153.21932992432195</v>
      </c>
      <c r="Z140" s="150">
        <f t="shared" si="18"/>
        <v>443.21932992432198</v>
      </c>
      <c r="AA140" s="150">
        <f t="shared" si="31"/>
        <v>216.31932992432198</v>
      </c>
      <c r="AB140" s="148">
        <f t="shared" si="19"/>
        <v>63.099999999999994</v>
      </c>
      <c r="AC140" s="147">
        <f t="shared" si="20"/>
        <v>3.4281985724932169</v>
      </c>
      <c r="AI140" s="297">
        <v>180</v>
      </c>
      <c r="AJ140" s="151">
        <f t="shared" si="32"/>
        <v>1.8</v>
      </c>
      <c r="AK140" s="147">
        <f t="shared" si="21"/>
        <v>2.4022523555912243</v>
      </c>
      <c r="AL140" s="152">
        <v>196.02896740991449</v>
      </c>
      <c r="AM140" s="148">
        <f t="shared" si="22"/>
        <v>23.647444808179767</v>
      </c>
      <c r="AN140" s="152">
        <v>237.8</v>
      </c>
      <c r="AO140" s="148">
        <f t="shared" si="33"/>
        <v>47.800000000000011</v>
      </c>
      <c r="AP140" s="147">
        <f t="shared" si="42"/>
        <v>201.6461293313499</v>
      </c>
      <c r="AQ140" s="150">
        <f t="shared" si="23"/>
        <v>591.64612933134993</v>
      </c>
      <c r="AR140" s="150">
        <f t="shared" si="34"/>
        <v>353.84612933134991</v>
      </c>
      <c r="AS140" s="148">
        <f t="shared" si="24"/>
        <v>152.19999999999999</v>
      </c>
      <c r="AT140" s="147">
        <f t="shared" si="35"/>
        <v>2.3248760140036131</v>
      </c>
      <c r="BA140" s="1376">
        <v>86</v>
      </c>
      <c r="BB140" s="1377">
        <v>8.8079999999999998</v>
      </c>
    </row>
    <row r="141" spans="2:54">
      <c r="B141" s="297">
        <f t="shared" ref="B141:B146" si="43">B140+20</f>
        <v>200</v>
      </c>
      <c r="C141" s="151">
        <f t="shared" si="36"/>
        <v>2</v>
      </c>
      <c r="D141" s="147">
        <f t="shared" si="25"/>
        <v>2.7800204637602111</v>
      </c>
      <c r="E141" s="325">
        <v>122.29665755992794</v>
      </c>
      <c r="F141" s="148">
        <f t="shared" si="26"/>
        <v>14.75293931343225</v>
      </c>
      <c r="G141" s="325">
        <v>203.7</v>
      </c>
      <c r="H141" s="148">
        <f t="shared" si="37"/>
        <v>13.699999999999989</v>
      </c>
      <c r="I141" s="147">
        <f t="shared" si="38"/>
        <v>127.68584347614329</v>
      </c>
      <c r="J141" s="150">
        <f t="shared" si="39"/>
        <v>367.6858434761433</v>
      </c>
      <c r="K141" s="150">
        <f t="shared" si="27"/>
        <v>163.98584347614332</v>
      </c>
      <c r="L141" s="148">
        <f t="shared" si="28"/>
        <v>36.300000000000011</v>
      </c>
      <c r="M141" s="147">
        <f t="shared" si="16"/>
        <v>4.5175163492050485</v>
      </c>
      <c r="N141" s="137"/>
      <c r="R141" s="297">
        <v>200</v>
      </c>
      <c r="S141" s="151">
        <f t="shared" si="40"/>
        <v>2</v>
      </c>
      <c r="T141" s="147">
        <f t="shared" si="17"/>
        <v>2.6945489166544458</v>
      </c>
      <c r="U141" s="128">
        <v>151.25763154819708</v>
      </c>
      <c r="V141" s="148">
        <f t="shared" si="29"/>
        <v>18.246571111974731</v>
      </c>
      <c r="W141" s="129">
        <v>229</v>
      </c>
      <c r="X141" s="148">
        <f t="shared" si="30"/>
        <v>39</v>
      </c>
      <c r="Y141" s="147">
        <f t="shared" si="41"/>
        <v>155.88905938760806</v>
      </c>
      <c r="Z141" s="150">
        <f t="shared" si="18"/>
        <v>445.88905938760809</v>
      </c>
      <c r="AA141" s="150">
        <f t="shared" si="31"/>
        <v>216.88905938760809</v>
      </c>
      <c r="AB141" s="148">
        <f t="shared" si="19"/>
        <v>61</v>
      </c>
      <c r="AC141" s="147">
        <f t="shared" si="20"/>
        <v>3.555558350616526</v>
      </c>
      <c r="AI141" s="297">
        <v>200</v>
      </c>
      <c r="AJ141" s="151">
        <f t="shared" si="32"/>
        <v>2</v>
      </c>
      <c r="AK141" s="147">
        <f t="shared" si="21"/>
        <v>2.6691692839902492</v>
      </c>
      <c r="AL141" s="152">
        <v>198.62429480062789</v>
      </c>
      <c r="AM141" s="148">
        <f t="shared" si="22"/>
        <v>23.960525380107264</v>
      </c>
      <c r="AN141" s="152">
        <v>242</v>
      </c>
      <c r="AO141" s="148">
        <f t="shared" si="33"/>
        <v>52</v>
      </c>
      <c r="AP141" s="147">
        <f t="shared" si="42"/>
        <v>203.75704843856482</v>
      </c>
      <c r="AQ141" s="150">
        <f t="shared" si="23"/>
        <v>593.75704843856488</v>
      </c>
      <c r="AR141" s="150">
        <f t="shared" si="34"/>
        <v>351.75704843856488</v>
      </c>
      <c r="AS141" s="148">
        <f t="shared" si="24"/>
        <v>148</v>
      </c>
      <c r="AT141" s="147">
        <f t="shared" si="35"/>
        <v>2.376736813774087</v>
      </c>
      <c r="BA141" s="1376">
        <v>87</v>
      </c>
      <c r="BB141" s="1377">
        <v>8.8320000000000007</v>
      </c>
    </row>
    <row r="142" spans="2:54">
      <c r="B142" s="297">
        <f t="shared" si="43"/>
        <v>220</v>
      </c>
      <c r="C142" s="151">
        <f t="shared" si="36"/>
        <v>2.2000000000000002</v>
      </c>
      <c r="D142" s="147">
        <f t="shared" si="25"/>
        <v>3.0580225101362322</v>
      </c>
      <c r="E142" s="325">
        <v>127.46376368131634</v>
      </c>
      <c r="F142" s="148">
        <f t="shared" si="26"/>
        <v>15.376259725910025</v>
      </c>
      <c r="G142" s="325">
        <v>204.3</v>
      </c>
      <c r="H142" s="148">
        <f t="shared" si="37"/>
        <v>14.300000000000011</v>
      </c>
      <c r="I142" s="147">
        <f t="shared" si="38"/>
        <v>132.70009970963969</v>
      </c>
      <c r="J142" s="150">
        <f t="shared" si="39"/>
        <v>372.70009970963969</v>
      </c>
      <c r="K142" s="150">
        <f t="shared" si="27"/>
        <v>168.40009970963968</v>
      </c>
      <c r="L142" s="148">
        <f t="shared" si="28"/>
        <v>35.699999999999989</v>
      </c>
      <c r="M142" s="147">
        <f t="shared" si="16"/>
        <v>4.717089627721001</v>
      </c>
      <c r="N142" s="137"/>
      <c r="R142" s="297">
        <v>220</v>
      </c>
      <c r="S142" s="151">
        <f t="shared" si="40"/>
        <v>2.2000000000000002</v>
      </c>
      <c r="T142" s="147">
        <f t="shared" si="17"/>
        <v>2.9640038083198905</v>
      </c>
      <c r="U142" s="128">
        <v>153.40706933223439</v>
      </c>
      <c r="V142" s="148">
        <f t="shared" si="29"/>
        <v>18.50586295051383</v>
      </c>
      <c r="W142" s="129">
        <v>230</v>
      </c>
      <c r="X142" s="148">
        <f t="shared" si="30"/>
        <v>40</v>
      </c>
      <c r="Y142" s="147">
        <f t="shared" si="41"/>
        <v>157.66649481263909</v>
      </c>
      <c r="Z142" s="150">
        <f t="shared" si="18"/>
        <v>447.66649481263909</v>
      </c>
      <c r="AA142" s="150">
        <f t="shared" si="31"/>
        <v>217.66649481263909</v>
      </c>
      <c r="AB142" s="148">
        <f t="shared" si="19"/>
        <v>60</v>
      </c>
      <c r="AC142" s="147">
        <f t="shared" si="20"/>
        <v>3.627774913543985</v>
      </c>
      <c r="AI142" s="297">
        <v>220</v>
      </c>
      <c r="AJ142" s="151">
        <f t="shared" si="32"/>
        <v>2.2000000000000002</v>
      </c>
      <c r="AK142" s="147">
        <f t="shared" si="21"/>
        <v>2.9360862123892746</v>
      </c>
      <c r="AL142" s="152">
        <v>200.86978395514873</v>
      </c>
      <c r="AM142" s="148">
        <f t="shared" si="22"/>
        <v>24.231404125991084</v>
      </c>
      <c r="AN142" s="152">
        <v>245.3</v>
      </c>
      <c r="AO142" s="148">
        <f t="shared" si="33"/>
        <v>55.300000000000011</v>
      </c>
      <c r="AP142" s="147">
        <f t="shared" si="42"/>
        <v>205.49547060495698</v>
      </c>
      <c r="AQ142" s="150">
        <f t="shared" si="23"/>
        <v>595.49547060495695</v>
      </c>
      <c r="AR142" s="150">
        <f t="shared" si="34"/>
        <v>350.19547060495694</v>
      </c>
      <c r="AS142" s="148">
        <f t="shared" si="24"/>
        <v>144.69999999999999</v>
      </c>
      <c r="AT142" s="147">
        <f t="shared" si="35"/>
        <v>2.4201483801310086</v>
      </c>
      <c r="BA142" s="1376">
        <v>88</v>
      </c>
      <c r="BB142" s="1377">
        <v>8.9280000000000008</v>
      </c>
    </row>
    <row r="143" spans="2:54">
      <c r="B143" s="297">
        <f t="shared" si="43"/>
        <v>240</v>
      </c>
      <c r="C143" s="151">
        <f t="shared" si="36"/>
        <v>2.4</v>
      </c>
      <c r="D143" s="147">
        <f t="shared" si="25"/>
        <v>3.3360245565122528</v>
      </c>
      <c r="E143" s="325">
        <v>131.85153443608371</v>
      </c>
      <c r="F143" s="148">
        <f t="shared" si="26"/>
        <v>15.905567042707425</v>
      </c>
      <c r="G143" s="325">
        <v>205.7</v>
      </c>
      <c r="H143" s="148">
        <f t="shared" si="37"/>
        <v>15.699999999999989</v>
      </c>
      <c r="I143" s="147">
        <f t="shared" si="38"/>
        <v>136.87447839937516</v>
      </c>
      <c r="J143" s="150">
        <f t="shared" si="39"/>
        <v>376.87447839937516</v>
      </c>
      <c r="K143" s="150">
        <f t="shared" si="27"/>
        <v>171.17447839937518</v>
      </c>
      <c r="L143" s="148">
        <f t="shared" si="28"/>
        <v>34.300000000000011</v>
      </c>
      <c r="M143" s="147">
        <f t="shared" si="16"/>
        <v>4.990509574325805</v>
      </c>
      <c r="N143" s="137"/>
      <c r="R143" s="297">
        <v>240</v>
      </c>
      <c r="S143" s="151">
        <f t="shared" si="40"/>
        <v>2.4</v>
      </c>
      <c r="T143" s="147">
        <f t="shared" si="17"/>
        <v>3.2334586999853343</v>
      </c>
      <c r="U143" s="128">
        <v>156.00344951241331</v>
      </c>
      <c r="V143" s="148">
        <f t="shared" si="29"/>
        <v>18.819070522961248</v>
      </c>
      <c r="W143" s="129">
        <v>231</v>
      </c>
      <c r="X143" s="148">
        <f t="shared" si="30"/>
        <v>41</v>
      </c>
      <c r="Y143" s="147">
        <f t="shared" si="41"/>
        <v>159.8897378625706</v>
      </c>
      <c r="Z143" s="150">
        <f t="shared" si="18"/>
        <v>449.8897378625706</v>
      </c>
      <c r="AA143" s="150">
        <f t="shared" si="31"/>
        <v>218.8897378625706</v>
      </c>
      <c r="AB143" s="148">
        <f t="shared" si="19"/>
        <v>59</v>
      </c>
      <c r="AC143" s="147">
        <f t="shared" si="20"/>
        <v>3.7099955569927219</v>
      </c>
      <c r="AI143" s="297">
        <v>240</v>
      </c>
      <c r="AJ143" s="151">
        <f t="shared" si="32"/>
        <v>2.4</v>
      </c>
      <c r="AK143" s="147">
        <f t="shared" si="21"/>
        <v>3.2030031407882991</v>
      </c>
      <c r="AL143" s="152">
        <v>203.12765898805807</v>
      </c>
      <c r="AM143" s="148">
        <f t="shared" si="22"/>
        <v>24.503777010111015</v>
      </c>
      <c r="AN143" s="152">
        <v>249</v>
      </c>
      <c r="AO143" s="148">
        <f t="shared" si="33"/>
        <v>59</v>
      </c>
      <c r="AP143" s="147">
        <f t="shared" si="42"/>
        <v>207.23389485501033</v>
      </c>
      <c r="AQ143" s="150">
        <f t="shared" si="23"/>
        <v>597.23389485501036</v>
      </c>
      <c r="AR143" s="150">
        <f t="shared" si="34"/>
        <v>348.23389485501036</v>
      </c>
      <c r="AS143" s="148">
        <f t="shared" si="24"/>
        <v>141</v>
      </c>
      <c r="AT143" s="147">
        <f t="shared" si="35"/>
        <v>2.4697439351419175</v>
      </c>
      <c r="BA143" s="1376">
        <v>89</v>
      </c>
      <c r="BB143" s="1377">
        <v>9.0719999999999992</v>
      </c>
    </row>
    <row r="144" spans="2:54">
      <c r="B144" s="297">
        <f t="shared" si="43"/>
        <v>260</v>
      </c>
      <c r="C144" s="151">
        <f t="shared" si="36"/>
        <v>2.6</v>
      </c>
      <c r="D144" s="147">
        <f t="shared" si="25"/>
        <v>3.6140266028882739</v>
      </c>
      <c r="E144" s="325">
        <v>135.85848594149601</v>
      </c>
      <c r="F144" s="148">
        <f t="shared" si="26"/>
        <v>16.388935219488925</v>
      </c>
      <c r="G144" s="325">
        <v>207.5</v>
      </c>
      <c r="H144" s="148">
        <f t="shared" si="37"/>
        <v>17.5</v>
      </c>
      <c r="I144" s="147">
        <f t="shared" si="38"/>
        <v>140.62846770944972</v>
      </c>
      <c r="J144" s="150">
        <f t="shared" si="39"/>
        <v>380.62846770944975</v>
      </c>
      <c r="K144" s="150">
        <f t="shared" si="27"/>
        <v>173.12846770944975</v>
      </c>
      <c r="L144" s="148">
        <f t="shared" si="28"/>
        <v>32.5</v>
      </c>
      <c r="M144" s="147">
        <f t="shared" si="16"/>
        <v>5.3270297756753768</v>
      </c>
      <c r="N144" s="137"/>
      <c r="R144" s="297">
        <v>260</v>
      </c>
      <c r="S144" s="151">
        <f t="shared" si="40"/>
        <v>2.6</v>
      </c>
      <c r="T144" s="147">
        <f t="shared" si="17"/>
        <v>3.5029135916507794</v>
      </c>
      <c r="U144" s="128">
        <v>158.39592973838384</v>
      </c>
      <c r="V144" s="148">
        <f t="shared" si="29"/>
        <v>19.107681154572614</v>
      </c>
      <c r="W144" s="129">
        <v>232</v>
      </c>
      <c r="X144" s="148">
        <f t="shared" si="30"/>
        <v>42</v>
      </c>
      <c r="Y144" s="147">
        <f t="shared" si="41"/>
        <v>161.88976350649349</v>
      </c>
      <c r="Z144" s="150">
        <f t="shared" si="18"/>
        <v>451.88976350649352</v>
      </c>
      <c r="AA144" s="150">
        <f t="shared" si="31"/>
        <v>219.88976350649352</v>
      </c>
      <c r="AB144" s="148">
        <f t="shared" si="19"/>
        <v>58</v>
      </c>
      <c r="AC144" s="147">
        <f t="shared" si="20"/>
        <v>3.7912028190774745</v>
      </c>
      <c r="AI144" s="297">
        <v>260</v>
      </c>
      <c r="AJ144" s="151">
        <f t="shared" si="32"/>
        <v>2.6</v>
      </c>
      <c r="AK144" s="147">
        <f t="shared" si="21"/>
        <v>3.469920069187324</v>
      </c>
      <c r="AL144" s="152">
        <v>204.78780869047409</v>
      </c>
      <c r="AM144" s="148">
        <f t="shared" si="22"/>
        <v>24.704044853072748</v>
      </c>
      <c r="AN144" s="152">
        <v>256</v>
      </c>
      <c r="AO144" s="148">
        <f t="shared" si="33"/>
        <v>66</v>
      </c>
      <c r="AP144" s="147">
        <f t="shared" si="42"/>
        <v>208.35148840385537</v>
      </c>
      <c r="AQ144" s="150">
        <f t="shared" si="23"/>
        <v>598.35148840385534</v>
      </c>
      <c r="AR144" s="150">
        <f t="shared" si="34"/>
        <v>342.35148840385534</v>
      </c>
      <c r="AS144" s="148">
        <f t="shared" si="24"/>
        <v>134</v>
      </c>
      <c r="AT144" s="147">
        <f t="shared" si="35"/>
        <v>2.5548618537601144</v>
      </c>
      <c r="BA144" s="1376">
        <v>90</v>
      </c>
      <c r="BB144" s="1377">
        <v>8.9060000000000006</v>
      </c>
    </row>
    <row r="145" spans="2:54">
      <c r="B145" s="297">
        <f t="shared" si="43"/>
        <v>280</v>
      </c>
      <c r="C145" s="151">
        <f t="shared" si="36"/>
        <v>2.8</v>
      </c>
      <c r="D145" s="147">
        <f t="shared" si="25"/>
        <v>3.8920286492642955</v>
      </c>
      <c r="E145" s="325">
        <v>139.48146890902692</v>
      </c>
      <c r="F145" s="148">
        <f t="shared" si="26"/>
        <v>16.825984350021297</v>
      </c>
      <c r="G145" s="325">
        <v>209</v>
      </c>
      <c r="H145" s="148">
        <f t="shared" si="37"/>
        <v>19</v>
      </c>
      <c r="I145" s="147">
        <f t="shared" si="38"/>
        <v>143.96222801783767</v>
      </c>
      <c r="J145" s="150">
        <f t="shared" si="39"/>
        <v>383.96222801783767</v>
      </c>
      <c r="K145" s="150">
        <f t="shared" si="27"/>
        <v>174.96222801783767</v>
      </c>
      <c r="L145" s="148">
        <f t="shared" si="28"/>
        <v>31</v>
      </c>
      <c r="M145" s="147">
        <f t="shared" si="16"/>
        <v>5.6439428392850859</v>
      </c>
      <c r="N145" s="137"/>
      <c r="R145" s="297">
        <v>280</v>
      </c>
      <c r="S145" s="151">
        <f t="shared" si="40"/>
        <v>2.8</v>
      </c>
      <c r="T145" s="147">
        <f t="shared" si="17"/>
        <v>3.7723684833162241</v>
      </c>
      <c r="U145" s="129">
        <v>159.92649058416143</v>
      </c>
      <c r="V145" s="148">
        <f t="shared" si="29"/>
        <v>19.292316382744794</v>
      </c>
      <c r="W145" s="129">
        <v>233</v>
      </c>
      <c r="X145" s="148">
        <f t="shared" si="30"/>
        <v>43</v>
      </c>
      <c r="Y145" s="147">
        <f t="shared" si="41"/>
        <v>162.99766171307186</v>
      </c>
      <c r="Z145" s="150">
        <f t="shared" si="18"/>
        <v>452.99766171307186</v>
      </c>
      <c r="AA145" s="150">
        <f t="shared" si="31"/>
        <v>219.99766171307186</v>
      </c>
      <c r="AB145" s="148">
        <f t="shared" si="19"/>
        <v>57</v>
      </c>
      <c r="AC145" s="147">
        <f t="shared" si="20"/>
        <v>3.8596081002293308</v>
      </c>
      <c r="AI145" s="297">
        <v>280</v>
      </c>
      <c r="AJ145" s="151">
        <f t="shared" si="32"/>
        <v>2.8</v>
      </c>
      <c r="AK145" s="147">
        <f t="shared" si="21"/>
        <v>3.7368369975863485</v>
      </c>
      <c r="AL145" s="152">
        <v>206.70192888890955</v>
      </c>
      <c r="AM145" s="148">
        <f t="shared" si="22"/>
        <v>24.934949766498491</v>
      </c>
      <c r="AN145" s="152">
        <v>262</v>
      </c>
      <c r="AO145" s="148">
        <f t="shared" si="33"/>
        <v>72</v>
      </c>
      <c r="AP145" s="147">
        <f t="shared" si="42"/>
        <v>209.71741673648916</v>
      </c>
      <c r="AQ145" s="150">
        <f t="shared" si="23"/>
        <v>599.71741673648921</v>
      </c>
      <c r="AR145" s="150">
        <f t="shared" si="34"/>
        <v>337.71741673648921</v>
      </c>
      <c r="AS145" s="148">
        <f t="shared" si="24"/>
        <v>128</v>
      </c>
      <c r="AT145" s="147">
        <f t="shared" si="35"/>
        <v>2.638417318253822</v>
      </c>
      <c r="BA145" s="1376">
        <v>91</v>
      </c>
      <c r="BB145" s="1377">
        <v>8.8390000000000004</v>
      </c>
    </row>
    <row r="146" spans="2:54">
      <c r="B146" s="297">
        <f t="shared" si="43"/>
        <v>300</v>
      </c>
      <c r="C146" s="151">
        <f t="shared" si="36"/>
        <v>3</v>
      </c>
      <c r="D146" s="147">
        <f t="shared" si="25"/>
        <v>4.1700306956403166</v>
      </c>
      <c r="E146" s="325">
        <v>141.39395765266005</v>
      </c>
      <c r="F146" s="148">
        <f t="shared" si="26"/>
        <v>17.056692457138748</v>
      </c>
      <c r="G146" s="325">
        <v>210</v>
      </c>
      <c r="H146" s="148">
        <f t="shared" si="37"/>
        <v>20</v>
      </c>
      <c r="I146" s="147">
        <f t="shared" si="38"/>
        <v>145.51401920818006</v>
      </c>
      <c r="J146" s="150">
        <f t="shared" si="39"/>
        <v>385.51401920818006</v>
      </c>
      <c r="K146" s="150">
        <f t="shared" si="27"/>
        <v>175.51401920818006</v>
      </c>
      <c r="L146" s="148">
        <f t="shared" si="28"/>
        <v>30</v>
      </c>
      <c r="M146" s="147">
        <f t="shared" si="16"/>
        <v>5.8504673069393354</v>
      </c>
      <c r="N146" s="137"/>
      <c r="R146" s="297">
        <v>300</v>
      </c>
      <c r="S146" s="151">
        <f t="shared" si="40"/>
        <v>3</v>
      </c>
      <c r="T146" s="147">
        <f t="shared" si="17"/>
        <v>4.0418233749816688</v>
      </c>
      <c r="U146" s="129">
        <v>160.8073663105784</v>
      </c>
      <c r="V146" s="148">
        <f t="shared" si="29"/>
        <v>19.398578535724219</v>
      </c>
      <c r="W146" s="129">
        <v>234</v>
      </c>
      <c r="X146" s="148">
        <f t="shared" si="30"/>
        <v>44</v>
      </c>
      <c r="Y146" s="147">
        <f t="shared" si="41"/>
        <v>163.43651634622117</v>
      </c>
      <c r="Z146" s="150">
        <f t="shared" si="18"/>
        <v>453.4365163462212</v>
      </c>
      <c r="AA146" s="150">
        <f t="shared" si="31"/>
        <v>219.4365163462212</v>
      </c>
      <c r="AB146" s="148">
        <f t="shared" si="19"/>
        <v>56</v>
      </c>
      <c r="AC146" s="147">
        <f t="shared" si="20"/>
        <v>3.9185092204682355</v>
      </c>
      <c r="AI146" s="297">
        <v>300</v>
      </c>
      <c r="AJ146" s="151">
        <f t="shared" si="32"/>
        <v>3</v>
      </c>
      <c r="AK146" s="147">
        <f t="shared" si="21"/>
        <v>4.0037539259853743</v>
      </c>
      <c r="AL146" s="152">
        <v>208.25853049830855</v>
      </c>
      <c r="AM146" s="148">
        <f t="shared" si="22"/>
        <v>25.122726354484154</v>
      </c>
      <c r="AN146" s="152">
        <v>268</v>
      </c>
      <c r="AO146" s="148">
        <f t="shared" si="33"/>
        <v>78</v>
      </c>
      <c r="AP146" s="147">
        <f t="shared" si="42"/>
        <v>210.71084683624375</v>
      </c>
      <c r="AQ146" s="150">
        <f t="shared" si="23"/>
        <v>600.71084683624372</v>
      </c>
      <c r="AR146" s="150">
        <f t="shared" si="34"/>
        <v>332.71084683624372</v>
      </c>
      <c r="AS146" s="148">
        <f t="shared" si="24"/>
        <v>122</v>
      </c>
      <c r="AT146" s="147">
        <f t="shared" si="35"/>
        <v>2.7271380888216696</v>
      </c>
      <c r="BA146" s="1376">
        <v>92</v>
      </c>
      <c r="BB146" s="1377">
        <v>8.8219999999999992</v>
      </c>
    </row>
    <row r="147" spans="2:54">
      <c r="B147" s="297">
        <v>350</v>
      </c>
      <c r="C147" s="151">
        <f t="shared" si="36"/>
        <v>3.5</v>
      </c>
      <c r="D147" s="147">
        <f t="shared" si="25"/>
        <v>4.8650358115803689</v>
      </c>
      <c r="E147" s="325">
        <v>144.940460192373</v>
      </c>
      <c r="F147" s="148">
        <f t="shared" si="26"/>
        <v>17.484515570110418</v>
      </c>
      <c r="G147" s="325">
        <v>211</v>
      </c>
      <c r="H147" s="148">
        <f t="shared" si="37"/>
        <v>21</v>
      </c>
      <c r="I147" s="147">
        <f t="shared" si="38"/>
        <v>148.08205464704676</v>
      </c>
      <c r="J147" s="150">
        <f t="shared" si="39"/>
        <v>388.08205464704679</v>
      </c>
      <c r="K147" s="150">
        <f t="shared" si="27"/>
        <v>177.08205464704679</v>
      </c>
      <c r="L147" s="148">
        <f t="shared" si="28"/>
        <v>29</v>
      </c>
      <c r="M147" s="147">
        <f t="shared" si="16"/>
        <v>6.106277746449889</v>
      </c>
      <c r="N147" s="137"/>
      <c r="R147" s="297">
        <v>350</v>
      </c>
      <c r="S147" s="151">
        <f t="shared" si="40"/>
        <v>3.5</v>
      </c>
      <c r="T147" s="147">
        <f t="shared" si="17"/>
        <v>4.7154606041452798</v>
      </c>
      <c r="U147" s="129">
        <v>162.36828376452354</v>
      </c>
      <c r="V147" s="148">
        <f t="shared" si="29"/>
        <v>19.586875754395511</v>
      </c>
      <c r="W147" s="129">
        <v>234</v>
      </c>
      <c r="X147" s="148">
        <f t="shared" si="30"/>
        <v>44</v>
      </c>
      <c r="Y147" s="147">
        <f t="shared" si="41"/>
        <v>163.86447454853183</v>
      </c>
      <c r="Z147" s="150">
        <f t="shared" si="18"/>
        <v>453.8644745485318</v>
      </c>
      <c r="AA147" s="150">
        <f t="shared" si="31"/>
        <v>219.8644745485318</v>
      </c>
      <c r="AB147" s="148">
        <f t="shared" si="19"/>
        <v>56</v>
      </c>
      <c r="AC147" s="147">
        <f t="shared" si="20"/>
        <v>3.9261513312237821</v>
      </c>
      <c r="AI147" s="297">
        <v>350</v>
      </c>
      <c r="AJ147" s="151">
        <f t="shared" si="32"/>
        <v>3.5</v>
      </c>
      <c r="AK147" s="147">
        <f t="shared" si="21"/>
        <v>4.6710462469829368</v>
      </c>
      <c r="AL147" s="152">
        <v>209.96372324858774</v>
      </c>
      <c r="AM147" s="148">
        <f t="shared" si="22"/>
        <v>25.328427848412936</v>
      </c>
      <c r="AN147" s="152">
        <v>272</v>
      </c>
      <c r="AO147" s="148">
        <f t="shared" si="33"/>
        <v>82</v>
      </c>
      <c r="AP147" s="147">
        <f t="shared" si="42"/>
        <v>210.95942575737416</v>
      </c>
      <c r="AQ147" s="150">
        <f t="shared" si="23"/>
        <v>600.95942575737422</v>
      </c>
      <c r="AR147" s="150">
        <f t="shared" si="34"/>
        <v>328.95942575737422</v>
      </c>
      <c r="AS147" s="148">
        <f t="shared" si="24"/>
        <v>118</v>
      </c>
      <c r="AT147" s="147">
        <f t="shared" si="35"/>
        <v>2.7877917437065611</v>
      </c>
      <c r="BA147" s="1376">
        <v>93</v>
      </c>
      <c r="BB147" s="1377">
        <v>8.8539999999999992</v>
      </c>
    </row>
    <row r="148" spans="2:54">
      <c r="B148" s="297">
        <v>400</v>
      </c>
      <c r="C148" s="151">
        <f t="shared" si="36"/>
        <v>4</v>
      </c>
      <c r="D148" s="147">
        <f t="shared" si="25"/>
        <v>5.5600409275204221</v>
      </c>
      <c r="E148" s="325">
        <v>147.19477820456748</v>
      </c>
      <c r="F148" s="148">
        <f t="shared" si="26"/>
        <v>17.756459362284666</v>
      </c>
      <c r="G148" s="325">
        <v>212</v>
      </c>
      <c r="H148" s="148">
        <f t="shared" si="37"/>
        <v>22</v>
      </c>
      <c r="I148" s="147">
        <f t="shared" si="38"/>
        <v>149.28660114108547</v>
      </c>
      <c r="J148" s="150">
        <f t="shared" si="39"/>
        <v>389.2866011410855</v>
      </c>
      <c r="K148" s="150">
        <f t="shared" si="27"/>
        <v>177.2866011410855</v>
      </c>
      <c r="L148" s="148">
        <f t="shared" si="28"/>
        <v>28</v>
      </c>
      <c r="M148" s="147">
        <f t="shared" si="16"/>
        <v>6.3316643264673393</v>
      </c>
      <c r="N148" s="137"/>
      <c r="R148" s="297">
        <v>400</v>
      </c>
      <c r="S148" s="151">
        <f t="shared" si="40"/>
        <v>4</v>
      </c>
      <c r="T148" s="147">
        <f t="shared" si="17"/>
        <v>5.3890978333088917</v>
      </c>
      <c r="U148" s="129">
        <v>164.28476515796655</v>
      </c>
      <c r="V148" s="148">
        <f t="shared" si="29"/>
        <v>19.818065504441883</v>
      </c>
      <c r="W148" s="129">
        <v>234</v>
      </c>
      <c r="X148" s="148">
        <f t="shared" si="30"/>
        <v>44</v>
      </c>
      <c r="Y148" s="147">
        <f t="shared" si="41"/>
        <v>164.62646228336601</v>
      </c>
      <c r="Z148" s="150">
        <f t="shared" si="18"/>
        <v>454.62646228336598</v>
      </c>
      <c r="AA148" s="150">
        <f t="shared" si="31"/>
        <v>220.62646228336598</v>
      </c>
      <c r="AB148" s="148">
        <f t="shared" si="19"/>
        <v>56</v>
      </c>
      <c r="AC148" s="147">
        <f t="shared" si="20"/>
        <v>3.9397582550601067</v>
      </c>
      <c r="AI148" s="297">
        <v>400</v>
      </c>
      <c r="AJ148" s="151">
        <f t="shared" si="32"/>
        <v>4</v>
      </c>
      <c r="AK148" s="147">
        <f t="shared" si="21"/>
        <v>5.3383385679804984</v>
      </c>
      <c r="AL148" s="152">
        <v>212.93748130167776</v>
      </c>
      <c r="AM148" s="148">
        <f t="shared" si="22"/>
        <v>25.687159419376513</v>
      </c>
      <c r="AN148" s="152">
        <v>274</v>
      </c>
      <c r="AO148" s="148">
        <f t="shared" si="33"/>
        <v>84</v>
      </c>
      <c r="AP148" s="147">
        <f t="shared" si="42"/>
        <v>212.4496783809075</v>
      </c>
      <c r="AQ148" s="150">
        <f t="shared" si="23"/>
        <v>602.44967838090747</v>
      </c>
      <c r="AR148" s="150">
        <f t="shared" si="34"/>
        <v>328.44967838090747</v>
      </c>
      <c r="AS148" s="148">
        <f t="shared" si="24"/>
        <v>116</v>
      </c>
      <c r="AT148" s="147">
        <f t="shared" si="35"/>
        <v>2.8314627446629954</v>
      </c>
      <c r="BA148" s="1376">
        <v>94</v>
      </c>
      <c r="BB148" s="1377">
        <v>8.8260000000000005</v>
      </c>
    </row>
    <row r="149" spans="2:54">
      <c r="B149" s="297">
        <v>450</v>
      </c>
      <c r="C149" s="151">
        <f t="shared" si="36"/>
        <v>4.5</v>
      </c>
      <c r="D149" s="147">
        <f t="shared" si="25"/>
        <v>6.2550460434604744</v>
      </c>
      <c r="E149" s="325">
        <v>148.23350609174921</v>
      </c>
      <c r="F149" s="148">
        <f t="shared" si="26"/>
        <v>17.881763600262328</v>
      </c>
      <c r="G149" s="325">
        <v>212</v>
      </c>
      <c r="H149" s="148">
        <f t="shared" si="37"/>
        <v>22</v>
      </c>
      <c r="I149" s="147">
        <f t="shared" si="38"/>
        <v>149.23370377302703</v>
      </c>
      <c r="J149" s="150">
        <f t="shared" si="39"/>
        <v>389.23370377302706</v>
      </c>
      <c r="K149" s="150">
        <f t="shared" si="27"/>
        <v>177.23370377302706</v>
      </c>
      <c r="L149" s="148">
        <f t="shared" si="28"/>
        <v>28</v>
      </c>
      <c r="M149" s="147">
        <f t="shared" si="16"/>
        <v>6.3297751347509665</v>
      </c>
      <c r="N149" s="137"/>
      <c r="R149" s="297">
        <v>450</v>
      </c>
      <c r="S149" s="151">
        <f t="shared" si="40"/>
        <v>4.5</v>
      </c>
      <c r="T149" s="147">
        <f t="shared" si="17"/>
        <v>6.0627350624725036</v>
      </c>
      <c r="U149" s="129">
        <v>166.22829761591998</v>
      </c>
      <c r="V149" s="148">
        <f t="shared" si="29"/>
        <v>20.052518489322708</v>
      </c>
      <c r="W149" s="129">
        <v>234</v>
      </c>
      <c r="X149" s="148">
        <f t="shared" si="30"/>
        <v>44</v>
      </c>
      <c r="Y149" s="147">
        <f t="shared" si="41"/>
        <v>165.38801657413111</v>
      </c>
      <c r="Z149" s="150">
        <f t="shared" si="18"/>
        <v>455.38801657413114</v>
      </c>
      <c r="AA149" s="150">
        <f t="shared" si="31"/>
        <v>221.38801657413114</v>
      </c>
      <c r="AB149" s="148">
        <f t="shared" si="19"/>
        <v>56</v>
      </c>
      <c r="AC149" s="147">
        <f t="shared" si="20"/>
        <v>3.9533574388237702</v>
      </c>
      <c r="AI149" s="297">
        <v>450</v>
      </c>
      <c r="AJ149" s="151">
        <f t="shared" si="32"/>
        <v>4.5</v>
      </c>
      <c r="AK149" s="147">
        <f t="shared" si="21"/>
        <v>6.005630888978061</v>
      </c>
      <c r="AL149" s="152">
        <v>215.82813387265867</v>
      </c>
      <c r="AM149" s="148">
        <f t="shared" si="22"/>
        <v>26.03586577658011</v>
      </c>
      <c r="AN149" s="152">
        <v>276</v>
      </c>
      <c r="AO149" s="148">
        <f t="shared" si="33"/>
        <v>86</v>
      </c>
      <c r="AP149" s="147">
        <f t="shared" si="42"/>
        <v>213.81577099438576</v>
      </c>
      <c r="AQ149" s="150">
        <f t="shared" si="23"/>
        <v>603.81577099438573</v>
      </c>
      <c r="AR149" s="150">
        <f t="shared" si="34"/>
        <v>327.81577099438573</v>
      </c>
      <c r="AS149" s="148">
        <f t="shared" si="24"/>
        <v>114</v>
      </c>
      <c r="AT149" s="147">
        <f t="shared" si="35"/>
        <v>2.8755769385472432</v>
      </c>
      <c r="BA149" s="1376">
        <v>95</v>
      </c>
      <c r="BB149" s="1377">
        <v>8.8789999999999996</v>
      </c>
    </row>
    <row r="150" spans="2:54">
      <c r="B150" s="297">
        <v>500</v>
      </c>
      <c r="C150" s="151">
        <f t="shared" si="36"/>
        <v>5</v>
      </c>
      <c r="D150" s="147">
        <f t="shared" si="25"/>
        <v>6.9500511594005276</v>
      </c>
      <c r="E150" s="325">
        <v>149.28699841216874</v>
      </c>
      <c r="F150" s="148">
        <f t="shared" si="26"/>
        <v>18.008848907256105</v>
      </c>
      <c r="G150" s="325">
        <v>212</v>
      </c>
      <c r="H150" s="148">
        <f t="shared" si="37"/>
        <v>22</v>
      </c>
      <c r="I150" s="147">
        <f t="shared" si="38"/>
        <v>149.18005452406811</v>
      </c>
      <c r="J150" s="150">
        <f t="shared" si="39"/>
        <v>389.18005452406811</v>
      </c>
      <c r="K150" s="150">
        <f t="shared" si="27"/>
        <v>177.18005452406811</v>
      </c>
      <c r="L150" s="148">
        <f t="shared" si="28"/>
        <v>28</v>
      </c>
      <c r="M150" s="147">
        <f t="shared" si="16"/>
        <v>6.3278590901452896</v>
      </c>
      <c r="N150" s="137"/>
      <c r="R150" s="297">
        <v>500</v>
      </c>
      <c r="S150" s="151">
        <f t="shared" si="40"/>
        <v>5</v>
      </c>
      <c r="T150" s="147">
        <f t="shared" si="17"/>
        <v>6.7363722916361137</v>
      </c>
      <c r="U150" s="129">
        <v>168.19945794636917</v>
      </c>
      <c r="V150" s="148">
        <f t="shared" si="29"/>
        <v>20.290304290769583</v>
      </c>
      <c r="W150" s="129">
        <v>234</v>
      </c>
      <c r="X150" s="148">
        <f t="shared" si="30"/>
        <v>44</v>
      </c>
      <c r="Y150" s="147">
        <f t="shared" si="41"/>
        <v>166.14912817852897</v>
      </c>
      <c r="Z150" s="150">
        <f t="shared" si="18"/>
        <v>456.14912817852894</v>
      </c>
      <c r="AA150" s="150">
        <f t="shared" si="31"/>
        <v>222.14912817852894</v>
      </c>
      <c r="AB150" s="148">
        <f t="shared" si="19"/>
        <v>56</v>
      </c>
      <c r="AC150" s="147">
        <f t="shared" si="20"/>
        <v>3.966948717473731</v>
      </c>
      <c r="AI150" s="297">
        <v>500</v>
      </c>
      <c r="AJ150" s="151">
        <f t="shared" si="32"/>
        <v>5</v>
      </c>
      <c r="AK150" s="147">
        <f t="shared" si="21"/>
        <v>6.6729232099756235</v>
      </c>
      <c r="AL150" s="152">
        <v>220.14868254700687</v>
      </c>
      <c r="AM150" s="148">
        <f t="shared" si="22"/>
        <v>26.557063932483551</v>
      </c>
      <c r="AN150" s="152">
        <v>277</v>
      </c>
      <c r="AO150" s="148">
        <f t="shared" si="33"/>
        <v>87</v>
      </c>
      <c r="AP150" s="147">
        <f t="shared" si="42"/>
        <v>216.5477104800716</v>
      </c>
      <c r="AQ150" s="150">
        <f t="shared" si="23"/>
        <v>606.5477104800716</v>
      </c>
      <c r="AR150" s="150">
        <f t="shared" si="34"/>
        <v>329.5477104800716</v>
      </c>
      <c r="AS150" s="148">
        <f t="shared" si="24"/>
        <v>113</v>
      </c>
      <c r="AT150" s="147">
        <f t="shared" si="35"/>
        <v>2.9163514201776248</v>
      </c>
      <c r="BA150" s="1376">
        <v>96</v>
      </c>
      <c r="BB150" s="1377">
        <v>11.742000000000001</v>
      </c>
    </row>
    <row r="151" spans="2:54">
      <c r="B151" s="297">
        <v>550</v>
      </c>
      <c r="C151" s="151">
        <f t="shared" si="36"/>
        <v>5.5</v>
      </c>
      <c r="D151" s="147">
        <f t="shared" si="25"/>
        <v>7.64505627534058</v>
      </c>
      <c r="E151" s="325">
        <v>150.35557221057903</v>
      </c>
      <c r="F151" s="148">
        <f t="shared" si="26"/>
        <v>18.137753529135452</v>
      </c>
      <c r="G151" s="325">
        <v>212</v>
      </c>
      <c r="H151" s="148">
        <f t="shared" si="37"/>
        <v>22</v>
      </c>
      <c r="I151" s="147">
        <f t="shared" si="38"/>
        <v>149.12563724865871</v>
      </c>
      <c r="J151" s="150">
        <f t="shared" si="39"/>
        <v>389.12563724865868</v>
      </c>
      <c r="K151" s="150">
        <f t="shared" si="27"/>
        <v>177.12563724865868</v>
      </c>
      <c r="L151" s="148">
        <f t="shared" si="28"/>
        <v>28</v>
      </c>
      <c r="M151" s="147">
        <f t="shared" si="16"/>
        <v>6.3259156160235239</v>
      </c>
      <c r="N151" s="137"/>
      <c r="R151" s="297">
        <v>550</v>
      </c>
      <c r="S151" s="151">
        <f t="shared" si="40"/>
        <v>5.5</v>
      </c>
      <c r="T151" s="147">
        <f t="shared" si="17"/>
        <v>7.4100095207997265</v>
      </c>
      <c r="U151" s="129">
        <v>170.65330900497966</v>
      </c>
      <c r="V151" s="148">
        <f t="shared" si="29"/>
        <v>20.58631823321231</v>
      </c>
      <c r="W151" s="129">
        <v>234</v>
      </c>
      <c r="X151" s="148">
        <f t="shared" si="30"/>
        <v>44</v>
      </c>
      <c r="Y151" s="147">
        <f t="shared" si="41"/>
        <v>167.35547460587753</v>
      </c>
      <c r="Z151" s="150">
        <f t="shared" si="18"/>
        <v>457.35547460587753</v>
      </c>
      <c r="AA151" s="150">
        <f t="shared" si="31"/>
        <v>223.35547460587753</v>
      </c>
      <c r="AB151" s="148">
        <f t="shared" si="19"/>
        <v>56</v>
      </c>
      <c r="AC151" s="147">
        <f t="shared" si="20"/>
        <v>3.9884906179620989</v>
      </c>
      <c r="AI151" s="297">
        <v>550</v>
      </c>
      <c r="AJ151" s="151">
        <f t="shared" si="32"/>
        <v>5.5</v>
      </c>
      <c r="AK151" s="147">
        <f t="shared" si="21"/>
        <v>7.3402155309731851</v>
      </c>
      <c r="AL151" s="152">
        <v>222.49721086050741</v>
      </c>
      <c r="AM151" s="148">
        <f t="shared" si="22"/>
        <v>26.840372539409074</v>
      </c>
      <c r="AN151" s="152">
        <v>278</v>
      </c>
      <c r="AO151" s="148">
        <f t="shared" si="33"/>
        <v>88</v>
      </c>
      <c r="AP151" s="147">
        <f t="shared" si="42"/>
        <v>217.2929817460421</v>
      </c>
      <c r="AQ151" s="150">
        <f t="shared" si="23"/>
        <v>607.29298174604207</v>
      </c>
      <c r="AR151" s="150">
        <f t="shared" si="34"/>
        <v>329.29298174604207</v>
      </c>
      <c r="AS151" s="148">
        <f t="shared" si="24"/>
        <v>112</v>
      </c>
      <c r="AT151" s="147">
        <f t="shared" si="35"/>
        <v>2.940115908446804</v>
      </c>
      <c r="BA151" s="1376">
        <v>97</v>
      </c>
      <c r="BB151" s="1377">
        <v>11.648</v>
      </c>
    </row>
    <row r="152" spans="2:54">
      <c r="B152" s="297">
        <v>600</v>
      </c>
      <c r="C152" s="151">
        <f t="shared" si="36"/>
        <v>6</v>
      </c>
      <c r="D152" s="147">
        <f t="shared" si="25"/>
        <v>8.3400613912806332</v>
      </c>
      <c r="E152" s="325">
        <v>151.8643490565866</v>
      </c>
      <c r="F152" s="148">
        <f t="shared" si="26"/>
        <v>18.31976090113378</v>
      </c>
      <c r="G152" s="325">
        <v>212</v>
      </c>
      <c r="H152" s="148">
        <f t="shared" si="37"/>
        <v>22</v>
      </c>
      <c r="I152" s="147">
        <f t="shared" si="38"/>
        <v>149.48858522438621</v>
      </c>
      <c r="J152" s="150">
        <f t="shared" si="39"/>
        <v>389.48858522438621</v>
      </c>
      <c r="K152" s="150">
        <f t="shared" si="27"/>
        <v>177.48858522438621</v>
      </c>
      <c r="L152" s="148">
        <f t="shared" si="28"/>
        <v>28</v>
      </c>
      <c r="M152" s="147">
        <f t="shared" si="16"/>
        <v>6.3388780437280792</v>
      </c>
      <c r="N152" s="137"/>
      <c r="R152" s="297">
        <v>600</v>
      </c>
      <c r="S152" s="151">
        <f t="shared" si="40"/>
        <v>6</v>
      </c>
      <c r="T152" s="147">
        <f t="shared" si="17"/>
        <v>8.0836467499633375</v>
      </c>
      <c r="U152" s="129">
        <v>172.22705263399922</v>
      </c>
      <c r="V152" s="148">
        <f t="shared" si="29"/>
        <v>20.77616270416565</v>
      </c>
      <c r="W152" s="129">
        <v>234</v>
      </c>
      <c r="X152" s="148">
        <f t="shared" si="30"/>
        <v>44</v>
      </c>
      <c r="Y152" s="147">
        <f t="shared" si="41"/>
        <v>167.6699850262664</v>
      </c>
      <c r="Z152" s="150">
        <f t="shared" si="18"/>
        <v>457.66998502626643</v>
      </c>
      <c r="AA152" s="150">
        <f t="shared" si="31"/>
        <v>223.66998502626643</v>
      </c>
      <c r="AB152" s="148">
        <f t="shared" si="19"/>
        <v>56</v>
      </c>
      <c r="AC152" s="147">
        <f t="shared" si="20"/>
        <v>3.9941068754690434</v>
      </c>
      <c r="AI152" s="297">
        <v>600</v>
      </c>
      <c r="AJ152" s="151">
        <f t="shared" si="32"/>
        <v>6</v>
      </c>
      <c r="AK152" s="147">
        <f t="shared" si="21"/>
        <v>8.0075078519707485</v>
      </c>
      <c r="AL152" s="152">
        <v>223.08692497698621</v>
      </c>
      <c r="AM152" s="148">
        <f t="shared" si="22"/>
        <v>26.91151116859379</v>
      </c>
      <c r="AN152" s="152">
        <v>278</v>
      </c>
      <c r="AO152" s="148">
        <f t="shared" si="33"/>
        <v>88</v>
      </c>
      <c r="AP152" s="147">
        <f t="shared" si="42"/>
        <v>216.29991271835215</v>
      </c>
      <c r="AQ152" s="150">
        <f t="shared" si="23"/>
        <v>606.29991271835218</v>
      </c>
      <c r="AR152" s="150">
        <f t="shared" si="34"/>
        <v>328.29991271835218</v>
      </c>
      <c r="AS152" s="148">
        <f t="shared" si="24"/>
        <v>112</v>
      </c>
      <c r="AT152" s="147">
        <f t="shared" si="35"/>
        <v>2.9312492206995731</v>
      </c>
      <c r="BA152" s="1376">
        <v>98</v>
      </c>
      <c r="BB152" s="1377">
        <v>11.9</v>
      </c>
    </row>
    <row r="153" spans="2:54">
      <c r="B153" s="297">
        <v>650</v>
      </c>
      <c r="C153" s="151">
        <f t="shared" si="36"/>
        <v>6.5</v>
      </c>
      <c r="D153" s="147">
        <f t="shared" si="25"/>
        <v>9.0350665072206855</v>
      </c>
      <c r="E153" s="325">
        <v>152.96715863074064</v>
      </c>
      <c r="F153" s="148">
        <f t="shared" si="26"/>
        <v>18.452795466806958</v>
      </c>
      <c r="G153" s="325">
        <v>212</v>
      </c>
      <c r="H153" s="148">
        <f t="shared" si="37"/>
        <v>22</v>
      </c>
      <c r="I153" s="147">
        <f t="shared" si="38"/>
        <v>149.43242448713994</v>
      </c>
      <c r="J153" s="150">
        <f t="shared" si="39"/>
        <v>389.43242448713994</v>
      </c>
      <c r="K153" s="150">
        <f t="shared" si="27"/>
        <v>177.43242448713994</v>
      </c>
      <c r="L153" s="148">
        <f t="shared" si="28"/>
        <v>28</v>
      </c>
      <c r="M153" s="147">
        <f t="shared" si="16"/>
        <v>6.3368723031121403</v>
      </c>
      <c r="N153" s="137"/>
      <c r="R153" s="297">
        <v>650</v>
      </c>
      <c r="S153" s="151">
        <f t="shared" si="40"/>
        <v>6.5</v>
      </c>
      <c r="T153" s="147">
        <f t="shared" si="17"/>
        <v>8.7572839791269477</v>
      </c>
      <c r="U153" s="129">
        <v>174.7457962993158</v>
      </c>
      <c r="V153" s="148">
        <f t="shared" si="29"/>
        <v>21.080004797497583</v>
      </c>
      <c r="W153" s="129">
        <v>234</v>
      </c>
      <c r="X153" s="148">
        <f t="shared" si="30"/>
        <v>44</v>
      </c>
      <c r="Y153" s="147">
        <f t="shared" si="41"/>
        <v>168.87529166771313</v>
      </c>
      <c r="Z153" s="150">
        <f t="shared" si="18"/>
        <v>458.8752916677131</v>
      </c>
      <c r="AA153" s="150">
        <f t="shared" si="31"/>
        <v>224.8752916677131</v>
      </c>
      <c r="AB153" s="148">
        <f t="shared" si="19"/>
        <v>56</v>
      </c>
      <c r="AC153" s="147">
        <f t="shared" si="20"/>
        <v>4.0156302083520199</v>
      </c>
      <c r="AI153" s="297">
        <v>650</v>
      </c>
      <c r="AJ153" s="151">
        <f t="shared" si="32"/>
        <v>6.5</v>
      </c>
      <c r="AK153" s="147">
        <f t="shared" si="21"/>
        <v>8.6748001729683093</v>
      </c>
      <c r="AL153" s="152">
        <v>223.55625883958353</v>
      </c>
      <c r="AM153" s="148">
        <f t="shared" si="22"/>
        <v>26.968128038840177</v>
      </c>
      <c r="AN153" s="152">
        <v>278</v>
      </c>
      <c r="AO153" s="148">
        <f t="shared" si="33"/>
        <v>88</v>
      </c>
      <c r="AP153" s="147">
        <f t="shared" si="42"/>
        <v>215.18267740991806</v>
      </c>
      <c r="AQ153" s="150">
        <f t="shared" si="23"/>
        <v>605.18267740991803</v>
      </c>
      <c r="AR153" s="150">
        <f t="shared" si="34"/>
        <v>327.18267740991803</v>
      </c>
      <c r="AS153" s="148">
        <f t="shared" si="24"/>
        <v>112</v>
      </c>
      <c r="AT153" s="147">
        <f t="shared" si="35"/>
        <v>2.9212739054456969</v>
      </c>
      <c r="BA153" s="1376">
        <v>99</v>
      </c>
      <c r="BB153" s="1377">
        <v>11.936</v>
      </c>
    </row>
    <row r="154" spans="2:54">
      <c r="B154" s="297">
        <v>700</v>
      </c>
      <c r="C154" s="151">
        <f t="shared" si="36"/>
        <v>7</v>
      </c>
      <c r="D154" s="147">
        <f t="shared" si="25"/>
        <v>9.7300716231607378</v>
      </c>
      <c r="E154" s="325">
        <v>153.22408199489092</v>
      </c>
      <c r="F154" s="148">
        <f t="shared" si="26"/>
        <v>18.483788748840478</v>
      </c>
      <c r="G154" s="325">
        <v>212</v>
      </c>
      <c r="H154" s="148">
        <f t="shared" si="37"/>
        <v>22</v>
      </c>
      <c r="I154" s="147">
        <f t="shared" si="38"/>
        <v>148.53977531746816</v>
      </c>
      <c r="J154" s="150">
        <f t="shared" si="39"/>
        <v>388.53977531746818</v>
      </c>
      <c r="K154" s="150">
        <f t="shared" si="27"/>
        <v>176.53977531746818</v>
      </c>
      <c r="L154" s="148">
        <f t="shared" si="28"/>
        <v>28</v>
      </c>
      <c r="M154" s="147">
        <f t="shared" si="16"/>
        <v>6.3049919756238637</v>
      </c>
      <c r="N154" s="137"/>
      <c r="R154" s="297">
        <v>700</v>
      </c>
      <c r="S154" s="151">
        <f t="shared" si="40"/>
        <v>7</v>
      </c>
      <c r="T154" s="147">
        <f t="shared" si="17"/>
        <v>9.4309212082905596</v>
      </c>
      <c r="U154" s="129">
        <v>176.83694863877821</v>
      </c>
      <c r="V154" s="148">
        <f t="shared" si="29"/>
        <v>21.332265522972548</v>
      </c>
      <c r="W154" s="129">
        <v>234</v>
      </c>
      <c r="X154" s="148">
        <f t="shared" si="30"/>
        <v>44</v>
      </c>
      <c r="Y154" s="147">
        <f t="shared" si="41"/>
        <v>169.63448061858188</v>
      </c>
      <c r="Z154" s="150">
        <f t="shared" si="18"/>
        <v>459.63448061858185</v>
      </c>
      <c r="AA154" s="150">
        <f t="shared" si="31"/>
        <v>225.63448061858185</v>
      </c>
      <c r="AB154" s="148">
        <f t="shared" si="19"/>
        <v>56</v>
      </c>
      <c r="AC154" s="147">
        <f t="shared" si="20"/>
        <v>4.0291871539032469</v>
      </c>
      <c r="AI154" s="297">
        <v>700</v>
      </c>
      <c r="AJ154" s="151">
        <f t="shared" si="32"/>
        <v>7</v>
      </c>
      <c r="AK154" s="147">
        <f t="shared" si="21"/>
        <v>9.3420924939658736</v>
      </c>
      <c r="AL154" s="152">
        <v>223.25280754604944</v>
      </c>
      <c r="AM154" s="148">
        <f t="shared" si="22"/>
        <v>26.931521981018054</v>
      </c>
      <c r="AN154" s="152">
        <v>278</v>
      </c>
      <c r="AO154" s="148">
        <f t="shared" si="33"/>
        <v>88</v>
      </c>
      <c r="AP154" s="147">
        <f t="shared" si="42"/>
        <v>213.32043592085404</v>
      </c>
      <c r="AQ154" s="150">
        <f t="shared" si="23"/>
        <v>603.32043592085404</v>
      </c>
      <c r="AR154" s="150">
        <f t="shared" si="34"/>
        <v>325.32043592085404</v>
      </c>
      <c r="AS154" s="148">
        <f t="shared" si="24"/>
        <v>112</v>
      </c>
      <c r="AT154" s="147">
        <f t="shared" si="35"/>
        <v>2.9046467492933394</v>
      </c>
      <c r="BA154" s="1376">
        <v>100</v>
      </c>
      <c r="BB154" s="1377">
        <v>11.704000000000001</v>
      </c>
    </row>
    <row r="155" spans="2:54">
      <c r="B155" s="297">
        <v>750</v>
      </c>
      <c r="C155" s="151">
        <f t="shared" si="36"/>
        <v>7.5</v>
      </c>
      <c r="D155" s="147">
        <f t="shared" si="25"/>
        <v>10.42507673910079</v>
      </c>
      <c r="E155" s="325">
        <v>153.9189779231022</v>
      </c>
      <c r="F155" s="148">
        <f t="shared" si="26"/>
        <v>18.567615712410834</v>
      </c>
      <c r="G155" s="325">
        <v>212</v>
      </c>
      <c r="H155" s="148">
        <f t="shared" ref="H155:H159" si="44">G155-$G$130</f>
        <v>22</v>
      </c>
      <c r="I155" s="147">
        <f t="shared" si="38"/>
        <v>148.06460498663046</v>
      </c>
      <c r="J155" s="150">
        <f t="shared" ref="J155:J159" si="45">$D$122+I155</f>
        <v>388.06460498663046</v>
      </c>
      <c r="K155" s="150">
        <f t="shared" ref="K155:K159" si="46">J155-G155</f>
        <v>176.06460498663046</v>
      </c>
      <c r="L155" s="148">
        <f t="shared" ref="L155:L159" si="47">$D$122-G155</f>
        <v>28</v>
      </c>
      <c r="M155" s="147">
        <f t="shared" ref="M155:M159" si="48">K155/L155</f>
        <v>6.2880216066653736</v>
      </c>
      <c r="N155" s="137"/>
      <c r="R155" s="297">
        <v>750</v>
      </c>
      <c r="S155" s="151">
        <f t="shared" ref="S155:S160" si="49">(R155-$B$130)/100</f>
        <v>7.5</v>
      </c>
      <c r="T155" s="147">
        <f t="shared" si="17"/>
        <v>10.104558437454171</v>
      </c>
      <c r="U155" s="129">
        <v>178.95892265734878</v>
      </c>
      <c r="V155" s="148">
        <f t="shared" si="29"/>
        <v>21.588244341570363</v>
      </c>
      <c r="W155" s="129">
        <v>234</v>
      </c>
      <c r="X155" s="148">
        <f t="shared" si="30"/>
        <v>44</v>
      </c>
      <c r="Y155" s="147">
        <f t="shared" si="41"/>
        <v>170.39317570814612</v>
      </c>
      <c r="Z155" s="150">
        <f t="shared" si="18"/>
        <v>460.39317570814615</v>
      </c>
      <c r="AA155" s="150">
        <f t="shared" ref="AA155:AA160" si="50">Z155-W155</f>
        <v>226.39317570814615</v>
      </c>
      <c r="AB155" s="148">
        <f t="shared" si="19"/>
        <v>56</v>
      </c>
      <c r="AC155" s="147">
        <f t="shared" ref="AC155:AC160" si="51">AA155/AB155</f>
        <v>4.04273528050261</v>
      </c>
      <c r="AI155" s="297">
        <v>750</v>
      </c>
      <c r="AJ155" s="151">
        <f t="shared" ref="AJ155:AJ158" si="52">(AI155-$B$130)/100</f>
        <v>7.5</v>
      </c>
      <c r="AK155" s="147">
        <f t="shared" si="21"/>
        <v>10.009384814963434</v>
      </c>
      <c r="AL155" s="152">
        <v>222.29029014363678</v>
      </c>
      <c r="AM155" s="148">
        <f t="shared" si="22"/>
        <v>26.81541119672325</v>
      </c>
      <c r="AN155" s="152">
        <v>278</v>
      </c>
      <c r="AO155" s="148">
        <f t="shared" si="33"/>
        <v>88</v>
      </c>
      <c r="AP155" s="147">
        <f t="shared" si="42"/>
        <v>210.8373534112979</v>
      </c>
      <c r="AQ155" s="150">
        <f t="shared" si="23"/>
        <v>600.83735341129795</v>
      </c>
      <c r="AR155" s="150">
        <f t="shared" ref="AR155:AR158" si="53">AQ155-AN155</f>
        <v>322.83735341129795</v>
      </c>
      <c r="AS155" s="148">
        <f t="shared" si="24"/>
        <v>112</v>
      </c>
      <c r="AT155" s="147">
        <f t="shared" ref="AT155:AT158" si="54">AR155/AS155</f>
        <v>2.8824763697437317</v>
      </c>
      <c r="BA155" s="1376">
        <v>101</v>
      </c>
      <c r="BB155" s="1377">
        <v>11.682</v>
      </c>
    </row>
    <row r="156" spans="2:54">
      <c r="B156" s="297">
        <v>800</v>
      </c>
      <c r="C156" s="151">
        <f t="shared" si="36"/>
        <v>8</v>
      </c>
      <c r="D156" s="147">
        <f t="shared" si="25"/>
        <v>11.120081855040844</v>
      </c>
      <c r="E156" s="325">
        <v>153.31196308571847</v>
      </c>
      <c r="F156" s="148">
        <f t="shared" si="26"/>
        <v>18.494390055741626</v>
      </c>
      <c r="G156" s="325">
        <v>212</v>
      </c>
      <c r="H156" s="148">
        <f t="shared" si="44"/>
        <v>22</v>
      </c>
      <c r="I156" s="147">
        <f t="shared" si="38"/>
        <v>146.33638668481598</v>
      </c>
      <c r="J156" s="150">
        <f t="shared" si="45"/>
        <v>386.33638668481598</v>
      </c>
      <c r="K156" s="150">
        <f t="shared" si="46"/>
        <v>174.33638668481598</v>
      </c>
      <c r="L156" s="148">
        <f t="shared" si="47"/>
        <v>28</v>
      </c>
      <c r="M156" s="147">
        <f t="shared" si="48"/>
        <v>6.2262995244577137</v>
      </c>
      <c r="N156" s="137"/>
      <c r="R156" s="297">
        <v>800</v>
      </c>
      <c r="S156" s="151">
        <f t="shared" si="49"/>
        <v>8</v>
      </c>
      <c r="T156" s="147">
        <f t="shared" si="17"/>
        <v>10.778195666617783</v>
      </c>
      <c r="U156" s="129">
        <v>179.93405477526511</v>
      </c>
      <c r="V156" s="148">
        <f t="shared" si="29"/>
        <v>21.705876869271691</v>
      </c>
      <c r="W156" s="129">
        <v>234</v>
      </c>
      <c r="X156" s="148">
        <f t="shared" si="30"/>
        <v>44</v>
      </c>
      <c r="Y156" s="147">
        <f t="shared" si="41"/>
        <v>170.03782419350014</v>
      </c>
      <c r="Z156" s="150">
        <f t="shared" si="18"/>
        <v>460.03782419350011</v>
      </c>
      <c r="AA156" s="150">
        <f t="shared" si="50"/>
        <v>226.03782419350011</v>
      </c>
      <c r="AB156" s="148">
        <f t="shared" si="19"/>
        <v>56</v>
      </c>
      <c r="AC156" s="147">
        <f t="shared" si="51"/>
        <v>4.0363897177410735</v>
      </c>
      <c r="AI156" s="297">
        <v>800</v>
      </c>
      <c r="AJ156" s="151">
        <f t="shared" si="52"/>
        <v>8</v>
      </c>
      <c r="AK156" s="147">
        <f t="shared" si="21"/>
        <v>10.676677135960997</v>
      </c>
      <c r="AL156" s="152">
        <v>221.57717149296178</v>
      </c>
      <c r="AM156" s="148">
        <f t="shared" si="22"/>
        <v>26.729385982407564</v>
      </c>
      <c r="AN156" s="152">
        <v>278</v>
      </c>
      <c r="AO156" s="148">
        <f t="shared" si="33"/>
        <v>88</v>
      </c>
      <c r="AP156" s="147">
        <f t="shared" si="42"/>
        <v>208.60260491643146</v>
      </c>
      <c r="AQ156" s="150">
        <f t="shared" si="23"/>
        <v>598.60260491643146</v>
      </c>
      <c r="AR156" s="150">
        <f t="shared" si="53"/>
        <v>320.60260491643146</v>
      </c>
      <c r="AS156" s="148">
        <f t="shared" si="24"/>
        <v>112</v>
      </c>
      <c r="AT156" s="147">
        <f t="shared" si="54"/>
        <v>2.8625232581824238</v>
      </c>
      <c r="BA156" s="1376">
        <v>102</v>
      </c>
      <c r="BB156" s="1377">
        <v>11.487</v>
      </c>
    </row>
    <row r="157" spans="2:54">
      <c r="B157" s="297">
        <v>850</v>
      </c>
      <c r="C157" s="151">
        <f t="shared" si="36"/>
        <v>8.5</v>
      </c>
      <c r="D157" s="147">
        <f t="shared" si="25"/>
        <v>11.815086970980897</v>
      </c>
      <c r="E157" s="325">
        <v>152.25518773947036</v>
      </c>
      <c r="F157" s="148">
        <f t="shared" si="26"/>
        <v>18.366908709462884</v>
      </c>
      <c r="G157" s="325">
        <v>212</v>
      </c>
      <c r="H157" s="148">
        <f t="shared" si="44"/>
        <v>22</v>
      </c>
      <c r="I157" s="147">
        <f t="shared" si="38"/>
        <v>144.19128984696351</v>
      </c>
      <c r="J157" s="150">
        <f t="shared" si="45"/>
        <v>384.19128984696351</v>
      </c>
      <c r="K157" s="150">
        <f t="shared" si="46"/>
        <v>172.19128984696351</v>
      </c>
      <c r="L157" s="148">
        <f t="shared" si="47"/>
        <v>28</v>
      </c>
      <c r="M157" s="147">
        <f t="shared" si="48"/>
        <v>6.14968892310584</v>
      </c>
      <c r="N157" s="137"/>
      <c r="R157" s="297">
        <v>850</v>
      </c>
      <c r="S157" s="151">
        <f t="shared" si="49"/>
        <v>8.5</v>
      </c>
      <c r="T157" s="147">
        <f t="shared" si="17"/>
        <v>11.451832895781394</v>
      </c>
      <c r="U157" s="129">
        <v>179.97404335953109</v>
      </c>
      <c r="V157" s="148">
        <f t="shared" si="29"/>
        <v>21.710700788164299</v>
      </c>
      <c r="W157" s="129">
        <v>234</v>
      </c>
      <c r="X157" s="148">
        <f t="shared" si="30"/>
        <v>44</v>
      </c>
      <c r="Y157" s="147">
        <f t="shared" si="41"/>
        <v>168.79151852528267</v>
      </c>
      <c r="Z157" s="150">
        <f t="shared" si="18"/>
        <v>458.79151852528264</v>
      </c>
      <c r="AA157" s="150">
        <f t="shared" si="50"/>
        <v>224.79151852528264</v>
      </c>
      <c r="AB157" s="148">
        <f t="shared" si="19"/>
        <v>56</v>
      </c>
      <c r="AC157" s="147">
        <f t="shared" si="51"/>
        <v>4.0141342593800475</v>
      </c>
      <c r="AI157" s="297">
        <v>850</v>
      </c>
      <c r="AJ157" s="151">
        <f t="shared" si="52"/>
        <v>8.5</v>
      </c>
      <c r="AK157" s="147">
        <f t="shared" si="21"/>
        <v>11.343969456958559</v>
      </c>
      <c r="AL157" s="152">
        <v>221.25196816379525</v>
      </c>
      <c r="AM157" s="148">
        <f t="shared" si="22"/>
        <v>26.690155924322216</v>
      </c>
      <c r="AN157" s="152">
        <v>278</v>
      </c>
      <c r="AO157" s="148">
        <f t="shared" si="33"/>
        <v>88</v>
      </c>
      <c r="AP157" s="147">
        <f t="shared" si="42"/>
        <v>206.74035976804919</v>
      </c>
      <c r="AQ157" s="150">
        <f t="shared" si="23"/>
        <v>596.74035976804919</v>
      </c>
      <c r="AR157" s="150">
        <f t="shared" si="53"/>
        <v>318.74035976804919</v>
      </c>
      <c r="AS157" s="148">
        <f t="shared" si="24"/>
        <v>112</v>
      </c>
      <c r="AT157" s="147">
        <f t="shared" si="54"/>
        <v>2.8458960693575821</v>
      </c>
      <c r="BA157" s="1376">
        <v>103</v>
      </c>
      <c r="BB157" s="1377">
        <v>11.670999999999999</v>
      </c>
    </row>
    <row r="158" spans="2:54">
      <c r="B158" s="297">
        <v>900</v>
      </c>
      <c r="C158" s="151">
        <f t="shared" si="36"/>
        <v>9</v>
      </c>
      <c r="D158" s="147">
        <f t="shared" si="25"/>
        <v>12.510092086920949</v>
      </c>
      <c r="E158" s="325">
        <v>151.07148556469011</v>
      </c>
      <c r="F158" s="148">
        <f t="shared" si="26"/>
        <v>18.224115875233924</v>
      </c>
      <c r="G158" s="325">
        <v>212</v>
      </c>
      <c r="H158" s="148">
        <f t="shared" si="44"/>
        <v>22</v>
      </c>
      <c r="I158" s="147">
        <f t="shared" si="38"/>
        <v>141.94271111246377</v>
      </c>
      <c r="J158" s="150">
        <f t="shared" si="45"/>
        <v>381.94271111246377</v>
      </c>
      <c r="K158" s="150">
        <f t="shared" si="46"/>
        <v>169.94271111246377</v>
      </c>
      <c r="L158" s="148">
        <f t="shared" si="47"/>
        <v>28</v>
      </c>
      <c r="M158" s="147">
        <f t="shared" si="48"/>
        <v>6.0693825397308485</v>
      </c>
      <c r="N158" s="137"/>
      <c r="R158" s="297">
        <v>900</v>
      </c>
      <c r="S158" s="151">
        <f t="shared" si="49"/>
        <v>9</v>
      </c>
      <c r="T158" s="147">
        <f t="shared" si="17"/>
        <v>12.125470124945007</v>
      </c>
      <c r="U158" s="129">
        <v>178.93813518800391</v>
      </c>
      <c r="V158" s="148">
        <f t="shared" si="29"/>
        <v>21.585736699253363</v>
      </c>
      <c r="W158" s="129">
        <v>234</v>
      </c>
      <c r="X158" s="148">
        <f t="shared" si="30"/>
        <v>44</v>
      </c>
      <c r="Y158" s="147">
        <f t="shared" si="41"/>
        <v>166.54327175185958</v>
      </c>
      <c r="Z158" s="150">
        <f t="shared" si="18"/>
        <v>456.54327175185961</v>
      </c>
      <c r="AA158" s="150">
        <f t="shared" si="50"/>
        <v>222.54327175185961</v>
      </c>
      <c r="AB158" s="148">
        <f t="shared" si="19"/>
        <v>56</v>
      </c>
      <c r="AC158" s="147">
        <f t="shared" si="51"/>
        <v>3.9739869955689215</v>
      </c>
      <c r="AI158" s="297">
        <v>900</v>
      </c>
      <c r="AJ158" s="151">
        <f t="shared" si="52"/>
        <v>9</v>
      </c>
      <c r="AK158" s="147">
        <f t="shared" si="21"/>
        <v>12.011261777956122</v>
      </c>
      <c r="AL158" s="152">
        <v>220.92183136106772</v>
      </c>
      <c r="AM158" s="148">
        <f t="shared" si="22"/>
        <v>26.650330729480867</v>
      </c>
      <c r="AN158" s="152">
        <v>278</v>
      </c>
      <c r="AO158" s="148">
        <f t="shared" si="33"/>
        <v>88</v>
      </c>
      <c r="AP158" s="147">
        <f t="shared" si="42"/>
        <v>204.87811378971466</v>
      </c>
      <c r="AQ158" s="150">
        <f t="shared" si="23"/>
        <v>594.87811378971469</v>
      </c>
      <c r="AR158" s="150">
        <f t="shared" si="53"/>
        <v>316.87811378971469</v>
      </c>
      <c r="AS158" s="148">
        <f t="shared" si="24"/>
        <v>112</v>
      </c>
      <c r="AT158" s="147">
        <f t="shared" si="54"/>
        <v>2.8292688731224525</v>
      </c>
      <c r="BA158" s="1376">
        <v>104</v>
      </c>
      <c r="BB158" s="1377">
        <v>11.765000000000001</v>
      </c>
    </row>
    <row r="159" spans="2:54">
      <c r="B159" s="297">
        <v>950</v>
      </c>
      <c r="C159" s="151">
        <f t="shared" si="36"/>
        <v>9.5</v>
      </c>
      <c r="D159" s="147">
        <f t="shared" si="25"/>
        <v>13.205097202861001</v>
      </c>
      <c r="E159" s="325">
        <v>149.53427915690617</v>
      </c>
      <c r="F159" s="148">
        <f t="shared" si="26"/>
        <v>18.038678976967567</v>
      </c>
      <c r="G159" s="325">
        <v>212</v>
      </c>
      <c r="H159" s="148">
        <f t="shared" si="44"/>
        <v>22</v>
      </c>
      <c r="I159" s="147">
        <f t="shared" si="38"/>
        <v>139.3822976409092</v>
      </c>
      <c r="J159" s="150">
        <f t="shared" si="45"/>
        <v>379.3822976409092</v>
      </c>
      <c r="K159" s="150">
        <f t="shared" si="46"/>
        <v>167.3822976409092</v>
      </c>
      <c r="L159" s="148">
        <f t="shared" si="47"/>
        <v>28</v>
      </c>
      <c r="M159" s="147">
        <f t="shared" si="48"/>
        <v>5.9779392014610426</v>
      </c>
      <c r="N159" s="137"/>
      <c r="R159" s="297">
        <v>950</v>
      </c>
      <c r="S159" s="151">
        <f t="shared" si="49"/>
        <v>9.5</v>
      </c>
      <c r="T159" s="147">
        <f t="shared" si="17"/>
        <v>12.799107354108619</v>
      </c>
      <c r="U159" s="129">
        <v>178.60961075392098</v>
      </c>
      <c r="V159" s="148">
        <f t="shared" si="29"/>
        <v>21.546106008311298</v>
      </c>
      <c r="W159" s="129">
        <v>234</v>
      </c>
      <c r="X159" s="148">
        <f t="shared" si="30"/>
        <v>44</v>
      </c>
      <c r="Y159" s="147">
        <f t="shared" si="41"/>
        <v>164.96314403653659</v>
      </c>
      <c r="Z159" s="150">
        <f t="shared" si="18"/>
        <v>454.96314403653662</v>
      </c>
      <c r="AA159" s="150">
        <f t="shared" si="50"/>
        <v>220.96314403653662</v>
      </c>
      <c r="AB159" s="148">
        <f t="shared" si="19"/>
        <v>56</v>
      </c>
      <c r="AC159" s="147">
        <f t="shared" si="51"/>
        <v>3.945770429223868</v>
      </c>
      <c r="AI159" s="145"/>
      <c r="AJ159" s="151"/>
      <c r="AK159" s="147"/>
      <c r="AL159" s="152"/>
      <c r="AM159" s="148"/>
      <c r="AN159" s="152"/>
      <c r="AO159" s="148"/>
      <c r="AP159" s="147"/>
      <c r="AQ159" s="150"/>
      <c r="AR159" s="150"/>
      <c r="AS159" s="148"/>
      <c r="AT159" s="147"/>
      <c r="BA159" s="1376">
        <v>105</v>
      </c>
      <c r="BB159" s="1377">
        <v>11.739000000000001</v>
      </c>
    </row>
    <row r="160" spans="2:54">
      <c r="B160" s="145"/>
      <c r="C160" s="151"/>
      <c r="D160" s="147"/>
      <c r="E160" s="325"/>
      <c r="F160" s="148"/>
      <c r="G160" s="325"/>
      <c r="H160" s="148"/>
      <c r="I160" s="147"/>
      <c r="J160" s="150"/>
      <c r="K160" s="150"/>
      <c r="L160" s="148"/>
      <c r="M160" s="147"/>
      <c r="N160" s="137"/>
      <c r="R160" s="297">
        <v>1000</v>
      </c>
      <c r="S160" s="151">
        <f t="shared" si="49"/>
        <v>10</v>
      </c>
      <c r="T160" s="147">
        <f t="shared" si="17"/>
        <v>13.472744583272227</v>
      </c>
      <c r="U160" s="129">
        <v>177.91173454989359</v>
      </c>
      <c r="V160" s="148">
        <f t="shared" si="29"/>
        <v>21.461919526916585</v>
      </c>
      <c r="W160" s="129">
        <v>234</v>
      </c>
      <c r="X160" s="148">
        <f t="shared" si="30"/>
        <v>44</v>
      </c>
      <c r="Y160" s="147">
        <f t="shared" si="41"/>
        <v>163.04920771357575</v>
      </c>
      <c r="Z160" s="150">
        <f t="shared" si="18"/>
        <v>453.04920771357575</v>
      </c>
      <c r="AA160" s="150">
        <f t="shared" si="50"/>
        <v>219.04920771357575</v>
      </c>
      <c r="AB160" s="148">
        <f t="shared" si="19"/>
        <v>56</v>
      </c>
      <c r="AC160" s="147">
        <f t="shared" si="51"/>
        <v>3.9115929948852814</v>
      </c>
      <c r="AI160" s="145"/>
      <c r="AJ160" s="151"/>
      <c r="AK160" s="147"/>
      <c r="AL160" s="152"/>
      <c r="AM160" s="148"/>
      <c r="AN160" s="152"/>
      <c r="AO160" s="148"/>
      <c r="AP160" s="147"/>
      <c r="AQ160" s="150"/>
      <c r="AR160" s="150"/>
      <c r="AS160" s="148"/>
      <c r="AT160" s="147"/>
      <c r="BA160" s="1376">
        <v>106</v>
      </c>
      <c r="BB160" s="1377">
        <v>11.691000000000001</v>
      </c>
    </row>
    <row r="161" spans="2:54">
      <c r="B161" s="145"/>
      <c r="C161" s="151"/>
      <c r="D161" s="147"/>
      <c r="E161" s="325"/>
      <c r="F161" s="148"/>
      <c r="G161" s="325"/>
      <c r="H161" s="148"/>
      <c r="I161" s="147"/>
      <c r="J161" s="150"/>
      <c r="K161" s="150"/>
      <c r="L161" s="148"/>
      <c r="M161" s="147"/>
      <c r="N161" s="137"/>
      <c r="R161" s="145"/>
      <c r="S161" s="151"/>
      <c r="T161" s="147"/>
      <c r="U161" s="129"/>
      <c r="V161" s="148"/>
      <c r="W161" s="129"/>
      <c r="X161" s="148"/>
      <c r="Y161" s="147"/>
      <c r="Z161" s="150"/>
      <c r="AA161" s="150"/>
      <c r="AB161" s="148"/>
      <c r="AC161" s="147"/>
      <c r="AI161" s="145"/>
      <c r="AJ161" s="151"/>
      <c r="AK161" s="147"/>
      <c r="AL161" s="152"/>
      <c r="AM161" s="148"/>
      <c r="AN161" s="152"/>
      <c r="AO161" s="148"/>
      <c r="AP161" s="147"/>
      <c r="AQ161" s="150"/>
      <c r="AR161" s="150"/>
      <c r="AS161" s="148"/>
      <c r="AT161" s="147"/>
      <c r="BA161" s="1376">
        <v>107</v>
      </c>
      <c r="BB161" s="1377">
        <v>11.662000000000001</v>
      </c>
    </row>
    <row r="162" spans="2:54">
      <c r="B162" s="145"/>
      <c r="C162" s="151"/>
      <c r="D162" s="147"/>
      <c r="E162" s="325"/>
      <c r="F162" s="148"/>
      <c r="G162" s="325"/>
      <c r="H162" s="148"/>
      <c r="I162" s="147"/>
      <c r="J162" s="150"/>
      <c r="K162" s="150"/>
      <c r="L162" s="148"/>
      <c r="M162" s="147"/>
      <c r="N162" s="137"/>
      <c r="R162" s="145"/>
      <c r="S162" s="151"/>
      <c r="T162" s="147"/>
      <c r="U162" s="129"/>
      <c r="V162" s="148"/>
      <c r="W162" s="129"/>
      <c r="X162" s="148"/>
      <c r="Y162" s="147"/>
      <c r="Z162" s="150"/>
      <c r="AA162" s="150"/>
      <c r="AB162" s="148"/>
      <c r="AC162" s="147"/>
      <c r="AI162" s="145"/>
      <c r="AJ162" s="151"/>
      <c r="AK162" s="147"/>
      <c r="AL162" s="152"/>
      <c r="AM162" s="148"/>
      <c r="AN162" s="152"/>
      <c r="AO162" s="148"/>
      <c r="AP162" s="147"/>
      <c r="AQ162" s="150"/>
      <c r="AR162" s="150"/>
      <c r="AS162" s="148"/>
      <c r="AT162" s="147"/>
      <c r="BA162" s="1376">
        <v>108</v>
      </c>
      <c r="BB162" s="1377">
        <v>11.763999999999999</v>
      </c>
    </row>
    <row r="163" spans="2:54">
      <c r="B163" s="145"/>
      <c r="C163" s="151"/>
      <c r="D163" s="147"/>
      <c r="E163" s="325"/>
      <c r="F163" s="148"/>
      <c r="G163" s="325"/>
      <c r="H163" s="148"/>
      <c r="I163" s="147"/>
      <c r="J163" s="150"/>
      <c r="K163" s="150"/>
      <c r="L163" s="148"/>
      <c r="M163" s="147"/>
      <c r="N163" s="137"/>
      <c r="R163" s="145"/>
      <c r="S163" s="151"/>
      <c r="T163" s="147"/>
      <c r="U163" s="129"/>
      <c r="V163" s="148"/>
      <c r="W163" s="129"/>
      <c r="X163" s="148"/>
      <c r="Y163" s="147"/>
      <c r="Z163" s="150"/>
      <c r="AA163" s="150"/>
      <c r="AB163" s="148"/>
      <c r="AC163" s="147"/>
      <c r="AI163" s="145"/>
      <c r="AJ163" s="151"/>
      <c r="AK163" s="147"/>
      <c r="AL163" s="152"/>
      <c r="AM163" s="148"/>
      <c r="AN163" s="152"/>
      <c r="AO163" s="148"/>
      <c r="AP163" s="147"/>
      <c r="AQ163" s="150"/>
      <c r="AR163" s="150"/>
      <c r="AS163" s="148"/>
      <c r="AT163" s="147"/>
      <c r="BA163" s="1376">
        <v>109</v>
      </c>
      <c r="BB163" s="1377">
        <v>11.73</v>
      </c>
    </row>
    <row r="164" spans="2:54">
      <c r="B164" s="145"/>
      <c r="C164" s="151"/>
      <c r="D164" s="147"/>
      <c r="E164" s="325"/>
      <c r="F164" s="148"/>
      <c r="G164" s="325"/>
      <c r="H164" s="148"/>
      <c r="I164" s="147"/>
      <c r="J164" s="150"/>
      <c r="K164" s="150"/>
      <c r="L164" s="148"/>
      <c r="M164" s="147"/>
      <c r="N164" s="137"/>
      <c r="R164" s="319"/>
      <c r="S164" s="320"/>
      <c r="T164" s="321"/>
      <c r="U164" s="322"/>
      <c r="V164" s="323"/>
      <c r="W164" s="322"/>
      <c r="X164" s="323"/>
      <c r="Y164" s="321"/>
      <c r="Z164" s="324"/>
      <c r="AA164" s="324"/>
      <c r="AB164" s="323"/>
      <c r="AC164" s="321"/>
      <c r="AI164" s="145"/>
      <c r="AJ164" s="151"/>
      <c r="AK164" s="147"/>
      <c r="AL164" s="152"/>
      <c r="AM164" s="148"/>
      <c r="AN164" s="152"/>
      <c r="AO164" s="148"/>
      <c r="AP164" s="147"/>
      <c r="AQ164" s="150"/>
      <c r="AR164" s="150"/>
      <c r="AS164" s="148"/>
      <c r="AT164" s="147"/>
      <c r="BA164" s="1376">
        <v>110</v>
      </c>
      <c r="BB164" s="1377">
        <v>11.663</v>
      </c>
    </row>
    <row r="165" spans="2:54">
      <c r="B165" s="145"/>
      <c r="C165" s="151"/>
      <c r="D165" s="147"/>
      <c r="E165" s="325"/>
      <c r="F165" s="148"/>
      <c r="G165" s="325"/>
      <c r="H165" s="148"/>
      <c r="I165" s="147"/>
      <c r="J165" s="150"/>
      <c r="K165" s="150"/>
      <c r="L165" s="148"/>
      <c r="M165" s="147"/>
      <c r="N165" s="137"/>
      <c r="R165" s="787"/>
      <c r="S165" s="788"/>
      <c r="T165" s="789"/>
      <c r="U165" s="790"/>
      <c r="V165" s="791"/>
      <c r="W165" s="790"/>
      <c r="X165" s="791"/>
      <c r="Y165" s="789"/>
      <c r="Z165" s="792"/>
      <c r="AA165" s="792"/>
      <c r="AB165" s="791"/>
      <c r="AC165" s="789"/>
      <c r="AI165" s="134"/>
      <c r="AJ165" s="138"/>
      <c r="AK165" s="135"/>
      <c r="AL165" s="139"/>
      <c r="AM165" s="136"/>
      <c r="AN165" s="139"/>
      <c r="AO165" s="136"/>
      <c r="AP165" s="135"/>
      <c r="AQ165" s="137"/>
      <c r="AR165" s="137"/>
      <c r="AS165" s="136"/>
      <c r="AT165" s="135"/>
      <c r="BA165" s="1376">
        <v>111</v>
      </c>
      <c r="BB165" s="1377">
        <v>11.741</v>
      </c>
    </row>
    <row r="166" spans="2:54">
      <c r="B166" s="134"/>
      <c r="C166" s="138"/>
      <c r="D166" s="135"/>
      <c r="E166" s="139"/>
      <c r="F166" s="136"/>
      <c r="G166" s="139"/>
      <c r="H166" s="136"/>
      <c r="I166" s="135"/>
      <c r="J166" s="137"/>
      <c r="K166" s="137"/>
      <c r="L166" s="136"/>
      <c r="M166" s="135"/>
      <c r="N166" s="137"/>
      <c r="O166" s="134"/>
      <c r="P166" s="138"/>
      <c r="Q166" s="135"/>
      <c r="R166" s="139"/>
      <c r="S166" s="136"/>
      <c r="T166" s="139"/>
      <c r="U166" s="136"/>
      <c r="V166" s="135"/>
      <c r="W166" s="137"/>
      <c r="X166" s="137"/>
      <c r="Y166" s="136"/>
      <c r="Z166" s="135"/>
      <c r="AN166" s="139"/>
      <c r="AO166" s="136"/>
      <c r="AP166" s="135"/>
      <c r="AQ166" s="137"/>
      <c r="AR166" s="137"/>
      <c r="AS166" s="136"/>
      <c r="AT166" s="135"/>
      <c r="BA166" s="1376">
        <v>112</v>
      </c>
      <c r="BB166" s="1377">
        <v>11.68</v>
      </c>
    </row>
    <row r="167" spans="2:54">
      <c r="B167" s="134"/>
      <c r="C167" s="138"/>
      <c r="D167" s="135"/>
      <c r="E167" s="139"/>
      <c r="F167" s="136"/>
      <c r="G167" s="139"/>
      <c r="H167" s="136"/>
      <c r="I167" s="135"/>
      <c r="J167" s="137"/>
      <c r="K167" s="137"/>
      <c r="L167" s="136"/>
      <c r="M167" s="135"/>
      <c r="N167" s="137"/>
      <c r="O167" s="134"/>
      <c r="P167" s="138"/>
      <c r="Q167" s="135"/>
      <c r="R167" s="139"/>
      <c r="S167" s="136"/>
      <c r="T167" s="139"/>
      <c r="U167" s="136"/>
      <c r="V167" s="135"/>
      <c r="W167" s="137"/>
      <c r="X167" s="137"/>
      <c r="AN167" s="139"/>
      <c r="AO167" s="136"/>
      <c r="AP167" s="135"/>
      <c r="AQ167" s="137"/>
      <c r="AR167" s="137"/>
      <c r="AS167" s="136"/>
      <c r="AT167" s="135"/>
      <c r="BA167" s="1376">
        <v>113</v>
      </c>
      <c r="BB167" s="1377">
        <v>8.9589999999999996</v>
      </c>
    </row>
    <row r="168" spans="2:54">
      <c r="B168" s="134"/>
      <c r="C168" s="138"/>
      <c r="D168" s="135"/>
      <c r="E168" s="139"/>
      <c r="F168" s="136"/>
      <c r="G168" s="139"/>
      <c r="H168" s="136"/>
      <c r="I168" s="135"/>
      <c r="J168" s="137"/>
      <c r="K168" s="137"/>
      <c r="L168" s="136"/>
      <c r="M168" s="135"/>
      <c r="N168" s="137"/>
      <c r="O168" s="134"/>
      <c r="P168" s="138"/>
      <c r="Q168" s="135"/>
      <c r="R168" s="139"/>
      <c r="S168" s="136"/>
      <c r="T168" s="139"/>
      <c r="U168" s="136"/>
      <c r="V168" s="135"/>
      <c r="W168" s="137"/>
      <c r="X168" s="137"/>
      <c r="Y168" s="136"/>
      <c r="Z168" s="135"/>
      <c r="AN168" s="139"/>
      <c r="AO168" s="136"/>
      <c r="AP168" s="135"/>
      <c r="AQ168" s="137"/>
      <c r="AR168" s="137"/>
      <c r="AS168" s="136"/>
      <c r="AT168" s="135"/>
      <c r="BA168" s="1376">
        <v>114</v>
      </c>
      <c r="BB168" s="1377">
        <v>8.8190000000000008</v>
      </c>
    </row>
    <row r="169" spans="2:54" s="831" customFormat="1" ht="18.75">
      <c r="B169" s="840"/>
      <c r="C169" s="841"/>
      <c r="D169" s="842">
        <f>INDEX(D130:D165,MATCH($I$169,$I130:$I165))</f>
        <v>13.205097202861001</v>
      </c>
      <c r="E169" s="842"/>
      <c r="F169" s="843"/>
      <c r="G169" s="842">
        <f>INDEX(G130:G165,MATCH($I$169,$I130:$I165))</f>
        <v>212</v>
      </c>
      <c r="H169" s="843"/>
      <c r="I169" s="844">
        <f>MAX(I130:I165)</f>
        <v>149.48858522438621</v>
      </c>
      <c r="J169" s="842">
        <f>INDEX(J130:J165,MATCH($I$169,$I130:$I165))</f>
        <v>379.3822976409092</v>
      </c>
      <c r="K169" s="842">
        <f t="shared" ref="K169:M169" si="55">INDEX(K130:K165,MATCH($I$169,$I130:$I165))</f>
        <v>167.3822976409092</v>
      </c>
      <c r="L169" s="842">
        <f t="shared" si="55"/>
        <v>28</v>
      </c>
      <c r="M169" s="842">
        <f t="shared" si="55"/>
        <v>5.9779392014610426</v>
      </c>
      <c r="N169" s="845"/>
      <c r="O169" s="840"/>
      <c r="P169" s="841"/>
      <c r="Q169" s="846"/>
      <c r="R169" s="847"/>
      <c r="S169" s="843"/>
      <c r="T169" s="842">
        <f>INDEX(T130:T164,MATCH($Y$169,$Y130:$Y164))</f>
        <v>13.472744583272227</v>
      </c>
      <c r="U169" s="843"/>
      <c r="V169" s="846"/>
      <c r="W169" s="842">
        <f>INDEX(W130:W164,MATCH($Y$169,$Y130:$Y164))</f>
        <v>234</v>
      </c>
      <c r="X169" s="845"/>
      <c r="Y169" s="848">
        <f>MAX(Y130:Y164)</f>
        <v>170.39317570814612</v>
      </c>
      <c r="Z169" s="842">
        <f>INDEX(Z130:Z164,MATCH($Y$169,$Y130:$Y164))</f>
        <v>453.04920771357575</v>
      </c>
      <c r="AA169" s="842">
        <f t="shared" ref="AA169:AC169" si="56">INDEX(AA130:AA164,MATCH($Y$169,$Y130:$Y164))</f>
        <v>219.04920771357575</v>
      </c>
      <c r="AB169" s="842">
        <f t="shared" si="56"/>
        <v>56</v>
      </c>
      <c r="AC169" s="842">
        <f t="shared" si="56"/>
        <v>3.9115929948852814</v>
      </c>
      <c r="AK169" s="842">
        <f>INDEX(AK130:AK164,MATCH($AP$169,$AP130:$AP164))</f>
        <v>12.011261777956122</v>
      </c>
      <c r="AN169" s="842">
        <f>INDEX(AN130:AN164,MATCH($AP$169,$AP130:$AP164))</f>
        <v>278</v>
      </c>
      <c r="AO169" s="843"/>
      <c r="AP169" s="848">
        <f>MAX(AP130:AP164)</f>
        <v>217.2929817460421</v>
      </c>
      <c r="AQ169" s="842">
        <f>INDEX(AQ130:AQ164,MATCH($AP$169,$AP130:$AP164))</f>
        <v>594.87811378971469</v>
      </c>
      <c r="AR169" s="842">
        <f t="shared" ref="AR169:AT169" si="57">INDEX(AR130:AR164,MATCH($AP$169,$AP130:$AP164))</f>
        <v>316.87811378971469</v>
      </c>
      <c r="AS169" s="842">
        <f t="shared" si="57"/>
        <v>112</v>
      </c>
      <c r="AT169" s="842">
        <f t="shared" si="57"/>
        <v>2.8292688731224525</v>
      </c>
      <c r="BA169" s="1382">
        <v>115</v>
      </c>
      <c r="BB169" s="1383">
        <v>11.619</v>
      </c>
    </row>
    <row r="170" spans="2:54">
      <c r="B170" s="134"/>
      <c r="C170" s="138"/>
      <c r="D170" s="135"/>
      <c r="E170" s="139"/>
      <c r="F170" s="136"/>
      <c r="G170" s="139"/>
      <c r="H170" s="136"/>
      <c r="I170" s="135"/>
      <c r="J170" s="137"/>
      <c r="K170" s="137"/>
      <c r="L170" s="136"/>
      <c r="M170" s="135"/>
      <c r="N170" s="137"/>
      <c r="O170" s="134"/>
      <c r="P170" s="138"/>
      <c r="Q170" s="135"/>
      <c r="R170" s="139"/>
      <c r="S170" s="136"/>
      <c r="T170" s="139"/>
      <c r="U170" s="136"/>
      <c r="V170" s="135"/>
      <c r="W170" s="137"/>
      <c r="X170" s="137"/>
      <c r="Y170" s="136"/>
      <c r="Z170" s="135"/>
      <c r="AN170" s="139"/>
      <c r="AO170" s="136"/>
      <c r="AP170" s="135"/>
      <c r="AQ170" s="137"/>
      <c r="AR170" s="137"/>
      <c r="AS170" s="136"/>
      <c r="AT170" s="135"/>
      <c r="BA170" s="1382">
        <v>116</v>
      </c>
      <c r="BB170" s="1383">
        <v>8.8699999999999992</v>
      </c>
    </row>
    <row r="171" spans="2:54">
      <c r="B171" s="134"/>
      <c r="C171" s="138"/>
      <c r="D171" s="135"/>
      <c r="E171" s="139"/>
      <c r="F171" s="136"/>
      <c r="G171" s="139"/>
      <c r="H171" s="136"/>
      <c r="I171" s="135"/>
      <c r="J171" s="137"/>
      <c r="K171" s="137"/>
      <c r="L171" s="136"/>
      <c r="M171" s="135"/>
      <c r="N171" s="137"/>
      <c r="O171" s="134"/>
      <c r="P171" s="138"/>
      <c r="Q171" s="135"/>
      <c r="R171" s="139"/>
      <c r="S171" s="136"/>
      <c r="T171" s="139"/>
      <c r="U171" s="136"/>
      <c r="V171" s="135"/>
      <c r="W171" s="137"/>
      <c r="X171" s="137"/>
      <c r="Y171" s="136"/>
      <c r="Z171" s="135"/>
      <c r="AN171" s="139"/>
      <c r="AO171" s="136"/>
      <c r="AP171" s="135"/>
      <c r="AQ171" s="137"/>
      <c r="AR171" s="137"/>
      <c r="AS171" s="136"/>
      <c r="AT171" s="135"/>
      <c r="BA171" s="1382">
        <v>117</v>
      </c>
      <c r="BB171" s="1383">
        <v>9</v>
      </c>
    </row>
    <row r="172" spans="2:54">
      <c r="B172" s="134"/>
      <c r="C172" s="138"/>
      <c r="D172" s="135"/>
      <c r="E172" s="139"/>
      <c r="F172" s="136"/>
      <c r="G172" s="139"/>
      <c r="H172" s="136"/>
      <c r="I172" s="135"/>
      <c r="J172" s="137"/>
      <c r="K172" s="137"/>
      <c r="L172" s="136"/>
      <c r="M172" s="135"/>
      <c r="N172" s="137"/>
      <c r="O172" s="134"/>
      <c r="P172" s="138"/>
      <c r="Q172" s="135"/>
      <c r="R172" s="139"/>
      <c r="S172" s="136"/>
      <c r="T172" s="139"/>
      <c r="U172" s="136"/>
      <c r="V172" s="135"/>
      <c r="W172" s="137"/>
      <c r="X172" s="137"/>
      <c r="Y172" s="136"/>
      <c r="Z172" s="135"/>
      <c r="AN172" s="139"/>
      <c r="AO172" s="136"/>
      <c r="AP172" s="135"/>
      <c r="AQ172" s="137"/>
      <c r="AR172" s="137"/>
      <c r="AS172" s="136"/>
      <c r="AT172" s="135"/>
      <c r="BA172" s="1382">
        <v>118</v>
      </c>
      <c r="BB172" s="1383">
        <v>8.8339999999999996</v>
      </c>
    </row>
    <row r="173" spans="2:54">
      <c r="B173" s="134"/>
      <c r="C173" s="138"/>
      <c r="D173" s="135"/>
      <c r="E173" s="139"/>
      <c r="F173" s="136"/>
      <c r="G173" s="139"/>
      <c r="H173" s="136"/>
      <c r="I173" s="135"/>
      <c r="J173" s="137"/>
      <c r="K173" s="137"/>
      <c r="L173" s="136"/>
      <c r="M173" s="135"/>
      <c r="N173" s="137"/>
      <c r="O173" s="134"/>
      <c r="P173" s="138"/>
      <c r="Q173" s="135"/>
      <c r="R173" s="139"/>
      <c r="S173" s="136"/>
      <c r="T173" s="139"/>
      <c r="U173" s="136"/>
      <c r="V173" s="135"/>
      <c r="W173" s="137"/>
      <c r="X173" s="137"/>
      <c r="Y173" s="136"/>
      <c r="Z173" s="135"/>
      <c r="AN173" s="139"/>
      <c r="AO173" s="136"/>
      <c r="AP173" s="135"/>
      <c r="AQ173" s="137"/>
      <c r="AR173" s="137"/>
      <c r="AS173" s="136"/>
      <c r="AT173" s="135"/>
      <c r="BA173" s="1382">
        <v>119</v>
      </c>
      <c r="BB173" s="1383">
        <v>8.9469999999999992</v>
      </c>
    </row>
    <row r="174" spans="2:54">
      <c r="B174" s="134"/>
      <c r="C174" s="138"/>
      <c r="D174" s="135"/>
      <c r="E174" s="139"/>
      <c r="F174" s="136"/>
      <c r="G174" s="139"/>
      <c r="H174" s="136"/>
      <c r="I174" s="135"/>
      <c r="J174" s="137"/>
      <c r="K174" s="137"/>
      <c r="L174" s="136"/>
      <c r="M174" s="135"/>
      <c r="N174" s="137"/>
      <c r="O174" s="134"/>
      <c r="P174" s="138"/>
      <c r="R174" s="139"/>
      <c r="S174" s="136"/>
      <c r="T174" s="139"/>
      <c r="U174" s="136"/>
      <c r="V174" s="135"/>
      <c r="W174" s="137"/>
      <c r="X174" s="137"/>
      <c r="Y174" s="136"/>
      <c r="Z174" s="135"/>
      <c r="AN174" s="139"/>
      <c r="AO174" s="136"/>
      <c r="AP174" s="135"/>
      <c r="AQ174" s="137"/>
      <c r="AR174" s="137"/>
      <c r="AS174" s="136"/>
      <c r="AT174" s="135"/>
      <c r="BA174" s="1382">
        <v>120</v>
      </c>
      <c r="BB174" s="1383">
        <v>11.666</v>
      </c>
    </row>
    <row r="175" spans="2:54">
      <c r="B175" s="134"/>
      <c r="C175" s="138"/>
      <c r="D175" s="135"/>
      <c r="E175" s="139"/>
      <c r="F175" s="136"/>
      <c r="G175" s="139"/>
      <c r="H175" s="136"/>
      <c r="I175" s="135"/>
      <c r="J175" s="137"/>
      <c r="K175" s="137"/>
      <c r="L175" s="136"/>
      <c r="M175" s="135"/>
      <c r="N175" s="137"/>
      <c r="O175" s="134"/>
      <c r="P175" s="138"/>
      <c r="R175" s="139"/>
      <c r="S175" s="136"/>
      <c r="T175" s="139"/>
      <c r="U175" s="136"/>
      <c r="V175" s="135"/>
      <c r="W175" s="137"/>
      <c r="X175" s="137"/>
      <c r="Y175" s="136"/>
      <c r="Z175" s="135"/>
      <c r="AN175" s="139"/>
      <c r="AO175" s="136"/>
      <c r="AP175" s="135"/>
      <c r="AQ175" s="137"/>
      <c r="AR175" s="137"/>
      <c r="AS175" s="136"/>
      <c r="AT175" s="135"/>
      <c r="BA175" s="1382">
        <v>121</v>
      </c>
      <c r="BB175" s="1383">
        <v>8.7379999999999995</v>
      </c>
    </row>
    <row r="176" spans="2:54">
      <c r="B176" s="134"/>
      <c r="C176" s="138"/>
      <c r="D176" s="135"/>
      <c r="E176" s="139"/>
      <c r="F176" s="136"/>
      <c r="G176" s="139"/>
      <c r="H176" s="136"/>
      <c r="I176" s="135"/>
      <c r="J176" s="137"/>
      <c r="K176" s="137"/>
      <c r="L176" s="136"/>
      <c r="M176" s="135"/>
      <c r="N176" s="137"/>
      <c r="O176" s="134"/>
      <c r="P176" s="138"/>
      <c r="R176" s="139"/>
      <c r="S176" s="136"/>
      <c r="T176" s="139"/>
      <c r="U176" s="136"/>
      <c r="V176" s="135"/>
      <c r="W176" s="137"/>
      <c r="X176" s="137"/>
      <c r="Y176" s="136"/>
      <c r="Z176" s="135"/>
      <c r="AN176" s="139"/>
      <c r="AO176" s="136"/>
      <c r="AP176" s="135"/>
      <c r="AQ176" s="137"/>
      <c r="AR176" s="137"/>
      <c r="AS176" s="136"/>
      <c r="AT176" s="135"/>
      <c r="BA176" s="1382">
        <v>122</v>
      </c>
      <c r="BB176" s="1383">
        <v>8.9849999999999994</v>
      </c>
    </row>
    <row r="177" spans="2:54">
      <c r="B177" s="134"/>
      <c r="C177" s="138"/>
      <c r="D177" s="140"/>
      <c r="F177" s="136"/>
      <c r="G177" s="139"/>
      <c r="H177" s="96"/>
      <c r="I177" s="135"/>
      <c r="J177" s="137"/>
      <c r="K177" s="137"/>
      <c r="N177" s="137"/>
      <c r="O177" s="134"/>
      <c r="P177" s="138"/>
      <c r="R177" s="139"/>
      <c r="S177" s="136"/>
      <c r="T177" s="139"/>
      <c r="U177" s="136"/>
      <c r="V177" s="135"/>
      <c r="W177" s="137"/>
      <c r="X177" s="137"/>
      <c r="Y177" s="136"/>
      <c r="Z177" s="135"/>
      <c r="AN177" s="139"/>
      <c r="AO177" s="136"/>
      <c r="AP177" s="135"/>
      <c r="AQ177" s="137"/>
      <c r="AR177" s="137"/>
      <c r="AS177" s="136"/>
      <c r="AT177" s="135"/>
      <c r="BA177" s="1375">
        <v>123</v>
      </c>
      <c r="BB177" s="1375">
        <v>8.86</v>
      </c>
    </row>
    <row r="178" spans="2:54">
      <c r="B178" s="134"/>
      <c r="C178" s="138"/>
      <c r="D178" s="96"/>
      <c r="E178" s="135"/>
      <c r="F178" s="96"/>
      <c r="G178" s="139"/>
      <c r="H178" s="136"/>
      <c r="I178" s="139"/>
      <c r="J178" s="96"/>
      <c r="K178" s="135"/>
      <c r="L178" s="137"/>
      <c r="M178" s="137"/>
      <c r="N178" s="137"/>
      <c r="O178" s="134"/>
      <c r="P178" s="138"/>
      <c r="R178" s="139"/>
      <c r="S178" s="136"/>
      <c r="T178" s="139"/>
      <c r="U178" s="136"/>
      <c r="V178" s="135"/>
      <c r="W178" s="137"/>
      <c r="X178" s="137"/>
      <c r="Y178" s="136"/>
      <c r="Z178" s="135"/>
      <c r="AB178" s="134"/>
      <c r="AC178" s="138"/>
      <c r="AD178" s="135"/>
      <c r="AE178" s="139"/>
      <c r="AF178" s="136"/>
      <c r="AG178" s="139"/>
      <c r="AH178" s="136"/>
      <c r="BA178" s="1375">
        <v>124</v>
      </c>
      <c r="BB178" s="1375">
        <v>8.984</v>
      </c>
    </row>
    <row r="179" spans="2:54">
      <c r="B179" s="134"/>
      <c r="C179" s="138"/>
      <c r="D179" s="96"/>
      <c r="E179" s="135"/>
      <c r="F179" s="96"/>
      <c r="G179" s="139"/>
      <c r="H179" s="136"/>
      <c r="I179" s="139"/>
      <c r="J179" s="96"/>
      <c r="K179" s="135"/>
      <c r="L179" s="137"/>
      <c r="M179" s="137"/>
      <c r="N179" s="137"/>
      <c r="O179" s="134"/>
      <c r="P179" s="138"/>
      <c r="Q179" s="135"/>
      <c r="R179" s="139"/>
      <c r="S179" s="136"/>
      <c r="T179" s="139"/>
      <c r="U179" s="136"/>
      <c r="V179" s="135"/>
      <c r="W179" s="137"/>
      <c r="X179" s="137"/>
      <c r="Y179" s="136"/>
      <c r="Z179" s="135"/>
      <c r="AB179" s="134"/>
      <c r="AC179" s="138"/>
      <c r="AD179" s="135"/>
      <c r="AE179" s="139"/>
      <c r="AF179" s="136"/>
      <c r="AG179" s="139"/>
      <c r="AH179" s="136"/>
      <c r="BA179" s="1375">
        <v>125</v>
      </c>
      <c r="BB179" s="1375">
        <v>8.9109999999999996</v>
      </c>
    </row>
    <row r="180" spans="2:54">
      <c r="B180" s="134"/>
      <c r="C180" s="138"/>
      <c r="D180" s="96"/>
      <c r="E180" s="135"/>
      <c r="F180" s="96"/>
      <c r="G180" s="139"/>
      <c r="H180" s="136"/>
      <c r="I180" s="139"/>
      <c r="J180" s="96"/>
      <c r="K180" s="135"/>
      <c r="L180" s="137"/>
      <c r="M180" s="137"/>
      <c r="N180" s="137"/>
      <c r="O180" s="134"/>
      <c r="P180" s="138"/>
      <c r="Q180" s="135"/>
      <c r="R180" s="139"/>
      <c r="S180" s="136"/>
      <c r="T180" s="139"/>
      <c r="U180" s="136"/>
      <c r="V180" s="135"/>
      <c r="W180" s="137"/>
      <c r="X180" s="137"/>
      <c r="Y180" s="136"/>
      <c r="Z180" s="135"/>
      <c r="AB180" s="134"/>
      <c r="AC180" s="138"/>
      <c r="AD180" s="135"/>
      <c r="AE180" s="139"/>
      <c r="AF180" s="136"/>
      <c r="AG180" s="139"/>
      <c r="AH180" s="136"/>
      <c r="BA180" s="1375">
        <v>126</v>
      </c>
      <c r="BB180" s="1375">
        <v>8.859</v>
      </c>
    </row>
    <row r="181" spans="2:54">
      <c r="B181" s="134"/>
      <c r="C181" s="138"/>
      <c r="D181" s="96"/>
      <c r="E181" s="135"/>
      <c r="F181" s="96"/>
      <c r="G181" s="139"/>
      <c r="H181" s="136"/>
      <c r="I181" s="139"/>
      <c r="J181" s="96"/>
      <c r="K181" s="135"/>
      <c r="L181" s="137"/>
      <c r="M181" s="137"/>
      <c r="N181" s="137"/>
      <c r="O181" s="134"/>
      <c r="P181" s="135"/>
      <c r="AB181" s="134"/>
      <c r="AC181" s="138"/>
      <c r="AD181" s="135"/>
      <c r="AE181" s="139"/>
      <c r="AF181" s="136"/>
      <c r="AG181" s="139"/>
      <c r="AH181" s="136"/>
      <c r="BA181" s="1375">
        <v>127</v>
      </c>
      <c r="BB181" s="1375">
        <v>8.9060000000000006</v>
      </c>
    </row>
    <row r="182" spans="2:54">
      <c r="B182" s="134"/>
      <c r="C182" s="138"/>
      <c r="D182" s="96"/>
      <c r="E182" s="135"/>
      <c r="F182" s="96"/>
      <c r="G182" s="139"/>
      <c r="H182" s="136"/>
      <c r="I182" s="139"/>
      <c r="J182" s="96"/>
      <c r="K182" s="135"/>
      <c r="L182" s="137"/>
      <c r="M182" s="137"/>
      <c r="N182" s="137"/>
      <c r="O182" s="134"/>
      <c r="P182" s="135"/>
      <c r="AB182" s="134"/>
      <c r="AC182" s="138"/>
      <c r="AD182" s="135"/>
      <c r="AE182" s="139"/>
      <c r="AF182" s="136"/>
      <c r="AG182" s="139"/>
      <c r="AH182" s="136"/>
      <c r="BA182" s="1375">
        <v>128</v>
      </c>
      <c r="BB182" s="1375">
        <v>8.9429999999999996</v>
      </c>
    </row>
    <row r="183" spans="2:54">
      <c r="B183" s="134"/>
      <c r="C183" s="138"/>
      <c r="D183" s="96"/>
      <c r="E183" s="135"/>
      <c r="F183" s="96"/>
      <c r="G183" s="139"/>
      <c r="H183" s="136"/>
      <c r="I183" s="139"/>
      <c r="J183" s="96"/>
      <c r="K183" s="135"/>
      <c r="L183" s="137"/>
      <c r="M183" s="137"/>
      <c r="N183" s="137"/>
      <c r="O183" s="134"/>
      <c r="P183" s="135"/>
      <c r="AB183" s="134"/>
      <c r="AC183" s="138"/>
      <c r="AD183" s="135"/>
      <c r="AE183" s="139"/>
      <c r="AF183" s="136"/>
      <c r="AG183" s="139"/>
      <c r="AH183" s="136"/>
      <c r="BA183" s="1375">
        <v>129</v>
      </c>
      <c r="BB183" s="1375">
        <v>8.8569999999999993</v>
      </c>
    </row>
    <row r="184" spans="2:54">
      <c r="B184" s="134"/>
      <c r="C184" s="138"/>
      <c r="D184" s="140"/>
      <c r="E184" s="135"/>
      <c r="F184" s="96"/>
      <c r="G184" s="139"/>
      <c r="H184" s="136"/>
      <c r="I184" s="139"/>
      <c r="J184" s="96"/>
      <c r="K184" s="135"/>
      <c r="L184" s="137"/>
      <c r="M184" s="137"/>
      <c r="N184" s="137"/>
      <c r="O184" s="134"/>
      <c r="P184" s="135"/>
      <c r="AB184" s="134"/>
      <c r="AC184" s="138"/>
      <c r="AD184" s="135"/>
      <c r="AE184" s="139"/>
      <c r="AF184" s="136"/>
      <c r="AG184" s="139"/>
      <c r="AH184" s="136"/>
      <c r="BA184" s="1375">
        <v>130</v>
      </c>
      <c r="BB184" s="1375">
        <v>8.891</v>
      </c>
    </row>
    <row r="185" spans="2:54">
      <c r="B185" s="134"/>
      <c r="C185" s="138"/>
      <c r="D185" s="140"/>
      <c r="E185" s="135"/>
      <c r="F185" s="96"/>
      <c r="G185" s="139"/>
      <c r="H185" s="136"/>
      <c r="I185" s="139"/>
      <c r="J185" s="96"/>
      <c r="K185" s="135"/>
      <c r="L185" s="137"/>
      <c r="M185" s="137"/>
      <c r="N185" s="137"/>
      <c r="O185" s="96"/>
      <c r="P185" s="135"/>
      <c r="AB185" s="134"/>
      <c r="AC185" s="138"/>
      <c r="AD185" s="135"/>
      <c r="AE185" s="139"/>
      <c r="AF185" s="136"/>
      <c r="AG185" s="139"/>
      <c r="AH185" s="136"/>
      <c r="BA185" s="1375">
        <v>131</v>
      </c>
      <c r="BB185" s="1375">
        <v>9.0549999999999997</v>
      </c>
    </row>
    <row r="186" spans="2:54">
      <c r="B186" s="134"/>
      <c r="C186" s="138"/>
      <c r="D186" s="96"/>
      <c r="E186" s="135"/>
      <c r="F186" s="96"/>
      <c r="G186" s="139"/>
      <c r="H186" s="136"/>
      <c r="I186" s="139"/>
      <c r="J186" s="96"/>
      <c r="K186" s="135"/>
      <c r="L186" s="137"/>
      <c r="M186" s="137"/>
      <c r="N186" s="137"/>
      <c r="O186" s="96"/>
      <c r="P186" s="135"/>
      <c r="BA186" s="1375">
        <v>132</v>
      </c>
      <c r="BB186" s="1375">
        <v>8.9480000000000004</v>
      </c>
    </row>
    <row r="187" spans="2:54">
      <c r="B187" s="134"/>
      <c r="C187" s="138"/>
      <c r="D187" s="96"/>
      <c r="E187" s="135"/>
      <c r="F187" s="96"/>
      <c r="G187" s="139"/>
      <c r="H187" s="136"/>
      <c r="I187" s="139"/>
      <c r="J187" s="96"/>
      <c r="K187" s="135"/>
      <c r="L187" s="137"/>
      <c r="M187" s="137"/>
      <c r="N187" s="137"/>
      <c r="O187" s="96"/>
      <c r="P187" s="135"/>
      <c r="BA187" s="1375">
        <v>133</v>
      </c>
      <c r="BB187" s="1375">
        <v>8.9860000000000007</v>
      </c>
    </row>
    <row r="188" spans="2:54">
      <c r="B188" s="154" t="s">
        <v>160</v>
      </c>
      <c r="C188" s="96"/>
      <c r="D188" s="96"/>
      <c r="E188" s="96"/>
      <c r="F188" s="96"/>
      <c r="G188" s="134"/>
      <c r="H188" s="96"/>
      <c r="I188" s="134"/>
      <c r="J188" s="96"/>
      <c r="K188" s="96"/>
      <c r="L188" s="137"/>
      <c r="M188" s="137"/>
      <c r="N188" s="96"/>
      <c r="R188" s="154" t="s">
        <v>160</v>
      </c>
      <c r="S188" s="96"/>
      <c r="T188" s="96"/>
      <c r="U188" s="96"/>
      <c r="V188" s="96"/>
      <c r="BA188" s="1375">
        <v>134</v>
      </c>
      <c r="BB188" s="1375">
        <v>8.8170000000000002</v>
      </c>
    </row>
    <row r="189" spans="2:54">
      <c r="D189" s="96"/>
      <c r="E189" s="96"/>
      <c r="F189" s="96"/>
      <c r="G189" s="134"/>
      <c r="H189" s="96"/>
      <c r="I189" s="134"/>
      <c r="J189" s="96"/>
      <c r="K189" s="96"/>
      <c r="L189" s="137"/>
      <c r="M189" s="137"/>
      <c r="N189" s="96"/>
      <c r="T189" s="96"/>
      <c r="U189" s="96"/>
      <c r="V189" s="96"/>
      <c r="BA189" s="1375">
        <v>135</v>
      </c>
      <c r="BB189" s="1375">
        <v>8.8819999999999997</v>
      </c>
    </row>
    <row r="190" spans="2:54">
      <c r="B190" t="s">
        <v>166</v>
      </c>
      <c r="C190" s="135">
        <f>INDEX(D130:D165,MATCH(MAX(I130:I165),I130:I165,0))</f>
        <v>8.3400613912806332</v>
      </c>
      <c r="D190" s="157"/>
      <c r="E190" s="157"/>
      <c r="F190" s="157"/>
      <c r="G190" s="157"/>
      <c r="H190" s="157"/>
      <c r="I190" s="134"/>
      <c r="J190" s="96"/>
      <c r="K190" s="96"/>
      <c r="L190" s="137"/>
      <c r="M190" s="137"/>
      <c r="N190" s="96"/>
      <c r="R190" t="s">
        <v>166</v>
      </c>
      <c r="S190" s="135">
        <f>INDEX(T130:T165,MATCH(MAX(Y130:Y165),Y130:Y165,0))</f>
        <v>10.104558437454171</v>
      </c>
      <c r="T190" s="157"/>
      <c r="U190" s="157"/>
      <c r="V190" s="157"/>
      <c r="AI190" t="s">
        <v>166</v>
      </c>
      <c r="AJ190" s="135">
        <f>INDEX(AK130:AK165,MATCH(MAX(AP130:AP165),AP130:AP165,0))</f>
        <v>7.3402155309731851</v>
      </c>
      <c r="AK190" s="157"/>
      <c r="AL190" s="157"/>
      <c r="AM190" s="157"/>
      <c r="BA190" s="1375">
        <v>136</v>
      </c>
      <c r="BB190" s="1375">
        <v>8.9169999999999998</v>
      </c>
    </row>
    <row r="191" spans="2:54" ht="18">
      <c r="B191" s="155" t="s">
        <v>161</v>
      </c>
      <c r="C191" s="42">
        <f>INDEX(I130:I165,MATCH(MAX(I130:I165),I130:I165,0))</f>
        <v>149.48858522438621</v>
      </c>
      <c r="D191" s="158"/>
      <c r="E191" s="158"/>
      <c r="F191" s="80"/>
      <c r="G191" s="80"/>
      <c r="H191" s="80"/>
      <c r="R191" s="155" t="s">
        <v>161</v>
      </c>
      <c r="S191" s="42">
        <f>INDEX(Y130:Y165,MATCH(MAX(Y130:Y165),Y130:Y165,0))</f>
        <v>170.39317570814612</v>
      </c>
      <c r="T191" s="158"/>
      <c r="U191" s="158"/>
      <c r="V191" s="80"/>
      <c r="AI191" s="155" t="s">
        <v>161</v>
      </c>
      <c r="AJ191" s="42">
        <f>INDEX(AP130:AP165,MATCH(MAX(AP130:AP165),AP130:AP165,0))</f>
        <v>217.2929817460421</v>
      </c>
      <c r="AK191" s="158"/>
      <c r="AL191" s="158"/>
      <c r="AM191" s="80"/>
      <c r="BA191" s="1375">
        <v>137</v>
      </c>
      <c r="BB191" s="1375">
        <v>11.711</v>
      </c>
    </row>
    <row r="192" spans="2:54">
      <c r="B192" s="156" t="s">
        <v>152</v>
      </c>
      <c r="C192" s="42">
        <f>INDEX(G130:G165,MATCH(MAX(I130:I165),I130:I165,0))</f>
        <v>212</v>
      </c>
      <c r="D192" s="158"/>
      <c r="E192" s="158"/>
      <c r="F192" s="158"/>
      <c r="G192" s="158"/>
      <c r="H192" s="158"/>
      <c r="R192" s="156" t="s">
        <v>152</v>
      </c>
      <c r="S192" s="42">
        <f>INDEX(W130:W159,MATCH(MAX(Y130:Y159),Y130:Y159,0))</f>
        <v>234</v>
      </c>
      <c r="T192" s="158"/>
      <c r="U192" s="158"/>
      <c r="V192" s="158"/>
      <c r="AI192" s="156" t="s">
        <v>152</v>
      </c>
      <c r="AJ192" s="42">
        <f>INDEX(AN130:AN165,MATCH(MAX(AP130:AP165),AP130:AP165,0))</f>
        <v>278</v>
      </c>
      <c r="AK192" s="158"/>
      <c r="AL192" s="158"/>
      <c r="AM192" s="158"/>
      <c r="BA192" s="1375">
        <v>138</v>
      </c>
      <c r="BB192" s="1375">
        <v>11.858000000000001</v>
      </c>
    </row>
    <row r="193" spans="2:54" ht="18">
      <c r="B193" s="155" t="s">
        <v>162</v>
      </c>
      <c r="C193" s="42">
        <f>INDEX(L130:L165,MATCH(MAX(I130:I165),I130:I165,0))</f>
        <v>28</v>
      </c>
      <c r="D193" s="158"/>
      <c r="E193" s="158"/>
      <c r="F193" s="158"/>
      <c r="G193" s="158"/>
      <c r="H193" s="158"/>
      <c r="R193" s="155" t="s">
        <v>162</v>
      </c>
      <c r="S193" s="42">
        <f>INDEX(AB130:AB165,MATCH(MAX(Y130:Y165),Y130:Y165,0))</f>
        <v>56</v>
      </c>
      <c r="T193" s="158"/>
      <c r="U193" s="158"/>
      <c r="V193" s="158"/>
      <c r="AI193" s="155" t="s">
        <v>162</v>
      </c>
      <c r="AJ193" s="42">
        <f>INDEX(AS130:AS165,MATCH(MAX(AP130:AP165),AP130:AP165,0))</f>
        <v>112</v>
      </c>
      <c r="AK193" s="158"/>
      <c r="AL193" s="158"/>
      <c r="AM193" s="158"/>
      <c r="BA193" s="1375">
        <v>139</v>
      </c>
      <c r="BB193" s="1375">
        <v>8.8810000000000002</v>
      </c>
    </row>
    <row r="194" spans="2:54" ht="18">
      <c r="B194" s="155" t="s">
        <v>163</v>
      </c>
      <c r="C194" s="42">
        <f>INDEX(K130:K165,MATCH(MAX(I130:I165),I130:I165,0))</f>
        <v>177.48858522438621</v>
      </c>
      <c r="D194" s="158"/>
      <c r="E194" s="158"/>
      <c r="F194" s="158"/>
      <c r="G194" s="158"/>
      <c r="H194" s="158"/>
      <c r="R194" s="155" t="s">
        <v>163</v>
      </c>
      <c r="S194" s="42">
        <f>INDEX(AA130:AA165,MATCH(MAX(Y130:Y165),Y130:Y165,0))</f>
        <v>226.39317570814615</v>
      </c>
      <c r="T194" s="158"/>
      <c r="U194" s="158"/>
      <c r="V194" s="158"/>
      <c r="AI194" s="155" t="s">
        <v>163</v>
      </c>
      <c r="AJ194" s="42">
        <f>INDEX(AR130:AR165,MATCH(MAX(AP130:AP165),AP130:AP165,0))</f>
        <v>329.29298174604207</v>
      </c>
      <c r="AK194" s="158"/>
      <c r="AL194" s="158"/>
      <c r="AM194" s="158"/>
      <c r="BA194" s="1375">
        <v>140</v>
      </c>
      <c r="BB194" s="1375">
        <v>8.8369999999999997</v>
      </c>
    </row>
    <row r="195" spans="2:54" ht="18">
      <c r="B195" s="155" t="s">
        <v>164</v>
      </c>
      <c r="C195" s="42">
        <f>INDEX(J130:J165,MATCH(MAX(I130:I165),I130:I165,0))</f>
        <v>389.48858522438621</v>
      </c>
      <c r="D195" s="158"/>
      <c r="E195" s="158"/>
      <c r="F195" s="158"/>
      <c r="G195" s="158"/>
      <c r="H195" s="158"/>
      <c r="R195" s="155" t="s">
        <v>164</v>
      </c>
      <c r="S195" s="42">
        <f>INDEX(Z130:Z165,MATCH(MAX(Y130:Y165),Y130:Y165,0))</f>
        <v>460.39317570814615</v>
      </c>
      <c r="T195" s="158"/>
      <c r="U195" s="158"/>
      <c r="V195" s="158"/>
      <c r="AI195" s="155" t="s">
        <v>164</v>
      </c>
      <c r="AJ195" s="42">
        <f>INDEX(AQ130:AQ165,MATCH(MAX(AP130:AP165),AP130:AP165,0))</f>
        <v>607.29298174604207</v>
      </c>
      <c r="AK195" s="158"/>
      <c r="AL195" s="158"/>
      <c r="AM195" s="158"/>
      <c r="BA195" s="1375">
        <v>141</v>
      </c>
      <c r="BB195" s="1375">
        <v>8.8870000000000005</v>
      </c>
    </row>
    <row r="196" spans="2:54" ht="18">
      <c r="B196" s="155" t="s">
        <v>165</v>
      </c>
      <c r="C196" s="42">
        <f>INDEX(J130:J165,MATCH(MAX(I130:I165),I130:I165,0))- INDEX(I130:I165,MATCH(MAX(I130:I165),I130:I165,0))</f>
        <v>240</v>
      </c>
      <c r="R196" s="155" t="s">
        <v>165</v>
      </c>
      <c r="S196" s="42">
        <f>INDEX(Z130:Z165,MATCH(MAX(Y130:Y165),Y130:Y165,0))- INDEX(Y130:Y165,MATCH(MAX(Y130:Y165),Y130:Y165,0))</f>
        <v>290</v>
      </c>
      <c r="AI196" s="155" t="s">
        <v>165</v>
      </c>
      <c r="AJ196" s="42">
        <f>INDEX(AQ130:AQ165,MATCH(MAX(AP130:AP165),AP130:AP165,0))- INDEX(AP130:AP165,MATCH(MAX(AP130:AP165),AP130:AP165,0))</f>
        <v>390</v>
      </c>
      <c r="BA196" s="1375">
        <v>142</v>
      </c>
      <c r="BB196" s="1375">
        <v>8.8949999999999996</v>
      </c>
    </row>
    <row r="200" spans="2:54">
      <c r="B200" t="s">
        <v>167</v>
      </c>
      <c r="R200" t="s">
        <v>167</v>
      </c>
      <c r="AI200" t="s">
        <v>167</v>
      </c>
    </row>
    <row r="201" spans="2:54" ht="18">
      <c r="B201" s="155" t="s">
        <v>168</v>
      </c>
      <c r="C201" s="42">
        <f>C191+C202</f>
        <v>199.48858522438621</v>
      </c>
      <c r="R201" s="155" t="s">
        <v>168</v>
      </c>
      <c r="S201" s="42">
        <f>S191+S202</f>
        <v>270.39317570814615</v>
      </c>
      <c r="AI201" s="155" t="s">
        <v>168</v>
      </c>
      <c r="AJ201" s="42">
        <f>AJ191+AJ202</f>
        <v>417.29298174604207</v>
      </c>
    </row>
    <row r="202" spans="2:54" ht="18">
      <c r="B202" s="155" t="s">
        <v>169</v>
      </c>
      <c r="C202">
        <f>$D$121</f>
        <v>50</v>
      </c>
      <c r="R202" s="155" t="s">
        <v>169</v>
      </c>
      <c r="S202">
        <f>T121</f>
        <v>100</v>
      </c>
      <c r="AI202" s="155" t="s">
        <v>169</v>
      </c>
      <c r="AJ202">
        <f>$AK$121</f>
        <v>200</v>
      </c>
    </row>
    <row r="203" spans="2:54" ht="18">
      <c r="B203" s="155" t="s">
        <v>163</v>
      </c>
      <c r="C203" s="42">
        <f>C194</f>
        <v>177.48858522438621</v>
      </c>
      <c r="R203" s="155" t="s">
        <v>163</v>
      </c>
      <c r="S203" s="42">
        <f>S194</f>
        <v>226.39317570814615</v>
      </c>
      <c r="AI203" s="155" t="s">
        <v>163</v>
      </c>
      <c r="AJ203" s="42">
        <f>AJ194</f>
        <v>329.29298174604207</v>
      </c>
    </row>
    <row r="204" spans="2:54" ht="18">
      <c r="B204" s="155" t="s">
        <v>162</v>
      </c>
      <c r="C204" s="42">
        <f>C193</f>
        <v>28</v>
      </c>
      <c r="R204" s="155" t="s">
        <v>162</v>
      </c>
      <c r="S204" s="42">
        <f>S193</f>
        <v>56</v>
      </c>
      <c r="AI204" s="155" t="s">
        <v>162</v>
      </c>
      <c r="AJ204" s="42">
        <f>AJ193</f>
        <v>112</v>
      </c>
    </row>
    <row r="206" spans="2:54">
      <c r="C206" t="s">
        <v>167</v>
      </c>
      <c r="S206" t="s">
        <v>167</v>
      </c>
      <c r="AJ206" t="s">
        <v>167</v>
      </c>
    </row>
    <row r="207" spans="2:54" ht="16.5">
      <c r="C207" t="s">
        <v>170</v>
      </c>
      <c r="D207" s="159" t="s">
        <v>172</v>
      </c>
      <c r="E207" s="42">
        <f>(C201+C202)/2</f>
        <v>124.74429261219311</v>
      </c>
      <c r="S207" t="s">
        <v>170</v>
      </c>
      <c r="T207" s="159" t="s">
        <v>172</v>
      </c>
      <c r="U207" s="42">
        <f>(S201+S202)/2</f>
        <v>185.19658785407307</v>
      </c>
      <c r="AJ207" t="s">
        <v>170</v>
      </c>
      <c r="AK207" s="159" t="s">
        <v>172</v>
      </c>
      <c r="AL207" s="42">
        <f>(AJ201+AJ202)/2</f>
        <v>308.64649087302104</v>
      </c>
    </row>
    <row r="208" spans="2:54" ht="16.5">
      <c r="C208" t="s">
        <v>173</v>
      </c>
      <c r="D208" s="159" t="s">
        <v>171</v>
      </c>
      <c r="E208" s="42">
        <f>(C201-C202)/2</f>
        <v>74.744292612193107</v>
      </c>
      <c r="S208" t="s">
        <v>173</v>
      </c>
      <c r="T208" s="159" t="s">
        <v>171</v>
      </c>
      <c r="U208" s="42">
        <f>(S201-S202)/2</f>
        <v>85.196587854073073</v>
      </c>
      <c r="AJ208" t="s">
        <v>173</v>
      </c>
      <c r="AK208" s="159" t="s">
        <v>171</v>
      </c>
      <c r="AL208" s="42">
        <f>(AJ201-AJ202)/2</f>
        <v>108.64649087302104</v>
      </c>
    </row>
    <row r="210" spans="2:42">
      <c r="C210" t="s">
        <v>174</v>
      </c>
      <c r="S210" t="s">
        <v>174</v>
      </c>
      <c r="AJ210" t="s">
        <v>174</v>
      </c>
    </row>
    <row r="211" spans="2:42">
      <c r="C211" t="s">
        <v>170</v>
      </c>
      <c r="E211" s="42">
        <f>(C203+C204)/2</f>
        <v>102.74429261219311</v>
      </c>
      <c r="S211" t="s">
        <v>170</v>
      </c>
      <c r="U211" s="42">
        <f>(S203+S204)/2</f>
        <v>141.19658785407307</v>
      </c>
      <c r="AJ211" t="s">
        <v>170</v>
      </c>
      <c r="AL211" s="42">
        <f>(AJ203+AJ204)/2</f>
        <v>220.64649087302104</v>
      </c>
    </row>
    <row r="212" spans="2:42">
      <c r="C212" t="s">
        <v>175</v>
      </c>
      <c r="E212" s="42">
        <f>(C203-C204)/2</f>
        <v>74.744292612193107</v>
      </c>
      <c r="S212" t="s">
        <v>175</v>
      </c>
      <c r="U212" s="42">
        <f>(S203-S204)/2</f>
        <v>85.196587854073073</v>
      </c>
      <c r="AJ212" t="s">
        <v>175</v>
      </c>
      <c r="AL212" s="42">
        <f>(AJ203-AJ204)/2</f>
        <v>108.64649087302104</v>
      </c>
    </row>
    <row r="215" spans="2:42">
      <c r="C215" s="1956" t="s">
        <v>167</v>
      </c>
      <c r="D215" s="1956"/>
      <c r="G215" s="1956" t="s">
        <v>174</v>
      </c>
      <c r="H215" s="1956"/>
      <c r="S215" t="s">
        <v>167</v>
      </c>
      <c r="W215" t="s">
        <v>174</v>
      </c>
      <c r="AJ215" t="s">
        <v>167</v>
      </c>
      <c r="AN215" t="s">
        <v>174</v>
      </c>
    </row>
    <row r="216" spans="2:42">
      <c r="B216" t="s">
        <v>176</v>
      </c>
      <c r="C216" s="160" t="s">
        <v>177</v>
      </c>
      <c r="D216" s="160" t="s">
        <v>98</v>
      </c>
      <c r="E216" s="800"/>
      <c r="G216" s="160" t="s">
        <v>178</v>
      </c>
      <c r="H216" s="160" t="s">
        <v>179</v>
      </c>
      <c r="I216" s="801"/>
      <c r="R216" t="s">
        <v>176</v>
      </c>
      <c r="S216" s="160" t="s">
        <v>177</v>
      </c>
      <c r="T216" s="160" t="s">
        <v>98</v>
      </c>
      <c r="U216" s="160" t="s">
        <v>98</v>
      </c>
      <c r="W216" s="160" t="s">
        <v>178</v>
      </c>
      <c r="X216" s="160" t="s">
        <v>179</v>
      </c>
      <c r="Y216" s="801"/>
      <c r="AI216" t="s">
        <v>176</v>
      </c>
      <c r="AJ216" s="160" t="s">
        <v>177</v>
      </c>
      <c r="AK216" s="160" t="s">
        <v>98</v>
      </c>
      <c r="AL216" s="801"/>
      <c r="AN216" s="160" t="s">
        <v>178</v>
      </c>
      <c r="AO216" s="160" t="s">
        <v>179</v>
      </c>
      <c r="AP216" s="801"/>
    </row>
    <row r="217" spans="2:42">
      <c r="B217">
        <v>0</v>
      </c>
      <c r="C217" s="42">
        <f>$E$207+E$208*COS(RADIANS(B217))</f>
        <v>199.48858522438621</v>
      </c>
      <c r="D217">
        <f t="shared" ref="D217:D253" si="58">IF($D$7="",NA(),$E$208*SIN(RADIANS(B217)))</f>
        <v>0</v>
      </c>
      <c r="G217" s="42">
        <f t="shared" ref="G217:G253" si="59">$E$211+E$212*COS(RADIANS(B217))</f>
        <v>177.48858522438621</v>
      </c>
      <c r="H217">
        <f t="shared" ref="H217:H253" si="60">IF($D$7="",NA(),$E$212*SIN(RADIANS(B217)))</f>
        <v>0</v>
      </c>
      <c r="R217">
        <v>0</v>
      </c>
      <c r="S217" s="42">
        <f t="shared" ref="S217:S253" si="61">$U$207+$U$208*COS(RADIANS(R217))</f>
        <v>270.39317570814615</v>
      </c>
      <c r="T217" s="21">
        <f t="shared" ref="T217:T253" si="62">IF($D$7="",NA(),$U$208*SIN(RADIANS(R217)))</f>
        <v>0</v>
      </c>
      <c r="U217">
        <f t="shared" ref="U217:U253" si="63">IF($D$7="",NA(),T217)</f>
        <v>0</v>
      </c>
      <c r="W217" s="42">
        <f t="shared" ref="W217:W253" si="64">$U$211+$U$212*COS(RADIANS(R217))</f>
        <v>226.39317570814615</v>
      </c>
      <c r="X217">
        <f t="shared" ref="X217:X253" si="65">IF($D$7="",NA(),$U$212*SIN(RADIANS(R217)))</f>
        <v>0</v>
      </c>
      <c r="AI217">
        <v>0</v>
      </c>
      <c r="AJ217" s="42">
        <f t="shared" ref="AJ217:AJ253" si="66">$AL$207+$AL$208*COS(RADIANS(AI217))</f>
        <v>417.29298174604207</v>
      </c>
      <c r="AK217" s="21">
        <f t="shared" ref="AK217:AK253" si="67">IF($D$7="",NA(),$AL$208*SIN(RADIANS(AI217)))</f>
        <v>0</v>
      </c>
      <c r="AN217" s="42">
        <f t="shared" ref="AN217:AN253" si="68">$AL$211+$AL$212*COS(RADIANS(AI217))</f>
        <v>329.29298174604207</v>
      </c>
      <c r="AO217">
        <f t="shared" ref="AO217:AO253" si="69">IF($D$7="",NA(),$AL$212*SIN(RADIANS(AI217)))</f>
        <v>0</v>
      </c>
    </row>
    <row r="218" spans="2:42">
      <c r="B218">
        <f>B217+5</f>
        <v>5</v>
      </c>
      <c r="C218" s="111">
        <f t="shared" ref="C218:C253" si="70">$E$207+E$208*COS(RADIANS(B218))</f>
        <v>199.20416062507792</v>
      </c>
      <c r="D218" s="42">
        <f t="shared" si="58"/>
        <v>6.5143943387639895</v>
      </c>
      <c r="G218" s="111">
        <f>$E$211+E$212*COS(RADIANS(B218))</f>
        <v>177.20416062507792</v>
      </c>
      <c r="H218">
        <f t="shared" si="60"/>
        <v>6.5143943387639895</v>
      </c>
      <c r="R218">
        <f>R217+5</f>
        <v>5</v>
      </c>
      <c r="S218" s="42">
        <f t="shared" si="61"/>
        <v>270.06897696980826</v>
      </c>
      <c r="T218" s="78">
        <f t="shared" si="62"/>
        <v>7.425371893987851</v>
      </c>
      <c r="U218">
        <f t="shared" si="63"/>
        <v>7.425371893987851</v>
      </c>
      <c r="W218" s="42">
        <f t="shared" si="64"/>
        <v>226.06897696980826</v>
      </c>
      <c r="X218" s="42">
        <f t="shared" si="65"/>
        <v>7.425371893987851</v>
      </c>
      <c r="AI218">
        <f>AI217+5</f>
        <v>5</v>
      </c>
      <c r="AJ218" s="42">
        <f t="shared" si="66"/>
        <v>416.87954904699779</v>
      </c>
      <c r="AK218" s="78">
        <f t="shared" si="67"/>
        <v>9.4691656089648131</v>
      </c>
      <c r="AN218" s="42">
        <f t="shared" si="68"/>
        <v>328.87954904699779</v>
      </c>
      <c r="AO218">
        <f t="shared" si="69"/>
        <v>9.4691656089648131</v>
      </c>
    </row>
    <row r="219" spans="2:42">
      <c r="B219">
        <f t="shared" ref="B219:B253" si="71">B218+5</f>
        <v>10</v>
      </c>
      <c r="C219" s="111">
        <f t="shared" si="70"/>
        <v>198.35305147009399</v>
      </c>
      <c r="D219" s="42">
        <f t="shared" si="58"/>
        <v>12.979210203111137</v>
      </c>
      <c r="G219" s="111">
        <f t="shared" si="59"/>
        <v>176.35305147009399</v>
      </c>
      <c r="H219">
        <f t="shared" si="60"/>
        <v>12.979210203111137</v>
      </c>
      <c r="R219">
        <f t="shared" ref="R219:R253" si="72">R218+5</f>
        <v>10</v>
      </c>
      <c r="S219" s="42">
        <f t="shared" si="61"/>
        <v>269.09884810294994</v>
      </c>
      <c r="T219" s="78">
        <f t="shared" si="62"/>
        <v>14.79423222430032</v>
      </c>
      <c r="U219">
        <f t="shared" si="63"/>
        <v>14.79423222430032</v>
      </c>
      <c r="W219" s="42">
        <f t="shared" si="64"/>
        <v>225.09884810294994</v>
      </c>
      <c r="X219" s="42">
        <f t="shared" si="65"/>
        <v>14.79423222430032</v>
      </c>
      <c r="AI219">
        <f t="shared" ref="AI219:AI253" si="73">AI218+5</f>
        <v>10</v>
      </c>
      <c r="AJ219" s="42">
        <f t="shared" si="66"/>
        <v>415.64239742234224</v>
      </c>
      <c r="AK219" s="78">
        <f t="shared" si="67"/>
        <v>18.866265150006882</v>
      </c>
      <c r="AN219" s="42">
        <f t="shared" si="68"/>
        <v>327.64239742234224</v>
      </c>
      <c r="AO219">
        <f t="shared" si="69"/>
        <v>18.866265150006882</v>
      </c>
    </row>
    <row r="220" spans="2:42">
      <c r="B220">
        <f t="shared" si="71"/>
        <v>15</v>
      </c>
      <c r="C220" s="111">
        <f t="shared" si="70"/>
        <v>196.94173521401763</v>
      </c>
      <c r="D220" s="42">
        <f t="shared" si="58"/>
        <v>19.345246440751215</v>
      </c>
      <c r="G220" s="111">
        <f t="shared" si="59"/>
        <v>174.94173521401763</v>
      </c>
      <c r="H220">
        <f t="shared" si="60"/>
        <v>19.345246440751215</v>
      </c>
      <c r="R220">
        <f t="shared" si="72"/>
        <v>15</v>
      </c>
      <c r="S220" s="42">
        <f t="shared" si="61"/>
        <v>267.49017237402779</v>
      </c>
      <c r="T220" s="78">
        <f t="shared" si="62"/>
        <v>22.05049951438421</v>
      </c>
      <c r="U220">
        <f t="shared" si="63"/>
        <v>22.05049951438421</v>
      </c>
      <c r="W220" s="42">
        <f t="shared" si="64"/>
        <v>223.49017237402779</v>
      </c>
      <c r="X220" s="42">
        <f t="shared" si="65"/>
        <v>22.05049951438421</v>
      </c>
      <c r="AI220">
        <f t="shared" si="73"/>
        <v>15</v>
      </c>
      <c r="AJ220" s="42">
        <f t="shared" si="66"/>
        <v>413.59094234295162</v>
      </c>
      <c r="AK220" s="78">
        <f t="shared" si="67"/>
        <v>28.11978102149504</v>
      </c>
      <c r="AN220" s="42">
        <f t="shared" si="68"/>
        <v>325.59094234295162</v>
      </c>
      <c r="AO220">
        <f t="shared" si="69"/>
        <v>28.11978102149504</v>
      </c>
    </row>
    <row r="221" spans="2:42">
      <c r="B221">
        <f t="shared" si="71"/>
        <v>20</v>
      </c>
      <c r="C221" s="111">
        <f t="shared" si="70"/>
        <v>194.98095282573365</v>
      </c>
      <c r="D221" s="42">
        <f t="shared" si="58"/>
        <v>25.564053671998007</v>
      </c>
      <c r="G221" s="111">
        <f t="shared" si="59"/>
        <v>172.98095282573365</v>
      </c>
      <c r="H221">
        <f t="shared" si="60"/>
        <v>25.564053671998007</v>
      </c>
      <c r="R221">
        <f t="shared" si="72"/>
        <v>20</v>
      </c>
      <c r="S221" s="42">
        <f t="shared" si="61"/>
        <v>265.25519277668388</v>
      </c>
      <c r="T221" s="78">
        <f t="shared" si="62"/>
        <v>29.138949188707997</v>
      </c>
      <c r="U221">
        <f t="shared" si="63"/>
        <v>29.138949188707997</v>
      </c>
      <c r="W221" s="42">
        <f t="shared" si="64"/>
        <v>221.25519277668388</v>
      </c>
      <c r="X221" s="42">
        <f t="shared" si="65"/>
        <v>29.138949188707997</v>
      </c>
      <c r="AI221">
        <f t="shared" si="73"/>
        <v>20</v>
      </c>
      <c r="AJ221" s="42">
        <f t="shared" si="66"/>
        <v>410.74079662068243</v>
      </c>
      <c r="AK221" s="78">
        <f t="shared" si="67"/>
        <v>37.159288380221611</v>
      </c>
      <c r="AN221" s="42">
        <f t="shared" si="68"/>
        <v>322.74079662068243</v>
      </c>
      <c r="AO221">
        <f t="shared" si="69"/>
        <v>37.159288380221611</v>
      </c>
    </row>
    <row r="222" spans="2:42">
      <c r="B222">
        <f t="shared" si="71"/>
        <v>25</v>
      </c>
      <c r="C222" s="111">
        <f t="shared" si="70"/>
        <v>192.48562704316964</v>
      </c>
      <c r="D222" s="42">
        <f t="shared" si="58"/>
        <v>31.588303018803256</v>
      </c>
      <c r="G222" s="111">
        <f t="shared" si="59"/>
        <v>170.48562704316964</v>
      </c>
      <c r="H222">
        <f t="shared" si="60"/>
        <v>31.588303018803256</v>
      </c>
      <c r="R222">
        <f t="shared" si="72"/>
        <v>25</v>
      </c>
      <c r="S222" s="42">
        <f t="shared" si="61"/>
        <v>262.41091885517159</v>
      </c>
      <c r="T222" s="78">
        <f t="shared" si="62"/>
        <v>36.005633865127152</v>
      </c>
      <c r="U222">
        <f t="shared" si="63"/>
        <v>36.005633865127152</v>
      </c>
      <c r="W222" s="42">
        <f t="shared" si="64"/>
        <v>218.41091885517159</v>
      </c>
      <c r="X222" s="42">
        <f t="shared" si="65"/>
        <v>36.005633865127152</v>
      </c>
      <c r="AI222">
        <f t="shared" si="73"/>
        <v>25</v>
      </c>
      <c r="AJ222" s="42">
        <f t="shared" si="66"/>
        <v>407.11365158544629</v>
      </c>
      <c r="AK222" s="78">
        <f t="shared" si="67"/>
        <v>45.915991116982916</v>
      </c>
      <c r="AN222" s="42">
        <f t="shared" si="68"/>
        <v>319.11365158544629</v>
      </c>
      <c r="AO222">
        <f t="shared" si="69"/>
        <v>45.915991116982916</v>
      </c>
    </row>
    <row r="223" spans="2:42">
      <c r="B223">
        <f t="shared" si="71"/>
        <v>30</v>
      </c>
      <c r="C223" s="111">
        <f t="shared" si="70"/>
        <v>189.47474880224988</v>
      </c>
      <c r="D223" s="42">
        <f t="shared" si="58"/>
        <v>37.372146306096546</v>
      </c>
      <c r="G223" s="111">
        <f t="shared" si="59"/>
        <v>167.47474880224988</v>
      </c>
      <c r="H223">
        <f t="shared" si="60"/>
        <v>37.372146306096546</v>
      </c>
      <c r="R223">
        <f t="shared" si="72"/>
        <v>30</v>
      </c>
      <c r="S223" s="42">
        <f t="shared" si="61"/>
        <v>258.97899725145311</v>
      </c>
      <c r="T223" s="78">
        <f t="shared" si="62"/>
        <v>42.598293927036529</v>
      </c>
      <c r="U223">
        <f t="shared" si="63"/>
        <v>42.598293927036529</v>
      </c>
      <c r="W223" s="42">
        <f t="shared" si="64"/>
        <v>214.97899725145311</v>
      </c>
      <c r="X223" s="42">
        <f t="shared" si="65"/>
        <v>42.598293927036529</v>
      </c>
      <c r="AI223">
        <f t="shared" si="73"/>
        <v>30</v>
      </c>
      <c r="AJ223" s="42">
        <f t="shared" si="66"/>
        <v>402.73711200109142</v>
      </c>
      <c r="AK223" s="78">
        <f t="shared" si="67"/>
        <v>54.323245436510511</v>
      </c>
      <c r="AN223" s="42">
        <f t="shared" si="68"/>
        <v>314.73711200109142</v>
      </c>
      <c r="AO223">
        <f t="shared" si="69"/>
        <v>54.323245436510511</v>
      </c>
    </row>
    <row r="224" spans="2:42">
      <c r="B224">
        <f t="shared" si="71"/>
        <v>35</v>
      </c>
      <c r="C224" s="111">
        <f t="shared" si="70"/>
        <v>185.97123270440568</v>
      </c>
      <c r="D224" s="42">
        <f t="shared" si="58"/>
        <v>42.871564994081538</v>
      </c>
      <c r="G224" s="111">
        <f t="shared" si="59"/>
        <v>163.97123270440568</v>
      </c>
      <c r="H224">
        <f t="shared" si="60"/>
        <v>42.871564994081538</v>
      </c>
      <c r="R224">
        <f t="shared" si="72"/>
        <v>35</v>
      </c>
      <c r="S224" s="42">
        <f t="shared" si="61"/>
        <v>254.98554696118373</v>
      </c>
      <c r="T224" s="78">
        <f t="shared" si="62"/>
        <v>48.866755250608044</v>
      </c>
      <c r="U224">
        <f t="shared" si="63"/>
        <v>48.866755250608044</v>
      </c>
      <c r="W224" s="42">
        <f t="shared" si="64"/>
        <v>210.98554696118373</v>
      </c>
      <c r="X224" s="42">
        <f t="shared" si="65"/>
        <v>48.866755250608044</v>
      </c>
      <c r="AI224">
        <f t="shared" si="73"/>
        <v>35</v>
      </c>
      <c r="AJ224" s="42">
        <f t="shared" si="66"/>
        <v>397.64448597648152</v>
      </c>
      <c r="AK224" s="78">
        <f t="shared" si="67"/>
        <v>62.317067056993857</v>
      </c>
      <c r="AN224" s="42">
        <f t="shared" si="68"/>
        <v>309.64448597648152</v>
      </c>
      <c r="AO224">
        <f t="shared" si="69"/>
        <v>62.317067056993857</v>
      </c>
    </row>
    <row r="225" spans="2:41">
      <c r="B225">
        <f t="shared" si="71"/>
        <v>40</v>
      </c>
      <c r="C225" s="111">
        <f t="shared" si="70"/>
        <v>182.00174262262252</v>
      </c>
      <c r="D225" s="42">
        <f t="shared" si="58"/>
        <v>48.044705185902863</v>
      </c>
      <c r="G225" s="111">
        <f t="shared" si="59"/>
        <v>160.00174262262252</v>
      </c>
      <c r="H225">
        <f t="shared" si="60"/>
        <v>48.044705185902863</v>
      </c>
      <c r="R225">
        <f t="shared" si="72"/>
        <v>40</v>
      </c>
      <c r="S225" s="42">
        <f t="shared" si="61"/>
        <v>250.46096055238357</v>
      </c>
      <c r="T225" s="78">
        <f t="shared" si="62"/>
        <v>54.763311060168874</v>
      </c>
      <c r="U225">
        <f t="shared" si="63"/>
        <v>54.763311060168874</v>
      </c>
      <c r="W225" s="42">
        <f t="shared" si="64"/>
        <v>206.46096055238357</v>
      </c>
      <c r="X225" s="42">
        <f t="shared" si="65"/>
        <v>54.763311060168874</v>
      </c>
      <c r="AI225">
        <f t="shared" si="73"/>
        <v>40</v>
      </c>
      <c r="AJ225" s="42">
        <f t="shared" si="66"/>
        <v>391.87453147067555</v>
      </c>
      <c r="AK225" s="78">
        <f t="shared" si="67"/>
        <v>69.836618169099594</v>
      </c>
      <c r="AN225" s="42">
        <f t="shared" si="68"/>
        <v>303.87453147067555</v>
      </c>
      <c r="AO225">
        <f t="shared" si="69"/>
        <v>69.836618169099594</v>
      </c>
    </row>
    <row r="226" spans="2:41">
      <c r="B226">
        <f t="shared" si="71"/>
        <v>45</v>
      </c>
      <c r="C226" s="111">
        <f t="shared" si="70"/>
        <v>177.59648877326643</v>
      </c>
      <c r="D226" s="42">
        <f t="shared" si="58"/>
        <v>52.852196161073309</v>
      </c>
      <c r="G226" s="111">
        <f t="shared" si="59"/>
        <v>155.59648877326643</v>
      </c>
      <c r="H226">
        <f t="shared" si="60"/>
        <v>52.852196161073309</v>
      </c>
      <c r="R226">
        <f t="shared" si="72"/>
        <v>45</v>
      </c>
      <c r="S226" s="42">
        <f t="shared" si="61"/>
        <v>245.43967285964359</v>
      </c>
      <c r="T226" s="78">
        <f t="shared" si="62"/>
        <v>60.243085005570514</v>
      </c>
      <c r="U226">
        <f t="shared" si="63"/>
        <v>60.243085005570514</v>
      </c>
      <c r="W226" s="42">
        <f t="shared" si="64"/>
        <v>201.43967285964359</v>
      </c>
      <c r="X226" s="42">
        <f t="shared" si="65"/>
        <v>60.243085005570514</v>
      </c>
      <c r="AI226">
        <f t="shared" si="73"/>
        <v>45</v>
      </c>
      <c r="AJ226" s="42">
        <f t="shared" si="66"/>
        <v>385.47116132145658</v>
      </c>
      <c r="AK226" s="78">
        <f t="shared" si="67"/>
        <v>76.824670448435512</v>
      </c>
      <c r="AN226" s="42">
        <f t="shared" si="68"/>
        <v>297.47116132145658</v>
      </c>
      <c r="AO226">
        <f t="shared" si="69"/>
        <v>76.824670448435512</v>
      </c>
    </row>
    <row r="227" spans="2:41">
      <c r="B227">
        <f t="shared" si="71"/>
        <v>50</v>
      </c>
      <c r="C227" s="111">
        <f t="shared" si="70"/>
        <v>172.78899779809598</v>
      </c>
      <c r="D227" s="42">
        <f t="shared" si="58"/>
        <v>57.257450010429409</v>
      </c>
      <c r="G227" s="111">
        <f t="shared" si="59"/>
        <v>150.78899779809598</v>
      </c>
      <c r="H227">
        <f t="shared" si="60"/>
        <v>57.257450010429409</v>
      </c>
      <c r="R227">
        <f t="shared" si="72"/>
        <v>50</v>
      </c>
      <c r="S227" s="42">
        <f t="shared" si="61"/>
        <v>239.95989891424196</v>
      </c>
      <c r="T227" s="78">
        <f t="shared" si="62"/>
        <v>65.264372698310495</v>
      </c>
      <c r="U227">
        <f t="shared" si="63"/>
        <v>65.264372698310495</v>
      </c>
      <c r="W227" s="42">
        <f t="shared" si="64"/>
        <v>195.95989891424196</v>
      </c>
      <c r="X227" s="42">
        <f t="shared" si="65"/>
        <v>65.264372698310495</v>
      </c>
      <c r="AI227">
        <f t="shared" si="73"/>
        <v>50</v>
      </c>
      <c r="AJ227" s="42">
        <f t="shared" si="66"/>
        <v>378.48310904212065</v>
      </c>
      <c r="AK227" s="78">
        <f t="shared" si="67"/>
        <v>83.228040597654527</v>
      </c>
      <c r="AN227" s="42">
        <f t="shared" si="68"/>
        <v>290.48310904212065</v>
      </c>
      <c r="AO227">
        <f t="shared" si="69"/>
        <v>83.228040597654527</v>
      </c>
    </row>
    <row r="228" spans="2:41">
      <c r="B228">
        <f t="shared" si="71"/>
        <v>55</v>
      </c>
      <c r="C228" s="111">
        <f t="shared" si="70"/>
        <v>167.61585760627466</v>
      </c>
      <c r="D228" s="42">
        <f t="shared" si="58"/>
        <v>61.226940092212573</v>
      </c>
      <c r="G228" s="111">
        <f t="shared" si="59"/>
        <v>145.61585760627466</v>
      </c>
      <c r="H228">
        <f t="shared" si="60"/>
        <v>61.226940092212573</v>
      </c>
      <c r="R228">
        <f t="shared" si="72"/>
        <v>55</v>
      </c>
      <c r="S228" s="42">
        <f t="shared" si="61"/>
        <v>234.06334310468114</v>
      </c>
      <c r="T228" s="78">
        <f t="shared" si="62"/>
        <v>69.788959107110642</v>
      </c>
      <c r="U228">
        <f t="shared" si="63"/>
        <v>69.788959107110642</v>
      </c>
      <c r="W228" s="42">
        <f t="shared" si="64"/>
        <v>190.06334310468114</v>
      </c>
      <c r="X228" s="42">
        <f t="shared" si="65"/>
        <v>69.788959107110642</v>
      </c>
      <c r="AI228">
        <f t="shared" si="73"/>
        <v>55</v>
      </c>
      <c r="AJ228" s="42">
        <f t="shared" si="66"/>
        <v>370.96355793001493</v>
      </c>
      <c r="AK228" s="78">
        <f t="shared" si="67"/>
        <v>88.997995103460468</v>
      </c>
      <c r="AN228" s="42">
        <f t="shared" si="68"/>
        <v>282.96355793001493</v>
      </c>
      <c r="AO228">
        <f t="shared" si="69"/>
        <v>88.997995103460468</v>
      </c>
    </row>
    <row r="229" spans="2:41">
      <c r="B229">
        <f t="shared" si="71"/>
        <v>60</v>
      </c>
      <c r="C229" s="111">
        <f t="shared" si="70"/>
        <v>162.11643891828967</v>
      </c>
      <c r="D229" s="42">
        <f t="shared" si="58"/>
        <v>64.730456190056771</v>
      </c>
      <c r="G229" s="111">
        <f t="shared" si="59"/>
        <v>140.11643891828967</v>
      </c>
      <c r="H229">
        <f t="shared" si="60"/>
        <v>64.730456190056771</v>
      </c>
      <c r="R229">
        <f t="shared" si="72"/>
        <v>60</v>
      </c>
      <c r="S229" s="42">
        <f t="shared" si="61"/>
        <v>227.79488178110961</v>
      </c>
      <c r="T229" s="78">
        <f t="shared" si="62"/>
        <v>73.782409397380036</v>
      </c>
      <c r="U229">
        <f t="shared" si="63"/>
        <v>73.782409397380036</v>
      </c>
      <c r="W229" s="42">
        <f t="shared" si="64"/>
        <v>183.79488178110961</v>
      </c>
      <c r="X229" s="42">
        <f t="shared" si="65"/>
        <v>73.782409397380036</v>
      </c>
      <c r="AI229">
        <f t="shared" si="73"/>
        <v>60</v>
      </c>
      <c r="AJ229" s="42">
        <f t="shared" si="66"/>
        <v>362.96973630953158</v>
      </c>
      <c r="AK229" s="78">
        <f t="shared" si="67"/>
        <v>94.090621128070367</v>
      </c>
      <c r="AN229" s="42">
        <f t="shared" si="68"/>
        <v>274.96973630953158</v>
      </c>
      <c r="AO229">
        <f t="shared" si="69"/>
        <v>94.090621128070367</v>
      </c>
    </row>
    <row r="230" spans="2:41">
      <c r="B230">
        <f t="shared" si="71"/>
        <v>65</v>
      </c>
      <c r="C230" s="111">
        <f t="shared" si="70"/>
        <v>156.33259563099637</v>
      </c>
      <c r="D230" s="42">
        <f t="shared" si="58"/>
        <v>67.741334430976551</v>
      </c>
      <c r="G230" s="111">
        <f t="shared" si="59"/>
        <v>134.33259563099637</v>
      </c>
      <c r="H230">
        <f t="shared" si="60"/>
        <v>67.741334430976551</v>
      </c>
      <c r="R230">
        <f t="shared" si="72"/>
        <v>65</v>
      </c>
      <c r="S230" s="42">
        <f t="shared" si="61"/>
        <v>221.20222171920022</v>
      </c>
      <c r="T230" s="78">
        <f t="shared" si="62"/>
        <v>77.2143310010985</v>
      </c>
      <c r="U230">
        <f t="shared" si="63"/>
        <v>77.2143310010985</v>
      </c>
      <c r="W230" s="42">
        <f t="shared" si="64"/>
        <v>177.20222171920022</v>
      </c>
      <c r="X230" s="42">
        <f t="shared" si="65"/>
        <v>77.2143310010985</v>
      </c>
      <c r="AI230">
        <f t="shared" si="73"/>
        <v>65</v>
      </c>
      <c r="AJ230" s="42">
        <f t="shared" si="66"/>
        <v>354.56248199000396</v>
      </c>
      <c r="AK230" s="78">
        <f t="shared" si="67"/>
        <v>98.467160712425283</v>
      </c>
      <c r="AN230" s="42">
        <f t="shared" si="68"/>
        <v>266.56248199000396</v>
      </c>
      <c r="AO230">
        <f t="shared" si="69"/>
        <v>98.467160712425283</v>
      </c>
    </row>
    <row r="231" spans="2:41">
      <c r="B231">
        <f t="shared" si="71"/>
        <v>70</v>
      </c>
      <c r="C231" s="111">
        <f t="shared" si="70"/>
        <v>150.30834628419112</v>
      </c>
      <c r="D231" s="42">
        <f t="shared" si="58"/>
        <v>70.236660213540546</v>
      </c>
      <c r="G231" s="111">
        <f t="shared" si="59"/>
        <v>128.30834628419112</v>
      </c>
      <c r="H231">
        <f t="shared" si="60"/>
        <v>70.236660213540546</v>
      </c>
      <c r="R231">
        <f t="shared" si="72"/>
        <v>70</v>
      </c>
      <c r="S231" s="42">
        <f t="shared" si="61"/>
        <v>214.33553704278108</v>
      </c>
      <c r="T231" s="78">
        <f t="shared" si="62"/>
        <v>80.058604922610812</v>
      </c>
      <c r="U231">
        <f t="shared" si="63"/>
        <v>80.058604922610812</v>
      </c>
      <c r="W231" s="42">
        <f t="shared" si="64"/>
        <v>170.33553704278108</v>
      </c>
      <c r="X231" s="42">
        <f t="shared" si="65"/>
        <v>80.058604922610812</v>
      </c>
      <c r="AI231">
        <f t="shared" si="73"/>
        <v>70</v>
      </c>
      <c r="AJ231" s="42">
        <f t="shared" si="66"/>
        <v>345.80577925324269</v>
      </c>
      <c r="AK231" s="78">
        <f t="shared" si="67"/>
        <v>102.09430574766141</v>
      </c>
      <c r="AN231" s="42">
        <f t="shared" si="68"/>
        <v>257.80577925324269</v>
      </c>
      <c r="AO231">
        <f t="shared" si="69"/>
        <v>102.09430574766141</v>
      </c>
    </row>
    <row r="232" spans="2:41">
      <c r="B232">
        <f t="shared" si="71"/>
        <v>75</v>
      </c>
      <c r="C232" s="111">
        <f t="shared" si="70"/>
        <v>144.08953905294433</v>
      </c>
      <c r="D232" s="42">
        <f t="shared" si="58"/>
        <v>72.197442601824534</v>
      </c>
      <c r="G232" s="111">
        <f t="shared" si="59"/>
        <v>122.08953905294432</v>
      </c>
      <c r="H232">
        <f t="shared" si="60"/>
        <v>72.197442601824534</v>
      </c>
      <c r="R232">
        <f t="shared" si="72"/>
        <v>75</v>
      </c>
      <c r="S232" s="42">
        <f t="shared" si="61"/>
        <v>207.24708736845727</v>
      </c>
      <c r="T232" s="78">
        <f t="shared" si="62"/>
        <v>82.293584519954734</v>
      </c>
      <c r="U232">
        <f t="shared" si="63"/>
        <v>82.293584519954734</v>
      </c>
      <c r="W232" s="42">
        <f t="shared" si="64"/>
        <v>163.24708736845727</v>
      </c>
      <c r="X232" s="42">
        <f t="shared" si="65"/>
        <v>82.293584519954734</v>
      </c>
      <c r="AI232">
        <f t="shared" si="73"/>
        <v>75</v>
      </c>
      <c r="AJ232" s="42">
        <f t="shared" si="66"/>
        <v>336.76627189451608</v>
      </c>
      <c r="AK232" s="78">
        <f t="shared" si="67"/>
        <v>104.94445146993057</v>
      </c>
      <c r="AN232" s="42">
        <f t="shared" si="68"/>
        <v>248.76627189451608</v>
      </c>
      <c r="AO232">
        <f t="shared" si="69"/>
        <v>104.94445146993057</v>
      </c>
    </row>
    <row r="233" spans="2:41">
      <c r="B233">
        <f t="shared" si="71"/>
        <v>80</v>
      </c>
      <c r="C233" s="111">
        <f t="shared" si="70"/>
        <v>137.72350281530424</v>
      </c>
      <c r="D233" s="42">
        <f t="shared" si="58"/>
        <v>73.608758857900867</v>
      </c>
      <c r="G233" s="111">
        <f t="shared" si="59"/>
        <v>115.72350281530424</v>
      </c>
      <c r="H233">
        <f t="shared" si="60"/>
        <v>73.608758857900867</v>
      </c>
      <c r="R233">
        <f t="shared" si="72"/>
        <v>80</v>
      </c>
      <c r="S233" s="42">
        <f t="shared" si="61"/>
        <v>199.99082007837339</v>
      </c>
      <c r="T233" s="78">
        <f t="shared" si="62"/>
        <v>83.902260248876871</v>
      </c>
      <c r="U233">
        <f t="shared" si="63"/>
        <v>83.902260248876871</v>
      </c>
      <c r="W233" s="42">
        <f t="shared" si="64"/>
        <v>155.99082007837339</v>
      </c>
      <c r="X233" s="42">
        <f t="shared" si="65"/>
        <v>83.902260248876871</v>
      </c>
      <c r="AI233">
        <f t="shared" si="73"/>
        <v>80</v>
      </c>
      <c r="AJ233" s="42">
        <f t="shared" si="66"/>
        <v>327.51275602302792</v>
      </c>
      <c r="AK233" s="78">
        <f t="shared" si="67"/>
        <v>106.99590654932122</v>
      </c>
      <c r="AN233" s="42">
        <f t="shared" si="68"/>
        <v>239.51275602302792</v>
      </c>
      <c r="AO233">
        <f t="shared" si="69"/>
        <v>106.99590654932122</v>
      </c>
    </row>
    <row r="234" spans="2:41">
      <c r="B234">
        <f t="shared" si="71"/>
        <v>85</v>
      </c>
      <c r="C234" s="111">
        <f t="shared" si="70"/>
        <v>131.2586869509571</v>
      </c>
      <c r="D234" s="42">
        <f t="shared" si="58"/>
        <v>74.459868012884797</v>
      </c>
      <c r="G234" s="111">
        <f t="shared" si="59"/>
        <v>109.2586869509571</v>
      </c>
      <c r="H234">
        <f t="shared" si="60"/>
        <v>74.459868012884797</v>
      </c>
      <c r="R234">
        <f t="shared" si="72"/>
        <v>85</v>
      </c>
      <c r="S234" s="42">
        <f t="shared" si="61"/>
        <v>192.62195974806093</v>
      </c>
      <c r="T234" s="78">
        <f t="shared" si="62"/>
        <v>84.872389115735203</v>
      </c>
      <c r="U234">
        <f t="shared" si="63"/>
        <v>84.872389115735203</v>
      </c>
      <c r="W234" s="42">
        <f t="shared" si="64"/>
        <v>148.62195974806093</v>
      </c>
      <c r="X234" s="42">
        <f t="shared" si="65"/>
        <v>84.872389115735203</v>
      </c>
      <c r="AI234">
        <f t="shared" si="73"/>
        <v>85</v>
      </c>
      <c r="AJ234" s="42">
        <f t="shared" si="66"/>
        <v>318.11565648198587</v>
      </c>
      <c r="AK234" s="78">
        <f t="shared" si="67"/>
        <v>108.23305817397679</v>
      </c>
      <c r="AN234" s="42">
        <f t="shared" si="68"/>
        <v>230.11565648198584</v>
      </c>
      <c r="AO234">
        <f t="shared" si="69"/>
        <v>108.23305817397679</v>
      </c>
    </row>
    <row r="235" spans="2:41">
      <c r="B235">
        <f t="shared" si="71"/>
        <v>90</v>
      </c>
      <c r="C235" s="111">
        <f t="shared" si="70"/>
        <v>124.74429261219311</v>
      </c>
      <c r="D235" s="42">
        <f t="shared" si="58"/>
        <v>74.744292612193107</v>
      </c>
      <c r="G235" s="111">
        <f t="shared" si="59"/>
        <v>102.74429261219311</v>
      </c>
      <c r="H235">
        <f t="shared" si="60"/>
        <v>74.744292612193107</v>
      </c>
      <c r="R235">
        <f t="shared" si="72"/>
        <v>90</v>
      </c>
      <c r="S235" s="42">
        <f t="shared" si="61"/>
        <v>185.19658785407307</v>
      </c>
      <c r="T235" s="78">
        <f t="shared" si="62"/>
        <v>85.196587854073073</v>
      </c>
      <c r="U235">
        <f t="shared" si="63"/>
        <v>85.196587854073073</v>
      </c>
      <c r="W235" s="42">
        <f t="shared" si="64"/>
        <v>141.19658785407307</v>
      </c>
      <c r="X235" s="42">
        <f t="shared" si="65"/>
        <v>85.196587854073073</v>
      </c>
      <c r="AI235">
        <f t="shared" si="73"/>
        <v>90</v>
      </c>
      <c r="AJ235" s="42">
        <f t="shared" si="66"/>
        <v>308.64649087302104</v>
      </c>
      <c r="AK235" s="78">
        <f t="shared" si="67"/>
        <v>108.64649087302104</v>
      </c>
      <c r="AN235" s="42">
        <f t="shared" si="68"/>
        <v>220.64649087302104</v>
      </c>
      <c r="AO235">
        <f t="shared" si="69"/>
        <v>108.64649087302104</v>
      </c>
    </row>
    <row r="236" spans="2:41">
      <c r="B236">
        <f t="shared" si="71"/>
        <v>95</v>
      </c>
      <c r="C236" s="111">
        <f t="shared" si="70"/>
        <v>118.22989827342911</v>
      </c>
      <c r="D236" s="42">
        <f t="shared" si="58"/>
        <v>74.459868012884797</v>
      </c>
      <c r="G236" s="111">
        <f t="shared" si="59"/>
        <v>96.229898273429114</v>
      </c>
      <c r="H236">
        <f t="shared" si="60"/>
        <v>74.459868012884797</v>
      </c>
      <c r="R236">
        <f t="shared" si="72"/>
        <v>95</v>
      </c>
      <c r="S236" s="42">
        <f t="shared" si="61"/>
        <v>177.77121596008521</v>
      </c>
      <c r="T236" s="78">
        <f t="shared" si="62"/>
        <v>84.872389115735203</v>
      </c>
      <c r="U236">
        <f t="shared" si="63"/>
        <v>84.872389115735203</v>
      </c>
      <c r="W236" s="42">
        <f t="shared" si="64"/>
        <v>133.77121596008521</v>
      </c>
      <c r="X236" s="42">
        <f t="shared" si="65"/>
        <v>84.872389115735203</v>
      </c>
      <c r="AI236">
        <f t="shared" si="73"/>
        <v>95</v>
      </c>
      <c r="AJ236" s="42">
        <f t="shared" si="66"/>
        <v>299.17732526405621</v>
      </c>
      <c r="AK236" s="78">
        <f t="shared" si="67"/>
        <v>108.23305817397679</v>
      </c>
      <c r="AN236" s="42">
        <f t="shared" si="68"/>
        <v>211.17732526405621</v>
      </c>
      <c r="AO236">
        <f t="shared" si="69"/>
        <v>108.23305817397679</v>
      </c>
    </row>
    <row r="237" spans="2:41">
      <c r="B237">
        <f t="shared" si="71"/>
        <v>100</v>
      </c>
      <c r="C237" s="111">
        <f t="shared" si="70"/>
        <v>111.76508240908197</v>
      </c>
      <c r="D237" s="42">
        <f t="shared" si="58"/>
        <v>73.608758857900867</v>
      </c>
      <c r="G237" s="111">
        <f t="shared" si="59"/>
        <v>89.76508240908197</v>
      </c>
      <c r="H237">
        <f t="shared" si="60"/>
        <v>73.608758857900867</v>
      </c>
      <c r="R237">
        <f t="shared" si="72"/>
        <v>100</v>
      </c>
      <c r="S237" s="42">
        <f t="shared" si="61"/>
        <v>170.40235562977276</v>
      </c>
      <c r="T237" s="78">
        <f t="shared" si="62"/>
        <v>83.902260248876871</v>
      </c>
      <c r="U237">
        <f t="shared" si="63"/>
        <v>83.902260248876871</v>
      </c>
      <c r="W237" s="42">
        <f t="shared" si="64"/>
        <v>126.40235562977276</v>
      </c>
      <c r="X237" s="42">
        <f t="shared" si="65"/>
        <v>83.902260248876871</v>
      </c>
      <c r="AI237">
        <f t="shared" si="73"/>
        <v>100</v>
      </c>
      <c r="AJ237" s="42">
        <f t="shared" si="66"/>
        <v>289.78022572301415</v>
      </c>
      <c r="AK237" s="78">
        <f t="shared" si="67"/>
        <v>106.99590654932122</v>
      </c>
      <c r="AN237" s="42">
        <f t="shared" si="68"/>
        <v>201.78022572301415</v>
      </c>
      <c r="AO237">
        <f t="shared" si="69"/>
        <v>106.99590654932122</v>
      </c>
    </row>
    <row r="238" spans="2:41">
      <c r="B238">
        <f t="shared" si="71"/>
        <v>105</v>
      </c>
      <c r="C238" s="111">
        <f t="shared" si="70"/>
        <v>105.39904617144188</v>
      </c>
      <c r="D238" s="42">
        <f t="shared" si="58"/>
        <v>72.197442601824534</v>
      </c>
      <c r="G238" s="111">
        <f t="shared" si="59"/>
        <v>83.399046171441881</v>
      </c>
      <c r="H238">
        <f t="shared" si="60"/>
        <v>72.197442601824534</v>
      </c>
      <c r="R238">
        <f t="shared" si="72"/>
        <v>105</v>
      </c>
      <c r="S238" s="42">
        <f t="shared" si="61"/>
        <v>163.14608833968884</v>
      </c>
      <c r="T238" s="78">
        <f t="shared" si="62"/>
        <v>82.293584519954734</v>
      </c>
      <c r="U238">
        <f t="shared" si="63"/>
        <v>82.293584519954734</v>
      </c>
      <c r="W238" s="42">
        <f t="shared" si="64"/>
        <v>119.14608833968886</v>
      </c>
      <c r="X238" s="42">
        <f t="shared" si="65"/>
        <v>82.293584519954734</v>
      </c>
      <c r="AI238">
        <f t="shared" si="73"/>
        <v>105</v>
      </c>
      <c r="AJ238" s="42">
        <f t="shared" si="66"/>
        <v>280.52670985152599</v>
      </c>
      <c r="AK238" s="78">
        <f t="shared" si="67"/>
        <v>104.94445146993057</v>
      </c>
      <c r="AN238" s="42">
        <f t="shared" si="68"/>
        <v>192.52670985152599</v>
      </c>
      <c r="AO238">
        <f t="shared" si="69"/>
        <v>104.94445146993057</v>
      </c>
    </row>
    <row r="239" spans="2:41">
      <c r="B239">
        <f t="shared" si="71"/>
        <v>110</v>
      </c>
      <c r="C239" s="111">
        <f t="shared" si="70"/>
        <v>99.180238940195096</v>
      </c>
      <c r="D239" s="42">
        <f t="shared" si="58"/>
        <v>70.23666021354056</v>
      </c>
      <c r="G239" s="111">
        <f t="shared" si="59"/>
        <v>77.180238940195096</v>
      </c>
      <c r="H239">
        <f t="shared" si="60"/>
        <v>70.23666021354056</v>
      </c>
      <c r="R239">
        <f t="shared" si="72"/>
        <v>110</v>
      </c>
      <c r="S239" s="42">
        <f t="shared" si="61"/>
        <v>156.05763866536506</v>
      </c>
      <c r="T239" s="78">
        <f t="shared" si="62"/>
        <v>80.058604922610826</v>
      </c>
      <c r="U239">
        <f t="shared" si="63"/>
        <v>80.058604922610826</v>
      </c>
      <c r="W239" s="42">
        <f t="shared" si="64"/>
        <v>112.05763866536508</v>
      </c>
      <c r="X239" s="42">
        <f t="shared" si="65"/>
        <v>80.058604922610826</v>
      </c>
      <c r="AI239">
        <f t="shared" si="73"/>
        <v>110</v>
      </c>
      <c r="AJ239" s="42">
        <f t="shared" si="66"/>
        <v>271.48720249279944</v>
      </c>
      <c r="AK239" s="78">
        <f t="shared" si="67"/>
        <v>102.09430574766142</v>
      </c>
      <c r="AN239" s="42">
        <f t="shared" si="68"/>
        <v>183.48720249279944</v>
      </c>
      <c r="AO239">
        <f t="shared" si="69"/>
        <v>102.09430574766142</v>
      </c>
    </row>
    <row r="240" spans="2:41">
      <c r="B240">
        <f t="shared" si="71"/>
        <v>115</v>
      </c>
      <c r="C240" s="111">
        <f t="shared" si="70"/>
        <v>93.155989593389862</v>
      </c>
      <c r="D240" s="42">
        <f t="shared" si="58"/>
        <v>67.741334430976565</v>
      </c>
      <c r="G240" s="111">
        <f t="shared" si="59"/>
        <v>71.155989593389862</v>
      </c>
      <c r="H240">
        <f t="shared" si="60"/>
        <v>67.741334430976565</v>
      </c>
      <c r="R240">
        <f t="shared" si="72"/>
        <v>115</v>
      </c>
      <c r="S240" s="42">
        <f t="shared" si="61"/>
        <v>149.19095398894592</v>
      </c>
      <c r="T240" s="78">
        <f t="shared" si="62"/>
        <v>77.2143310010985</v>
      </c>
      <c r="U240">
        <f t="shared" si="63"/>
        <v>77.2143310010985</v>
      </c>
      <c r="W240" s="42">
        <f t="shared" si="64"/>
        <v>105.19095398894594</v>
      </c>
      <c r="X240" s="42">
        <f t="shared" si="65"/>
        <v>77.2143310010985</v>
      </c>
      <c r="AI240">
        <f t="shared" si="73"/>
        <v>115</v>
      </c>
      <c r="AJ240" s="42">
        <f t="shared" si="66"/>
        <v>262.73049975603811</v>
      </c>
      <c r="AK240" s="78">
        <f t="shared" si="67"/>
        <v>98.467160712425297</v>
      </c>
      <c r="AN240" s="42">
        <f t="shared" si="68"/>
        <v>174.73049975603811</v>
      </c>
      <c r="AO240">
        <f t="shared" si="69"/>
        <v>98.467160712425297</v>
      </c>
    </row>
    <row r="241" spans="2:41">
      <c r="B241">
        <f t="shared" si="71"/>
        <v>120</v>
      </c>
      <c r="C241" s="111">
        <f t="shared" si="70"/>
        <v>87.372146306096568</v>
      </c>
      <c r="D241" s="42">
        <f t="shared" si="58"/>
        <v>64.730456190056771</v>
      </c>
      <c r="G241" s="111">
        <f t="shared" si="59"/>
        <v>65.372146306096568</v>
      </c>
      <c r="H241">
        <f t="shared" si="60"/>
        <v>64.730456190056771</v>
      </c>
      <c r="R241">
        <f t="shared" si="72"/>
        <v>120</v>
      </c>
      <c r="S241" s="42">
        <f t="shared" si="61"/>
        <v>142.59829392703656</v>
      </c>
      <c r="T241" s="78">
        <f t="shared" si="62"/>
        <v>73.782409397380036</v>
      </c>
      <c r="U241">
        <f t="shared" si="63"/>
        <v>73.782409397380036</v>
      </c>
      <c r="W241" s="42">
        <f t="shared" si="64"/>
        <v>98.598293927036565</v>
      </c>
      <c r="X241" s="42">
        <f t="shared" si="65"/>
        <v>73.782409397380036</v>
      </c>
      <c r="AI241">
        <f t="shared" si="73"/>
        <v>120</v>
      </c>
      <c r="AJ241" s="42">
        <f t="shared" si="66"/>
        <v>254.32324543651055</v>
      </c>
      <c r="AK241" s="78">
        <f t="shared" si="67"/>
        <v>94.090621128070381</v>
      </c>
      <c r="AN241" s="42">
        <f t="shared" si="68"/>
        <v>166.32324543651055</v>
      </c>
      <c r="AO241">
        <f t="shared" si="69"/>
        <v>94.090621128070381</v>
      </c>
    </row>
    <row r="242" spans="2:41">
      <c r="B242">
        <f t="shared" si="71"/>
        <v>125</v>
      </c>
      <c r="C242" s="111">
        <f t="shared" si="70"/>
        <v>81.872727618111554</v>
      </c>
      <c r="D242" s="42">
        <f t="shared" si="58"/>
        <v>61.226940092212558</v>
      </c>
      <c r="G242" s="111">
        <f t="shared" si="59"/>
        <v>59.872727618111554</v>
      </c>
      <c r="H242">
        <f t="shared" si="60"/>
        <v>61.226940092212558</v>
      </c>
      <c r="R242">
        <f t="shared" si="72"/>
        <v>125</v>
      </c>
      <c r="S242" s="42">
        <f t="shared" si="61"/>
        <v>136.32983260346501</v>
      </c>
      <c r="T242" s="78">
        <f t="shared" si="62"/>
        <v>69.788959107110642</v>
      </c>
      <c r="U242">
        <f t="shared" si="63"/>
        <v>69.788959107110642</v>
      </c>
      <c r="W242" s="42">
        <f t="shared" si="64"/>
        <v>92.329832603465007</v>
      </c>
      <c r="X242" s="42">
        <f t="shared" si="65"/>
        <v>69.788959107110642</v>
      </c>
      <c r="AI242">
        <f t="shared" si="73"/>
        <v>125</v>
      </c>
      <c r="AJ242" s="42">
        <f t="shared" si="66"/>
        <v>246.32942381602717</v>
      </c>
      <c r="AK242" s="78">
        <f t="shared" si="67"/>
        <v>88.997995103460454</v>
      </c>
      <c r="AN242" s="42">
        <f t="shared" si="68"/>
        <v>158.32942381602717</v>
      </c>
      <c r="AO242">
        <f t="shared" si="69"/>
        <v>88.997995103460454</v>
      </c>
    </row>
    <row r="243" spans="2:41">
      <c r="B243">
        <f t="shared" si="71"/>
        <v>130</v>
      </c>
      <c r="C243" s="111">
        <f t="shared" si="70"/>
        <v>76.699587426290236</v>
      </c>
      <c r="D243" s="42">
        <f t="shared" si="58"/>
        <v>57.257450010429409</v>
      </c>
      <c r="G243" s="111">
        <f t="shared" si="59"/>
        <v>54.699587426290236</v>
      </c>
      <c r="H243">
        <f t="shared" si="60"/>
        <v>57.257450010429409</v>
      </c>
      <c r="R243">
        <f t="shared" si="72"/>
        <v>130</v>
      </c>
      <c r="S243" s="42">
        <f t="shared" si="61"/>
        <v>130.43327679390418</v>
      </c>
      <c r="T243" s="78">
        <f t="shared" si="62"/>
        <v>65.264372698310495</v>
      </c>
      <c r="U243">
        <f t="shared" si="63"/>
        <v>65.264372698310495</v>
      </c>
      <c r="W243" s="42">
        <f t="shared" si="64"/>
        <v>86.433276793904184</v>
      </c>
      <c r="X243" s="42">
        <f t="shared" si="65"/>
        <v>65.264372698310495</v>
      </c>
      <c r="AI243">
        <f t="shared" si="73"/>
        <v>130</v>
      </c>
      <c r="AJ243" s="42">
        <f t="shared" si="66"/>
        <v>238.80987270392143</v>
      </c>
      <c r="AK243" s="78">
        <f t="shared" si="67"/>
        <v>83.228040597654527</v>
      </c>
      <c r="AN243" s="42">
        <f t="shared" si="68"/>
        <v>150.80987270392143</v>
      </c>
      <c r="AO243">
        <f t="shared" si="69"/>
        <v>83.228040597654527</v>
      </c>
    </row>
    <row r="244" spans="2:41">
      <c r="B244">
        <f t="shared" si="71"/>
        <v>135</v>
      </c>
      <c r="C244" s="111">
        <f t="shared" si="70"/>
        <v>71.892096451119798</v>
      </c>
      <c r="D244" s="42">
        <f t="shared" si="58"/>
        <v>52.852196161073316</v>
      </c>
      <c r="G244" s="111">
        <f t="shared" si="59"/>
        <v>49.892096451119798</v>
      </c>
      <c r="H244">
        <f t="shared" si="60"/>
        <v>52.852196161073316</v>
      </c>
      <c r="R244">
        <f t="shared" si="72"/>
        <v>135</v>
      </c>
      <c r="S244" s="42">
        <f t="shared" si="61"/>
        <v>124.95350284850255</v>
      </c>
      <c r="T244" s="78">
        <f t="shared" si="62"/>
        <v>60.243085005570528</v>
      </c>
      <c r="U244">
        <f t="shared" si="63"/>
        <v>60.243085005570528</v>
      </c>
      <c r="W244" s="42">
        <f t="shared" si="64"/>
        <v>80.953502848502552</v>
      </c>
      <c r="X244" s="42">
        <f t="shared" si="65"/>
        <v>60.243085005570528</v>
      </c>
      <c r="AI244">
        <f t="shared" si="73"/>
        <v>135</v>
      </c>
      <c r="AJ244" s="42">
        <f t="shared" si="66"/>
        <v>231.82182042458552</v>
      </c>
      <c r="AK244" s="78">
        <f t="shared" si="67"/>
        <v>76.824670448435526</v>
      </c>
      <c r="AN244" s="42">
        <f t="shared" si="68"/>
        <v>143.82182042458552</v>
      </c>
      <c r="AO244">
        <f t="shared" si="69"/>
        <v>76.824670448435526</v>
      </c>
    </row>
    <row r="245" spans="2:41">
      <c r="B245">
        <f t="shared" si="71"/>
        <v>140</v>
      </c>
      <c r="C245" s="111">
        <f t="shared" si="70"/>
        <v>67.486842601763698</v>
      </c>
      <c r="D245" s="42">
        <f t="shared" si="58"/>
        <v>48.044705185902878</v>
      </c>
      <c r="G245" s="111">
        <f t="shared" si="59"/>
        <v>45.486842601763705</v>
      </c>
      <c r="H245">
        <f t="shared" si="60"/>
        <v>48.044705185902878</v>
      </c>
      <c r="R245">
        <f t="shared" si="72"/>
        <v>140</v>
      </c>
      <c r="S245" s="42">
        <f t="shared" si="61"/>
        <v>119.93221515576259</v>
      </c>
      <c r="T245" s="78">
        <f t="shared" si="62"/>
        <v>54.763311060168895</v>
      </c>
      <c r="U245">
        <f t="shared" si="63"/>
        <v>54.763311060168895</v>
      </c>
      <c r="W245" s="42">
        <f t="shared" si="64"/>
        <v>75.932215155762592</v>
      </c>
      <c r="X245" s="42">
        <f t="shared" si="65"/>
        <v>54.763311060168895</v>
      </c>
      <c r="AI245">
        <f t="shared" si="73"/>
        <v>140</v>
      </c>
      <c r="AJ245" s="42">
        <f t="shared" si="66"/>
        <v>225.41845027536652</v>
      </c>
      <c r="AK245" s="78">
        <f t="shared" si="67"/>
        <v>69.836618169099623</v>
      </c>
      <c r="AN245" s="42">
        <f t="shared" si="68"/>
        <v>137.41845027536652</v>
      </c>
      <c r="AO245">
        <f t="shared" si="69"/>
        <v>69.836618169099623</v>
      </c>
    </row>
    <row r="246" spans="2:41">
      <c r="B246">
        <f t="shared" si="71"/>
        <v>145</v>
      </c>
      <c r="C246" s="111">
        <f t="shared" si="70"/>
        <v>63.517352519980527</v>
      </c>
      <c r="D246" s="42">
        <f t="shared" si="58"/>
        <v>42.871564994081531</v>
      </c>
      <c r="G246" s="111">
        <f t="shared" si="59"/>
        <v>41.517352519980527</v>
      </c>
      <c r="H246">
        <f t="shared" si="60"/>
        <v>42.871564994081531</v>
      </c>
      <c r="R246">
        <f t="shared" si="72"/>
        <v>145</v>
      </c>
      <c r="S246" s="42">
        <f t="shared" si="61"/>
        <v>115.40762874696242</v>
      </c>
      <c r="T246" s="78">
        <f t="shared" si="62"/>
        <v>48.866755250608037</v>
      </c>
      <c r="U246">
        <f t="shared" si="63"/>
        <v>48.866755250608037</v>
      </c>
      <c r="W246" s="42">
        <f t="shared" si="64"/>
        <v>71.407628746962416</v>
      </c>
      <c r="X246" s="42">
        <f t="shared" si="65"/>
        <v>48.866755250608037</v>
      </c>
      <c r="AI246">
        <f t="shared" si="73"/>
        <v>145</v>
      </c>
      <c r="AJ246" s="42">
        <f t="shared" si="66"/>
        <v>219.64849576956055</v>
      </c>
      <c r="AK246" s="78">
        <f t="shared" si="67"/>
        <v>62.317067056993842</v>
      </c>
      <c r="AN246" s="42">
        <f t="shared" si="68"/>
        <v>131.64849576956055</v>
      </c>
      <c r="AO246">
        <f t="shared" si="69"/>
        <v>62.317067056993842</v>
      </c>
    </row>
    <row r="247" spans="2:41">
      <c r="B247">
        <f t="shared" si="71"/>
        <v>150</v>
      </c>
      <c r="C247" s="111">
        <f t="shared" si="70"/>
        <v>60.013836422136336</v>
      </c>
      <c r="D247" s="42">
        <f t="shared" si="58"/>
        <v>37.372146306096546</v>
      </c>
      <c r="G247" s="111">
        <f t="shared" si="59"/>
        <v>38.013836422136336</v>
      </c>
      <c r="H247">
        <f t="shared" si="60"/>
        <v>37.372146306096546</v>
      </c>
      <c r="R247">
        <f t="shared" si="72"/>
        <v>150</v>
      </c>
      <c r="S247" s="42">
        <f t="shared" si="61"/>
        <v>111.41417845669304</v>
      </c>
      <c r="T247" s="78">
        <f t="shared" si="62"/>
        <v>42.598293927036529</v>
      </c>
      <c r="U247">
        <f t="shared" si="63"/>
        <v>42.598293927036529</v>
      </c>
      <c r="W247" s="42">
        <f t="shared" si="64"/>
        <v>67.414178456693037</v>
      </c>
      <c r="X247" s="42">
        <f t="shared" si="65"/>
        <v>42.598293927036529</v>
      </c>
      <c r="AI247">
        <f t="shared" si="73"/>
        <v>150</v>
      </c>
      <c r="AJ247" s="42">
        <f t="shared" si="66"/>
        <v>214.55586974495066</v>
      </c>
      <c r="AK247" s="78">
        <f t="shared" si="67"/>
        <v>54.323245436510511</v>
      </c>
      <c r="AN247" s="42">
        <f t="shared" si="68"/>
        <v>126.55586974495066</v>
      </c>
      <c r="AO247">
        <f t="shared" si="69"/>
        <v>54.323245436510511</v>
      </c>
    </row>
    <row r="248" spans="2:41">
      <c r="B248">
        <f t="shared" si="71"/>
        <v>155</v>
      </c>
      <c r="C248" s="111">
        <f t="shared" si="70"/>
        <v>57.002958181216556</v>
      </c>
      <c r="D248" s="42">
        <f t="shared" si="58"/>
        <v>31.588303018803259</v>
      </c>
      <c r="G248" s="111">
        <f t="shared" si="59"/>
        <v>35.002958181216556</v>
      </c>
      <c r="H248">
        <f t="shared" si="60"/>
        <v>31.588303018803259</v>
      </c>
      <c r="R248">
        <f t="shared" si="72"/>
        <v>155</v>
      </c>
      <c r="S248" s="42">
        <f t="shared" si="61"/>
        <v>107.98225685297457</v>
      </c>
      <c r="T248" s="78">
        <f t="shared" si="62"/>
        <v>36.005633865127152</v>
      </c>
      <c r="U248">
        <f t="shared" si="63"/>
        <v>36.005633865127152</v>
      </c>
      <c r="W248" s="42">
        <f t="shared" si="64"/>
        <v>63.982256852974572</v>
      </c>
      <c r="X248" s="42">
        <f t="shared" si="65"/>
        <v>36.005633865127152</v>
      </c>
      <c r="AI248">
        <f t="shared" si="73"/>
        <v>155</v>
      </c>
      <c r="AJ248" s="42">
        <f t="shared" si="66"/>
        <v>210.17933016059575</v>
      </c>
      <c r="AK248" s="78">
        <f t="shared" si="67"/>
        <v>45.915991116982923</v>
      </c>
      <c r="AN248" s="42">
        <f t="shared" si="68"/>
        <v>122.17933016059575</v>
      </c>
      <c r="AO248">
        <f t="shared" si="69"/>
        <v>45.915991116982923</v>
      </c>
    </row>
    <row r="249" spans="2:41">
      <c r="B249">
        <f t="shared" si="71"/>
        <v>160</v>
      </c>
      <c r="C249" s="111">
        <f t="shared" si="70"/>
        <v>54.507632398652561</v>
      </c>
      <c r="D249" s="42">
        <f t="shared" si="58"/>
        <v>25.564053671998021</v>
      </c>
      <c r="G249" s="111">
        <f t="shared" si="59"/>
        <v>32.507632398652561</v>
      </c>
      <c r="H249">
        <f t="shared" si="60"/>
        <v>25.564053671998021</v>
      </c>
      <c r="R249">
        <f t="shared" si="72"/>
        <v>160</v>
      </c>
      <c r="S249" s="42">
        <f t="shared" si="61"/>
        <v>105.13798293146226</v>
      </c>
      <c r="T249" s="78">
        <f t="shared" si="62"/>
        <v>29.138949188708011</v>
      </c>
      <c r="U249">
        <f t="shared" si="63"/>
        <v>29.138949188708011</v>
      </c>
      <c r="W249" s="42">
        <f t="shared" si="64"/>
        <v>61.137982931462261</v>
      </c>
      <c r="X249" s="42">
        <f t="shared" si="65"/>
        <v>29.138949188708011</v>
      </c>
      <c r="AI249">
        <f t="shared" si="73"/>
        <v>160</v>
      </c>
      <c r="AJ249" s="42">
        <f t="shared" si="66"/>
        <v>206.55218512535964</v>
      </c>
      <c r="AK249" s="78">
        <f t="shared" si="67"/>
        <v>37.159288380221632</v>
      </c>
      <c r="AN249" s="42">
        <f t="shared" si="68"/>
        <v>118.55218512535963</v>
      </c>
      <c r="AO249">
        <f t="shared" si="69"/>
        <v>37.159288380221632</v>
      </c>
    </row>
    <row r="250" spans="2:41">
      <c r="B250">
        <f t="shared" si="71"/>
        <v>165</v>
      </c>
      <c r="C250" s="111">
        <f t="shared" si="70"/>
        <v>52.546850010368587</v>
      </c>
      <c r="D250" s="42">
        <f t="shared" si="58"/>
        <v>19.345246440751236</v>
      </c>
      <c r="G250" s="111">
        <f t="shared" si="59"/>
        <v>30.546850010368587</v>
      </c>
      <c r="H250">
        <f t="shared" si="60"/>
        <v>19.345246440751236</v>
      </c>
      <c r="R250">
        <f t="shared" si="72"/>
        <v>165</v>
      </c>
      <c r="S250" s="42">
        <f t="shared" si="61"/>
        <v>102.90300333411835</v>
      </c>
      <c r="T250" s="78">
        <f t="shared" si="62"/>
        <v>22.050499514384232</v>
      </c>
      <c r="U250">
        <f t="shared" si="63"/>
        <v>22.050499514384232</v>
      </c>
      <c r="W250" s="42">
        <f t="shared" si="64"/>
        <v>58.903003334118353</v>
      </c>
      <c r="X250" s="42">
        <f t="shared" si="65"/>
        <v>22.050499514384232</v>
      </c>
      <c r="AI250">
        <f t="shared" si="73"/>
        <v>165</v>
      </c>
      <c r="AJ250" s="42">
        <f t="shared" si="66"/>
        <v>203.70203940309048</v>
      </c>
      <c r="AK250" s="78">
        <f t="shared" si="67"/>
        <v>28.119781021495069</v>
      </c>
      <c r="AN250" s="42">
        <f t="shared" si="68"/>
        <v>115.70203940309048</v>
      </c>
      <c r="AO250">
        <f t="shared" si="69"/>
        <v>28.119781021495069</v>
      </c>
    </row>
    <row r="251" spans="2:41">
      <c r="B251">
        <f t="shared" si="71"/>
        <v>170</v>
      </c>
      <c r="C251" s="111">
        <f t="shared" si="70"/>
        <v>51.13553375429224</v>
      </c>
      <c r="D251" s="42">
        <f t="shared" si="58"/>
        <v>12.979210203111133</v>
      </c>
      <c r="G251" s="111">
        <f t="shared" si="59"/>
        <v>29.13553375429224</v>
      </c>
      <c r="H251">
        <f t="shared" si="60"/>
        <v>12.979210203111133</v>
      </c>
      <c r="R251">
        <f t="shared" si="72"/>
        <v>170</v>
      </c>
      <c r="S251" s="42">
        <f t="shared" si="61"/>
        <v>101.2943276051962</v>
      </c>
      <c r="T251" s="78">
        <f t="shared" si="62"/>
        <v>14.794232224300314</v>
      </c>
      <c r="U251">
        <f t="shared" si="63"/>
        <v>14.794232224300314</v>
      </c>
      <c r="W251" s="42">
        <f t="shared" si="64"/>
        <v>57.294327605196202</v>
      </c>
      <c r="X251" s="42">
        <f t="shared" si="65"/>
        <v>14.794232224300314</v>
      </c>
      <c r="AI251">
        <f t="shared" si="73"/>
        <v>170</v>
      </c>
      <c r="AJ251" s="42">
        <f t="shared" si="66"/>
        <v>201.65058432369983</v>
      </c>
      <c r="AK251" s="78">
        <f t="shared" si="67"/>
        <v>18.866265150006875</v>
      </c>
      <c r="AN251" s="42">
        <f t="shared" si="68"/>
        <v>113.65058432369982</v>
      </c>
      <c r="AO251">
        <f t="shared" si="69"/>
        <v>18.866265150006875</v>
      </c>
    </row>
    <row r="252" spans="2:41">
      <c r="B252">
        <f t="shared" si="71"/>
        <v>175</v>
      </c>
      <c r="C252" s="111">
        <f t="shared" si="70"/>
        <v>50.284424599308309</v>
      </c>
      <c r="D252" s="42">
        <f t="shared" si="58"/>
        <v>6.5143943387639913</v>
      </c>
      <c r="G252" s="111">
        <f t="shared" si="59"/>
        <v>28.284424599308309</v>
      </c>
      <c r="H252">
        <f t="shared" si="60"/>
        <v>6.5143943387639913</v>
      </c>
      <c r="R252">
        <f t="shared" si="72"/>
        <v>175</v>
      </c>
      <c r="S252" s="42">
        <f t="shared" si="61"/>
        <v>100.32419873833787</v>
      </c>
      <c r="T252" s="78">
        <f t="shared" si="62"/>
        <v>7.4253718939878537</v>
      </c>
      <c r="U252">
        <f t="shared" si="63"/>
        <v>7.4253718939878537</v>
      </c>
      <c r="W252" s="42">
        <f t="shared" si="64"/>
        <v>56.32419873833787</v>
      </c>
      <c r="X252" s="42">
        <f t="shared" si="65"/>
        <v>7.4253718939878537</v>
      </c>
      <c r="AI252">
        <f t="shared" si="73"/>
        <v>175</v>
      </c>
      <c r="AJ252" s="42">
        <f t="shared" si="66"/>
        <v>200.41343269904425</v>
      </c>
      <c r="AK252" s="78">
        <f t="shared" si="67"/>
        <v>9.4691656089648149</v>
      </c>
      <c r="AN252" s="42">
        <f t="shared" si="68"/>
        <v>112.41343269904425</v>
      </c>
      <c r="AO252">
        <f t="shared" si="69"/>
        <v>9.4691656089648149</v>
      </c>
    </row>
    <row r="253" spans="2:41">
      <c r="B253">
        <f t="shared" si="71"/>
        <v>180</v>
      </c>
      <c r="C253" s="111">
        <f t="shared" si="70"/>
        <v>50</v>
      </c>
      <c r="D253" s="42">
        <f t="shared" si="58"/>
        <v>9.157285460706616E-15</v>
      </c>
      <c r="G253" s="111">
        <f t="shared" si="59"/>
        <v>28</v>
      </c>
      <c r="H253">
        <f t="shared" si="60"/>
        <v>9.157285460706616E-15</v>
      </c>
      <c r="R253">
        <f t="shared" si="72"/>
        <v>180</v>
      </c>
      <c r="S253" s="42">
        <f t="shared" si="61"/>
        <v>100</v>
      </c>
      <c r="T253" s="78">
        <f t="shared" si="62"/>
        <v>1.0437846797290413E-14</v>
      </c>
      <c r="U253">
        <f t="shared" si="63"/>
        <v>1.0437846797290413E-14</v>
      </c>
      <c r="W253" s="42">
        <f t="shared" si="64"/>
        <v>56</v>
      </c>
      <c r="X253" s="42">
        <f t="shared" si="65"/>
        <v>1.0437846797290413E-14</v>
      </c>
      <c r="AI253">
        <f t="shared" si="73"/>
        <v>180</v>
      </c>
      <c r="AJ253" s="42">
        <f t="shared" si="66"/>
        <v>200</v>
      </c>
      <c r="AK253" s="78">
        <f t="shared" si="67"/>
        <v>1.3310808042432521E-14</v>
      </c>
      <c r="AN253" s="42">
        <f t="shared" si="68"/>
        <v>112</v>
      </c>
      <c r="AO253">
        <f t="shared" si="69"/>
        <v>1.3310808042432521E-14</v>
      </c>
    </row>
    <row r="254" spans="2:41">
      <c r="C254" s="42"/>
      <c r="D254" s="42"/>
      <c r="E254" s="42"/>
    </row>
    <row r="255" spans="2:41">
      <c r="C255" s="42"/>
      <c r="D255" s="42"/>
      <c r="E255" s="42"/>
    </row>
    <row r="256" spans="2:41">
      <c r="C256" s="42"/>
      <c r="D256" s="42"/>
      <c r="E256" s="42"/>
    </row>
    <row r="257" spans="1:48">
      <c r="A257" t="s">
        <v>184</v>
      </c>
      <c r="C257" s="42"/>
      <c r="D257" s="42"/>
      <c r="E257" s="42"/>
    </row>
    <row r="258" spans="1:48">
      <c r="C258" s="42"/>
      <c r="D258" s="42"/>
      <c r="E258" s="42"/>
    </row>
    <row r="259" spans="1:48" ht="18">
      <c r="C259" s="42"/>
      <c r="D259" s="42"/>
      <c r="E259" s="42"/>
      <c r="O259" s="155"/>
    </row>
    <row r="260" spans="1:48">
      <c r="C260" s="42"/>
      <c r="D260" s="42"/>
      <c r="E260" s="42"/>
      <c r="L260" s="299" t="s">
        <v>167</v>
      </c>
      <c r="M260" s="21"/>
      <c r="N260" s="21"/>
      <c r="P260" s="42"/>
    </row>
    <row r="261" spans="1:48">
      <c r="C261" s="42"/>
      <c r="D261" s="42"/>
      <c r="E261" s="42"/>
      <c r="L261" s="21"/>
      <c r="M261" s="21"/>
      <c r="N261" s="21"/>
      <c r="P261" s="42"/>
    </row>
    <row r="262" spans="1:48">
      <c r="C262" s="42"/>
      <c r="D262" s="42"/>
      <c r="E262" s="42"/>
      <c r="L262" s="21"/>
      <c r="M262" s="313" t="s">
        <v>277</v>
      </c>
      <c r="N262" s="313" t="s">
        <v>278</v>
      </c>
    </row>
    <row r="263" spans="1:48">
      <c r="C263" s="42"/>
      <c r="D263" s="42"/>
      <c r="E263" s="42"/>
      <c r="L263" s="21"/>
      <c r="M263" s="314">
        <f>C202</f>
        <v>50</v>
      </c>
      <c r="N263" s="314">
        <f>$C$201</f>
        <v>199.48858522438621</v>
      </c>
      <c r="AF263" s="21"/>
      <c r="AG263" s="21"/>
      <c r="AH263" s="21"/>
      <c r="AI263" s="21"/>
      <c r="AJ263" s="21"/>
      <c r="AL263" s="21"/>
      <c r="AM263" s="21"/>
      <c r="AN263" s="21"/>
      <c r="AO263" s="21"/>
      <c r="AP263" s="21"/>
      <c r="AS263" s="21"/>
      <c r="AT263" s="21"/>
      <c r="AU263" s="21"/>
      <c r="AV263" s="849"/>
    </row>
    <row r="264" spans="1:48">
      <c r="C264" s="42"/>
      <c r="D264" s="42"/>
      <c r="E264" s="42"/>
      <c r="L264" s="21"/>
      <c r="M264" s="21">
        <f>S202</f>
        <v>100</v>
      </c>
      <c r="N264" s="78">
        <f>$S$201</f>
        <v>270.39317570814615</v>
      </c>
      <c r="AF264" s="43"/>
      <c r="AG264" s="111"/>
      <c r="AI264" s="42"/>
      <c r="AL264" s="42"/>
      <c r="AM264" s="111"/>
      <c r="AO264" s="42"/>
      <c r="AP264" s="42"/>
      <c r="AS264" s="111"/>
      <c r="AT264" s="42"/>
      <c r="AU264" s="42"/>
      <c r="AV264" s="42"/>
    </row>
    <row r="265" spans="1:48">
      <c r="C265" s="42"/>
      <c r="D265" s="42"/>
      <c r="E265" s="42"/>
      <c r="L265" s="21"/>
      <c r="M265" s="21">
        <f>AJ202</f>
        <v>200</v>
      </c>
      <c r="N265" s="78">
        <f>$AJ$201</f>
        <v>417.29298174604207</v>
      </c>
      <c r="AF265" s="43"/>
      <c r="AG265" s="111"/>
      <c r="AI265" s="42"/>
      <c r="AJ265" s="42"/>
      <c r="AL265" s="42"/>
      <c r="AM265" s="111"/>
      <c r="AO265" s="42"/>
      <c r="AP265" s="42"/>
      <c r="AS265" s="111"/>
      <c r="AT265" s="42"/>
      <c r="AU265" s="42"/>
      <c r="AV265" s="42"/>
    </row>
    <row r="266" spans="1:48">
      <c r="C266" s="42"/>
      <c r="D266" s="42"/>
      <c r="E266" s="42"/>
      <c r="O266" s="42"/>
      <c r="AF266" s="43"/>
      <c r="AG266" s="111"/>
      <c r="AI266" s="42"/>
      <c r="AJ266" s="42"/>
      <c r="AL266" s="42"/>
      <c r="AM266" s="111"/>
      <c r="AO266" s="42"/>
      <c r="AP266" s="42"/>
      <c r="AS266" s="111"/>
      <c r="AT266" s="42"/>
      <c r="AU266" s="42"/>
      <c r="AV266" s="42"/>
    </row>
    <row r="267" spans="1:48">
      <c r="C267" s="42"/>
      <c r="D267" s="42"/>
      <c r="E267" s="42"/>
      <c r="L267" t="s">
        <v>259</v>
      </c>
      <c r="M267" s="42">
        <f>SLOPE(N263:N265,M263:M265)</f>
        <v>1.4544534173207417</v>
      </c>
      <c r="O267" s="42"/>
      <c r="AF267" s="43"/>
      <c r="AG267" s="111"/>
      <c r="AI267" s="42"/>
      <c r="AJ267" s="42"/>
      <c r="AL267" s="42"/>
      <c r="AM267" s="111"/>
      <c r="AO267" s="42"/>
      <c r="AP267" s="42"/>
      <c r="AS267" s="111"/>
      <c r="AT267" s="42"/>
      <c r="AU267" s="42"/>
      <c r="AV267" s="42"/>
    </row>
    <row r="268" spans="1:48">
      <c r="C268" s="42"/>
      <c r="D268" s="42"/>
      <c r="E268" s="42"/>
      <c r="L268" t="s">
        <v>260</v>
      </c>
      <c r="M268" s="42">
        <f>INTERCEPT(N263:N265,M263:M265)</f>
        <v>126.03868220543825</v>
      </c>
      <c r="O268" s="42"/>
      <c r="S268" t="s">
        <v>823</v>
      </c>
      <c r="AF268" s="43"/>
      <c r="AG268" s="111"/>
      <c r="AI268" s="42"/>
      <c r="AJ268" s="42"/>
      <c r="AL268" s="42"/>
      <c r="AM268" s="111"/>
      <c r="AO268" s="42"/>
      <c r="AP268" s="42"/>
      <c r="AS268" s="111"/>
      <c r="AT268" s="42"/>
      <c r="AU268" s="42"/>
      <c r="AV268" s="42"/>
    </row>
    <row r="269" spans="1:48">
      <c r="C269" s="42"/>
      <c r="D269" s="42"/>
      <c r="E269" s="42"/>
      <c r="L269" t="s">
        <v>262</v>
      </c>
      <c r="M269" s="42">
        <f>IF($D$7="","",DEGREES(ASIN(($M$267-1)/($M$267+1))))</f>
        <v>10.670147865319105</v>
      </c>
      <c r="N269" s="850"/>
      <c r="AF269" s="43"/>
      <c r="AG269" s="111"/>
      <c r="AI269" s="42"/>
      <c r="AJ269" s="42"/>
      <c r="AL269" s="42"/>
      <c r="AM269" s="111"/>
      <c r="AO269" s="42"/>
      <c r="AP269" s="42"/>
      <c r="AS269" s="111"/>
      <c r="AT269" s="42"/>
      <c r="AU269" s="42"/>
      <c r="AV269" s="42"/>
    </row>
    <row r="270" spans="1:48">
      <c r="C270" s="42"/>
      <c r="D270" s="42"/>
      <c r="E270" s="42"/>
      <c r="L270" t="s">
        <v>261</v>
      </c>
      <c r="M270" s="42">
        <f>IF(D7="","",($M$268*(1-SIN(RADIANS($M$269))))/(2*COS(RADIANS($M$269))))</f>
        <v>52.254530487613614</v>
      </c>
      <c r="N270" s="850"/>
      <c r="S270" t="str">
        <f>"σ₃="&amp;M263&amp;" kPa"</f>
        <v>σ₃=50 kPa</v>
      </c>
      <c r="AF270" s="43"/>
      <c r="AG270" s="111"/>
      <c r="AI270" s="42"/>
      <c r="AJ270" s="42"/>
      <c r="AL270" s="42"/>
      <c r="AM270" s="111"/>
      <c r="AO270" s="42"/>
      <c r="AP270" s="42"/>
      <c r="AS270" s="111"/>
      <c r="AT270" s="42"/>
      <c r="AU270" s="42"/>
      <c r="AV270" s="42"/>
    </row>
    <row r="271" spans="1:48">
      <c r="C271" s="42"/>
      <c r="D271" s="42"/>
      <c r="E271" s="42"/>
      <c r="N271" s="42"/>
      <c r="S271" t="str">
        <f>"σ₃="&amp;M264&amp;" kPa"</f>
        <v>σ₃=100 kPa</v>
      </c>
      <c r="AF271" s="43"/>
      <c r="AG271" s="111"/>
      <c r="AI271" s="42"/>
      <c r="AJ271" s="42"/>
      <c r="AL271" s="42"/>
      <c r="AM271" s="111"/>
      <c r="AO271" s="42"/>
      <c r="AP271" s="42"/>
      <c r="AS271" s="111"/>
      <c r="AT271" s="42"/>
      <c r="AU271" s="42"/>
      <c r="AV271" s="42"/>
    </row>
    <row r="272" spans="1:48">
      <c r="C272" s="42"/>
      <c r="D272" s="42"/>
      <c r="E272" s="42"/>
      <c r="N272" s="42"/>
      <c r="S272" t="str">
        <f>"σ₃​="&amp;M265&amp;" kPa"</f>
        <v>σ₃​=200 kPa</v>
      </c>
      <c r="AF272" s="43"/>
      <c r="AG272" s="111"/>
      <c r="AI272" s="42"/>
      <c r="AJ272" s="42"/>
      <c r="AL272" s="42"/>
      <c r="AM272" s="111"/>
      <c r="AO272" s="42"/>
      <c r="AP272" s="42"/>
      <c r="AS272" s="111"/>
      <c r="AT272" s="42"/>
      <c r="AU272" s="42"/>
      <c r="AV272" s="42"/>
    </row>
    <row r="273" spans="3:49">
      <c r="C273" s="42"/>
      <c r="D273" s="42"/>
      <c r="E273" s="42"/>
      <c r="AF273" s="43"/>
      <c r="AG273" s="111"/>
      <c r="AI273" s="42"/>
      <c r="AJ273" s="42"/>
      <c r="AL273" s="42"/>
      <c r="AM273" s="111"/>
      <c r="AO273" s="42"/>
      <c r="AP273" s="42"/>
      <c r="AS273" s="111"/>
      <c r="AT273" s="42"/>
      <c r="AU273" s="42"/>
      <c r="AV273" s="42"/>
    </row>
    <row r="274" spans="3:49">
      <c r="C274" s="42"/>
      <c r="D274" s="42"/>
      <c r="E274" s="42"/>
      <c r="S274" t="str">
        <f>"σ₃′ ="&amp;M292&amp;" kPa"</f>
        <v>σ₃′ =28 kPa</v>
      </c>
      <c r="AF274" s="43"/>
      <c r="AG274" s="111"/>
      <c r="AI274" s="42"/>
      <c r="AJ274" s="42"/>
      <c r="AL274" s="42"/>
      <c r="AM274" s="111"/>
      <c r="AO274" s="42"/>
      <c r="AP274" s="42"/>
      <c r="AS274" s="111"/>
      <c r="AT274" s="42"/>
      <c r="AU274" s="42"/>
      <c r="AV274" s="42"/>
    </row>
    <row r="275" spans="3:49">
      <c r="C275" s="42"/>
      <c r="D275" s="42"/>
      <c r="E275" s="42"/>
      <c r="S275" t="str">
        <f>"σ₃′ ="&amp;M293&amp;" kPa"</f>
        <v>σ₃′ =56 kPa</v>
      </c>
      <c r="AF275" s="43"/>
      <c r="AG275" s="111"/>
      <c r="AI275" s="42"/>
      <c r="AJ275" s="42"/>
      <c r="AL275" s="42"/>
      <c r="AM275" s="111"/>
      <c r="AO275" s="42"/>
      <c r="AP275" s="42"/>
      <c r="AS275" s="111"/>
      <c r="AT275" s="42"/>
      <c r="AU275" s="42"/>
      <c r="AV275" s="42"/>
    </row>
    <row r="276" spans="3:49">
      <c r="C276" s="42"/>
      <c r="D276" s="42"/>
      <c r="E276" s="42"/>
      <c r="S276" s="785" t="str">
        <f>"σ₃′ ="&amp;M294&amp;" kPa"</f>
        <v>σ₃′ =112 kPa</v>
      </c>
      <c r="AF276" s="43"/>
      <c r="AG276" s="111"/>
      <c r="AI276" s="42"/>
      <c r="AJ276" s="42"/>
      <c r="AL276" s="42"/>
      <c r="AM276" s="111"/>
      <c r="AO276" s="42"/>
      <c r="AP276" s="42"/>
      <c r="AS276" s="111"/>
      <c r="AT276" s="42"/>
      <c r="AU276" s="42"/>
      <c r="AV276" s="42"/>
    </row>
    <row r="277" spans="3:49">
      <c r="C277" s="42"/>
      <c r="D277" s="42"/>
      <c r="E277" s="42"/>
      <c r="AF277" s="43"/>
      <c r="AG277" s="111"/>
      <c r="AI277" s="42"/>
      <c r="AJ277" s="42"/>
      <c r="AL277" s="42"/>
      <c r="AM277" s="111"/>
      <c r="AO277" s="42"/>
      <c r="AP277" s="42"/>
      <c r="AS277" s="111"/>
      <c r="AT277" s="42"/>
      <c r="AU277" s="42"/>
      <c r="AV277" s="42"/>
    </row>
    <row r="278" spans="3:49">
      <c r="C278" s="42"/>
      <c r="D278" s="42"/>
      <c r="E278" s="42"/>
      <c r="L278" t="s">
        <v>263</v>
      </c>
      <c r="M278" s="42">
        <f>M270</f>
        <v>52.254530487613614</v>
      </c>
      <c r="AF278" s="43"/>
      <c r="AG278" s="111"/>
      <c r="AI278" s="42"/>
      <c r="AJ278" s="42"/>
      <c r="AL278" s="42"/>
      <c r="AM278" s="111"/>
      <c r="AO278" s="42"/>
      <c r="AP278" s="42"/>
      <c r="AS278" s="111"/>
      <c r="AT278" s="42"/>
      <c r="AU278" s="42"/>
      <c r="AV278" s="42"/>
    </row>
    <row r="279" spans="3:49">
      <c r="C279" s="42"/>
      <c r="D279" s="42"/>
      <c r="E279" s="42"/>
      <c r="L279" t="s">
        <v>262</v>
      </c>
      <c r="M279" s="42">
        <f>M269</f>
        <v>10.670147865319105</v>
      </c>
      <c r="S279" t="s">
        <v>824</v>
      </c>
      <c r="AF279" s="43"/>
      <c r="AG279" s="111"/>
      <c r="AI279" s="42"/>
      <c r="AJ279" s="42"/>
      <c r="AL279" s="42"/>
      <c r="AM279" s="111"/>
      <c r="AO279" s="42"/>
      <c r="AP279" s="42"/>
      <c r="AS279" s="111"/>
      <c r="AT279" s="42"/>
      <c r="AU279" s="42"/>
      <c r="AV279" s="42"/>
    </row>
    <row r="280" spans="3:49">
      <c r="C280" s="42"/>
      <c r="D280" s="42"/>
      <c r="E280" s="42"/>
      <c r="S280" t="s">
        <v>831</v>
      </c>
      <c r="AF280" s="43"/>
      <c r="AG280" s="111"/>
      <c r="AI280" s="42"/>
      <c r="AJ280" s="42"/>
      <c r="AL280" s="42"/>
      <c r="AM280" s="111"/>
      <c r="AO280" s="42"/>
      <c r="AP280" s="42"/>
      <c r="AS280" s="111"/>
      <c r="AT280" s="42"/>
      <c r="AU280" s="42"/>
      <c r="AV280" s="42"/>
    </row>
    <row r="281" spans="3:49">
      <c r="C281" s="42"/>
      <c r="D281" s="42"/>
      <c r="E281" s="42"/>
      <c r="L281" s="21" t="s">
        <v>132</v>
      </c>
      <c r="M281" s="21" t="s">
        <v>133</v>
      </c>
      <c r="N281" s="801"/>
      <c r="AF281" s="43"/>
      <c r="AG281" s="111"/>
      <c r="AI281" s="42"/>
      <c r="AJ281" s="42"/>
      <c r="AL281" s="42"/>
      <c r="AM281" s="111"/>
      <c r="AO281" s="42"/>
      <c r="AP281" s="42"/>
      <c r="AS281" s="111"/>
      <c r="AT281" s="42"/>
      <c r="AU281" s="42"/>
      <c r="AV281" s="42"/>
    </row>
    <row r="282" spans="3:49">
      <c r="C282" s="42"/>
      <c r="D282" s="42"/>
      <c r="E282" s="42"/>
      <c r="L282">
        <v>0</v>
      </c>
      <c r="M282" s="42">
        <f t="shared" ref="M282:M288" si="74">IF($D$7="","",$M$278+(L282*TAN(RADIANS($M$279))))</f>
        <v>52.254530487613614</v>
      </c>
      <c r="AF282" s="43"/>
      <c r="AG282" s="111"/>
      <c r="AI282" s="42"/>
      <c r="AJ282" s="42"/>
      <c r="AL282" s="42"/>
      <c r="AM282" s="111"/>
      <c r="AO282" s="42"/>
      <c r="AP282" s="42"/>
      <c r="AS282" s="111"/>
      <c r="AT282" s="42"/>
      <c r="AU282" s="42"/>
      <c r="AV282" s="42"/>
    </row>
    <row r="283" spans="3:49">
      <c r="C283" s="42"/>
      <c r="D283" s="42"/>
      <c r="E283" s="42"/>
      <c r="L283">
        <v>50</v>
      </c>
      <c r="M283" s="42">
        <f t="shared" si="74"/>
        <v>61.675150227147142</v>
      </c>
      <c r="S283" t="s">
        <v>601</v>
      </c>
      <c r="T283" s="19" t="s">
        <v>835</v>
      </c>
      <c r="AF283" s="43"/>
      <c r="AG283" s="111"/>
      <c r="AI283" s="42"/>
      <c r="AJ283" s="42"/>
      <c r="AL283" s="42"/>
      <c r="AM283" s="111"/>
      <c r="AO283" s="42"/>
      <c r="AP283" s="42"/>
      <c r="AS283" s="111"/>
      <c r="AT283" s="42"/>
      <c r="AU283" s="42"/>
      <c r="AV283" s="42"/>
    </row>
    <row r="284" spans="3:49">
      <c r="C284" s="42"/>
      <c r="D284" s="42"/>
      <c r="E284" s="42"/>
      <c r="L284">
        <v>100</v>
      </c>
      <c r="M284" s="42">
        <f t="shared" si="74"/>
        <v>71.095769966680663</v>
      </c>
      <c r="S284" s="19" t="s">
        <v>833</v>
      </c>
      <c r="T284" s="19" t="s">
        <v>834</v>
      </c>
      <c r="AF284" s="43"/>
      <c r="AG284" s="111"/>
      <c r="AI284" s="42"/>
      <c r="AJ284" s="42"/>
      <c r="AL284" s="42"/>
      <c r="AM284" s="111"/>
      <c r="AO284" s="42"/>
      <c r="AP284" s="42"/>
      <c r="AS284" s="111"/>
      <c r="AT284" s="42"/>
      <c r="AU284" s="42"/>
      <c r="AV284" s="42"/>
    </row>
    <row r="285" spans="3:49">
      <c r="C285" s="42"/>
      <c r="D285" s="42"/>
      <c r="E285" s="42"/>
      <c r="L285">
        <v>200</v>
      </c>
      <c r="M285" s="42">
        <f t="shared" si="74"/>
        <v>89.937009445747719</v>
      </c>
      <c r="AF285" s="43"/>
      <c r="AG285" s="111"/>
      <c r="AI285" s="851"/>
      <c r="AJ285" s="851"/>
      <c r="AK285" s="822"/>
      <c r="AL285" s="851"/>
      <c r="AM285" s="852"/>
      <c r="AN285" s="853"/>
      <c r="AO285" s="854"/>
      <c r="AP285" s="854"/>
      <c r="AQ285" s="853"/>
      <c r="AR285" s="853"/>
      <c r="AS285" s="111"/>
      <c r="AT285" s="42"/>
      <c r="AU285" s="42"/>
      <c r="AV285" s="42"/>
    </row>
    <row r="286" spans="3:49">
      <c r="C286" s="42"/>
      <c r="D286" s="42"/>
      <c r="E286" s="42"/>
      <c r="L286">
        <v>300</v>
      </c>
      <c r="M286" s="42">
        <f t="shared" si="74"/>
        <v>108.77824892481478</v>
      </c>
      <c r="AF286" s="43"/>
      <c r="AG286" s="111"/>
      <c r="AI286" s="42"/>
      <c r="AJ286" s="42"/>
      <c r="AL286" s="42"/>
      <c r="AM286" s="111"/>
      <c r="AO286" s="42"/>
      <c r="AP286" s="42"/>
      <c r="AS286" s="111"/>
      <c r="AT286" s="42"/>
      <c r="AU286" s="42"/>
      <c r="AV286" s="42"/>
    </row>
    <row r="287" spans="3:49">
      <c r="C287" s="42"/>
      <c r="D287" s="42"/>
      <c r="E287" s="42"/>
      <c r="L287">
        <v>400</v>
      </c>
      <c r="M287" s="42">
        <f t="shared" si="74"/>
        <v>127.61948840388183</v>
      </c>
      <c r="S287" s="793" t="s">
        <v>836</v>
      </c>
      <c r="AF287" s="43"/>
      <c r="AG287" s="111"/>
      <c r="AI287" s="42"/>
      <c r="AJ287" s="42"/>
      <c r="AL287" s="42"/>
      <c r="AM287" s="111"/>
      <c r="AO287" s="42"/>
      <c r="AP287" s="42"/>
      <c r="AS287" s="111"/>
      <c r="AT287" s="42"/>
      <c r="AU287" s="42"/>
      <c r="AV287" s="42"/>
    </row>
    <row r="288" spans="3:49">
      <c r="C288" s="42"/>
      <c r="D288" s="42"/>
      <c r="E288" s="42"/>
      <c r="L288">
        <v>500</v>
      </c>
      <c r="M288" s="42">
        <f t="shared" si="74"/>
        <v>146.46072788294887</v>
      </c>
      <c r="AF288" s="43"/>
      <c r="AG288" s="111"/>
      <c r="AI288" s="42">
        <f t="shared" ref="AI288:AI317" si="75">D130</f>
        <v>0</v>
      </c>
      <c r="AJ288" s="42">
        <f t="shared" ref="AJ288:AJ317" si="76">G130</f>
        <v>190</v>
      </c>
      <c r="AK288">
        <f>IF($D$7="",NA(),AJ288)</f>
        <v>190</v>
      </c>
      <c r="AL288" s="42">
        <f t="shared" ref="AL288:AL317" si="77">I130</f>
        <v>0</v>
      </c>
      <c r="AM288" s="853">
        <f t="shared" ref="AM288:AM317" si="78">IF($D$7="",NA(),AL288)</f>
        <v>0</v>
      </c>
      <c r="AN288" s="42">
        <f t="shared" ref="AN288:AN318" si="79">T130</f>
        <v>0</v>
      </c>
      <c r="AO288" s="42">
        <f t="shared" ref="AO288:AO318" si="80">W130</f>
        <v>190</v>
      </c>
      <c r="AP288">
        <f t="shared" ref="AP288:AP318" si="81">IF($D$7="",NA(),AO288)</f>
        <v>190</v>
      </c>
      <c r="AQ288">
        <f t="shared" ref="AQ288:AQ318" si="82">Y130</f>
        <v>0</v>
      </c>
      <c r="AR288" s="853">
        <f t="shared" ref="AR288:AR318" si="83">IF($D$7="",NA(),AQ288)</f>
        <v>0</v>
      </c>
      <c r="AS288" s="111">
        <f t="shared" ref="AS288:AS316" si="84">AK130</f>
        <v>0</v>
      </c>
      <c r="AT288" s="42">
        <f t="shared" ref="AT288:AT316" si="85">AN130</f>
        <v>190</v>
      </c>
      <c r="AU288">
        <f t="shared" ref="AU288:AU316" si="86">IF($D$7="",NA(),AT288)</f>
        <v>190</v>
      </c>
      <c r="AV288" s="42">
        <f t="shared" ref="AV288:AV316" si="87">AP130</f>
        <v>0</v>
      </c>
      <c r="AW288" s="853">
        <f t="shared" ref="AW288:AW316" si="88">IF($D$7="",NA(),AV288)</f>
        <v>0</v>
      </c>
    </row>
    <row r="289" spans="3:49">
      <c r="C289" s="42"/>
      <c r="D289" s="42"/>
      <c r="E289" s="42"/>
      <c r="AF289" s="43"/>
      <c r="AG289" s="111"/>
      <c r="AI289" s="42">
        <f t="shared" si="75"/>
        <v>0.13900102318801055</v>
      </c>
      <c r="AJ289" s="42">
        <f t="shared" si="76"/>
        <v>192.5</v>
      </c>
      <c r="AK289">
        <f t="shared" ref="AK289:AK317" si="89">IF($D$7="",NA(),AJ289)</f>
        <v>192.5</v>
      </c>
      <c r="AL289" s="42">
        <f t="shared" si="77"/>
        <v>32.172869525735706</v>
      </c>
      <c r="AM289" s="853">
        <f t="shared" si="78"/>
        <v>32.172869525735706</v>
      </c>
      <c r="AN289" s="42">
        <f t="shared" si="79"/>
        <v>0.13472744583272231</v>
      </c>
      <c r="AO289" s="42">
        <f t="shared" si="80"/>
        <v>194</v>
      </c>
      <c r="AP289">
        <f t="shared" si="81"/>
        <v>194</v>
      </c>
      <c r="AQ289">
        <f t="shared" si="82"/>
        <v>22.756689802609941</v>
      </c>
      <c r="AR289" s="853">
        <f t="shared" si="83"/>
        <v>22.756689802609941</v>
      </c>
      <c r="AS289" s="111">
        <f t="shared" si="84"/>
        <v>0.13345846419951249</v>
      </c>
      <c r="AT289" s="42">
        <f t="shared" si="85"/>
        <v>194.8</v>
      </c>
      <c r="AU289">
        <f t="shared" si="86"/>
        <v>194.8</v>
      </c>
      <c r="AV289" s="42">
        <f t="shared" si="87"/>
        <v>39.112250434018655</v>
      </c>
      <c r="AW289" s="853">
        <f t="shared" si="88"/>
        <v>39.112250434018655</v>
      </c>
    </row>
    <row r="290" spans="3:49">
      <c r="L290" s="116" t="s">
        <v>279</v>
      </c>
      <c r="AF290" s="43"/>
      <c r="AG290" s="111"/>
      <c r="AI290" s="42">
        <f t="shared" si="75"/>
        <v>0.27800204637602111</v>
      </c>
      <c r="AJ290" s="42">
        <f t="shared" si="76"/>
        <v>193.3</v>
      </c>
      <c r="AK290">
        <f t="shared" si="89"/>
        <v>193.3</v>
      </c>
      <c r="AL290" s="42">
        <f t="shared" si="77"/>
        <v>28.02294549951068</v>
      </c>
      <c r="AM290" s="853">
        <f t="shared" si="78"/>
        <v>28.02294549951068</v>
      </c>
      <c r="AN290" s="42">
        <f t="shared" si="79"/>
        <v>0.26945489166544462</v>
      </c>
      <c r="AO290" s="42">
        <f t="shared" si="80"/>
        <v>195.5</v>
      </c>
      <c r="AP290">
        <f t="shared" si="81"/>
        <v>195.5</v>
      </c>
      <c r="AQ290">
        <f t="shared" si="82"/>
        <v>51.536170335660479</v>
      </c>
      <c r="AR290" s="853">
        <f t="shared" si="83"/>
        <v>51.536170335660479</v>
      </c>
      <c r="AS290" s="111">
        <f t="shared" si="84"/>
        <v>0.26691692839902498</v>
      </c>
      <c r="AT290" s="42">
        <f t="shared" si="85"/>
        <v>198.6</v>
      </c>
      <c r="AU290">
        <f t="shared" si="86"/>
        <v>198.6</v>
      </c>
      <c r="AV290" s="42">
        <f t="shared" si="87"/>
        <v>81.701162827581356</v>
      </c>
      <c r="AW290" s="853">
        <f t="shared" si="88"/>
        <v>81.701162827581356</v>
      </c>
    </row>
    <row r="291" spans="3:49">
      <c r="M291" s="300" t="s">
        <v>264</v>
      </c>
      <c r="N291" s="300" t="s">
        <v>264</v>
      </c>
      <c r="AF291" s="43"/>
      <c r="AG291" s="111"/>
      <c r="AI291" s="42">
        <f t="shared" si="75"/>
        <v>0.55600409275204221</v>
      </c>
      <c r="AJ291" s="42">
        <f t="shared" si="76"/>
        <v>194.6</v>
      </c>
      <c r="AK291">
        <f t="shared" si="89"/>
        <v>194.6</v>
      </c>
      <c r="AL291" s="42">
        <f t="shared" si="77"/>
        <v>50.896644450853614</v>
      </c>
      <c r="AM291" s="853">
        <f t="shared" si="78"/>
        <v>50.896644450853614</v>
      </c>
      <c r="AN291" s="42">
        <f t="shared" si="79"/>
        <v>0.53890978333088924</v>
      </c>
      <c r="AO291" s="42">
        <f t="shared" si="80"/>
        <v>199.1</v>
      </c>
      <c r="AP291">
        <f t="shared" si="81"/>
        <v>199.1</v>
      </c>
      <c r="AQ291">
        <f t="shared" si="82"/>
        <v>84.551592645823021</v>
      </c>
      <c r="AR291" s="853">
        <f t="shared" si="83"/>
        <v>84.551592645823021</v>
      </c>
      <c r="AS291" s="111">
        <f t="shared" si="84"/>
        <v>0.53383385679804995</v>
      </c>
      <c r="AT291" s="42">
        <f t="shared" si="85"/>
        <v>204.6</v>
      </c>
      <c r="AU291">
        <f t="shared" si="86"/>
        <v>204.6</v>
      </c>
      <c r="AV291" s="42">
        <f t="shared" si="87"/>
        <v>118.33015443622463</v>
      </c>
      <c r="AW291" s="853">
        <f t="shared" si="88"/>
        <v>118.33015443622463</v>
      </c>
    </row>
    <row r="292" spans="3:49">
      <c r="M292" s="42">
        <f>C204</f>
        <v>28</v>
      </c>
      <c r="N292" s="42">
        <f>C203</f>
        <v>177.48858522438621</v>
      </c>
      <c r="AF292" s="43"/>
      <c r="AG292" s="111"/>
      <c r="AI292" s="42">
        <f t="shared" si="75"/>
        <v>0.83400613912806321</v>
      </c>
      <c r="AJ292" s="42">
        <f t="shared" si="76"/>
        <v>196</v>
      </c>
      <c r="AK292">
        <f t="shared" si="89"/>
        <v>196</v>
      </c>
      <c r="AL292" s="42">
        <f t="shared" si="77"/>
        <v>76.492618859333604</v>
      </c>
      <c r="AM292" s="853">
        <f t="shared" si="78"/>
        <v>76.492618859333604</v>
      </c>
      <c r="AN292" s="42">
        <f t="shared" si="79"/>
        <v>0.80836467499633358</v>
      </c>
      <c r="AO292" s="42">
        <f t="shared" si="80"/>
        <v>201.8</v>
      </c>
      <c r="AP292">
        <f t="shared" si="81"/>
        <v>201.8</v>
      </c>
      <c r="AQ292">
        <f t="shared" si="82"/>
        <v>105.62941892137292</v>
      </c>
      <c r="AR292" s="853">
        <f t="shared" si="83"/>
        <v>105.62941892137292</v>
      </c>
      <c r="AS292" s="111">
        <f t="shared" si="84"/>
        <v>0.80075078519707477</v>
      </c>
      <c r="AT292" s="42">
        <f t="shared" si="85"/>
        <v>213.2</v>
      </c>
      <c r="AU292">
        <f t="shared" si="86"/>
        <v>213.2</v>
      </c>
      <c r="AV292" s="42">
        <f t="shared" si="87"/>
        <v>143.66007115046528</v>
      </c>
      <c r="AW292" s="853">
        <f t="shared" si="88"/>
        <v>143.66007115046528</v>
      </c>
    </row>
    <row r="293" spans="3:49">
      <c r="M293" s="42">
        <f>S204</f>
        <v>56</v>
      </c>
      <c r="N293" s="42">
        <f>S203</f>
        <v>226.39317570814615</v>
      </c>
      <c r="AF293" s="43"/>
      <c r="AG293" s="111"/>
      <c r="AI293" s="42">
        <f t="shared" si="75"/>
        <v>1.1120081855040844</v>
      </c>
      <c r="AJ293" s="42">
        <f t="shared" si="76"/>
        <v>197.5</v>
      </c>
      <c r="AK293">
        <f t="shared" si="89"/>
        <v>197.5</v>
      </c>
      <c r="AL293" s="42">
        <f t="shared" si="77"/>
        <v>84.980895971290664</v>
      </c>
      <c r="AM293" s="853">
        <f t="shared" si="78"/>
        <v>84.980895971290664</v>
      </c>
      <c r="AN293" s="42">
        <f t="shared" si="79"/>
        <v>1.0778195666617785</v>
      </c>
      <c r="AO293" s="111">
        <f t="shared" si="80"/>
        <v>205.7</v>
      </c>
      <c r="AP293">
        <f t="shared" si="81"/>
        <v>205.7</v>
      </c>
      <c r="AQ293">
        <f t="shared" si="82"/>
        <v>125.25552660060487</v>
      </c>
      <c r="AR293" s="853">
        <f t="shared" si="83"/>
        <v>125.25552660060487</v>
      </c>
      <c r="AS293" s="42">
        <f t="shared" si="84"/>
        <v>1.0676677135960999</v>
      </c>
      <c r="AT293" s="111">
        <f t="shared" si="85"/>
        <v>218</v>
      </c>
      <c r="AU293">
        <f t="shared" si="86"/>
        <v>218</v>
      </c>
      <c r="AV293">
        <f t="shared" si="87"/>
        <v>170.72833500140825</v>
      </c>
      <c r="AW293" s="853">
        <f t="shared" si="88"/>
        <v>170.72833500140825</v>
      </c>
    </row>
    <row r="294" spans="3:49">
      <c r="M294" s="42">
        <f>AJ204</f>
        <v>112</v>
      </c>
      <c r="N294" s="42">
        <f>AJ203</f>
        <v>329.29298174604207</v>
      </c>
      <c r="AF294" s="43"/>
      <c r="AG294" s="111"/>
      <c r="AI294" s="42">
        <f t="shared" si="75"/>
        <v>1.3900102318801055</v>
      </c>
      <c r="AJ294" s="42">
        <f t="shared" si="76"/>
        <v>198.4</v>
      </c>
      <c r="AK294">
        <f t="shared" si="89"/>
        <v>198.4</v>
      </c>
      <c r="AL294" s="42">
        <f t="shared" si="77"/>
        <v>91.998311859045145</v>
      </c>
      <c r="AM294" s="853">
        <f t="shared" si="78"/>
        <v>91.998311859045145</v>
      </c>
      <c r="AN294" s="42">
        <f t="shared" si="79"/>
        <v>1.3472744583272229</v>
      </c>
      <c r="AO294" s="111">
        <f t="shared" si="80"/>
        <v>210</v>
      </c>
      <c r="AP294">
        <f t="shared" si="81"/>
        <v>210</v>
      </c>
      <c r="AQ294">
        <f t="shared" si="82"/>
        <v>132.72301389893315</v>
      </c>
      <c r="AR294" s="853">
        <f t="shared" si="83"/>
        <v>132.72301389893315</v>
      </c>
      <c r="AS294" s="42">
        <f t="shared" si="84"/>
        <v>1.3345846419951246</v>
      </c>
      <c r="AT294" s="111">
        <f t="shared" si="85"/>
        <v>224.8</v>
      </c>
      <c r="AU294">
        <f t="shared" si="86"/>
        <v>224.8</v>
      </c>
      <c r="AV294">
        <f t="shared" si="87"/>
        <v>182.64835666741789</v>
      </c>
      <c r="AW294" s="853">
        <f t="shared" si="88"/>
        <v>182.64835666741789</v>
      </c>
    </row>
    <row r="295" spans="3:49">
      <c r="AF295" s="43"/>
      <c r="AI295" s="42">
        <f t="shared" si="75"/>
        <v>1.6680122782561264</v>
      </c>
      <c r="AJ295" s="111">
        <f t="shared" si="76"/>
        <v>200</v>
      </c>
      <c r="AK295">
        <f t="shared" si="89"/>
        <v>200</v>
      </c>
      <c r="AL295">
        <f t="shared" si="77"/>
        <v>99.957833400324461</v>
      </c>
      <c r="AM295" s="853">
        <f t="shared" si="78"/>
        <v>99.957833400324461</v>
      </c>
      <c r="AN295" s="42">
        <f t="shared" si="79"/>
        <v>1.6167293499926672</v>
      </c>
      <c r="AO295" s="111">
        <f t="shared" si="80"/>
        <v>215</v>
      </c>
      <c r="AP295">
        <f t="shared" si="81"/>
        <v>215</v>
      </c>
      <c r="AQ295">
        <f t="shared" si="82"/>
        <v>140.18985521114206</v>
      </c>
      <c r="AR295" s="853">
        <f t="shared" si="83"/>
        <v>140.18985521114206</v>
      </c>
      <c r="AS295" s="42">
        <f t="shared" si="84"/>
        <v>1.6015015703941495</v>
      </c>
      <c r="AT295" s="111">
        <f t="shared" si="85"/>
        <v>227.8</v>
      </c>
      <c r="AU295">
        <f t="shared" si="86"/>
        <v>227.8</v>
      </c>
      <c r="AV295">
        <f t="shared" si="87"/>
        <v>190.22257323298905</v>
      </c>
      <c r="AW295" s="853">
        <f t="shared" si="88"/>
        <v>190.22257323298905</v>
      </c>
    </row>
    <row r="296" spans="3:49">
      <c r="L296" t="s">
        <v>259</v>
      </c>
      <c r="M296">
        <f>SLOPE(N292:N294,M292:M294)</f>
        <v>1.8115239595013248</v>
      </c>
      <c r="AF296" s="43"/>
      <c r="AI296" s="42">
        <f t="shared" si="75"/>
        <v>1.9460143246321477</v>
      </c>
      <c r="AJ296" s="111">
        <f t="shared" si="76"/>
        <v>201.2</v>
      </c>
      <c r="AK296">
        <f t="shared" si="89"/>
        <v>201.2</v>
      </c>
      <c r="AL296">
        <f t="shared" si="77"/>
        <v>108.02008503368103</v>
      </c>
      <c r="AM296" s="853">
        <f t="shared" si="78"/>
        <v>108.02008503368103</v>
      </c>
      <c r="AN296" s="42">
        <f t="shared" si="79"/>
        <v>1.886184241658112</v>
      </c>
      <c r="AO296" s="111">
        <f t="shared" si="80"/>
        <v>219</v>
      </c>
      <c r="AP296">
        <f t="shared" si="81"/>
        <v>219</v>
      </c>
      <c r="AQ296">
        <f t="shared" si="82"/>
        <v>146.54081836752269</v>
      </c>
      <c r="AR296" s="853">
        <f t="shared" si="83"/>
        <v>146.54081836752269</v>
      </c>
      <c r="AS296" s="42">
        <f t="shared" si="84"/>
        <v>1.8684184987931742</v>
      </c>
      <c r="AT296" s="111">
        <f t="shared" si="85"/>
        <v>231</v>
      </c>
      <c r="AU296">
        <f t="shared" si="86"/>
        <v>231</v>
      </c>
      <c r="AV296">
        <f t="shared" si="87"/>
        <v>195.81013731447291</v>
      </c>
      <c r="AW296" s="853">
        <f t="shared" si="88"/>
        <v>195.81013731447291</v>
      </c>
    </row>
    <row r="297" spans="3:49">
      <c r="L297" t="s">
        <v>260</v>
      </c>
      <c r="M297">
        <f>INTERCEPT(N292:N294,M292:M294)</f>
        <v>126.03868220543823</v>
      </c>
      <c r="AF297" s="43"/>
      <c r="AI297" s="42">
        <f t="shared" si="75"/>
        <v>2.2240163710081688</v>
      </c>
      <c r="AJ297" s="111">
        <f t="shared" si="76"/>
        <v>202.3</v>
      </c>
      <c r="AK297">
        <f t="shared" si="89"/>
        <v>202.3</v>
      </c>
      <c r="AL297">
        <f t="shared" si="77"/>
        <v>114.29752597847606</v>
      </c>
      <c r="AM297" s="853">
        <f t="shared" si="78"/>
        <v>114.29752597847606</v>
      </c>
      <c r="AN297" s="42">
        <f t="shared" si="79"/>
        <v>2.1556391333235569</v>
      </c>
      <c r="AO297" s="111">
        <f t="shared" si="80"/>
        <v>223</v>
      </c>
      <c r="AP297">
        <f t="shared" si="81"/>
        <v>223</v>
      </c>
      <c r="AQ297">
        <f t="shared" si="82"/>
        <v>150.54933965017838</v>
      </c>
      <c r="AR297" s="853">
        <f t="shared" si="83"/>
        <v>150.54933965017838</v>
      </c>
      <c r="AS297" s="42">
        <f t="shared" si="84"/>
        <v>2.1353354271921998</v>
      </c>
      <c r="AT297" s="111">
        <f t="shared" si="85"/>
        <v>234.4</v>
      </c>
      <c r="AU297">
        <f t="shared" si="86"/>
        <v>234.4</v>
      </c>
      <c r="AV297">
        <f t="shared" si="87"/>
        <v>198.91438120413395</v>
      </c>
      <c r="AW297" s="853">
        <f t="shared" si="88"/>
        <v>198.91438120413395</v>
      </c>
    </row>
    <row r="298" spans="3:49">
      <c r="L298" t="s">
        <v>262</v>
      </c>
      <c r="M298">
        <f>IF($D$7="","",DEGREES(ASIN((M296-1)/(M296+1))))</f>
        <v>16.776673295269003</v>
      </c>
      <c r="N298" s="850"/>
      <c r="AF298" s="43"/>
      <c r="AI298" s="42">
        <f t="shared" si="75"/>
        <v>2.5020184173841895</v>
      </c>
      <c r="AJ298" s="111">
        <f t="shared" si="76"/>
        <v>202.8</v>
      </c>
      <c r="AK298">
        <f t="shared" si="89"/>
        <v>202.8</v>
      </c>
      <c r="AL298">
        <f t="shared" si="77"/>
        <v>122.25077110185219</v>
      </c>
      <c r="AM298" s="853">
        <f t="shared" si="78"/>
        <v>122.25077110185219</v>
      </c>
      <c r="AN298" s="42">
        <f t="shared" si="79"/>
        <v>2.4250940249890012</v>
      </c>
      <c r="AO298" s="111">
        <f t="shared" si="80"/>
        <v>226.9</v>
      </c>
      <c r="AP298">
        <f t="shared" si="81"/>
        <v>226.9</v>
      </c>
      <c r="AQ298">
        <f t="shared" si="82"/>
        <v>153.21932992432195</v>
      </c>
      <c r="AR298" s="853">
        <f t="shared" si="83"/>
        <v>153.21932992432195</v>
      </c>
      <c r="AS298" s="42">
        <f t="shared" si="84"/>
        <v>2.4022523555912243</v>
      </c>
      <c r="AT298" s="111">
        <f t="shared" si="85"/>
        <v>237.8</v>
      </c>
      <c r="AU298">
        <f t="shared" si="86"/>
        <v>237.8</v>
      </c>
      <c r="AV298">
        <f t="shared" si="87"/>
        <v>201.6461293313499</v>
      </c>
      <c r="AW298" s="853">
        <f t="shared" si="88"/>
        <v>201.6461293313499</v>
      </c>
    </row>
    <row r="299" spans="3:49">
      <c r="L299" t="s">
        <v>261</v>
      </c>
      <c r="M299" s="42">
        <f>IF($D$7="","",(M297*(1-SIN(RADIANS(M298))))/(2*COS(RADIANS(M298))))</f>
        <v>46.822200125591863</v>
      </c>
      <c r="N299" s="850"/>
      <c r="AI299" s="42">
        <f t="shared" si="75"/>
        <v>2.7800204637602111</v>
      </c>
      <c r="AJ299" s="111">
        <f t="shared" si="76"/>
        <v>203.7</v>
      </c>
      <c r="AK299">
        <f t="shared" si="89"/>
        <v>203.7</v>
      </c>
      <c r="AL299">
        <f t="shared" si="77"/>
        <v>127.68584347614329</v>
      </c>
      <c r="AM299" s="853">
        <f t="shared" si="78"/>
        <v>127.68584347614329</v>
      </c>
      <c r="AN299" s="42">
        <f t="shared" si="79"/>
        <v>2.6945489166544458</v>
      </c>
      <c r="AO299" s="111">
        <f t="shared" si="80"/>
        <v>229</v>
      </c>
      <c r="AP299">
        <f t="shared" si="81"/>
        <v>229</v>
      </c>
      <c r="AQ299">
        <f t="shared" si="82"/>
        <v>155.88905938760806</v>
      </c>
      <c r="AR299" s="853">
        <f t="shared" si="83"/>
        <v>155.88905938760806</v>
      </c>
      <c r="AS299" s="42">
        <f t="shared" si="84"/>
        <v>2.6691692839902492</v>
      </c>
      <c r="AT299" s="111">
        <f t="shared" si="85"/>
        <v>242</v>
      </c>
      <c r="AU299">
        <f t="shared" si="86"/>
        <v>242</v>
      </c>
      <c r="AV299">
        <f t="shared" si="87"/>
        <v>203.75704843856482</v>
      </c>
      <c r="AW299" s="853">
        <f t="shared" si="88"/>
        <v>203.75704843856482</v>
      </c>
    </row>
    <row r="300" spans="3:49">
      <c r="AI300" s="42">
        <f t="shared" si="75"/>
        <v>3.0580225101362322</v>
      </c>
      <c r="AJ300" s="111">
        <f t="shared" si="76"/>
        <v>204.3</v>
      </c>
      <c r="AK300">
        <f t="shared" si="89"/>
        <v>204.3</v>
      </c>
      <c r="AL300">
        <f t="shared" si="77"/>
        <v>132.70009970963969</v>
      </c>
      <c r="AM300" s="853">
        <f t="shared" si="78"/>
        <v>132.70009970963969</v>
      </c>
      <c r="AN300" s="42">
        <f t="shared" si="79"/>
        <v>2.9640038083198905</v>
      </c>
      <c r="AO300" s="111">
        <f t="shared" si="80"/>
        <v>230</v>
      </c>
      <c r="AP300">
        <f t="shared" si="81"/>
        <v>230</v>
      </c>
      <c r="AQ300">
        <f t="shared" si="82"/>
        <v>157.66649481263909</v>
      </c>
      <c r="AR300" s="853">
        <f t="shared" si="83"/>
        <v>157.66649481263909</v>
      </c>
      <c r="AS300" s="42">
        <f t="shared" si="84"/>
        <v>2.9360862123892746</v>
      </c>
      <c r="AT300" s="111">
        <f t="shared" si="85"/>
        <v>245.3</v>
      </c>
      <c r="AU300">
        <f t="shared" si="86"/>
        <v>245.3</v>
      </c>
      <c r="AV300">
        <f t="shared" si="87"/>
        <v>205.49547060495698</v>
      </c>
      <c r="AW300" s="853">
        <f t="shared" si="88"/>
        <v>205.49547060495698</v>
      </c>
    </row>
    <row r="301" spans="3:49">
      <c r="AI301" s="42">
        <f t="shared" si="75"/>
        <v>3.3360245565122528</v>
      </c>
      <c r="AJ301" s="111">
        <f t="shared" si="76"/>
        <v>205.7</v>
      </c>
      <c r="AK301">
        <f t="shared" si="89"/>
        <v>205.7</v>
      </c>
      <c r="AL301">
        <f t="shared" si="77"/>
        <v>136.87447839937516</v>
      </c>
      <c r="AM301" s="853">
        <f t="shared" si="78"/>
        <v>136.87447839937516</v>
      </c>
      <c r="AN301" s="42">
        <f t="shared" si="79"/>
        <v>3.2334586999853343</v>
      </c>
      <c r="AO301" s="111">
        <f t="shared" si="80"/>
        <v>231</v>
      </c>
      <c r="AP301">
        <f t="shared" si="81"/>
        <v>231</v>
      </c>
      <c r="AQ301">
        <f t="shared" si="82"/>
        <v>159.8897378625706</v>
      </c>
      <c r="AR301" s="853">
        <f t="shared" si="83"/>
        <v>159.8897378625706</v>
      </c>
      <c r="AS301" s="42">
        <f t="shared" si="84"/>
        <v>3.2030031407882991</v>
      </c>
      <c r="AT301" s="111">
        <f t="shared" si="85"/>
        <v>249</v>
      </c>
      <c r="AU301">
        <f t="shared" si="86"/>
        <v>249</v>
      </c>
      <c r="AV301">
        <f t="shared" si="87"/>
        <v>207.23389485501033</v>
      </c>
      <c r="AW301" s="853">
        <f t="shared" si="88"/>
        <v>207.23389485501033</v>
      </c>
    </row>
    <row r="302" spans="3:49">
      <c r="L302" t="s">
        <v>263</v>
      </c>
      <c r="M302" s="42">
        <f>M299</f>
        <v>46.822200125591863</v>
      </c>
      <c r="AI302" s="42">
        <f t="shared" si="75"/>
        <v>3.6140266028882739</v>
      </c>
      <c r="AJ302" s="111">
        <f t="shared" si="76"/>
        <v>207.5</v>
      </c>
      <c r="AK302">
        <f t="shared" si="89"/>
        <v>207.5</v>
      </c>
      <c r="AL302">
        <f t="shared" si="77"/>
        <v>140.62846770944972</v>
      </c>
      <c r="AM302" s="853">
        <f t="shared" si="78"/>
        <v>140.62846770944972</v>
      </c>
      <c r="AN302" s="42">
        <f t="shared" si="79"/>
        <v>3.5029135916507794</v>
      </c>
      <c r="AO302" s="111">
        <f t="shared" si="80"/>
        <v>232</v>
      </c>
      <c r="AP302">
        <f t="shared" si="81"/>
        <v>232</v>
      </c>
      <c r="AQ302">
        <f t="shared" si="82"/>
        <v>161.88976350649349</v>
      </c>
      <c r="AR302" s="853">
        <f t="shared" si="83"/>
        <v>161.88976350649349</v>
      </c>
      <c r="AS302" s="42">
        <f t="shared" si="84"/>
        <v>3.469920069187324</v>
      </c>
      <c r="AT302" s="111">
        <f t="shared" si="85"/>
        <v>256</v>
      </c>
      <c r="AU302">
        <f t="shared" si="86"/>
        <v>256</v>
      </c>
      <c r="AV302">
        <f t="shared" si="87"/>
        <v>208.35148840385537</v>
      </c>
      <c r="AW302" s="853">
        <f t="shared" si="88"/>
        <v>208.35148840385537</v>
      </c>
    </row>
    <row r="303" spans="3:49">
      <c r="L303" t="s">
        <v>262</v>
      </c>
      <c r="M303">
        <f>M298</f>
        <v>16.776673295269003</v>
      </c>
      <c r="AI303" s="42">
        <f t="shared" si="75"/>
        <v>3.8920286492642955</v>
      </c>
      <c r="AJ303" s="111">
        <f t="shared" si="76"/>
        <v>209</v>
      </c>
      <c r="AK303">
        <f t="shared" si="89"/>
        <v>209</v>
      </c>
      <c r="AL303">
        <f t="shared" si="77"/>
        <v>143.96222801783767</v>
      </c>
      <c r="AM303" s="853">
        <f t="shared" si="78"/>
        <v>143.96222801783767</v>
      </c>
      <c r="AN303" s="42">
        <f t="shared" si="79"/>
        <v>3.7723684833162241</v>
      </c>
      <c r="AO303" s="111">
        <f t="shared" si="80"/>
        <v>233</v>
      </c>
      <c r="AP303">
        <f t="shared" si="81"/>
        <v>233</v>
      </c>
      <c r="AQ303">
        <f t="shared" si="82"/>
        <v>162.99766171307186</v>
      </c>
      <c r="AR303" s="853">
        <f t="shared" si="83"/>
        <v>162.99766171307186</v>
      </c>
      <c r="AS303" s="42">
        <f t="shared" si="84"/>
        <v>3.7368369975863485</v>
      </c>
      <c r="AT303" s="111">
        <f t="shared" si="85"/>
        <v>262</v>
      </c>
      <c r="AU303">
        <f t="shared" si="86"/>
        <v>262</v>
      </c>
      <c r="AV303">
        <f t="shared" si="87"/>
        <v>209.71741673648916</v>
      </c>
      <c r="AW303" s="853">
        <f t="shared" si="88"/>
        <v>209.71741673648916</v>
      </c>
    </row>
    <row r="304" spans="3:49">
      <c r="L304" t="s">
        <v>132</v>
      </c>
      <c r="M304" t="s">
        <v>133</v>
      </c>
      <c r="N304" s="801"/>
      <c r="X304" t="s">
        <v>821</v>
      </c>
      <c r="AI304" s="42">
        <f t="shared" si="75"/>
        <v>4.1700306956403166</v>
      </c>
      <c r="AJ304" s="111">
        <f t="shared" si="76"/>
        <v>210</v>
      </c>
      <c r="AK304">
        <f t="shared" si="89"/>
        <v>210</v>
      </c>
      <c r="AL304">
        <f t="shared" si="77"/>
        <v>145.51401920818006</v>
      </c>
      <c r="AM304" s="853">
        <f t="shared" si="78"/>
        <v>145.51401920818006</v>
      </c>
      <c r="AN304" s="42">
        <f t="shared" si="79"/>
        <v>4.0418233749816688</v>
      </c>
      <c r="AO304" s="111">
        <f t="shared" si="80"/>
        <v>234</v>
      </c>
      <c r="AP304">
        <f t="shared" si="81"/>
        <v>234</v>
      </c>
      <c r="AQ304">
        <f t="shared" si="82"/>
        <v>163.43651634622117</v>
      </c>
      <c r="AR304" s="853">
        <f t="shared" si="83"/>
        <v>163.43651634622117</v>
      </c>
      <c r="AS304" s="42">
        <f t="shared" si="84"/>
        <v>4.0037539259853743</v>
      </c>
      <c r="AT304" s="111">
        <f t="shared" si="85"/>
        <v>268</v>
      </c>
      <c r="AU304">
        <f t="shared" si="86"/>
        <v>268</v>
      </c>
      <c r="AV304">
        <f t="shared" si="87"/>
        <v>210.71084683624375</v>
      </c>
      <c r="AW304" s="853">
        <f t="shared" si="88"/>
        <v>210.71084683624375</v>
      </c>
    </row>
    <row r="305" spans="2:49">
      <c r="L305">
        <v>0</v>
      </c>
      <c r="M305" s="42">
        <f t="shared" ref="M305:M311" si="90">IF($D$7="","",$M$302+(L305*TAN(RADIANS($M$303))))</f>
        <v>46.822200125591863</v>
      </c>
      <c r="AI305" s="42">
        <f t="shared" si="75"/>
        <v>4.8650358115803689</v>
      </c>
      <c r="AJ305" s="111">
        <f t="shared" si="76"/>
        <v>211</v>
      </c>
      <c r="AK305">
        <f t="shared" si="89"/>
        <v>211</v>
      </c>
      <c r="AL305">
        <f t="shared" si="77"/>
        <v>148.08205464704676</v>
      </c>
      <c r="AM305" s="853">
        <f t="shared" si="78"/>
        <v>148.08205464704676</v>
      </c>
      <c r="AN305" s="42">
        <f t="shared" si="79"/>
        <v>4.7154606041452798</v>
      </c>
      <c r="AO305" s="111">
        <f t="shared" si="80"/>
        <v>234</v>
      </c>
      <c r="AP305">
        <f t="shared" si="81"/>
        <v>234</v>
      </c>
      <c r="AQ305">
        <f t="shared" si="82"/>
        <v>163.86447454853183</v>
      </c>
      <c r="AR305" s="853">
        <f t="shared" si="83"/>
        <v>163.86447454853183</v>
      </c>
      <c r="AS305" s="42">
        <f t="shared" si="84"/>
        <v>4.6710462469829368</v>
      </c>
      <c r="AT305" s="111">
        <f t="shared" si="85"/>
        <v>272</v>
      </c>
      <c r="AU305">
        <f t="shared" si="86"/>
        <v>272</v>
      </c>
      <c r="AV305">
        <f t="shared" si="87"/>
        <v>210.95942575737416</v>
      </c>
      <c r="AW305" s="853">
        <f t="shared" si="88"/>
        <v>210.95942575737416</v>
      </c>
    </row>
    <row r="306" spans="2:49">
      <c r="L306">
        <v>50</v>
      </c>
      <c r="M306" s="42">
        <f t="shared" si="90"/>
        <v>61.895880908984026</v>
      </c>
      <c r="X306" t="s">
        <v>1392</v>
      </c>
      <c r="AI306" s="42">
        <f t="shared" si="75"/>
        <v>5.5600409275204221</v>
      </c>
      <c r="AJ306" s="111">
        <f t="shared" si="76"/>
        <v>212</v>
      </c>
      <c r="AK306">
        <f t="shared" si="89"/>
        <v>212</v>
      </c>
      <c r="AL306">
        <f t="shared" si="77"/>
        <v>149.28660114108547</v>
      </c>
      <c r="AM306" s="853">
        <f t="shared" si="78"/>
        <v>149.28660114108547</v>
      </c>
      <c r="AN306" s="42">
        <f t="shared" si="79"/>
        <v>5.3890978333088917</v>
      </c>
      <c r="AO306" s="111">
        <f t="shared" si="80"/>
        <v>234</v>
      </c>
      <c r="AP306">
        <f t="shared" si="81"/>
        <v>234</v>
      </c>
      <c r="AQ306">
        <f t="shared" si="82"/>
        <v>164.62646228336601</v>
      </c>
      <c r="AR306" s="853">
        <f t="shared" si="83"/>
        <v>164.62646228336601</v>
      </c>
      <c r="AS306" s="42">
        <f t="shared" si="84"/>
        <v>5.3383385679804984</v>
      </c>
      <c r="AT306" s="111">
        <f t="shared" si="85"/>
        <v>274</v>
      </c>
      <c r="AU306">
        <f t="shared" si="86"/>
        <v>274</v>
      </c>
      <c r="AV306">
        <f t="shared" si="87"/>
        <v>212.4496783809075</v>
      </c>
      <c r="AW306" s="853">
        <f t="shared" si="88"/>
        <v>212.4496783809075</v>
      </c>
    </row>
    <row r="307" spans="2:49">
      <c r="L307">
        <v>100</v>
      </c>
      <c r="M307" s="42">
        <f t="shared" si="90"/>
        <v>76.969561692376189</v>
      </c>
      <c r="X307" s="300" t="s">
        <v>1394</v>
      </c>
      <c r="AI307" s="42">
        <f t="shared" si="75"/>
        <v>6.2550460434604744</v>
      </c>
      <c r="AJ307" s="111">
        <f t="shared" si="76"/>
        <v>212</v>
      </c>
      <c r="AK307">
        <f t="shared" si="89"/>
        <v>212</v>
      </c>
      <c r="AL307">
        <f t="shared" si="77"/>
        <v>149.23370377302703</v>
      </c>
      <c r="AM307" s="853">
        <f t="shared" si="78"/>
        <v>149.23370377302703</v>
      </c>
      <c r="AN307" s="42">
        <f t="shared" si="79"/>
        <v>6.0627350624725036</v>
      </c>
      <c r="AO307" s="111">
        <f t="shared" si="80"/>
        <v>234</v>
      </c>
      <c r="AP307">
        <f t="shared" si="81"/>
        <v>234</v>
      </c>
      <c r="AQ307">
        <f t="shared" si="82"/>
        <v>165.38801657413111</v>
      </c>
      <c r="AR307" s="853">
        <f t="shared" si="83"/>
        <v>165.38801657413111</v>
      </c>
      <c r="AS307" s="42">
        <f t="shared" si="84"/>
        <v>6.005630888978061</v>
      </c>
      <c r="AT307" s="111">
        <f t="shared" si="85"/>
        <v>276</v>
      </c>
      <c r="AU307">
        <f t="shared" si="86"/>
        <v>276</v>
      </c>
      <c r="AV307">
        <f t="shared" si="87"/>
        <v>213.81577099438576</v>
      </c>
      <c r="AW307" s="853">
        <f t="shared" si="88"/>
        <v>213.81577099438576</v>
      </c>
    </row>
    <row r="308" spans="2:49">
      <c r="L308">
        <v>200</v>
      </c>
      <c r="M308" s="42">
        <f t="shared" si="90"/>
        <v>107.11692325916053</v>
      </c>
      <c r="X308" s="300" t="s">
        <v>1393</v>
      </c>
      <c r="AI308" s="42">
        <f t="shared" si="75"/>
        <v>6.9500511594005276</v>
      </c>
      <c r="AJ308" s="111">
        <f t="shared" si="76"/>
        <v>212</v>
      </c>
      <c r="AK308">
        <f t="shared" si="89"/>
        <v>212</v>
      </c>
      <c r="AL308">
        <f t="shared" si="77"/>
        <v>149.18005452406811</v>
      </c>
      <c r="AM308" s="853">
        <f t="shared" si="78"/>
        <v>149.18005452406811</v>
      </c>
      <c r="AN308" s="42">
        <f t="shared" si="79"/>
        <v>6.7363722916361137</v>
      </c>
      <c r="AO308" s="111">
        <f t="shared" si="80"/>
        <v>234</v>
      </c>
      <c r="AP308">
        <f t="shared" si="81"/>
        <v>234</v>
      </c>
      <c r="AQ308">
        <f t="shared" si="82"/>
        <v>166.14912817852897</v>
      </c>
      <c r="AR308" s="853">
        <f t="shared" si="83"/>
        <v>166.14912817852897</v>
      </c>
      <c r="AS308" s="42">
        <f t="shared" si="84"/>
        <v>6.6729232099756235</v>
      </c>
      <c r="AT308" s="111">
        <f t="shared" si="85"/>
        <v>277</v>
      </c>
      <c r="AU308">
        <f t="shared" si="86"/>
        <v>277</v>
      </c>
      <c r="AV308">
        <f t="shared" si="87"/>
        <v>216.5477104800716</v>
      </c>
      <c r="AW308" s="853">
        <f t="shared" si="88"/>
        <v>216.5477104800716</v>
      </c>
    </row>
    <row r="309" spans="2:49">
      <c r="L309">
        <v>300</v>
      </c>
      <c r="M309" s="42">
        <f t="shared" si="90"/>
        <v>137.26428482594486</v>
      </c>
      <c r="AI309" s="42">
        <f t="shared" si="75"/>
        <v>7.64505627534058</v>
      </c>
      <c r="AJ309" s="111">
        <f t="shared" si="76"/>
        <v>212</v>
      </c>
      <c r="AK309">
        <f t="shared" si="89"/>
        <v>212</v>
      </c>
      <c r="AL309">
        <f t="shared" si="77"/>
        <v>149.12563724865871</v>
      </c>
      <c r="AM309" s="853">
        <f t="shared" si="78"/>
        <v>149.12563724865871</v>
      </c>
      <c r="AN309" s="42">
        <f t="shared" si="79"/>
        <v>7.4100095207997265</v>
      </c>
      <c r="AO309" s="111">
        <f t="shared" si="80"/>
        <v>234</v>
      </c>
      <c r="AP309">
        <f t="shared" si="81"/>
        <v>234</v>
      </c>
      <c r="AQ309">
        <f t="shared" si="82"/>
        <v>167.35547460587753</v>
      </c>
      <c r="AR309" s="853">
        <f t="shared" si="83"/>
        <v>167.35547460587753</v>
      </c>
      <c r="AS309" s="42">
        <f t="shared" si="84"/>
        <v>7.3402155309731851</v>
      </c>
      <c r="AT309" s="111">
        <f t="shared" si="85"/>
        <v>278</v>
      </c>
      <c r="AU309">
        <f t="shared" si="86"/>
        <v>278</v>
      </c>
      <c r="AV309">
        <f t="shared" si="87"/>
        <v>217.2929817460421</v>
      </c>
      <c r="AW309" s="853">
        <f t="shared" si="88"/>
        <v>217.2929817460421</v>
      </c>
    </row>
    <row r="310" spans="2:49">
      <c r="L310">
        <v>400</v>
      </c>
      <c r="M310" s="42">
        <f t="shared" si="90"/>
        <v>167.41164639272918</v>
      </c>
      <c r="Z310" s="4"/>
      <c r="AA310" s="856" t="s">
        <v>853</v>
      </c>
      <c r="AI310" s="42">
        <f t="shared" si="75"/>
        <v>8.3400613912806332</v>
      </c>
      <c r="AJ310" s="111">
        <f t="shared" si="76"/>
        <v>212</v>
      </c>
      <c r="AK310">
        <f t="shared" si="89"/>
        <v>212</v>
      </c>
      <c r="AL310">
        <f t="shared" si="77"/>
        <v>149.48858522438621</v>
      </c>
      <c r="AM310" s="853">
        <f t="shared" si="78"/>
        <v>149.48858522438621</v>
      </c>
      <c r="AN310" s="42">
        <f t="shared" si="79"/>
        <v>8.0836467499633375</v>
      </c>
      <c r="AO310" s="111">
        <f t="shared" si="80"/>
        <v>234</v>
      </c>
      <c r="AP310">
        <f t="shared" si="81"/>
        <v>234</v>
      </c>
      <c r="AQ310">
        <f t="shared" si="82"/>
        <v>167.6699850262664</v>
      </c>
      <c r="AR310" s="853">
        <f t="shared" si="83"/>
        <v>167.6699850262664</v>
      </c>
      <c r="AS310" s="42">
        <f t="shared" si="84"/>
        <v>8.0075078519707485</v>
      </c>
      <c r="AT310" s="111">
        <f t="shared" si="85"/>
        <v>278</v>
      </c>
      <c r="AU310">
        <f t="shared" si="86"/>
        <v>278</v>
      </c>
      <c r="AV310">
        <f t="shared" si="87"/>
        <v>216.29991271835215</v>
      </c>
      <c r="AW310" s="853">
        <f t="shared" si="88"/>
        <v>216.29991271835215</v>
      </c>
    </row>
    <row r="311" spans="2:49">
      <c r="L311">
        <v>500</v>
      </c>
      <c r="M311" s="42">
        <f t="shared" si="90"/>
        <v>197.55900795951351</v>
      </c>
      <c r="X311" s="856" t="s">
        <v>851</v>
      </c>
      <c r="AA311" s="855" t="s">
        <v>854</v>
      </c>
      <c r="AI311" s="42">
        <f t="shared" si="75"/>
        <v>9.0350665072206855</v>
      </c>
      <c r="AJ311" s="111">
        <f t="shared" si="76"/>
        <v>212</v>
      </c>
      <c r="AK311">
        <f t="shared" si="89"/>
        <v>212</v>
      </c>
      <c r="AL311">
        <f t="shared" si="77"/>
        <v>149.43242448713994</v>
      </c>
      <c r="AM311" s="853">
        <f t="shared" si="78"/>
        <v>149.43242448713994</v>
      </c>
      <c r="AN311" s="42">
        <f t="shared" si="79"/>
        <v>8.7572839791269477</v>
      </c>
      <c r="AO311" s="111">
        <f t="shared" si="80"/>
        <v>234</v>
      </c>
      <c r="AP311">
        <f t="shared" si="81"/>
        <v>234</v>
      </c>
      <c r="AQ311">
        <f t="shared" si="82"/>
        <v>168.87529166771313</v>
      </c>
      <c r="AR311" s="853">
        <f t="shared" si="83"/>
        <v>168.87529166771313</v>
      </c>
      <c r="AS311" s="42">
        <f t="shared" si="84"/>
        <v>8.6748001729683093</v>
      </c>
      <c r="AT311" s="111">
        <f t="shared" si="85"/>
        <v>278</v>
      </c>
      <c r="AU311">
        <f t="shared" si="86"/>
        <v>278</v>
      </c>
      <c r="AV311">
        <f t="shared" si="87"/>
        <v>215.18267740991806</v>
      </c>
      <c r="AW311" s="853">
        <f t="shared" si="88"/>
        <v>215.18267740991806</v>
      </c>
    </row>
    <row r="312" spans="2:49">
      <c r="X312" s="855" t="s">
        <v>852</v>
      </c>
      <c r="AI312" s="42">
        <f t="shared" si="75"/>
        <v>9.7300716231607378</v>
      </c>
      <c r="AJ312" s="111">
        <f t="shared" si="76"/>
        <v>212</v>
      </c>
      <c r="AK312">
        <f t="shared" si="89"/>
        <v>212</v>
      </c>
      <c r="AL312">
        <f t="shared" si="77"/>
        <v>148.53977531746816</v>
      </c>
      <c r="AM312" s="853">
        <f t="shared" si="78"/>
        <v>148.53977531746816</v>
      </c>
      <c r="AN312" s="42">
        <f t="shared" si="79"/>
        <v>9.4309212082905596</v>
      </c>
      <c r="AO312" s="111">
        <f t="shared" si="80"/>
        <v>234</v>
      </c>
      <c r="AP312">
        <f t="shared" si="81"/>
        <v>234</v>
      </c>
      <c r="AQ312">
        <f t="shared" si="82"/>
        <v>169.63448061858188</v>
      </c>
      <c r="AR312" s="853">
        <f t="shared" si="83"/>
        <v>169.63448061858188</v>
      </c>
      <c r="AS312" s="42">
        <f t="shared" si="84"/>
        <v>9.3420924939658736</v>
      </c>
      <c r="AT312" s="111">
        <f t="shared" si="85"/>
        <v>278</v>
      </c>
      <c r="AU312">
        <f t="shared" si="86"/>
        <v>278</v>
      </c>
      <c r="AV312">
        <f t="shared" si="87"/>
        <v>213.32043592085404</v>
      </c>
      <c r="AW312" s="853">
        <f t="shared" si="88"/>
        <v>213.32043592085404</v>
      </c>
    </row>
    <row r="313" spans="2:49">
      <c r="AI313" s="42">
        <f t="shared" si="75"/>
        <v>10.42507673910079</v>
      </c>
      <c r="AJ313" s="111">
        <f t="shared" si="76"/>
        <v>212</v>
      </c>
      <c r="AK313">
        <f t="shared" si="89"/>
        <v>212</v>
      </c>
      <c r="AL313">
        <f t="shared" si="77"/>
        <v>148.06460498663046</v>
      </c>
      <c r="AM313" s="853">
        <f t="shared" si="78"/>
        <v>148.06460498663046</v>
      </c>
      <c r="AN313" s="42">
        <f t="shared" si="79"/>
        <v>10.104558437454171</v>
      </c>
      <c r="AO313" s="111">
        <f t="shared" si="80"/>
        <v>234</v>
      </c>
      <c r="AP313">
        <f t="shared" si="81"/>
        <v>234</v>
      </c>
      <c r="AQ313">
        <f t="shared" si="82"/>
        <v>170.39317570814612</v>
      </c>
      <c r="AR313" s="853">
        <f t="shared" si="83"/>
        <v>170.39317570814612</v>
      </c>
      <c r="AS313" s="42">
        <f t="shared" si="84"/>
        <v>10.009384814963434</v>
      </c>
      <c r="AT313" s="111">
        <f t="shared" si="85"/>
        <v>278</v>
      </c>
      <c r="AU313">
        <f t="shared" si="86"/>
        <v>278</v>
      </c>
      <c r="AV313">
        <f t="shared" si="87"/>
        <v>210.8373534112979</v>
      </c>
      <c r="AW313" s="853">
        <f t="shared" si="88"/>
        <v>210.8373534112979</v>
      </c>
    </row>
    <row r="314" spans="2:49">
      <c r="AI314" s="42">
        <f t="shared" si="75"/>
        <v>11.120081855040844</v>
      </c>
      <c r="AJ314" s="111">
        <f t="shared" si="76"/>
        <v>212</v>
      </c>
      <c r="AK314">
        <f t="shared" si="89"/>
        <v>212</v>
      </c>
      <c r="AL314">
        <f t="shared" si="77"/>
        <v>146.33638668481598</v>
      </c>
      <c r="AM314" s="853">
        <f t="shared" si="78"/>
        <v>146.33638668481598</v>
      </c>
      <c r="AN314" s="42">
        <f t="shared" si="79"/>
        <v>10.778195666617783</v>
      </c>
      <c r="AO314" s="111">
        <f t="shared" si="80"/>
        <v>234</v>
      </c>
      <c r="AP314">
        <f t="shared" si="81"/>
        <v>234</v>
      </c>
      <c r="AQ314">
        <f t="shared" si="82"/>
        <v>170.03782419350014</v>
      </c>
      <c r="AR314" s="853">
        <f t="shared" si="83"/>
        <v>170.03782419350014</v>
      </c>
      <c r="AS314" s="42">
        <f t="shared" si="84"/>
        <v>10.676677135960997</v>
      </c>
      <c r="AT314" s="111">
        <f t="shared" si="85"/>
        <v>278</v>
      </c>
      <c r="AU314">
        <f t="shared" si="86"/>
        <v>278</v>
      </c>
      <c r="AV314">
        <f t="shared" si="87"/>
        <v>208.60260491643146</v>
      </c>
      <c r="AW314" s="853">
        <f t="shared" si="88"/>
        <v>208.60260491643146</v>
      </c>
    </row>
    <row r="315" spans="2:49">
      <c r="AI315" s="42">
        <f t="shared" si="75"/>
        <v>11.815086970980897</v>
      </c>
      <c r="AJ315" s="111">
        <f t="shared" si="76"/>
        <v>212</v>
      </c>
      <c r="AK315">
        <f t="shared" si="89"/>
        <v>212</v>
      </c>
      <c r="AL315">
        <f t="shared" si="77"/>
        <v>144.19128984696351</v>
      </c>
      <c r="AM315" s="853">
        <f t="shared" si="78"/>
        <v>144.19128984696351</v>
      </c>
      <c r="AN315" s="42">
        <f t="shared" si="79"/>
        <v>11.451832895781394</v>
      </c>
      <c r="AO315" s="111">
        <f t="shared" si="80"/>
        <v>234</v>
      </c>
      <c r="AP315">
        <f t="shared" si="81"/>
        <v>234</v>
      </c>
      <c r="AQ315">
        <f t="shared" si="82"/>
        <v>168.79151852528267</v>
      </c>
      <c r="AR315" s="853">
        <f t="shared" si="83"/>
        <v>168.79151852528267</v>
      </c>
      <c r="AS315" s="42">
        <f t="shared" si="84"/>
        <v>11.343969456958559</v>
      </c>
      <c r="AT315" s="111">
        <f t="shared" si="85"/>
        <v>278</v>
      </c>
      <c r="AU315">
        <f t="shared" si="86"/>
        <v>278</v>
      </c>
      <c r="AV315">
        <f t="shared" si="87"/>
        <v>206.74035976804919</v>
      </c>
      <c r="AW315" s="853">
        <f t="shared" si="88"/>
        <v>206.74035976804919</v>
      </c>
    </row>
    <row r="316" spans="2:49">
      <c r="AI316" s="42">
        <f t="shared" si="75"/>
        <v>12.510092086920949</v>
      </c>
      <c r="AJ316" s="111">
        <f t="shared" si="76"/>
        <v>212</v>
      </c>
      <c r="AK316">
        <f t="shared" si="89"/>
        <v>212</v>
      </c>
      <c r="AL316">
        <f t="shared" si="77"/>
        <v>141.94271111246377</v>
      </c>
      <c r="AM316" s="853">
        <f t="shared" si="78"/>
        <v>141.94271111246377</v>
      </c>
      <c r="AN316" s="42">
        <f t="shared" si="79"/>
        <v>12.125470124945007</v>
      </c>
      <c r="AO316" s="111">
        <f t="shared" si="80"/>
        <v>234</v>
      </c>
      <c r="AP316">
        <f t="shared" si="81"/>
        <v>234</v>
      </c>
      <c r="AQ316">
        <f t="shared" si="82"/>
        <v>166.54327175185958</v>
      </c>
      <c r="AR316" s="853">
        <f t="shared" si="83"/>
        <v>166.54327175185958</v>
      </c>
      <c r="AS316" s="42">
        <f t="shared" si="84"/>
        <v>12.011261777956122</v>
      </c>
      <c r="AT316" s="111">
        <f t="shared" si="85"/>
        <v>278</v>
      </c>
      <c r="AU316">
        <f t="shared" si="86"/>
        <v>278</v>
      </c>
      <c r="AV316">
        <f t="shared" si="87"/>
        <v>204.87811378971466</v>
      </c>
      <c r="AW316" s="853">
        <f t="shared" si="88"/>
        <v>204.87811378971466</v>
      </c>
    </row>
    <row r="317" spans="2:49">
      <c r="B317" t="s">
        <v>845</v>
      </c>
      <c r="AI317" s="42">
        <f t="shared" si="75"/>
        <v>13.205097202861001</v>
      </c>
      <c r="AJ317" s="111">
        <f t="shared" si="76"/>
        <v>212</v>
      </c>
      <c r="AK317">
        <f t="shared" si="89"/>
        <v>212</v>
      </c>
      <c r="AL317">
        <f t="shared" si="77"/>
        <v>139.3822976409092</v>
      </c>
      <c r="AM317" s="853">
        <f t="shared" si="78"/>
        <v>139.3822976409092</v>
      </c>
      <c r="AN317" s="42">
        <f t="shared" si="79"/>
        <v>12.799107354108619</v>
      </c>
      <c r="AO317" s="111">
        <f t="shared" si="80"/>
        <v>234</v>
      </c>
      <c r="AP317">
        <f t="shared" si="81"/>
        <v>234</v>
      </c>
      <c r="AQ317">
        <f t="shared" si="82"/>
        <v>164.96314403653659</v>
      </c>
      <c r="AR317" s="853">
        <f t="shared" si="83"/>
        <v>164.96314403653659</v>
      </c>
    </row>
    <row r="318" spans="2:49">
      <c r="AN318" s="42">
        <f t="shared" si="79"/>
        <v>13.472744583272227</v>
      </c>
      <c r="AO318" s="111">
        <f t="shared" si="80"/>
        <v>234</v>
      </c>
      <c r="AP318">
        <f t="shared" si="81"/>
        <v>234</v>
      </c>
      <c r="AQ318">
        <f t="shared" si="82"/>
        <v>163.04920771357575</v>
      </c>
      <c r="AR318" s="853">
        <f t="shared" si="83"/>
        <v>163.04920771357575</v>
      </c>
    </row>
    <row r="319" spans="2:49">
      <c r="B319" s="541" t="s">
        <v>715</v>
      </c>
      <c r="C319" s="673"/>
      <c r="D319" s="673"/>
      <c r="E319" s="673"/>
      <c r="F319" s="673"/>
      <c r="G319" s="576"/>
      <c r="H319" s="576"/>
    </row>
    <row r="320" spans="2:49">
      <c r="B320" s="796" t="s">
        <v>479</v>
      </c>
      <c r="C320" s="796"/>
      <c r="D320" s="796">
        <v>1</v>
      </c>
      <c r="E320" s="798">
        <v>2</v>
      </c>
      <c r="F320" s="802">
        <v>3</v>
      </c>
      <c r="G320" s="804"/>
    </row>
    <row r="321" spans="2:8">
      <c r="B321" s="796" t="s">
        <v>791</v>
      </c>
      <c r="C321" s="796"/>
      <c r="D321" s="797">
        <f>IF($D$7="","",F40)</f>
        <v>3.8</v>
      </c>
      <c r="E321" s="797">
        <f>IF($D$7="","",V40)</f>
        <v>3.8</v>
      </c>
      <c r="F321" s="799">
        <f>IF($D$7="","",AM40)</f>
        <v>3.8</v>
      </c>
      <c r="G321" s="803"/>
    </row>
    <row r="322" spans="2:8">
      <c r="B322" s="796" t="s">
        <v>727</v>
      </c>
      <c r="C322" s="796"/>
      <c r="D322" s="797">
        <f>IF($D$7="","",F39)</f>
        <v>7.6</v>
      </c>
      <c r="E322" s="797">
        <f>IF($D$7="","",V39)</f>
        <v>7.6400000000000006</v>
      </c>
      <c r="F322" s="799">
        <f>IF($D$7="","",AM39)</f>
        <v>7.6400000000000006</v>
      </c>
      <c r="G322" s="803"/>
    </row>
    <row r="323" spans="2:8">
      <c r="B323" s="796" t="s">
        <v>842</v>
      </c>
      <c r="C323" s="796"/>
      <c r="D323" s="797">
        <f>IF($D$7="","",F41)</f>
        <v>11.3354</v>
      </c>
      <c r="E323" s="797">
        <f>IF($D$7="","",V41)</f>
        <v>11.3354</v>
      </c>
      <c r="F323" s="799">
        <f>IF($D$7="","",AM41)</f>
        <v>11.3354</v>
      </c>
      <c r="G323" s="803"/>
    </row>
    <row r="324" spans="2:8">
      <c r="B324" s="796" t="s">
        <v>729</v>
      </c>
      <c r="C324" s="796"/>
      <c r="D324" s="797">
        <f>IF($D$7="","",F42)</f>
        <v>86.149039999999999</v>
      </c>
      <c r="E324" s="797">
        <f>IF($D$7="","",V42)</f>
        <v>86.602456000000004</v>
      </c>
      <c r="F324" s="799">
        <f>IF($D$7="","",AM42)</f>
        <v>86.602456000000004</v>
      </c>
      <c r="G324" s="803"/>
    </row>
    <row r="325" spans="2:8">
      <c r="B325" s="796" t="s">
        <v>786</v>
      </c>
      <c r="C325" s="796"/>
      <c r="D325" s="797">
        <f>IF($D$7="","",D44)</f>
        <v>43.145354981266209</v>
      </c>
      <c r="E325" s="797">
        <f>IF($D$7="","",T44)</f>
        <v>43.18333811025127</v>
      </c>
      <c r="F325" s="799">
        <f>IF($D$7="","",AK44)</f>
        <v>43.243501529051976</v>
      </c>
      <c r="G325" s="803"/>
    </row>
    <row r="326" spans="2:8">
      <c r="B326" s="796" t="s">
        <v>787</v>
      </c>
      <c r="C326" s="796"/>
      <c r="D326" s="797">
        <f>IF($D$7="","",D43)</f>
        <v>1.7295607704972684</v>
      </c>
      <c r="E326" s="797">
        <f>IF($D$7="","",T43)</f>
        <v>1.7305513829769446</v>
      </c>
      <c r="F326" s="799">
        <f>IF($D$7="","",T43)</f>
        <v>1.7305513829769446</v>
      </c>
      <c r="G326" s="803"/>
    </row>
    <row r="327" spans="2:8">
      <c r="B327" s="796" t="s">
        <v>795</v>
      </c>
      <c r="C327" s="796"/>
      <c r="D327" s="797">
        <f>IF($D$7="","",D45)</f>
        <v>1.2082549033628232</v>
      </c>
      <c r="E327" s="797">
        <f>IF($D$7="","",T45)</f>
        <v>1.2086262311082723</v>
      </c>
      <c r="F327" s="799">
        <f>IF($D$7="","",AK45)</f>
        <v>1.2082798206092444</v>
      </c>
      <c r="G327" s="803"/>
    </row>
    <row r="330" spans="2:8">
      <c r="B330" s="540" t="s">
        <v>575</v>
      </c>
      <c r="C330" s="540"/>
      <c r="D330" s="540"/>
      <c r="E330" s="540" t="s">
        <v>760</v>
      </c>
      <c r="F330" s="540"/>
      <c r="G330" s="540"/>
      <c r="H330" s="540"/>
    </row>
    <row r="331" spans="2:8">
      <c r="B331" s="13" t="s">
        <v>479</v>
      </c>
      <c r="C331" s="13"/>
      <c r="D331" s="13"/>
      <c r="E331" s="13">
        <v>1</v>
      </c>
      <c r="F331" s="13">
        <v>2</v>
      </c>
      <c r="G331" s="786">
        <v>3</v>
      </c>
      <c r="H331" s="13"/>
    </row>
    <row r="332" spans="2:8">
      <c r="B332" s="13" t="s">
        <v>840</v>
      </c>
      <c r="C332" s="13"/>
      <c r="D332" s="13"/>
      <c r="E332" s="797">
        <f>IF($D$7="","",D122)</f>
        <v>240</v>
      </c>
      <c r="F332" s="797">
        <f>IF($D$7="","",T122)</f>
        <v>290</v>
      </c>
      <c r="G332" s="797">
        <f>IF($D$7="","",AK122)</f>
        <v>390</v>
      </c>
      <c r="H332" s="13"/>
    </row>
    <row r="333" spans="2:8">
      <c r="B333" s="13" t="s">
        <v>818</v>
      </c>
      <c r="C333" s="13"/>
      <c r="D333" s="13"/>
      <c r="E333" s="797">
        <f>IF($D$7="","",D123)</f>
        <v>190</v>
      </c>
      <c r="F333" s="797">
        <f>IF($D$7="","",T123)</f>
        <v>190</v>
      </c>
      <c r="G333" s="797">
        <f>IF($D$7="","",AK123)</f>
        <v>190</v>
      </c>
      <c r="H333" s="13"/>
    </row>
    <row r="334" spans="2:8">
      <c r="B334" s="13" t="s">
        <v>820</v>
      </c>
      <c r="C334" s="13"/>
      <c r="D334" s="13"/>
      <c r="E334" s="797">
        <f>IF($D$7="","",D121)</f>
        <v>50</v>
      </c>
      <c r="F334" s="797">
        <f>IF($D$7="","",T121)</f>
        <v>100</v>
      </c>
      <c r="G334" s="797">
        <f>IF($D$7="","",AK121)</f>
        <v>200</v>
      </c>
      <c r="H334" s="13"/>
    </row>
    <row r="335" spans="2:8" ht="49.5">
      <c r="B335" s="782" t="s">
        <v>819</v>
      </c>
      <c r="C335" s="13"/>
      <c r="D335" s="13"/>
      <c r="E335" s="797">
        <f>IF($D$7="","",D124)</f>
        <v>229</v>
      </c>
      <c r="F335" s="797">
        <f>IF($D$7="","",T124)</f>
        <v>275</v>
      </c>
      <c r="G335" s="797">
        <f>IF($D$7="","",AK124)</f>
        <v>376</v>
      </c>
      <c r="H335" s="13"/>
    </row>
    <row r="336" spans="2:8">
      <c r="B336" s="13" t="s">
        <v>811</v>
      </c>
      <c r="C336" s="13"/>
      <c r="D336" s="13"/>
      <c r="E336" s="797">
        <f>IF($D$7="","",F68)</f>
        <v>0.97499999999999998</v>
      </c>
      <c r="F336" s="797">
        <f>IF($D$7="","",W68)</f>
        <v>0.94444444444444442</v>
      </c>
      <c r="G336" s="797">
        <f>IF($D$7="","",AN68)</f>
        <v>0.97894736842105268</v>
      </c>
      <c r="H336" s="13"/>
    </row>
    <row r="337" spans="2:8">
      <c r="B337" s="13" t="s">
        <v>813</v>
      </c>
      <c r="C337" s="13"/>
      <c r="D337" s="13"/>
      <c r="E337" s="797">
        <f>IF($D$7="","",L121)</f>
        <v>1101.5697646667575</v>
      </c>
      <c r="F337" s="797">
        <f>IF($D$7="","",AB121)</f>
        <v>1116.9236150139643</v>
      </c>
      <c r="G337" s="797">
        <f>IF($D$7="","",AS121)</f>
        <v>1122.4184613167072</v>
      </c>
      <c r="H337" s="13"/>
    </row>
    <row r="338" spans="2:8">
      <c r="B338" s="13" t="s">
        <v>814</v>
      </c>
      <c r="C338" s="13"/>
      <c r="D338" s="13"/>
      <c r="E338" s="797">
        <f>IF($D$7="","",L122)</f>
        <v>71.941916474054736</v>
      </c>
      <c r="F338" s="797">
        <f>IF($D$7="","",AB122)</f>
        <v>74.223926225217753</v>
      </c>
      <c r="G338" s="797">
        <f>IF($D$7="","",AS122)</f>
        <v>74.929679881903894</v>
      </c>
      <c r="H338" s="13"/>
    </row>
    <row r="339" spans="2:8">
      <c r="B339" s="13" t="s">
        <v>815</v>
      </c>
      <c r="C339" s="13"/>
      <c r="D339" s="13"/>
      <c r="E339" s="797">
        <f>IF($D$7="","",L123)</f>
        <v>79249.039999999994</v>
      </c>
      <c r="F339" s="797">
        <f>IF($D$7="","",AB123)</f>
        <v>82902.456000000006</v>
      </c>
      <c r="G339" s="797">
        <f>IF($D$7="","",AS123)</f>
        <v>84102.456000000006</v>
      </c>
      <c r="H339" s="13"/>
    </row>
    <row r="340" spans="2:8">
      <c r="B340" s="13" t="s">
        <v>841</v>
      </c>
      <c r="C340" s="13"/>
      <c r="D340" s="13"/>
      <c r="E340" s="805">
        <f>IF($D$7="","",L125*9.80665)</f>
        <v>1.18299972546</v>
      </c>
      <c r="F340" s="805">
        <f>IF($D$7="","",AB125*9.80665)</f>
        <v>1.18299972546</v>
      </c>
      <c r="G340" s="805">
        <f>IF($D$7="","",AS125*9.80665)</f>
        <v>1.18299972546</v>
      </c>
      <c r="H340" s="13"/>
    </row>
    <row r="343" spans="2:8">
      <c r="B343" s="541" t="s">
        <v>812</v>
      </c>
      <c r="C343" s="541"/>
      <c r="D343" s="541"/>
      <c r="E343" s="541"/>
      <c r="F343" s="541"/>
      <c r="G343" s="710"/>
      <c r="H343" s="710"/>
    </row>
    <row r="344" spans="2:8">
      <c r="B344" s="819" t="s">
        <v>575</v>
      </c>
      <c r="C344" s="819"/>
      <c r="D344" s="819" t="s">
        <v>760</v>
      </c>
      <c r="E344" s="819"/>
      <c r="F344" s="820"/>
      <c r="H344" s="819"/>
    </row>
    <row r="345" spans="2:8">
      <c r="B345" s="817" t="s">
        <v>479</v>
      </c>
      <c r="C345" s="806"/>
      <c r="D345" s="817">
        <v>1</v>
      </c>
      <c r="E345" s="817">
        <v>2</v>
      </c>
      <c r="F345" s="817">
        <v>3</v>
      </c>
      <c r="H345" s="807"/>
    </row>
    <row r="346" spans="2:8" ht="49.5">
      <c r="B346" s="818" t="s">
        <v>832</v>
      </c>
      <c r="C346" s="782"/>
      <c r="D346" s="797">
        <f>IF($D$7="","",I169)</f>
        <v>149.48858522438621</v>
      </c>
      <c r="E346" s="797">
        <f>IF($D$7="","",Y169)</f>
        <v>170.39317570814612</v>
      </c>
      <c r="F346" s="797">
        <f>IF($D$7="","",AP169)</f>
        <v>217.2929817460421</v>
      </c>
      <c r="H346" s="812"/>
    </row>
    <row r="347" spans="2:8" ht="49.5">
      <c r="B347" s="814" t="s">
        <v>809</v>
      </c>
      <c r="C347" s="815"/>
      <c r="D347" s="797">
        <f>IF($D$7="","",J169)</f>
        <v>379.3822976409092</v>
      </c>
      <c r="E347" s="797">
        <f>IF($D$7="","",Z169)</f>
        <v>453.04920771357575</v>
      </c>
      <c r="F347" s="797">
        <f>IF($D$7="","",AQ169)</f>
        <v>594.87811378971469</v>
      </c>
      <c r="H347" s="810"/>
    </row>
    <row r="348" spans="2:8" ht="49.5">
      <c r="B348" s="814" t="s">
        <v>808</v>
      </c>
      <c r="C348" s="815"/>
      <c r="D348" s="797">
        <f>IF($D$7="","",K169)</f>
        <v>167.3822976409092</v>
      </c>
      <c r="E348" s="797">
        <f>IF($D$7="","",AA169)</f>
        <v>219.04920771357575</v>
      </c>
      <c r="F348" s="797">
        <f>IF($D$7="","",AR169)</f>
        <v>316.87811378971469</v>
      </c>
      <c r="H348" s="816"/>
    </row>
    <row r="349" spans="2:8" ht="49.5">
      <c r="B349" s="782" t="s">
        <v>810</v>
      </c>
      <c r="C349" s="782"/>
      <c r="D349" s="797">
        <f>IF($D$7="","",L169)</f>
        <v>28</v>
      </c>
      <c r="E349" s="797">
        <f>IF($D$7="","",AB169)</f>
        <v>56</v>
      </c>
      <c r="F349" s="797">
        <f>IF($D$7="","",AS169)</f>
        <v>112</v>
      </c>
      <c r="H349" s="810"/>
    </row>
    <row r="350" spans="2:8" ht="50.25">
      <c r="B350" s="795" t="s">
        <v>843</v>
      </c>
      <c r="C350" s="813"/>
      <c r="D350" s="797">
        <f>IF($D$7="","",G169)</f>
        <v>212</v>
      </c>
      <c r="E350" s="797">
        <f>IF($D$7="","",W169)</f>
        <v>234</v>
      </c>
      <c r="F350" s="797">
        <f>IF($D$7="","",AN169)</f>
        <v>278</v>
      </c>
      <c r="H350" s="816"/>
    </row>
    <row r="351" spans="2:8">
      <c r="B351" s="806" t="s">
        <v>816</v>
      </c>
      <c r="C351" s="806"/>
      <c r="D351" s="797">
        <f>IF($D$7="","",D169)</f>
        <v>13.205097202861001</v>
      </c>
      <c r="E351" s="797">
        <f>IF($D$7="","",T169)</f>
        <v>13.472744583272227</v>
      </c>
      <c r="F351" s="797">
        <f>IF($D$7="","",AK169)</f>
        <v>12.011261777956122</v>
      </c>
      <c r="H351" s="810"/>
    </row>
    <row r="352" spans="2:8">
      <c r="B352" s="809" t="s">
        <v>830</v>
      </c>
      <c r="C352" s="809"/>
      <c r="D352" s="797">
        <f>IF($D$7="","",M169)</f>
        <v>5.9779392014610426</v>
      </c>
      <c r="E352" s="797">
        <f>IF($D$7="","",AC169)</f>
        <v>3.9115929948852814</v>
      </c>
      <c r="F352" s="797">
        <f>IF($D$7="","",AT169)</f>
        <v>2.8292688731224525</v>
      </c>
      <c r="H352" s="812"/>
    </row>
    <row r="355" spans="2:23">
      <c r="B355" s="1566" t="s">
        <v>1719</v>
      </c>
      <c r="C355" s="862"/>
      <c r="D355" s="14"/>
      <c r="E355" s="370"/>
      <c r="F355" s="370"/>
    </row>
    <row r="356" spans="2:23">
      <c r="B356" s="1570" t="s">
        <v>1941</v>
      </c>
      <c r="C356" s="862"/>
      <c r="D356" s="14"/>
      <c r="E356" s="370"/>
      <c r="F356" s="370"/>
    </row>
    <row r="357" spans="2:23">
      <c r="B357" s="1566" t="s">
        <v>1719</v>
      </c>
      <c r="C357" s="862"/>
      <c r="D357" s="14"/>
      <c r="E357" s="370"/>
      <c r="F357" s="370"/>
    </row>
    <row r="358" spans="2:23">
      <c r="B358" s="1566"/>
      <c r="C358" s="862"/>
      <c r="D358" s="14"/>
      <c r="E358" s="370"/>
      <c r="F358" s="370"/>
    </row>
    <row r="359" spans="2:23">
      <c r="C359" t="s">
        <v>1611</v>
      </c>
      <c r="D359" s="299" t="str">
        <f>F12</f>
        <v>CSL</v>
      </c>
    </row>
    <row r="360" spans="2:23">
      <c r="C360" s="116"/>
      <c r="I360" s="116"/>
      <c r="O360" s="116"/>
    </row>
    <row r="361" spans="2:23">
      <c r="C361" s="116" t="s">
        <v>1793</v>
      </c>
      <c r="I361" s="116"/>
      <c r="O361" s="116"/>
    </row>
    <row r="362" spans="2:23">
      <c r="C362" s="1866" t="s">
        <v>124</v>
      </c>
      <c r="D362" s="1866"/>
      <c r="E362" s="1866" t="s">
        <v>1783</v>
      </c>
      <c r="F362" s="1867" t="s">
        <v>1788</v>
      </c>
      <c r="G362" s="1867"/>
      <c r="H362" s="1868" t="s">
        <v>1789</v>
      </c>
      <c r="I362" s="1868"/>
      <c r="J362" s="1868"/>
      <c r="K362" s="1868"/>
      <c r="L362" s="1868"/>
      <c r="M362" s="1868"/>
      <c r="N362" s="1868"/>
      <c r="O362" s="1868"/>
      <c r="S362" t="s">
        <v>1841</v>
      </c>
    </row>
    <row r="363" spans="2:23">
      <c r="C363" s="1866"/>
      <c r="D363" s="1866"/>
      <c r="E363" s="1866"/>
      <c r="F363" s="1581" t="s">
        <v>1598</v>
      </c>
      <c r="G363" s="1581" t="s">
        <v>1718</v>
      </c>
      <c r="H363" s="1579" t="s">
        <v>1790</v>
      </c>
      <c r="I363" s="1579" t="s">
        <v>1684</v>
      </c>
      <c r="J363" s="1580" t="s">
        <v>1794</v>
      </c>
      <c r="K363" s="1580" t="s">
        <v>438</v>
      </c>
      <c r="L363" s="1580" t="s">
        <v>1791</v>
      </c>
      <c r="M363" s="1580" t="s">
        <v>1598</v>
      </c>
      <c r="N363" s="1580" t="s">
        <v>1792</v>
      </c>
      <c r="O363" s="1580" t="s">
        <v>1718</v>
      </c>
      <c r="S363" t="s">
        <v>575</v>
      </c>
      <c r="T363" t="s">
        <v>1836</v>
      </c>
      <c r="U363" t="s">
        <v>1607</v>
      </c>
      <c r="V363" t="s">
        <v>1608</v>
      </c>
      <c r="W363" t="s">
        <v>1715</v>
      </c>
    </row>
    <row r="364" spans="2:23" ht="47.25">
      <c r="C364" s="1590" t="s">
        <v>1892</v>
      </c>
      <c r="D364" s="399"/>
      <c r="E364" s="1591">
        <f>M278</f>
        <v>52.254530487613614</v>
      </c>
      <c r="F364" s="1589" t="str">
        <f>IF(E364="","CHECK",
IFERROR(
IF(AND(
E364&gt;=INDEX($U$364:$U$367,MATCH(C364,$S$364:$S$367,0)),
E364&lt;=INDEX($V$364:$V$367,MATCH(C364,$S$364:$S$367,0))
),
"PASS",
"REVIEW"),
"CHECK"))</f>
        <v>PASS</v>
      </c>
      <c r="G364" s="1590" t="str">
        <f>IFERROR(
INDEX($W$364:$W$367,
MATCH(C364,$S$364:$S$367,0)),
"")</f>
        <v>ASTM D4767; SNI; Das (2016)</v>
      </c>
      <c r="H364" s="1587" t="str" cm="1">
        <f t="array" ref="H364">IFERROR(
INDEX($S$379:$S$398,
MATCH(1,
($R$379:$R$398=$C364)*
($V$379:$V$398&gt;=E364)*
($U$379:$U$398&lt;=E364),
0)),
"")</f>
        <v>Tinggi</v>
      </c>
      <c r="I364" s="1587" cm="1">
        <f t="array" ref="I364">IFERROR(
INDEX($T$379:$T$398,
MATCH(1,
($R$379:$R$398=$C364)*
($V$379:$V$398&gt;=E364)*
($U$379:$U$398&lt;=E364),
0)),
"")</f>
        <v>4</v>
      </c>
      <c r="J364" s="1587" t="str" cm="1">
        <f t="array" ref="J364">IFERROR(
INDEX($T$411:$T$458,
MATCH(1,
($R$411:$R$458=$D$359)*
($S$411:$S$458=$C364),
0)),
"")</f>
        <v>Sedang</v>
      </c>
      <c r="K364" s="1587" cm="1">
        <f t="array" ref="K364">IFERROR(
INDEX($U$411:$U$458,
MATCH(1,
($R$411:$R$458=$D$359)*
($S$411:$S$458=$C364),
0)),
"")</f>
        <v>3</v>
      </c>
      <c r="L364" s="1587" cm="1">
        <f t="array" ref="L364">IFERROR(
INDEX($V$411:$V$458,
MATCH(1,
($R$411:$R$458=$D$359)*
($S$411:$S$458=$C364),
0)),
"")</f>
        <v>4</v>
      </c>
      <c r="M364" s="1589" t="str">
        <f>IF(AND(I364&gt;=K364,I364&lt;=L364),"PASS","REVIEW")</f>
        <v>PASS</v>
      </c>
      <c r="N364" s="1587" t="str" cm="1">
        <f t="array" ref="N364">IFERROR(
INDEX($W$411:$W$458,
MATCH(1,
($R$411:$R$458=$D$359)*
($S$411:$S$458=$C364),
0)),
"")</f>
        <v>Lanau menurunkan kohesi.</v>
      </c>
      <c r="O364" s="1587" t="str" cm="1">
        <f t="array" ref="O364">IFERROR(
INDEX($X$411:$X$458,
MATCH(1,
($R$411:$R$458=$D$359)*
($S$411:$S$458=$C364),
0)),
"")</f>
        <v>Das (2016)</v>
      </c>
      <c r="S364" s="5" t="s">
        <v>1892</v>
      </c>
      <c r="T364" t="s">
        <v>465</v>
      </c>
      <c r="U364">
        <v>0</v>
      </c>
      <c r="V364">
        <v>300</v>
      </c>
      <c r="W364" t="s">
        <v>1893</v>
      </c>
    </row>
    <row r="365" spans="2:23" ht="47.25">
      <c r="C365" s="1590" t="s">
        <v>1894</v>
      </c>
      <c r="D365" s="399"/>
      <c r="E365" s="1591">
        <f>M279</f>
        <v>10.670147865319105</v>
      </c>
      <c r="F365" s="1589" t="str">
        <f t="shared" ref="F365:F367" si="91">IF(E365="","CHECK",
IFERROR(
IF(AND(
E365&gt;=INDEX($U$364:$U$367,MATCH(C365,$S$364:$S$367,0)),
E365&lt;=INDEX($V$364:$V$367,MATCH(C365,$S$364:$S$367,0))
),
"PASS",
"REVIEW"),
"CHECK"))</f>
        <v>PASS</v>
      </c>
      <c r="G365" s="1590" t="str">
        <f t="shared" ref="G365:G367" si="92">IFERROR(
INDEX($W$364:$W$367,
MATCH(C365,$S$364:$S$367,0)),
"")</f>
        <v>ASTM D4767; Das (2016)</v>
      </c>
      <c r="H365" s="1587" t="str" cm="1">
        <f t="array" ref="H365">IFERROR(
INDEX($S$379:$S$398,
MATCH(1,
($R$379:$R$398=$C365)*
($V$379:$V$398&gt;=E365)*
($U$379:$U$398&lt;=E365),
0)),
"")</f>
        <v>Sedang</v>
      </c>
      <c r="I365" s="1587" cm="1">
        <f t="array" ref="I365">IFERROR(
INDEX($T$379:$T$398,
MATCH(1,
($R$379:$R$398=$C365)*
($V$379:$V$398&gt;=E365)*
($U$379:$U$398&lt;=E365),
0)),
"")</f>
        <v>3</v>
      </c>
      <c r="J365" s="1587" t="str" cm="1">
        <f t="array" ref="J365">IFERROR(
INDEX($T$411:$T$458,
MATCH(1,
($R$411:$R$458=$D$359)*
($S$411:$S$458=$C365),
0)),
"")</f>
        <v>Rendah</v>
      </c>
      <c r="K365" s="1587" cm="1">
        <f t="array" ref="K365">IFERROR(
INDEX($U$411:$U$458,
MATCH(1,
($R$411:$R$458=$D$359)*
($S$411:$S$458=$C365),
0)),
"")</f>
        <v>2</v>
      </c>
      <c r="L365" s="1587" cm="1">
        <f t="array" ref="L365">IFERROR(
INDEX($V$411:$V$458,
MATCH(1,
($R$411:$R$458=$D$359)*
($S$411:$S$458=$C365),
0)),
"")</f>
        <v>3</v>
      </c>
      <c r="M365" s="1589" t="str">
        <f>IF(AND(I365&gt;=K365,I365&lt;=L365),"PASS","REVIEW")</f>
        <v>PASS</v>
      </c>
      <c r="N365" s="1587" t="str" cm="1">
        <f t="array" ref="N365">IFERROR(
INDEX($W$411:$W$458,
MATCH(1,
($R$411:$R$458=$D$359)*
($S$411:$S$458=$C365),
0)),
"")</f>
        <v>Sudut geser total rendah.</v>
      </c>
      <c r="O365" s="1587" t="str" cm="1">
        <f t="array" ref="O365">IFERROR(
INDEX($X$411:$X$458,
MATCH(1,
($R$411:$R$458=$D$359)*
($S$411:$S$458=$C365),
0)),
"")</f>
        <v>Das (2016)</v>
      </c>
      <c r="S365" s="5" t="s">
        <v>1894</v>
      </c>
      <c r="T365" t="s">
        <v>1452</v>
      </c>
      <c r="U365">
        <v>0</v>
      </c>
      <c r="V365">
        <v>20</v>
      </c>
      <c r="W365" t="s">
        <v>1895</v>
      </c>
    </row>
    <row r="366" spans="2:23" ht="27">
      <c r="C366" s="409" t="s">
        <v>1896</v>
      </c>
      <c r="D366" s="409"/>
      <c r="E366" s="420">
        <f>M302</f>
        <v>46.822200125591863</v>
      </c>
      <c r="F366" s="1589" t="str">
        <f t="shared" si="91"/>
        <v>PASS</v>
      </c>
      <c r="G366" s="1590" t="str">
        <f t="shared" si="92"/>
        <v>ASTM D4767; Das (2016)</v>
      </c>
      <c r="H366" s="1587" t="str" cm="1">
        <f t="array" ref="H366">IFERROR(
INDEX($S$379:$S$398,
MATCH(1,
($R$379:$R$398=$C366)*
($V$379:$V$398&gt;=E366)*
($U$379:$U$398&lt;=E366),
0)),
"")</f>
        <v>Sedang</v>
      </c>
      <c r="I366" s="1587" cm="1">
        <f t="array" ref="I366">IFERROR(
INDEX($T$379:$T$398,
MATCH(1,
($R$379:$R$398=$C366)*
($V$379:$V$398&gt;=E366)*
($U$379:$U$398&lt;=E366),
0)),
"")</f>
        <v>3</v>
      </c>
      <c r="J366" s="1587" t="str" cm="1">
        <f t="array" ref="J366">IFERROR(
INDEX($T$411:$T$458,
MATCH(1,
($R$411:$R$458=$D$359)*
($S$411:$S$458=$C366),
0)),
"")</f>
        <v>Sedang</v>
      </c>
      <c r="K366" s="1587" cm="1">
        <f t="array" ref="K366">IFERROR(
INDEX($U$411:$U$458,
MATCH(1,
($R$411:$R$458=$D$359)*
($S$411:$S$458=$C366),
0)),
"")</f>
        <v>3</v>
      </c>
      <c r="L366" s="1587" cm="1">
        <f t="array" ref="L366">IFERROR(
INDEX($V$411:$V$458,
MATCH(1,
($R$411:$R$458=$D$359)*
($S$411:$S$458=$C366),
0)),
"")</f>
        <v>4</v>
      </c>
      <c r="M366" s="1589" t="str">
        <f t="shared" ref="M366:M367" si="93">IF(AND(I366&gt;=K366,I366&lt;=L366),"PASS","REVIEW")</f>
        <v>PASS</v>
      </c>
      <c r="N366" s="1587" t="str" cm="1">
        <f t="array" ref="N366">IFERROR(
INDEX($W$411:$W$458,
MATCH(1,
($R$411:$R$458=$D$359)*
($S$411:$S$458=$C366),
0)),
"")</f>
        <v>Kohesi efektif sedang.</v>
      </c>
      <c r="O366" s="1587" t="str" cm="1">
        <f t="array" ref="O366">IFERROR(
INDEX($X$411:$X$458,
MATCH(1,
($R$411:$R$458=$D$359)*
($S$411:$S$458=$C366),
0)),
"")</f>
        <v>Head (2006)</v>
      </c>
      <c r="S366" t="s">
        <v>1896</v>
      </c>
      <c r="T366" t="s">
        <v>465</v>
      </c>
      <c r="U366">
        <v>0</v>
      </c>
      <c r="V366">
        <v>300</v>
      </c>
      <c r="W366" t="s">
        <v>1895</v>
      </c>
    </row>
    <row r="367" spans="2:23" ht="40.5">
      <c r="C367" s="409" t="s">
        <v>1897</v>
      </c>
      <c r="D367" s="409"/>
      <c r="E367" s="420">
        <f>M303</f>
        <v>16.776673295269003</v>
      </c>
      <c r="F367" s="1589" t="str">
        <f t="shared" si="91"/>
        <v>PASS</v>
      </c>
      <c r="G367" s="1590" t="str">
        <f t="shared" si="92"/>
        <v>ASTM D4767; Das (2016)</v>
      </c>
      <c r="H367" s="1587" t="str" cm="1">
        <f t="array" ref="H367">IFERROR(
INDEX($S$379:$S$398,
MATCH(1,
($R$379:$R$398=$C367)*
($V$379:$V$398&gt;=E367)*
($U$379:$U$398&lt;=E367),
0)),
"")</f>
        <v>Rendah</v>
      </c>
      <c r="I367" s="1587" cm="1">
        <f t="array" ref="I367">IFERROR(
INDEX($T$379:$T$398,
MATCH(1,
($R$379:$R$398=$C367)*
($V$379:$V$398&gt;=E367)*
($U$379:$U$398&lt;=E367),
0)),
"")</f>
        <v>2</v>
      </c>
      <c r="J367" s="1587" t="str" cm="1">
        <f t="array" ref="J367">IFERROR(
INDEX($T$411:$T$458,
MATCH(1,
($R$411:$R$458=$D$359)*
($S$411:$S$458=$C367),
0)),
"")</f>
        <v>Rendah-Sedang</v>
      </c>
      <c r="K367" s="1587" cm="1">
        <f t="array" ref="K367">IFERROR(
INDEX($U$411:$U$458,
MATCH(1,
($R$411:$R$458=$D$359)*
($S$411:$S$458=$C367),
0)),
"")</f>
        <v>2</v>
      </c>
      <c r="L367" s="1587" cm="1">
        <f t="array" ref="L367">IFERROR(
INDEX($V$411:$V$458,
MATCH(1,
($R$411:$R$458=$D$359)*
($S$411:$S$458=$C367),
0)),
"")</f>
        <v>3</v>
      </c>
      <c r="M367" s="1589" t="str">
        <f t="shared" si="93"/>
        <v>PASS</v>
      </c>
      <c r="N367" s="1587" t="str" cm="1">
        <f t="array" ref="N367">IFERROR(
INDEX($W$411:$W$458,
MATCH(1,
($R$411:$R$458=$D$359)*
($S$411:$S$458=$C367),
0)),
"")</f>
        <v>Sudut geser efektif rendah-sedang.</v>
      </c>
      <c r="O367" s="1587" t="str" cm="1">
        <f t="array" ref="O367">IFERROR(
INDEX($X$411:$X$458,
MATCH(1,
($R$411:$R$458=$D$359)*
($S$411:$S$458=$C367),
0)),
"")</f>
        <v>Das (2016)</v>
      </c>
      <c r="S367" t="s">
        <v>1897</v>
      </c>
      <c r="T367" t="s">
        <v>1452</v>
      </c>
      <c r="U367">
        <v>0</v>
      </c>
      <c r="V367">
        <v>50</v>
      </c>
      <c r="W367" t="s">
        <v>1895</v>
      </c>
    </row>
    <row r="369" spans="2:23">
      <c r="S369" s="116" t="s">
        <v>1898</v>
      </c>
    </row>
    <row r="370" spans="2:23">
      <c r="S370" t="s">
        <v>1899</v>
      </c>
    </row>
    <row r="371" spans="2:23">
      <c r="B371" s="116" t="s">
        <v>1795</v>
      </c>
      <c r="S371" t="s">
        <v>1900</v>
      </c>
    </row>
    <row r="372" spans="2:23">
      <c r="B372" t="s">
        <v>1831</v>
      </c>
      <c r="E372" s="1583" t="str">
        <f>IF(COUNTIF(F364:F367,"REVIEW")&gt;0,
"REVIEW",
"PASS")</f>
        <v>PASS</v>
      </c>
    </row>
    <row r="373" spans="2:23">
      <c r="B373" t="s">
        <v>1832</v>
      </c>
      <c r="E373" s="1583" t="str">
        <f>IF(COUNTIF(M364:M367,"REVIEW")&gt;0,
"REVIEW",
"PASS")</f>
        <v>PASS</v>
      </c>
    </row>
    <row r="374" spans="2:23">
      <c r="B374" t="s">
        <v>1605</v>
      </c>
      <c r="E374" s="1583" t="str">
        <f>IF(AND(E372="PASS",E373="PASS"),
"PASS",
IF(AND(E372="PASS",E373="REVIEW"),
"REVIEW",
IF(AND(E372="REVIEW",E373="PASS"),
"REVIEW",
"RE-ANALYZE")))</f>
        <v>PASS</v>
      </c>
    </row>
    <row r="376" spans="2:23">
      <c r="B376" s="116" t="s">
        <v>1833</v>
      </c>
    </row>
    <row r="377" spans="2:23">
      <c r="C377" s="1907" t="str" cm="1">
        <f t="array" ref="C377">IFERROR(
INDEX($U$462:$U$465,
MATCH(1,
($R$462:$R$465=E372)*
($S$462:$S$465=E373),
0)),
"")</f>
        <v>Parameter kuat geser total dan efektif berada dalam rentang teoritis serta konsisten dengan karakteristik umum tanah berdasarkan deskripsi megaskopis. Hasil pengujian Triaxial CU dapat diterima secara engineering.</v>
      </c>
      <c r="D377" s="1907"/>
      <c r="E377" s="1907"/>
      <c r="F377" s="1907"/>
      <c r="G377" s="1907"/>
      <c r="H377" s="1907"/>
      <c r="I377" s="1907"/>
      <c r="J377" s="1907"/>
      <c r="K377" s="1907"/>
      <c r="L377" s="1907"/>
      <c r="M377" s="1907"/>
      <c r="R377" t="s">
        <v>1797</v>
      </c>
    </row>
    <row r="378" spans="2:23">
      <c r="C378" s="1907"/>
      <c r="D378" s="1907"/>
      <c r="E378" s="1907"/>
      <c r="F378" s="1907"/>
      <c r="G378" s="1907"/>
      <c r="H378" s="1907"/>
      <c r="I378" s="1907"/>
      <c r="J378" s="1907"/>
      <c r="K378" s="1907"/>
      <c r="L378" s="1907"/>
      <c r="M378" s="1907"/>
      <c r="R378" t="s">
        <v>575</v>
      </c>
      <c r="S378" t="s">
        <v>1667</v>
      </c>
      <c r="T378" t="s">
        <v>1611</v>
      </c>
      <c r="U378" t="s">
        <v>1607</v>
      </c>
      <c r="V378" t="s">
        <v>1608</v>
      </c>
      <c r="W378" t="s">
        <v>1836</v>
      </c>
    </row>
    <row r="379" spans="2:23">
      <c r="R379" t="s">
        <v>1892</v>
      </c>
      <c r="S379" t="s">
        <v>1680</v>
      </c>
      <c r="T379">
        <v>1</v>
      </c>
      <c r="U379">
        <v>0</v>
      </c>
      <c r="V379">
        <v>5</v>
      </c>
      <c r="W379" t="s">
        <v>465</v>
      </c>
    </row>
    <row r="380" spans="2:23">
      <c r="R380" t="s">
        <v>1892</v>
      </c>
      <c r="S380" t="s">
        <v>1670</v>
      </c>
      <c r="T380">
        <v>2</v>
      </c>
      <c r="U380">
        <v>5.01</v>
      </c>
      <c r="V380">
        <v>20</v>
      </c>
      <c r="W380" t="s">
        <v>465</v>
      </c>
    </row>
    <row r="381" spans="2:23">
      <c r="R381" t="s">
        <v>1892</v>
      </c>
      <c r="S381" t="s">
        <v>1672</v>
      </c>
      <c r="T381">
        <v>3</v>
      </c>
      <c r="U381">
        <v>20.010000000000002</v>
      </c>
      <c r="V381">
        <v>50</v>
      </c>
      <c r="W381" t="s">
        <v>465</v>
      </c>
    </row>
    <row r="382" spans="2:23">
      <c r="R382" t="s">
        <v>1892</v>
      </c>
      <c r="S382" t="s">
        <v>338</v>
      </c>
      <c r="T382">
        <v>4</v>
      </c>
      <c r="U382">
        <v>50.01</v>
      </c>
      <c r="V382">
        <v>100</v>
      </c>
      <c r="W382" t="s">
        <v>465</v>
      </c>
    </row>
    <row r="383" spans="2:23">
      <c r="E383" s="1583"/>
      <c r="L383" s="1578"/>
      <c r="M383" s="1578"/>
      <c r="N383" s="1578"/>
      <c r="R383" t="s">
        <v>1892</v>
      </c>
      <c r="S383" t="s">
        <v>1681</v>
      </c>
      <c r="T383">
        <v>5</v>
      </c>
      <c r="U383">
        <v>100.01</v>
      </c>
      <c r="V383">
        <v>300</v>
      </c>
      <c r="W383" t="s">
        <v>465</v>
      </c>
    </row>
    <row r="384" spans="2:23">
      <c r="L384" s="5"/>
      <c r="M384" s="5"/>
      <c r="N384" s="5"/>
      <c r="R384" t="s">
        <v>1894</v>
      </c>
      <c r="S384" t="s">
        <v>1680</v>
      </c>
      <c r="T384">
        <v>1</v>
      </c>
      <c r="U384">
        <v>0</v>
      </c>
      <c r="V384">
        <v>5</v>
      </c>
      <c r="W384" t="s">
        <v>1452</v>
      </c>
    </row>
    <row r="385" spans="12:23">
      <c r="L385" s="5"/>
      <c r="M385" s="5"/>
      <c r="N385" s="5"/>
      <c r="R385" t="s">
        <v>1894</v>
      </c>
      <c r="S385" t="s">
        <v>1670</v>
      </c>
      <c r="T385">
        <v>2</v>
      </c>
      <c r="U385">
        <v>5.01</v>
      </c>
      <c r="V385">
        <v>10</v>
      </c>
      <c r="W385" t="s">
        <v>1452</v>
      </c>
    </row>
    <row r="386" spans="12:23">
      <c r="L386" s="5"/>
      <c r="M386" s="5"/>
      <c r="N386" s="5"/>
      <c r="R386" t="s">
        <v>1894</v>
      </c>
      <c r="S386" t="s">
        <v>1672</v>
      </c>
      <c r="T386">
        <v>3</v>
      </c>
      <c r="U386">
        <v>10.01</v>
      </c>
      <c r="V386">
        <v>15</v>
      </c>
      <c r="W386" t="s">
        <v>1452</v>
      </c>
    </row>
    <row r="387" spans="12:23">
      <c r="L387" s="5"/>
      <c r="M387" s="5"/>
      <c r="N387" s="5"/>
      <c r="R387" t="s">
        <v>1894</v>
      </c>
      <c r="S387" t="s">
        <v>338</v>
      </c>
      <c r="T387">
        <v>4</v>
      </c>
      <c r="U387">
        <v>15.01</v>
      </c>
      <c r="V387">
        <v>20</v>
      </c>
      <c r="W387" t="s">
        <v>1452</v>
      </c>
    </row>
    <row r="388" spans="12:23">
      <c r="L388" s="5"/>
      <c r="M388" s="5"/>
      <c r="N388" s="5"/>
      <c r="R388" t="s">
        <v>1894</v>
      </c>
      <c r="S388" t="s">
        <v>1681</v>
      </c>
      <c r="T388">
        <v>5</v>
      </c>
      <c r="U388" t="s">
        <v>1901</v>
      </c>
      <c r="V388">
        <v>90</v>
      </c>
      <c r="W388" t="s">
        <v>1452</v>
      </c>
    </row>
    <row r="389" spans="12:23">
      <c r="L389" s="5"/>
      <c r="M389" s="5"/>
      <c r="N389" s="5"/>
      <c r="R389" t="s">
        <v>1896</v>
      </c>
      <c r="S389" t="s">
        <v>1680</v>
      </c>
      <c r="T389">
        <v>1</v>
      </c>
      <c r="U389">
        <v>0</v>
      </c>
      <c r="V389">
        <v>5</v>
      </c>
      <c r="W389" t="s">
        <v>465</v>
      </c>
    </row>
    <row r="390" spans="12:23">
      <c r="L390" s="5"/>
      <c r="M390" s="5"/>
      <c r="N390" s="5"/>
      <c r="R390" t="s">
        <v>1896</v>
      </c>
      <c r="S390" t="s">
        <v>1670</v>
      </c>
      <c r="T390">
        <v>2</v>
      </c>
      <c r="U390">
        <v>5.01</v>
      </c>
      <c r="V390">
        <v>20</v>
      </c>
      <c r="W390" t="s">
        <v>465</v>
      </c>
    </row>
    <row r="391" spans="12:23">
      <c r="L391" s="5"/>
      <c r="M391" s="5"/>
      <c r="N391" s="5"/>
      <c r="R391" t="s">
        <v>1896</v>
      </c>
      <c r="S391" t="s">
        <v>1672</v>
      </c>
      <c r="T391">
        <v>3</v>
      </c>
      <c r="U391">
        <v>20.010000000000002</v>
      </c>
      <c r="V391">
        <v>50</v>
      </c>
      <c r="W391" t="s">
        <v>465</v>
      </c>
    </row>
    <row r="392" spans="12:23">
      <c r="R392" t="s">
        <v>1896</v>
      </c>
      <c r="S392" t="s">
        <v>338</v>
      </c>
      <c r="T392">
        <v>4</v>
      </c>
      <c r="U392">
        <v>50.01</v>
      </c>
      <c r="V392">
        <v>100</v>
      </c>
      <c r="W392" t="s">
        <v>465</v>
      </c>
    </row>
    <row r="393" spans="12:23">
      <c r="R393" t="s">
        <v>1896</v>
      </c>
      <c r="S393" t="s">
        <v>1681</v>
      </c>
      <c r="T393">
        <v>5</v>
      </c>
      <c r="U393">
        <v>100.01</v>
      </c>
      <c r="V393">
        <v>300</v>
      </c>
      <c r="W393" t="s">
        <v>465</v>
      </c>
    </row>
    <row r="394" spans="12:23">
      <c r="R394" t="s">
        <v>1897</v>
      </c>
      <c r="S394" t="s">
        <v>1680</v>
      </c>
      <c r="T394">
        <v>1</v>
      </c>
      <c r="U394">
        <v>0</v>
      </c>
      <c r="V394">
        <v>10</v>
      </c>
      <c r="W394" t="s">
        <v>1452</v>
      </c>
    </row>
    <row r="395" spans="12:23">
      <c r="R395" t="s">
        <v>1897</v>
      </c>
      <c r="S395" t="s">
        <v>1670</v>
      </c>
      <c r="T395">
        <v>2</v>
      </c>
      <c r="U395">
        <v>10.01</v>
      </c>
      <c r="V395">
        <v>20</v>
      </c>
      <c r="W395" t="s">
        <v>1452</v>
      </c>
    </row>
    <row r="396" spans="12:23">
      <c r="R396" t="s">
        <v>1897</v>
      </c>
      <c r="S396" t="s">
        <v>1672</v>
      </c>
      <c r="T396">
        <v>3</v>
      </c>
      <c r="U396">
        <v>20.010000000000002</v>
      </c>
      <c r="V396">
        <v>30</v>
      </c>
      <c r="W396" t="s">
        <v>1452</v>
      </c>
    </row>
    <row r="397" spans="12:23">
      <c r="R397" t="s">
        <v>1897</v>
      </c>
      <c r="S397" t="s">
        <v>338</v>
      </c>
      <c r="T397">
        <v>4</v>
      </c>
      <c r="U397">
        <v>30.01</v>
      </c>
      <c r="V397">
        <v>40</v>
      </c>
      <c r="W397" t="s">
        <v>1452</v>
      </c>
    </row>
    <row r="398" spans="12:23">
      <c r="R398" t="s">
        <v>1897</v>
      </c>
      <c r="S398" t="s">
        <v>1681</v>
      </c>
      <c r="T398">
        <v>5</v>
      </c>
      <c r="U398">
        <v>40.01</v>
      </c>
      <c r="V398">
        <v>50</v>
      </c>
      <c r="W398" t="s">
        <v>1452</v>
      </c>
    </row>
    <row r="409" spans="18:24">
      <c r="R409" t="s">
        <v>1798</v>
      </c>
    </row>
    <row r="410" spans="18:24">
      <c r="R410" s="1592" t="s">
        <v>1611</v>
      </c>
      <c r="S410" s="1592" t="s">
        <v>575</v>
      </c>
      <c r="T410" s="1592" t="s">
        <v>1683</v>
      </c>
      <c r="U410" s="1592" t="s">
        <v>1607</v>
      </c>
      <c r="V410" s="1592" t="s">
        <v>1608</v>
      </c>
      <c r="W410" s="1592" t="s">
        <v>1685</v>
      </c>
      <c r="X410" s="1592" t="s">
        <v>1715</v>
      </c>
    </row>
    <row r="411" spans="18:24">
      <c r="R411" t="s">
        <v>1612</v>
      </c>
      <c r="S411" t="s">
        <v>1892</v>
      </c>
      <c r="T411" t="s">
        <v>1668</v>
      </c>
      <c r="U411">
        <v>3</v>
      </c>
      <c r="V411">
        <v>5</v>
      </c>
      <c r="W411" t="s">
        <v>1902</v>
      </c>
      <c r="X411" t="s">
        <v>1843</v>
      </c>
    </row>
    <row r="412" spans="18:24">
      <c r="R412" t="s">
        <v>1612</v>
      </c>
      <c r="S412" t="s">
        <v>1894</v>
      </c>
      <c r="T412" t="s">
        <v>1680</v>
      </c>
      <c r="U412">
        <v>1</v>
      </c>
      <c r="V412">
        <v>2</v>
      </c>
      <c r="W412" t="s">
        <v>1903</v>
      </c>
      <c r="X412" t="s">
        <v>1716</v>
      </c>
    </row>
    <row r="413" spans="18:24">
      <c r="R413" t="s">
        <v>1612</v>
      </c>
      <c r="S413" t="s">
        <v>1896</v>
      </c>
      <c r="T413" t="s">
        <v>1668</v>
      </c>
      <c r="U413">
        <v>3</v>
      </c>
      <c r="V413">
        <v>5</v>
      </c>
      <c r="W413" t="s">
        <v>1904</v>
      </c>
      <c r="X413" t="s">
        <v>1843</v>
      </c>
    </row>
    <row r="414" spans="18:24">
      <c r="R414" t="s">
        <v>1612</v>
      </c>
      <c r="S414" t="s">
        <v>1897</v>
      </c>
      <c r="T414" t="s">
        <v>1675</v>
      </c>
      <c r="U414">
        <v>2</v>
      </c>
      <c r="V414">
        <v>3</v>
      </c>
      <c r="W414" t="s">
        <v>1905</v>
      </c>
      <c r="X414" t="s">
        <v>1716</v>
      </c>
    </row>
    <row r="415" spans="18:24">
      <c r="R415" t="s">
        <v>1614</v>
      </c>
      <c r="S415" t="s">
        <v>1892</v>
      </c>
      <c r="T415" t="s">
        <v>1672</v>
      </c>
      <c r="U415">
        <v>3</v>
      </c>
      <c r="V415">
        <v>4</v>
      </c>
      <c r="W415" t="s">
        <v>1906</v>
      </c>
      <c r="X415" t="s">
        <v>1716</v>
      </c>
    </row>
    <row r="416" spans="18:24">
      <c r="R416" t="s">
        <v>1614</v>
      </c>
      <c r="S416" t="s">
        <v>1894</v>
      </c>
      <c r="T416" t="s">
        <v>1670</v>
      </c>
      <c r="U416">
        <v>2</v>
      </c>
      <c r="V416">
        <v>3</v>
      </c>
      <c r="W416" t="s">
        <v>1907</v>
      </c>
      <c r="X416" t="s">
        <v>1716</v>
      </c>
    </row>
    <row r="417" spans="18:24">
      <c r="R417" t="s">
        <v>1614</v>
      </c>
      <c r="S417" t="s">
        <v>1896</v>
      </c>
      <c r="T417" t="s">
        <v>1672</v>
      </c>
      <c r="U417">
        <v>3</v>
      </c>
      <c r="V417">
        <v>4</v>
      </c>
      <c r="W417" t="s">
        <v>1908</v>
      </c>
      <c r="X417" t="s">
        <v>1846</v>
      </c>
    </row>
    <row r="418" spans="18:24">
      <c r="R418" t="s">
        <v>1614</v>
      </c>
      <c r="S418" t="s">
        <v>1897</v>
      </c>
      <c r="T418" t="s">
        <v>1672</v>
      </c>
      <c r="U418">
        <v>3</v>
      </c>
      <c r="V418">
        <v>4</v>
      </c>
      <c r="W418" t="s">
        <v>1909</v>
      </c>
      <c r="X418" t="s">
        <v>1716</v>
      </c>
    </row>
    <row r="419" spans="18:24">
      <c r="R419" t="s">
        <v>1617</v>
      </c>
      <c r="S419" t="s">
        <v>1892</v>
      </c>
      <c r="T419" t="s">
        <v>1672</v>
      </c>
      <c r="U419">
        <v>3</v>
      </c>
      <c r="V419">
        <v>4</v>
      </c>
      <c r="W419" t="s">
        <v>1910</v>
      </c>
      <c r="X419" t="s">
        <v>1716</v>
      </c>
    </row>
    <row r="420" spans="18:24">
      <c r="R420" t="s">
        <v>1617</v>
      </c>
      <c r="S420" t="s">
        <v>1894</v>
      </c>
      <c r="T420" t="s">
        <v>1670</v>
      </c>
      <c r="U420">
        <v>2</v>
      </c>
      <c r="V420">
        <v>3</v>
      </c>
      <c r="W420" t="s">
        <v>1911</v>
      </c>
      <c r="X420" t="s">
        <v>1716</v>
      </c>
    </row>
    <row r="421" spans="18:24">
      <c r="R421" t="s">
        <v>1617</v>
      </c>
      <c r="S421" t="s">
        <v>1896</v>
      </c>
      <c r="T421" t="s">
        <v>1672</v>
      </c>
      <c r="U421">
        <v>3</v>
      </c>
      <c r="V421">
        <v>4</v>
      </c>
      <c r="W421" t="s">
        <v>1908</v>
      </c>
      <c r="X421" t="s">
        <v>1846</v>
      </c>
    </row>
    <row r="422" spans="18:24">
      <c r="R422" t="s">
        <v>1617</v>
      </c>
      <c r="S422" t="s">
        <v>1897</v>
      </c>
      <c r="T422" t="s">
        <v>1675</v>
      </c>
      <c r="U422">
        <v>2</v>
      </c>
      <c r="V422">
        <v>3</v>
      </c>
      <c r="W422" t="s">
        <v>1912</v>
      </c>
      <c r="X422" t="s">
        <v>1716</v>
      </c>
    </row>
    <row r="423" spans="18:24">
      <c r="R423" t="s">
        <v>1643</v>
      </c>
      <c r="S423" t="s">
        <v>1892</v>
      </c>
      <c r="T423" t="s">
        <v>1672</v>
      </c>
      <c r="U423">
        <v>3</v>
      </c>
      <c r="V423">
        <v>4</v>
      </c>
      <c r="W423" t="s">
        <v>1913</v>
      </c>
      <c r="X423" t="s">
        <v>1716</v>
      </c>
    </row>
    <row r="424" spans="18:24">
      <c r="R424" t="s">
        <v>1643</v>
      </c>
      <c r="S424" t="s">
        <v>1894</v>
      </c>
      <c r="T424" t="s">
        <v>1672</v>
      </c>
      <c r="U424">
        <v>3</v>
      </c>
      <c r="V424">
        <v>4</v>
      </c>
      <c r="W424" t="s">
        <v>1914</v>
      </c>
      <c r="X424" t="s">
        <v>1716</v>
      </c>
    </row>
    <row r="425" spans="18:24">
      <c r="R425" t="s">
        <v>1643</v>
      </c>
      <c r="S425" t="s">
        <v>1896</v>
      </c>
      <c r="T425" t="s">
        <v>1672</v>
      </c>
      <c r="U425">
        <v>3</v>
      </c>
      <c r="V425">
        <v>4</v>
      </c>
      <c r="W425" t="s">
        <v>1908</v>
      </c>
      <c r="X425" t="s">
        <v>1846</v>
      </c>
    </row>
    <row r="426" spans="18:24">
      <c r="R426" t="s">
        <v>1643</v>
      </c>
      <c r="S426" t="s">
        <v>1897</v>
      </c>
      <c r="T426" t="s">
        <v>1668</v>
      </c>
      <c r="U426">
        <v>3</v>
      </c>
      <c r="V426">
        <v>4</v>
      </c>
      <c r="W426" t="s">
        <v>1915</v>
      </c>
      <c r="X426" t="s">
        <v>1716</v>
      </c>
    </row>
    <row r="427" spans="18:24">
      <c r="R427" t="s">
        <v>1620</v>
      </c>
      <c r="S427" t="s">
        <v>1892</v>
      </c>
      <c r="T427" t="s">
        <v>1680</v>
      </c>
      <c r="U427">
        <v>1</v>
      </c>
      <c r="V427">
        <v>1</v>
      </c>
      <c r="W427" t="s">
        <v>1916</v>
      </c>
      <c r="X427" t="s">
        <v>1716</v>
      </c>
    </row>
    <row r="428" spans="18:24">
      <c r="R428" t="s">
        <v>1620</v>
      </c>
      <c r="S428" t="s">
        <v>1894</v>
      </c>
      <c r="T428" t="s">
        <v>338</v>
      </c>
      <c r="U428">
        <v>4</v>
      </c>
      <c r="V428">
        <v>5</v>
      </c>
      <c r="W428" t="s">
        <v>1917</v>
      </c>
      <c r="X428" t="s">
        <v>1716</v>
      </c>
    </row>
    <row r="429" spans="18:24">
      <c r="R429" t="s">
        <v>1620</v>
      </c>
      <c r="S429" t="s">
        <v>1896</v>
      </c>
      <c r="T429" t="s">
        <v>1680</v>
      </c>
      <c r="U429">
        <v>1</v>
      </c>
      <c r="V429">
        <v>1</v>
      </c>
      <c r="W429" t="s">
        <v>1918</v>
      </c>
      <c r="X429" t="s">
        <v>1846</v>
      </c>
    </row>
    <row r="430" spans="18:24">
      <c r="R430" t="s">
        <v>1620</v>
      </c>
      <c r="S430" t="s">
        <v>1897</v>
      </c>
      <c r="T430" t="s">
        <v>1681</v>
      </c>
      <c r="U430">
        <v>4</v>
      </c>
      <c r="V430">
        <v>5</v>
      </c>
      <c r="W430" t="s">
        <v>1919</v>
      </c>
      <c r="X430" t="s">
        <v>1716</v>
      </c>
    </row>
    <row r="431" spans="18:24">
      <c r="R431" t="s">
        <v>1621</v>
      </c>
      <c r="S431" t="s">
        <v>1892</v>
      </c>
      <c r="T431" t="s">
        <v>1675</v>
      </c>
      <c r="U431">
        <v>2</v>
      </c>
      <c r="V431">
        <v>3</v>
      </c>
      <c r="W431" t="s">
        <v>1920</v>
      </c>
      <c r="X431" t="s">
        <v>1716</v>
      </c>
    </row>
    <row r="432" spans="18:24">
      <c r="R432" t="s">
        <v>1621</v>
      </c>
      <c r="S432" t="s">
        <v>1894</v>
      </c>
      <c r="T432" t="s">
        <v>1672</v>
      </c>
      <c r="U432">
        <v>3</v>
      </c>
      <c r="V432">
        <v>4</v>
      </c>
      <c r="W432" t="s">
        <v>1921</v>
      </c>
      <c r="X432" t="s">
        <v>1716</v>
      </c>
    </row>
    <row r="433" spans="18:24">
      <c r="R433" t="s">
        <v>1621</v>
      </c>
      <c r="S433" t="s">
        <v>1896</v>
      </c>
      <c r="T433" t="s">
        <v>1675</v>
      </c>
      <c r="U433">
        <v>2</v>
      </c>
      <c r="V433">
        <v>3</v>
      </c>
      <c r="W433" t="s">
        <v>1922</v>
      </c>
      <c r="X433" t="s">
        <v>1846</v>
      </c>
    </row>
    <row r="434" spans="18:24">
      <c r="R434" t="s">
        <v>1621</v>
      </c>
      <c r="S434" t="s">
        <v>1897</v>
      </c>
      <c r="T434" t="s">
        <v>1672</v>
      </c>
      <c r="U434">
        <v>3</v>
      </c>
      <c r="V434">
        <v>4</v>
      </c>
      <c r="W434" t="s">
        <v>1909</v>
      </c>
      <c r="X434" t="s">
        <v>1716</v>
      </c>
    </row>
    <row r="435" spans="18:24">
      <c r="R435" t="s">
        <v>1623</v>
      </c>
      <c r="S435" t="s">
        <v>1892</v>
      </c>
      <c r="T435" t="s">
        <v>1670</v>
      </c>
      <c r="U435">
        <v>2</v>
      </c>
      <c r="V435">
        <v>3</v>
      </c>
      <c r="W435" t="s">
        <v>1923</v>
      </c>
      <c r="X435" t="s">
        <v>1716</v>
      </c>
    </row>
    <row r="436" spans="18:24">
      <c r="R436" t="s">
        <v>1623</v>
      </c>
      <c r="S436" t="s">
        <v>1894</v>
      </c>
      <c r="T436" t="s">
        <v>1668</v>
      </c>
      <c r="U436">
        <v>3</v>
      </c>
      <c r="V436">
        <v>4</v>
      </c>
      <c r="W436" t="s">
        <v>1924</v>
      </c>
      <c r="X436" t="s">
        <v>1716</v>
      </c>
    </row>
    <row r="437" spans="18:24">
      <c r="R437" t="s">
        <v>1623</v>
      </c>
      <c r="S437" t="s">
        <v>1896</v>
      </c>
      <c r="T437" t="s">
        <v>1680</v>
      </c>
      <c r="U437">
        <v>1</v>
      </c>
      <c r="V437">
        <v>2</v>
      </c>
      <c r="W437" t="s">
        <v>1925</v>
      </c>
      <c r="X437" t="s">
        <v>1846</v>
      </c>
    </row>
    <row r="438" spans="18:24">
      <c r="R438" t="s">
        <v>1623</v>
      </c>
      <c r="S438" t="s">
        <v>1897</v>
      </c>
      <c r="T438" t="s">
        <v>1668</v>
      </c>
      <c r="U438">
        <v>3</v>
      </c>
      <c r="V438">
        <v>4</v>
      </c>
      <c r="W438" t="s">
        <v>1926</v>
      </c>
      <c r="X438" t="s">
        <v>1716</v>
      </c>
    </row>
    <row r="439" spans="18:24">
      <c r="R439" t="s">
        <v>1649</v>
      </c>
      <c r="S439" t="s">
        <v>1892</v>
      </c>
      <c r="T439" t="s">
        <v>1680</v>
      </c>
      <c r="U439">
        <v>1</v>
      </c>
      <c r="V439">
        <v>1</v>
      </c>
      <c r="W439" t="s">
        <v>1927</v>
      </c>
      <c r="X439" t="s">
        <v>1716</v>
      </c>
    </row>
    <row r="440" spans="18:24">
      <c r="R440" t="s">
        <v>1649</v>
      </c>
      <c r="S440" t="s">
        <v>1894</v>
      </c>
      <c r="T440" t="s">
        <v>1681</v>
      </c>
      <c r="U440">
        <v>4</v>
      </c>
      <c r="V440">
        <v>5</v>
      </c>
      <c r="W440" t="s">
        <v>1928</v>
      </c>
      <c r="X440" t="s">
        <v>1716</v>
      </c>
    </row>
    <row r="441" spans="18:24">
      <c r="R441" t="s">
        <v>1649</v>
      </c>
      <c r="S441" t="s">
        <v>1896</v>
      </c>
      <c r="T441" t="s">
        <v>1680</v>
      </c>
      <c r="U441">
        <v>1</v>
      </c>
      <c r="V441">
        <v>1</v>
      </c>
      <c r="W441" t="s">
        <v>1918</v>
      </c>
      <c r="X441" t="s">
        <v>1846</v>
      </c>
    </row>
    <row r="442" spans="18:24">
      <c r="R442" t="s">
        <v>1649</v>
      </c>
      <c r="S442" t="s">
        <v>1897</v>
      </c>
      <c r="T442" t="s">
        <v>1681</v>
      </c>
      <c r="U442">
        <v>4</v>
      </c>
      <c r="V442">
        <v>5</v>
      </c>
      <c r="W442" t="s">
        <v>1919</v>
      </c>
      <c r="X442" t="s">
        <v>1716</v>
      </c>
    </row>
    <row r="443" spans="18:24">
      <c r="R443" t="s">
        <v>1690</v>
      </c>
      <c r="S443" t="s">
        <v>1892</v>
      </c>
      <c r="T443" t="s">
        <v>1670</v>
      </c>
      <c r="U443">
        <v>2</v>
      </c>
      <c r="V443">
        <v>3</v>
      </c>
      <c r="W443" t="s">
        <v>1929</v>
      </c>
      <c r="X443" t="s">
        <v>1716</v>
      </c>
    </row>
    <row r="444" spans="18:24">
      <c r="R444" t="s">
        <v>1690</v>
      </c>
      <c r="S444" t="s">
        <v>1894</v>
      </c>
      <c r="T444" t="s">
        <v>1672</v>
      </c>
      <c r="U444">
        <v>3</v>
      </c>
      <c r="V444">
        <v>4</v>
      </c>
      <c r="W444" t="s">
        <v>1921</v>
      </c>
      <c r="X444" t="s">
        <v>1716</v>
      </c>
    </row>
    <row r="445" spans="18:24">
      <c r="R445" t="s">
        <v>1690</v>
      </c>
      <c r="S445" t="s">
        <v>1896</v>
      </c>
      <c r="T445" t="s">
        <v>1670</v>
      </c>
      <c r="U445">
        <v>2</v>
      </c>
      <c r="V445">
        <v>3</v>
      </c>
      <c r="W445" t="s">
        <v>1930</v>
      </c>
      <c r="X445" t="s">
        <v>1846</v>
      </c>
    </row>
    <row r="446" spans="18:24">
      <c r="R446" t="s">
        <v>1690</v>
      </c>
      <c r="S446" t="s">
        <v>1897</v>
      </c>
      <c r="T446" t="s">
        <v>1672</v>
      </c>
      <c r="U446">
        <v>3</v>
      </c>
      <c r="V446">
        <v>4</v>
      </c>
      <c r="W446" t="s">
        <v>1909</v>
      </c>
      <c r="X446" t="s">
        <v>1716</v>
      </c>
    </row>
    <row r="447" spans="18:24">
      <c r="R447" t="s">
        <v>1626</v>
      </c>
      <c r="S447" t="s">
        <v>1892</v>
      </c>
      <c r="T447" t="s">
        <v>1672</v>
      </c>
      <c r="U447">
        <v>3</v>
      </c>
      <c r="V447">
        <v>4</v>
      </c>
      <c r="W447" t="s">
        <v>1920</v>
      </c>
      <c r="X447" t="s">
        <v>1716</v>
      </c>
    </row>
    <row r="448" spans="18:24">
      <c r="R448" t="s">
        <v>1626</v>
      </c>
      <c r="S448" t="s">
        <v>1894</v>
      </c>
      <c r="T448" t="s">
        <v>1675</v>
      </c>
      <c r="U448">
        <v>2</v>
      </c>
      <c r="V448">
        <v>3</v>
      </c>
      <c r="W448" t="s">
        <v>1931</v>
      </c>
      <c r="X448" t="s">
        <v>1716</v>
      </c>
    </row>
    <row r="449" spans="18:24">
      <c r="R449" t="s">
        <v>1626</v>
      </c>
      <c r="S449" t="s">
        <v>1896</v>
      </c>
      <c r="T449" t="s">
        <v>1672</v>
      </c>
      <c r="U449">
        <v>3</v>
      </c>
      <c r="V449">
        <v>4</v>
      </c>
      <c r="W449" t="s">
        <v>1908</v>
      </c>
      <c r="X449" t="s">
        <v>1846</v>
      </c>
    </row>
    <row r="450" spans="18:24">
      <c r="R450" t="s">
        <v>1626</v>
      </c>
      <c r="S450" t="s">
        <v>1897</v>
      </c>
      <c r="T450" t="s">
        <v>1675</v>
      </c>
      <c r="U450">
        <v>2</v>
      </c>
      <c r="V450">
        <v>3</v>
      </c>
      <c r="W450" t="s">
        <v>1912</v>
      </c>
      <c r="X450" t="s">
        <v>1716</v>
      </c>
    </row>
    <row r="451" spans="18:24">
      <c r="R451" t="s">
        <v>1628</v>
      </c>
      <c r="S451" t="s">
        <v>1892</v>
      </c>
      <c r="T451" t="s">
        <v>1670</v>
      </c>
      <c r="U451">
        <v>2</v>
      </c>
      <c r="V451">
        <v>3</v>
      </c>
      <c r="W451" t="s">
        <v>1932</v>
      </c>
      <c r="X451" t="s">
        <v>1716</v>
      </c>
    </row>
    <row r="452" spans="18:24">
      <c r="R452" t="s">
        <v>1628</v>
      </c>
      <c r="S452" t="s">
        <v>1894</v>
      </c>
      <c r="T452" t="s">
        <v>1672</v>
      </c>
      <c r="U452">
        <v>3</v>
      </c>
      <c r="V452">
        <v>4</v>
      </c>
      <c r="W452" t="s">
        <v>1921</v>
      </c>
      <c r="X452" t="s">
        <v>1716</v>
      </c>
    </row>
    <row r="453" spans="18:24">
      <c r="R453" t="s">
        <v>1628</v>
      </c>
      <c r="S453" t="s">
        <v>1896</v>
      </c>
      <c r="T453" t="s">
        <v>1670</v>
      </c>
      <c r="U453">
        <v>2</v>
      </c>
      <c r="V453">
        <v>3</v>
      </c>
      <c r="W453" t="s">
        <v>1930</v>
      </c>
      <c r="X453" t="s">
        <v>1846</v>
      </c>
    </row>
    <row r="454" spans="18:24">
      <c r="R454" t="s">
        <v>1628</v>
      </c>
      <c r="S454" t="s">
        <v>1897</v>
      </c>
      <c r="T454" t="s">
        <v>1672</v>
      </c>
      <c r="U454">
        <v>3</v>
      </c>
      <c r="V454">
        <v>4</v>
      </c>
      <c r="W454" t="s">
        <v>1909</v>
      </c>
      <c r="X454" t="s">
        <v>1716</v>
      </c>
    </row>
    <row r="455" spans="18:24">
      <c r="R455" t="s">
        <v>1630</v>
      </c>
      <c r="S455" t="s">
        <v>1892</v>
      </c>
      <c r="T455" t="s">
        <v>1680</v>
      </c>
      <c r="U455">
        <v>1</v>
      </c>
      <c r="V455">
        <v>1</v>
      </c>
      <c r="W455" t="s">
        <v>1933</v>
      </c>
      <c r="X455" t="s">
        <v>1716</v>
      </c>
    </row>
    <row r="456" spans="18:24">
      <c r="R456" t="s">
        <v>1630</v>
      </c>
      <c r="S456" t="s">
        <v>1894</v>
      </c>
      <c r="T456" t="s">
        <v>1681</v>
      </c>
      <c r="U456">
        <v>5</v>
      </c>
      <c r="V456">
        <v>5</v>
      </c>
      <c r="W456" t="s">
        <v>1934</v>
      </c>
      <c r="X456" t="s">
        <v>1716</v>
      </c>
    </row>
    <row r="457" spans="18:24">
      <c r="R457" t="s">
        <v>1630</v>
      </c>
      <c r="S457" t="s">
        <v>1896</v>
      </c>
      <c r="T457" t="s">
        <v>1680</v>
      </c>
      <c r="U457">
        <v>1</v>
      </c>
      <c r="V457">
        <v>1</v>
      </c>
      <c r="W457" t="s">
        <v>1918</v>
      </c>
      <c r="X457" t="s">
        <v>1846</v>
      </c>
    </row>
    <row r="458" spans="18:24">
      <c r="R458" t="s">
        <v>1630</v>
      </c>
      <c r="S458" t="s">
        <v>1897</v>
      </c>
      <c r="T458" t="s">
        <v>1681</v>
      </c>
      <c r="U458">
        <v>5</v>
      </c>
      <c r="V458">
        <v>5</v>
      </c>
      <c r="W458" t="s">
        <v>1919</v>
      </c>
      <c r="X458" t="s">
        <v>1716</v>
      </c>
    </row>
    <row r="461" spans="18:24">
      <c r="R461" t="s">
        <v>1935</v>
      </c>
      <c r="S461" t="s">
        <v>1936</v>
      </c>
      <c r="T461" t="s">
        <v>1824</v>
      </c>
      <c r="U461" t="s">
        <v>1749</v>
      </c>
    </row>
    <row r="462" spans="18:24">
      <c r="R462" t="s">
        <v>1733</v>
      </c>
      <c r="S462" t="s">
        <v>1733</v>
      </c>
      <c r="T462" t="s">
        <v>1825</v>
      </c>
      <c r="U462" t="s">
        <v>1937</v>
      </c>
    </row>
    <row r="463" spans="18:24">
      <c r="R463" t="s">
        <v>1733</v>
      </c>
      <c r="S463" t="s">
        <v>1735</v>
      </c>
      <c r="T463" t="s">
        <v>1735</v>
      </c>
      <c r="U463" t="s">
        <v>1938</v>
      </c>
    </row>
    <row r="464" spans="18:24">
      <c r="R464" t="s">
        <v>1735</v>
      </c>
      <c r="S464" t="s">
        <v>1733</v>
      </c>
      <c r="T464" t="s">
        <v>1735</v>
      </c>
      <c r="U464" t="s">
        <v>1939</v>
      </c>
    </row>
    <row r="465" spans="18:21">
      <c r="R465" t="s">
        <v>1735</v>
      </c>
      <c r="S465" t="s">
        <v>1735</v>
      </c>
      <c r="T465" t="s">
        <v>1829</v>
      </c>
      <c r="U465" t="s">
        <v>1940</v>
      </c>
    </row>
  </sheetData>
  <mergeCells count="44">
    <mergeCell ref="C362:D363"/>
    <mergeCell ref="E362:E363"/>
    <mergeCell ref="F362:G362"/>
    <mergeCell ref="H362:O362"/>
    <mergeCell ref="C377:M378"/>
    <mergeCell ref="A7:C7"/>
    <mergeCell ref="A9:C9"/>
    <mergeCell ref="L9:N9"/>
    <mergeCell ref="A10:C10"/>
    <mergeCell ref="L10:N10"/>
    <mergeCell ref="B34:N34"/>
    <mergeCell ref="B39:C39"/>
    <mergeCell ref="B40:C40"/>
    <mergeCell ref="A11:C11"/>
    <mergeCell ref="A12:C12"/>
    <mergeCell ref="L12:N12"/>
    <mergeCell ref="A13:C13"/>
    <mergeCell ref="H96:J96"/>
    <mergeCell ref="B41:C41"/>
    <mergeCell ref="B42:C42"/>
    <mergeCell ref="B43:C43"/>
    <mergeCell ref="B44:C44"/>
    <mergeCell ref="B45:C45"/>
    <mergeCell ref="AI34:AU34"/>
    <mergeCell ref="R34:AD34"/>
    <mergeCell ref="G215:H215"/>
    <mergeCell ref="C215:D215"/>
    <mergeCell ref="W52:W53"/>
    <mergeCell ref="X52:Z52"/>
    <mergeCell ref="AN52:AN53"/>
    <mergeCell ref="AO52:AQ52"/>
    <mergeCell ref="B127:C127"/>
    <mergeCell ref="E127:F127"/>
    <mergeCell ref="G127:H127"/>
    <mergeCell ref="J127:M127"/>
    <mergeCell ref="B96:B97"/>
    <mergeCell ref="C96:C97"/>
    <mergeCell ref="D96:E96"/>
    <mergeCell ref="F96:G96"/>
    <mergeCell ref="AA52:AE52"/>
    <mergeCell ref="AR52:AV52"/>
    <mergeCell ref="J52:N52"/>
    <mergeCell ref="G52:I52"/>
    <mergeCell ref="F52:F53"/>
  </mergeCells>
  <conditionalFormatting sqref="E372:E374 E383">
    <cfRule type="expression" dxfId="165" priority="1">
      <formula>ISNUMBER(SEARCH("RE-ANALYZE",$E372))</formula>
    </cfRule>
    <cfRule type="expression" dxfId="164" priority="2">
      <formula>ISNUMBER(SEARCH("REVIEW",$E372))</formula>
    </cfRule>
    <cfRule type="expression" dxfId="163" priority="3">
      <formula>ISNUMBER(SEARCH("CHECK",$E372))</formula>
    </cfRule>
    <cfRule type="expression" dxfId="162" priority="4">
      <formula>ISNUMBER(SEARCH("PASS",$E372))</formula>
    </cfRule>
  </conditionalFormatting>
  <conditionalFormatting sqref="F364:F367">
    <cfRule type="expression" dxfId="161" priority="9">
      <formula>ISNUMBER(SEARCH("RE-ANALYZE",$F364))</formula>
    </cfRule>
    <cfRule type="expression" dxfId="160" priority="10">
      <formula>ISNUMBER(SEARCH("REVIEW",$F364))</formula>
    </cfRule>
    <cfRule type="expression" dxfId="159" priority="11">
      <formula>ISNUMBER(SEARCH("CHECK",$F364))</formula>
    </cfRule>
    <cfRule type="expression" dxfId="158" priority="12">
      <formula>ISNUMBER(SEARCH("PASS",$F364))</formula>
    </cfRule>
  </conditionalFormatting>
  <conditionalFormatting sqref="M364:M367">
    <cfRule type="expression" dxfId="157" priority="5">
      <formula>ISNUMBER(SEARCH("RE-ANALYZE",$M364))</formula>
    </cfRule>
    <cfRule type="expression" dxfId="156" priority="6">
      <formula>ISNUMBER(SEARCH("REVIEW",$M364))</formula>
    </cfRule>
    <cfRule type="expression" dxfId="155" priority="7">
      <formula>ISNUMBER(SEARCH("CHECK",$M364))</formula>
    </cfRule>
    <cfRule type="expression" dxfId="154" priority="8">
      <formula>ISNUMBER(SEARCH("PASS",$M364))</formula>
    </cfRule>
  </conditionalFormatting>
  <dataValidations count="4">
    <dataValidation type="list" allowBlank="1" showInputMessage="1" showErrorMessage="1" sqref="E21" xr:uid="{24BE32F0-0047-9147-A751-5309CEB5E3FE}">
      <formula1>$G$21:$G$22</formula1>
    </dataValidation>
    <dataValidation type="list" allowBlank="1" showInputMessage="1" showErrorMessage="1" sqref="E19:E20" xr:uid="{6F30E611-9BA1-EA4B-8B54-0656D2A69AD2}">
      <formula1>$G$18:$G$19</formula1>
    </dataValidation>
    <dataValidation type="list" allowBlank="1" showInputMessage="1" showErrorMessage="1" sqref="P9" xr:uid="{57114C72-9E3F-4B2D-8A29-2DC0CDAA0628}">
      <formula1>"RAFLY,RIZKI,NOUFAL"</formula1>
    </dataValidation>
    <dataValidation type="list" allowBlank="1" showInputMessage="1" showErrorMessage="1" sqref="D12" xr:uid="{0D2B79DC-E6EC-4CEA-996B-CD43D6ECD4D1}">
      <formula1>$BH$56:$BH$67</formula1>
    </dataValidation>
  </dataValidations>
  <pageMargins left="0.7" right="0.7" top="0.75" bottom="0.75" header="0.3" footer="0.3"/>
  <pageSetup paperSize="14" orientation="portrait" horizontalDpi="0" verticalDpi="0"/>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A72D0-1A66-4B12-82BA-4EFE3244F63A}">
  <sheetPr>
    <tabColor rgb="FFFFC000"/>
  </sheetPr>
  <dimension ref="A1:AD221"/>
  <sheetViews>
    <sheetView view="pageBreakPreview" topLeftCell="A123" zoomScaleNormal="100" zoomScaleSheetLayoutView="100" zoomScalePageLayoutView="108" workbookViewId="0">
      <selection activeCell="T127" sqref="T127"/>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0" width="4.875" customWidth="1"/>
    <col min="21" max="21" width="5.5" customWidth="1"/>
    <col min="22"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IF('WS-TRX-CU Normal'!D7="","",'WS-TRX-CU Normal'!D7)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"&amp;IF('WS-TRX-CU Normal'!D9="","",'WS-TRX-CU Normal'!D9)</f>
        <v xml:space="preserve">:  </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"&amp;IF('WS-TRX-CU Normal'!D10="","",'WS-TRX-CU Normal'!D10)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"&amp;IF('WS-TRX-CU Normal'!D11="","",'WS-TRX-CU Normal'!D11)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"&amp;IF('WS-TRX-CU Normal'!D12="","",'WS-TRX-CU Normal'!D12)</f>
        <v>:  Lempung Lanauan / Silty Clay</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"&amp;IF('WS-TRX-CU Normal'!D13="","",'WS-TRX-CU Normal'!D13)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"&amp;IF('WS-TRX-CU Normal'!O12="","",TEXT('WS-TRX-CU Normal'!O12,"dd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'WS-TRX-CU Normal'!A2</f>
        <v>UJI TRIAKSIAL - TERKONSOLIDASI TIDAK TERDRAINASE (CU)</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INDUK'!$BS$38</f>
        <v>2455 : 2015</v>
      </c>
      <c r="W26" s="1704"/>
      <c r="X26" s="1704"/>
    </row>
    <row r="27" spans="1:24">
      <c r="A27" s="1650" t="str">
        <f>'WS-TRX-CU Normal'!A3</f>
        <v>TRIAXIAL TEST- CONSOLIDATED UNDRAINED ((CU)</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41" t="s">
        <v>1362</v>
      </c>
      <c r="B29" s="673"/>
      <c r="C29" s="673"/>
      <c r="D29" s="673"/>
      <c r="E29" s="673"/>
      <c r="F29" s="673"/>
      <c r="G29" s="673"/>
      <c r="H29" s="673"/>
      <c r="I29" s="674"/>
      <c r="J29" s="673"/>
      <c r="K29" s="829"/>
      <c r="L29" s="879"/>
      <c r="M29" s="784"/>
      <c r="N29" s="541" t="s">
        <v>1363</v>
      </c>
      <c r="O29" s="541"/>
      <c r="P29" s="541"/>
      <c r="Q29" s="541"/>
      <c r="R29" s="541"/>
      <c r="S29" s="541"/>
      <c r="T29" s="541"/>
      <c r="U29" s="541"/>
      <c r="V29" s="541"/>
      <c r="W29" s="541"/>
      <c r="X29" s="541"/>
    </row>
    <row r="30" spans="1:24">
      <c r="A30" s="1871" t="s">
        <v>575</v>
      </c>
      <c r="B30" s="1871"/>
      <c r="C30" s="1871"/>
      <c r="D30" s="1871"/>
      <c r="E30" s="1871"/>
      <c r="F30" s="1871"/>
      <c r="G30" s="1871"/>
      <c r="H30" s="2096" t="s">
        <v>1104</v>
      </c>
      <c r="I30" s="2096"/>
      <c r="J30" s="2096"/>
      <c r="K30" s="2096"/>
      <c r="L30" s="2096"/>
      <c r="N30" s="2081" t="s">
        <v>1364</v>
      </c>
      <c r="O30" s="2081"/>
      <c r="P30" s="2081"/>
      <c r="Q30" s="2081"/>
      <c r="R30" s="2081"/>
      <c r="S30" s="2081"/>
      <c r="T30" s="2081"/>
      <c r="U30" s="2081"/>
      <c r="V30" s="2097" t="s">
        <v>1365</v>
      </c>
      <c r="W30" s="2097"/>
      <c r="X30" s="2097"/>
    </row>
    <row r="31" spans="1:24">
      <c r="A31" s="1871" t="s">
        <v>1516</v>
      </c>
      <c r="B31" s="1871"/>
      <c r="C31" s="1871"/>
      <c r="D31" s="1871"/>
      <c r="E31" s="1871"/>
      <c r="F31" s="1871"/>
      <c r="G31" s="1871"/>
      <c r="H31" s="1869">
        <v>1</v>
      </c>
      <c r="I31" s="1869"/>
      <c r="J31" s="1876">
        <v>2</v>
      </c>
      <c r="K31" s="1876"/>
      <c r="L31" s="1457">
        <v>3</v>
      </c>
      <c r="N31" s="2075"/>
      <c r="O31" s="2075"/>
      <c r="P31" s="2075"/>
      <c r="Q31" s="2075"/>
      <c r="R31" s="2075"/>
      <c r="S31" s="2075"/>
      <c r="T31" s="2075"/>
      <c r="U31" s="2075"/>
      <c r="V31" s="2098"/>
      <c r="W31" s="2098"/>
      <c r="X31" s="2098"/>
    </row>
    <row r="32" spans="1:24" ht="15.95" customHeight="1">
      <c r="A32" s="1871" t="s">
        <v>1534</v>
      </c>
      <c r="B32" s="1871"/>
      <c r="C32" s="1871"/>
      <c r="D32" s="1871"/>
      <c r="E32" s="1871"/>
      <c r="F32" s="1871"/>
      <c r="G32" s="1871"/>
      <c r="H32" s="1876">
        <f>'WS-TRX-CU Normal'!D321</f>
        <v>3.8</v>
      </c>
      <c r="I32" s="1876"/>
      <c r="J32" s="1876">
        <f>'WS-TRX-CU Normal'!E321</f>
        <v>3.8</v>
      </c>
      <c r="K32" s="1876"/>
      <c r="L32" s="1323">
        <f>'WS-TRX-CU Normal'!F321</f>
        <v>3.8</v>
      </c>
      <c r="N32" s="2095" t="s">
        <v>1366</v>
      </c>
      <c r="O32" s="2095"/>
      <c r="P32" s="2095"/>
      <c r="Q32" s="2095"/>
      <c r="R32" s="2095"/>
      <c r="S32" s="2095"/>
      <c r="T32" s="2095"/>
      <c r="U32" s="2095"/>
      <c r="V32" s="15" t="str">
        <f>'WS-TRX-CU Normal'!D18</f>
        <v>Normal Stage</v>
      </c>
      <c r="W32" s="15"/>
      <c r="X32" s="15"/>
    </row>
    <row r="33" spans="1:30">
      <c r="A33" s="1871" t="s">
        <v>1106</v>
      </c>
      <c r="B33" s="1871"/>
      <c r="C33" s="1871"/>
      <c r="D33" s="1871"/>
      <c r="E33" s="1871"/>
      <c r="F33" s="1871"/>
      <c r="G33" s="1871"/>
      <c r="H33" s="1876">
        <f>'WS-TRX-CU Normal'!D322</f>
        <v>7.6</v>
      </c>
      <c r="I33" s="1876"/>
      <c r="J33" s="1876">
        <f>'WS-TRX-CU Normal'!E322</f>
        <v>7.6400000000000006</v>
      </c>
      <c r="K33" s="1876"/>
      <c r="L33" s="1323">
        <f>'WS-TRX-CU Normal'!F322</f>
        <v>7.6400000000000006</v>
      </c>
      <c r="M33" s="13"/>
      <c r="N33" s="1993" t="s">
        <v>1539</v>
      </c>
      <c r="O33" s="1993"/>
      <c r="P33" s="1993"/>
      <c r="Q33" s="1993"/>
      <c r="R33" s="1993"/>
      <c r="S33" s="1993"/>
      <c r="T33" s="1993"/>
      <c r="U33" s="1993"/>
      <c r="V33" s="15" t="str">
        <f>'WS-TRX-CU Normal'!D19</f>
        <v>No</v>
      </c>
      <c r="W33" s="803"/>
      <c r="X33" s="803"/>
      <c r="Z33" s="13"/>
      <c r="AA33" s="13"/>
      <c r="AB33" s="804"/>
      <c r="AC33" s="804"/>
      <c r="AD33" s="804"/>
    </row>
    <row r="34" spans="1:30" ht="15.95" customHeight="1">
      <c r="A34" s="1871" t="s">
        <v>1536</v>
      </c>
      <c r="B34" s="1871"/>
      <c r="C34" s="1871"/>
      <c r="D34" s="1871"/>
      <c r="E34" s="1871"/>
      <c r="F34" s="1871"/>
      <c r="G34" s="1871"/>
      <c r="H34" s="1876">
        <f>'WS-TRX-CU Normal'!D323</f>
        <v>11.3354</v>
      </c>
      <c r="I34" s="1876"/>
      <c r="J34" s="1876">
        <f>'WS-TRX-CU Normal'!E323</f>
        <v>11.3354</v>
      </c>
      <c r="K34" s="1876"/>
      <c r="L34" s="1323">
        <f>'WS-TRX-CU Normal'!F323</f>
        <v>11.3354</v>
      </c>
      <c r="N34" s="2095" t="s">
        <v>1367</v>
      </c>
      <c r="O34" s="2095"/>
      <c r="P34" s="2095"/>
      <c r="Q34" s="2095"/>
      <c r="R34" s="2095"/>
      <c r="S34" s="2095"/>
      <c r="T34" s="2095"/>
      <c r="U34" s="2095"/>
      <c r="V34" s="15" t="str">
        <f>'WS-TRX-CU Normal'!D20</f>
        <v>No</v>
      </c>
      <c r="W34" s="803"/>
      <c r="X34" s="803"/>
      <c r="AA34" s="803"/>
      <c r="AC34" s="803"/>
    </row>
    <row r="35" spans="1:30">
      <c r="A35" s="1871" t="s">
        <v>1535</v>
      </c>
      <c r="B35" s="1871"/>
      <c r="C35" s="1871"/>
      <c r="D35" s="1871"/>
      <c r="E35" s="1871"/>
      <c r="F35" s="1871"/>
      <c r="G35" s="1871"/>
      <c r="H35" s="1876">
        <f>'WS-TRX-CU Normal'!D324</f>
        <v>86.149039999999999</v>
      </c>
      <c r="I35" s="1876"/>
      <c r="J35" s="1876">
        <f>'WS-TRX-CU Normal'!E324</f>
        <v>86.602456000000004</v>
      </c>
      <c r="K35" s="1876"/>
      <c r="L35" s="1323">
        <f>'WS-TRX-CU Normal'!F324</f>
        <v>86.602456000000004</v>
      </c>
      <c r="M35" s="13"/>
      <c r="N35" s="2095" t="s">
        <v>1368</v>
      </c>
      <c r="O35" s="2095"/>
      <c r="P35" s="2095"/>
      <c r="Q35" s="2095"/>
      <c r="R35" s="2095"/>
      <c r="S35" s="2095"/>
      <c r="T35" s="2095"/>
      <c r="U35" s="2095"/>
      <c r="V35" s="15" t="str">
        <f>'WS-TRX-CU Normal'!D21</f>
        <v>With Side drain</v>
      </c>
      <c r="W35" s="803"/>
      <c r="X35" s="803"/>
      <c r="AA35" s="803"/>
      <c r="AC35" s="803"/>
    </row>
    <row r="36" spans="1:30" ht="15.95" customHeight="1">
      <c r="A36" s="1871" t="s">
        <v>1408</v>
      </c>
      <c r="B36" s="1871"/>
      <c r="C36" s="1871"/>
      <c r="D36" s="1871"/>
      <c r="E36" s="1871"/>
      <c r="F36" s="1871"/>
      <c r="G36" s="1871"/>
      <c r="H36" s="1876">
        <f>'WS-TRX-CU Normal'!D325</f>
        <v>43.145354981266209</v>
      </c>
      <c r="I36" s="1876"/>
      <c r="J36" s="1876">
        <f>'WS-TRX-CU Normal'!E325</f>
        <v>43.18333811025127</v>
      </c>
      <c r="K36" s="1876"/>
      <c r="L36" s="1323">
        <f>'WS-TRX-CU Normal'!F325</f>
        <v>43.243501529051976</v>
      </c>
      <c r="N36" s="2092" t="s">
        <v>1369</v>
      </c>
      <c r="O36" s="2092"/>
      <c r="P36" s="2092"/>
      <c r="Q36" s="2092"/>
      <c r="R36" s="2092"/>
      <c r="S36" s="2092"/>
      <c r="T36" s="2092"/>
      <c r="U36" s="2092"/>
      <c r="V36" s="2093" t="s">
        <v>805</v>
      </c>
      <c r="W36" s="2093"/>
      <c r="X36" s="2093"/>
      <c r="AA36" s="803"/>
      <c r="AC36" s="803"/>
    </row>
    <row r="37" spans="1:30">
      <c r="A37" s="1871" t="s">
        <v>1109</v>
      </c>
      <c r="B37" s="1871"/>
      <c r="C37" s="1871"/>
      <c r="D37" s="1871"/>
      <c r="E37" s="1871"/>
      <c r="F37" s="1871"/>
      <c r="G37" s="1871"/>
      <c r="H37" s="1876">
        <f>'WS-TRX-CU Normal'!D326</f>
        <v>1.7295607704972684</v>
      </c>
      <c r="I37" s="1876"/>
      <c r="J37" s="1876">
        <f>'WS-TRX-CU Normal'!E326</f>
        <v>1.7305513829769446</v>
      </c>
      <c r="K37" s="1876"/>
      <c r="L37" s="1323">
        <f>'WS-TRX-CU Normal'!F326</f>
        <v>1.7305513829769446</v>
      </c>
      <c r="M37" s="782"/>
      <c r="N37" s="2092"/>
      <c r="O37" s="2092"/>
      <c r="P37" s="2092"/>
      <c r="Q37" s="2092"/>
      <c r="R37" s="2092"/>
      <c r="S37" s="2092"/>
      <c r="T37" s="2092"/>
      <c r="U37" s="2092"/>
      <c r="V37" s="2094"/>
      <c r="W37" s="2094"/>
      <c r="X37" s="2094"/>
      <c r="AA37" s="803"/>
      <c r="AC37" s="803"/>
    </row>
    <row r="38" spans="1:30" ht="15.95" customHeight="1">
      <c r="A38" s="1871" t="s">
        <v>1110</v>
      </c>
      <c r="B38" s="1871"/>
      <c r="C38" s="1871"/>
      <c r="D38" s="1871"/>
      <c r="E38" s="1871"/>
      <c r="F38" s="1871"/>
      <c r="G38" s="1871"/>
      <c r="H38" s="1876">
        <f>'WS-TRX-CU Normal'!D327</f>
        <v>1.2082549033628232</v>
      </c>
      <c r="I38" s="1876"/>
      <c r="J38" s="1876">
        <f>'WS-TRX-CU Normal'!E327</f>
        <v>1.2086262311082723</v>
      </c>
      <c r="K38" s="1876"/>
      <c r="L38" s="1323">
        <f>'WS-TRX-CU Normal'!F327</f>
        <v>1.2082798206092444</v>
      </c>
      <c r="N38" s="2081" t="s">
        <v>1370</v>
      </c>
      <c r="O38" s="2081"/>
      <c r="P38" s="2081"/>
      <c r="Q38" s="2081"/>
      <c r="R38" s="2081"/>
      <c r="S38" s="2089" t="s">
        <v>1371</v>
      </c>
      <c r="T38" s="2089"/>
      <c r="U38" s="2089"/>
      <c r="V38" s="2089"/>
      <c r="W38" s="2089"/>
      <c r="X38" s="2089"/>
      <c r="AA38" s="803"/>
      <c r="AC38" s="803"/>
    </row>
    <row r="39" spans="1:30" ht="15.95" customHeight="1">
      <c r="M39" s="13"/>
      <c r="N39" s="2090" t="s">
        <v>1373</v>
      </c>
      <c r="O39" s="2090"/>
      <c r="P39" s="2090"/>
      <c r="Q39" s="2090"/>
      <c r="R39" s="2090"/>
      <c r="S39" s="2091">
        <v>1</v>
      </c>
      <c r="T39" s="2091"/>
      <c r="U39" s="2091">
        <v>2</v>
      </c>
      <c r="V39" s="2091"/>
      <c r="W39" s="2091">
        <v>3</v>
      </c>
      <c r="X39" s="2091"/>
      <c r="AA39" s="803"/>
      <c r="AC39" s="803"/>
    </row>
    <row r="40" spans="1:30" ht="24.95" customHeight="1">
      <c r="A40" s="541" t="s">
        <v>1372</v>
      </c>
      <c r="B40" s="877"/>
      <c r="C40" s="877"/>
      <c r="D40" s="877"/>
      <c r="E40" s="877"/>
      <c r="F40" s="877"/>
      <c r="G40" s="877"/>
      <c r="H40" s="877"/>
      <c r="I40" s="878"/>
      <c r="J40" s="877"/>
      <c r="K40" s="877"/>
      <c r="L40" s="877"/>
      <c r="N40" s="1872" t="s">
        <v>1409</v>
      </c>
      <c r="O40" s="1872"/>
      <c r="P40" s="1872"/>
      <c r="Q40" s="1872"/>
      <c r="R40" s="1872"/>
      <c r="S40" s="1876">
        <f>'WS-TRX-CU Normal'!E332</f>
        <v>240</v>
      </c>
      <c r="T40" s="1876"/>
      <c r="U40" s="1876">
        <f>'WS-TRX-CU Normal'!F332</f>
        <v>290</v>
      </c>
      <c r="V40" s="1876"/>
      <c r="W40" s="1876">
        <f>'WS-TRX-CU Normal'!G332</f>
        <v>390</v>
      </c>
      <c r="X40" s="1876"/>
      <c r="AA40" s="803"/>
      <c r="AC40" s="803"/>
    </row>
    <row r="41" spans="1:30" ht="5.0999999999999996" customHeight="1">
      <c r="B41" s="710"/>
      <c r="C41" s="710"/>
      <c r="D41" s="710"/>
      <c r="E41" s="710"/>
      <c r="F41" s="710"/>
      <c r="G41" s="710"/>
      <c r="H41" s="710"/>
      <c r="I41" s="710"/>
      <c r="J41" s="710"/>
      <c r="K41" s="710"/>
      <c r="N41" s="1872"/>
      <c r="O41" s="1872"/>
      <c r="P41" s="1872"/>
      <c r="Q41" s="1872"/>
      <c r="R41" s="1872"/>
      <c r="S41" s="1876"/>
      <c r="T41" s="1876"/>
      <c r="U41" s="1876"/>
      <c r="V41" s="1876"/>
      <c r="W41" s="1876"/>
      <c r="X41" s="1876"/>
    </row>
    <row r="42" spans="1:30" ht="15.95" customHeight="1">
      <c r="A42" s="1872" t="s">
        <v>1373</v>
      </c>
      <c r="B42" s="1872"/>
      <c r="C42" s="1872"/>
      <c r="D42" s="1872"/>
      <c r="E42" s="1872"/>
      <c r="F42" s="1872"/>
      <c r="G42" s="1872"/>
      <c r="H42" s="2020">
        <v>1</v>
      </c>
      <c r="I42" s="2020"/>
      <c r="J42" s="2020">
        <v>2</v>
      </c>
      <c r="K42" s="2020"/>
      <c r="L42" s="2020">
        <v>3</v>
      </c>
      <c r="N42" s="1872" t="s">
        <v>1518</v>
      </c>
      <c r="O42" s="1872"/>
      <c r="P42" s="1872"/>
      <c r="Q42" s="1872"/>
      <c r="R42" s="1872"/>
      <c r="S42" s="1876">
        <f>'WS-TRX-CU Normal'!E333</f>
        <v>190</v>
      </c>
      <c r="T42" s="1876"/>
      <c r="U42" s="1876">
        <f>'WS-TRX-CU Normal'!F333</f>
        <v>190</v>
      </c>
      <c r="V42" s="1876"/>
      <c r="W42" s="1876">
        <f>'WS-TRX-CU Normal'!G333</f>
        <v>190</v>
      </c>
      <c r="X42" s="1876"/>
    </row>
    <row r="43" spans="1:30" ht="15.95" customHeight="1">
      <c r="A43" s="1872"/>
      <c r="B43" s="1872"/>
      <c r="C43" s="1872"/>
      <c r="D43" s="1872"/>
      <c r="E43" s="1872"/>
      <c r="F43" s="1872"/>
      <c r="G43" s="1872"/>
      <c r="H43" s="2020"/>
      <c r="I43" s="2020"/>
      <c r="J43" s="2020"/>
      <c r="K43" s="2020"/>
      <c r="L43" s="2020"/>
      <c r="N43" s="1872"/>
      <c r="O43" s="1872"/>
      <c r="P43" s="1872"/>
      <c r="Q43" s="1872"/>
      <c r="R43" s="1872"/>
      <c r="S43" s="1876"/>
      <c r="T43" s="1876"/>
      <c r="U43" s="1876"/>
      <c r="V43" s="1876"/>
      <c r="W43" s="1876"/>
      <c r="X43" s="1876"/>
    </row>
    <row r="44" spans="1:30" ht="15.75" customHeight="1">
      <c r="A44" s="1872" t="s">
        <v>1527</v>
      </c>
      <c r="B44" s="1872"/>
      <c r="C44" s="1872"/>
      <c r="D44" s="1872"/>
      <c r="E44" s="1872"/>
      <c r="F44" s="1872"/>
      <c r="G44" s="1872"/>
      <c r="H44" s="1876">
        <f>'WS-TRX-CU Normal'!D346</f>
        <v>149.48858522438621</v>
      </c>
      <c r="I44" s="1876"/>
      <c r="J44" s="1876">
        <f>'WS-TRX-CU Normal'!E346</f>
        <v>170.39317570814612</v>
      </c>
      <c r="K44" s="1876"/>
      <c r="L44" s="1876">
        <f>'WS-TRX-CU Normal'!F346</f>
        <v>217.2929817460421</v>
      </c>
      <c r="N44" s="1872" t="s">
        <v>1519</v>
      </c>
      <c r="O44" s="1872"/>
      <c r="P44" s="1872"/>
      <c r="Q44" s="1872"/>
      <c r="R44" s="1872"/>
      <c r="S44" s="1876">
        <f>'WS-TRX-CU Normal'!E334</f>
        <v>50</v>
      </c>
      <c r="T44" s="1876"/>
      <c r="U44" s="1876">
        <f>'WS-TRX-CU Normal'!F334</f>
        <v>100</v>
      </c>
      <c r="V44" s="1876"/>
      <c r="W44" s="1876">
        <f>'WS-TRX-CU Normal'!G334</f>
        <v>200</v>
      </c>
      <c r="X44" s="1876"/>
    </row>
    <row r="45" spans="1:30" ht="33.950000000000003" customHeight="1">
      <c r="A45" s="1872"/>
      <c r="B45" s="1872"/>
      <c r="C45" s="1872"/>
      <c r="D45" s="1872"/>
      <c r="E45" s="1872"/>
      <c r="F45" s="1872"/>
      <c r="G45" s="1872"/>
      <c r="H45" s="1876"/>
      <c r="I45" s="1876"/>
      <c r="J45" s="1876"/>
      <c r="K45" s="1876"/>
      <c r="L45" s="1876"/>
      <c r="M45" s="540"/>
      <c r="N45" s="1872"/>
      <c r="O45" s="1872"/>
      <c r="P45" s="1872"/>
      <c r="Q45" s="1872"/>
      <c r="R45" s="1872"/>
      <c r="S45" s="1876"/>
      <c r="T45" s="1876"/>
      <c r="U45" s="1876"/>
      <c r="V45" s="1876"/>
      <c r="W45" s="1876"/>
      <c r="X45" s="1876"/>
    </row>
    <row r="46" spans="1:30" ht="15.75" customHeight="1">
      <c r="A46" s="1872" t="s">
        <v>1528</v>
      </c>
      <c r="B46" s="1872"/>
      <c r="C46" s="1872"/>
      <c r="D46" s="1872"/>
      <c r="E46" s="1872"/>
      <c r="F46" s="1872"/>
      <c r="G46" s="1872"/>
      <c r="H46" s="1876">
        <f>'WS-TRX-CU Normal'!D347</f>
        <v>379.3822976409092</v>
      </c>
      <c r="I46" s="1876"/>
      <c r="J46" s="1876">
        <f>'WS-TRX-CU Normal'!E347</f>
        <v>453.04920771357575</v>
      </c>
      <c r="K46" s="1876"/>
      <c r="L46" s="1876">
        <f>'WS-TRX-CU Normal'!F347</f>
        <v>594.87811378971469</v>
      </c>
      <c r="N46" s="1872" t="s">
        <v>1520</v>
      </c>
      <c r="O46" s="1872"/>
      <c r="P46" s="1872"/>
      <c r="Q46" s="1872"/>
      <c r="R46" s="1872"/>
      <c r="S46" s="1876">
        <f>'WS-TRX-CU Normal'!E335</f>
        <v>229</v>
      </c>
      <c r="T46" s="1876"/>
      <c r="U46" s="1876">
        <f>'WS-TRX-CU Normal'!F335</f>
        <v>275</v>
      </c>
      <c r="V46" s="1876"/>
      <c r="W46" s="1876">
        <f>'WS-TRX-CU Normal'!G335</f>
        <v>376</v>
      </c>
      <c r="X46" s="1876"/>
    </row>
    <row r="47" spans="1:30">
      <c r="A47" s="1872"/>
      <c r="B47" s="1872"/>
      <c r="C47" s="1872"/>
      <c r="D47" s="1872"/>
      <c r="E47" s="1872"/>
      <c r="F47" s="1872"/>
      <c r="G47" s="1872"/>
      <c r="H47" s="1876"/>
      <c r="I47" s="1876"/>
      <c r="J47" s="1876"/>
      <c r="K47" s="1876"/>
      <c r="L47" s="1876"/>
      <c r="N47" s="1872"/>
      <c r="O47" s="1872"/>
      <c r="P47" s="1872"/>
      <c r="Q47" s="1872"/>
      <c r="R47" s="1872"/>
      <c r="S47" s="1876"/>
      <c r="T47" s="1876"/>
      <c r="U47" s="1876"/>
      <c r="V47" s="1876"/>
      <c r="W47" s="1876"/>
      <c r="X47" s="1876"/>
      <c r="Z47" s="335"/>
      <c r="AA47" s="1312" t="str">
        <f>"LHU No.            : "&amp; IF('DATA INDUK'!$H$17="","",'DATA INDUK'!$H$17)</f>
        <v>LHU No.            : 23/MGS/53/II/2026</v>
      </c>
      <c r="AB47" s="335"/>
      <c r="AC47" s="335"/>
    </row>
    <row r="48" spans="1:30" ht="15.75" customHeight="1">
      <c r="A48" s="1872" t="s">
        <v>1529</v>
      </c>
      <c r="B48" s="1872"/>
      <c r="C48" s="1872"/>
      <c r="D48" s="1872"/>
      <c r="E48" s="1872"/>
      <c r="F48" s="1872"/>
      <c r="G48" s="1872"/>
      <c r="H48" s="1876">
        <f>'WS-TRX-CU Normal'!D348</f>
        <v>167.3822976409092</v>
      </c>
      <c r="I48" s="1876"/>
      <c r="J48" s="1876">
        <f>'WS-TRX-CU Normal'!E348</f>
        <v>219.04920771357575</v>
      </c>
      <c r="K48" s="1876"/>
      <c r="L48" s="1876">
        <f>'WS-TRX-CU Normal'!F348</f>
        <v>316.87811378971469</v>
      </c>
      <c r="M48" s="326"/>
      <c r="N48" s="1872" t="s">
        <v>1374</v>
      </c>
      <c r="O48" s="1872"/>
      <c r="P48" s="1872"/>
      <c r="Q48" s="1872"/>
      <c r="R48" s="1872"/>
      <c r="S48" s="1876">
        <f>'WS-TRX-CU Normal'!E336</f>
        <v>0.97499999999999998</v>
      </c>
      <c r="T48" s="1876"/>
      <c r="U48" s="1876">
        <f>'WS-TRX-CU Normal'!F336</f>
        <v>0.94444444444444442</v>
      </c>
      <c r="V48" s="1876"/>
      <c r="W48" s="1876">
        <f>'WS-TRX-CU Normal'!G336</f>
        <v>0.97894736842105268</v>
      </c>
      <c r="X48" s="1876"/>
      <c r="Z48" s="335"/>
      <c r="AA48" s="338" t="str">
        <f>"LAB ID.         : "&amp;'Template LHU_CBRsoaked'!$N$13&amp;""</f>
        <v>LAB ID.         : 26-001-DS-001</v>
      </c>
      <c r="AB48" s="335"/>
      <c r="AC48" s="335"/>
    </row>
    <row r="49" spans="1:30">
      <c r="A49" s="1872"/>
      <c r="B49" s="1872"/>
      <c r="C49" s="1872"/>
      <c r="D49" s="1872"/>
      <c r="E49" s="1872"/>
      <c r="F49" s="1872"/>
      <c r="G49" s="1872"/>
      <c r="H49" s="1876"/>
      <c r="I49" s="1876"/>
      <c r="J49" s="1876"/>
      <c r="K49" s="1876"/>
      <c r="L49" s="1876"/>
      <c r="M49" s="326"/>
      <c r="N49" s="1872"/>
      <c r="O49" s="1872"/>
      <c r="P49" s="1872"/>
      <c r="Q49" s="1872"/>
      <c r="R49" s="1872"/>
      <c r="S49" s="1876"/>
      <c r="T49" s="1876"/>
      <c r="U49" s="1876"/>
      <c r="V49" s="1876"/>
      <c r="W49" s="1876"/>
      <c r="X49" s="1876"/>
      <c r="Z49" s="335" t="s">
        <v>1375</v>
      </c>
      <c r="AA49" s="338" t="str">
        <f>"TEST TYPE   : "&amp;Z49&amp;""</f>
        <v>TEST TYPE   : Triaxial (CU)</v>
      </c>
      <c r="AB49" s="335"/>
      <c r="AC49" s="335"/>
    </row>
    <row r="50" spans="1:30" ht="15.75" customHeight="1">
      <c r="A50" s="1872" t="s">
        <v>1530</v>
      </c>
      <c r="B50" s="1872"/>
      <c r="C50" s="1872"/>
      <c r="D50" s="1872"/>
      <c r="E50" s="1872"/>
      <c r="F50" s="1872"/>
      <c r="G50" s="1872"/>
      <c r="H50" s="1876">
        <f>'WS-TRX-CU Normal'!D349</f>
        <v>28</v>
      </c>
      <c r="I50" s="1876"/>
      <c r="J50" s="1876">
        <f>'WS-TRX-CU Normal'!E349</f>
        <v>56</v>
      </c>
      <c r="K50" s="1876"/>
      <c r="L50" s="1876">
        <f>'WS-TRX-CU Normal'!F349</f>
        <v>112</v>
      </c>
      <c r="M50" s="326"/>
      <c r="N50" s="1872" t="s">
        <v>1523</v>
      </c>
      <c r="O50" s="1872"/>
      <c r="P50" s="1872"/>
      <c r="Q50" s="1872"/>
      <c r="R50" s="1872"/>
      <c r="S50" s="1876">
        <f>'WS-TRX-CU Normal'!E337</f>
        <v>1101.5697646667575</v>
      </c>
      <c r="T50" s="1876"/>
      <c r="U50" s="1876">
        <f>'WS-TRX-CU Normal'!F337</f>
        <v>1116.9236150139643</v>
      </c>
      <c r="V50" s="1876"/>
      <c r="W50" s="1876">
        <f>'WS-TRX-CU Normal'!G337</f>
        <v>1122.4184613167072</v>
      </c>
      <c r="X50" s="1876"/>
      <c r="Z50" s="1310"/>
      <c r="AA50" s="338" t="str">
        <f>"DATE            : "&amp;TEXT('DATA INDUK'!$H$19,"yyyy-mm-dd")</f>
        <v>DATE            : 2026-01-29</v>
      </c>
      <c r="AB50" s="335"/>
      <c r="AC50" s="335"/>
    </row>
    <row r="51" spans="1:30" ht="15.95" customHeight="1">
      <c r="A51" s="1872"/>
      <c r="B51" s="1872"/>
      <c r="C51" s="1872"/>
      <c r="D51" s="1872"/>
      <c r="E51" s="1872"/>
      <c r="F51" s="1872"/>
      <c r="G51" s="1872"/>
      <c r="H51" s="1876"/>
      <c r="I51" s="1876"/>
      <c r="J51" s="1876"/>
      <c r="K51" s="1876"/>
      <c r="L51" s="1876"/>
      <c r="M51" s="326"/>
      <c r="N51" s="1872"/>
      <c r="O51" s="1872"/>
      <c r="P51" s="1872"/>
      <c r="Q51" s="1872"/>
      <c r="R51" s="1872"/>
      <c r="S51" s="1876"/>
      <c r="T51" s="1876"/>
      <c r="U51" s="1876"/>
      <c r="V51" s="1876"/>
      <c r="W51" s="1876"/>
      <c r="X51" s="1876"/>
      <c r="Z51" s="1012"/>
      <c r="AA51" s="1012"/>
      <c r="AB51" s="1012"/>
      <c r="AC51" s="1012"/>
    </row>
    <row r="52" spans="1:30" ht="15.95" customHeight="1">
      <c r="A52" s="1872" t="s">
        <v>1531</v>
      </c>
      <c r="B52" s="1872"/>
      <c r="C52" s="1872"/>
      <c r="D52" s="1872"/>
      <c r="E52" s="1872"/>
      <c r="F52" s="1872"/>
      <c r="G52" s="1872"/>
      <c r="H52" s="1876">
        <f>'WS-TRX-CU Normal'!D350</f>
        <v>212</v>
      </c>
      <c r="I52" s="1876"/>
      <c r="J52" s="1876">
        <f>'WS-TRX-CU Normal'!E350</f>
        <v>234</v>
      </c>
      <c r="K52" s="1876"/>
      <c r="L52" s="1876">
        <f>'WS-TRX-CU Normal'!F350</f>
        <v>278</v>
      </c>
      <c r="M52" s="326"/>
      <c r="N52" s="1872" t="s">
        <v>1524</v>
      </c>
      <c r="O52" s="1872"/>
      <c r="P52" s="1872"/>
      <c r="Q52" s="1872"/>
      <c r="R52" s="1872"/>
      <c r="S52" s="1876">
        <f>'WS-TRX-CU Normal'!E338</f>
        <v>71.941916474054736</v>
      </c>
      <c r="T52" s="1876"/>
      <c r="U52" s="1876">
        <f>'WS-TRX-CU Normal'!F338</f>
        <v>74.223926225217753</v>
      </c>
      <c r="V52" s="1876"/>
      <c r="W52" s="1876">
        <f>'WS-TRX-CU Normal'!G338</f>
        <v>74.929679881903894</v>
      </c>
      <c r="X52" s="1876"/>
    </row>
    <row r="53" spans="1:30">
      <c r="A53" s="1872"/>
      <c r="B53" s="1872"/>
      <c r="C53" s="1872"/>
      <c r="D53" s="1872"/>
      <c r="E53" s="1872"/>
      <c r="F53" s="1872"/>
      <c r="G53" s="1872"/>
      <c r="H53" s="1876"/>
      <c r="I53" s="1876"/>
      <c r="J53" s="1876"/>
      <c r="K53" s="1876"/>
      <c r="L53" s="1876"/>
      <c r="M53" s="326"/>
      <c r="N53" s="1872"/>
      <c r="O53" s="1872"/>
      <c r="P53" s="1872"/>
      <c r="Q53" s="1872"/>
      <c r="R53" s="1872"/>
      <c r="S53" s="1876"/>
      <c r="T53" s="1876"/>
      <c r="U53" s="1876"/>
      <c r="V53" s="1876"/>
      <c r="W53" s="1876"/>
      <c r="X53" s="1876"/>
    </row>
    <row r="54" spans="1:30" ht="15.75" customHeight="1">
      <c r="A54" s="1872" t="s">
        <v>1532</v>
      </c>
      <c r="B54" s="1872"/>
      <c r="C54" s="1872"/>
      <c r="D54" s="1872"/>
      <c r="E54" s="1872"/>
      <c r="F54" s="1872"/>
      <c r="G54" s="1872"/>
      <c r="H54" s="1876">
        <f>'WS-TRX-CU Normal'!D351</f>
        <v>13.205097202861001</v>
      </c>
      <c r="I54" s="1876"/>
      <c r="J54" s="1876">
        <f>'WS-TRX-CU Normal'!E351</f>
        <v>13.472744583272227</v>
      </c>
      <c r="K54" s="1876"/>
      <c r="L54" s="1876">
        <f>'WS-TRX-CU Normal'!F351</f>
        <v>12.011261777956122</v>
      </c>
      <c r="M54" s="326"/>
      <c r="N54" s="1872" t="s">
        <v>1525</v>
      </c>
      <c r="O54" s="1872"/>
      <c r="P54" s="1872"/>
      <c r="Q54" s="1872"/>
      <c r="R54" s="1872"/>
      <c r="S54" s="1876">
        <f>'WS-TRX-CU Normal'!E339</f>
        <v>79249.039999999994</v>
      </c>
      <c r="T54" s="1876"/>
      <c r="U54" s="1876">
        <f>'WS-TRX-CU Normal'!F339</f>
        <v>82902.456000000006</v>
      </c>
      <c r="V54" s="1876"/>
      <c r="W54" s="1876">
        <f>'WS-TRX-CU Normal'!G339</f>
        <v>84102.456000000006</v>
      </c>
      <c r="X54" s="1876"/>
    </row>
    <row r="55" spans="1:30" ht="20.100000000000001" customHeight="1">
      <c r="A55" s="1872"/>
      <c r="B55" s="1872"/>
      <c r="C55" s="1872"/>
      <c r="D55" s="1872"/>
      <c r="E55" s="1872"/>
      <c r="F55" s="1872"/>
      <c r="G55" s="1872"/>
      <c r="H55" s="1876"/>
      <c r="I55" s="1876"/>
      <c r="J55" s="1876"/>
      <c r="K55" s="1876"/>
      <c r="L55" s="1876"/>
      <c r="M55" s="326"/>
      <c r="N55" s="1872"/>
      <c r="O55" s="1872"/>
      <c r="P55" s="1872"/>
      <c r="Q55" s="1872"/>
      <c r="R55" s="1872"/>
      <c r="S55" s="1876"/>
      <c r="T55" s="1876"/>
      <c r="U55" s="1876"/>
      <c r="V55" s="1876"/>
      <c r="W55" s="1876"/>
      <c r="X55" s="1876"/>
    </row>
    <row r="56" spans="1:30" ht="15.75" customHeight="1">
      <c r="A56" s="1872" t="s">
        <v>1533</v>
      </c>
      <c r="B56" s="1872"/>
      <c r="C56" s="1872"/>
      <c r="D56" s="1872"/>
      <c r="E56" s="1872"/>
      <c r="F56" s="1872"/>
      <c r="G56" s="1872"/>
      <c r="H56" s="1876">
        <f>'WS-TRX-CU Normal'!D352</f>
        <v>5.9779392014610426</v>
      </c>
      <c r="I56" s="1876"/>
      <c r="J56" s="1876">
        <f>'WS-TRX-CU Normal'!E352</f>
        <v>3.9115929948852814</v>
      </c>
      <c r="K56" s="1876"/>
      <c r="L56" s="1876">
        <f>'WS-TRX-CU Normal'!F352</f>
        <v>2.8292688731224525</v>
      </c>
      <c r="M56" s="326"/>
      <c r="N56" s="1872" t="s">
        <v>1526</v>
      </c>
      <c r="O56" s="1872"/>
      <c r="P56" s="1872"/>
      <c r="Q56" s="1872"/>
      <c r="R56" s="1872"/>
      <c r="S56" s="1876">
        <f>'WS-TRX-CU Normal'!E340</f>
        <v>1.18299972546</v>
      </c>
      <c r="T56" s="1876"/>
      <c r="U56" s="1876">
        <f>'WS-TRX-CU Normal'!F340</f>
        <v>1.18299972546</v>
      </c>
      <c r="V56" s="1876"/>
      <c r="W56" s="1876">
        <f>'WS-TRX-CU Normal'!G340</f>
        <v>1.18299972546</v>
      </c>
      <c r="X56" s="1876"/>
    </row>
    <row r="57" spans="1:30" ht="20.100000000000001" customHeight="1">
      <c r="A57" s="1872"/>
      <c r="B57" s="1872"/>
      <c r="C57" s="1872"/>
      <c r="D57" s="1872"/>
      <c r="E57" s="1872"/>
      <c r="F57" s="1872"/>
      <c r="G57" s="1872"/>
      <c r="H57" s="1876"/>
      <c r="I57" s="1876"/>
      <c r="J57" s="1876"/>
      <c r="K57" s="1876"/>
      <c r="L57" s="1876"/>
      <c r="M57" s="13"/>
      <c r="N57" s="1872"/>
      <c r="O57" s="1872"/>
      <c r="P57" s="1872"/>
      <c r="Q57" s="1872"/>
      <c r="R57" s="1872"/>
      <c r="S57" s="1876"/>
      <c r="T57" s="1876"/>
      <c r="U57" s="1876"/>
      <c r="V57" s="1876"/>
      <c r="W57" s="1876"/>
      <c r="X57" s="1876"/>
    </row>
    <row r="58" spans="1:30">
      <c r="T58" s="20" t="s">
        <v>1537</v>
      </c>
    </row>
    <row r="59" spans="1:30">
      <c r="C59" s="1768" t="s">
        <v>623</v>
      </c>
      <c r="D59" s="1769"/>
      <c r="E59" s="1769"/>
      <c r="F59" s="1769"/>
      <c r="G59" s="1770"/>
      <c r="H59" s="1768" t="s">
        <v>292</v>
      </c>
      <c r="I59" s="1769"/>
      <c r="J59" s="1769"/>
      <c r="K59" s="1769"/>
      <c r="L59" s="1769"/>
      <c r="M59" s="1768" t="s">
        <v>294</v>
      </c>
      <c r="N59" s="1769"/>
      <c r="O59" s="1769"/>
      <c r="P59" s="1769"/>
      <c r="Q59" s="1769"/>
      <c r="R59" s="1770"/>
      <c r="T59" s="328"/>
      <c r="U59" s="329"/>
      <c r="V59" s="329"/>
      <c r="W59" s="330"/>
    </row>
    <row r="60" spans="1:30" ht="15.95" customHeight="1">
      <c r="C60" s="1771" t="s">
        <v>624</v>
      </c>
      <c r="D60" s="1646"/>
      <c r="E60" s="1646"/>
      <c r="F60" s="1646"/>
      <c r="G60" s="1772"/>
      <c r="H60" s="1773" t="s">
        <v>293</v>
      </c>
      <c r="I60" s="1652"/>
      <c r="J60" s="1652"/>
      <c r="K60" s="1652"/>
      <c r="L60" s="1652"/>
      <c r="M60" s="1773" t="s">
        <v>295</v>
      </c>
      <c r="N60" s="1652"/>
      <c r="O60" s="1652"/>
      <c r="P60" s="1652"/>
      <c r="Q60" s="1652"/>
      <c r="R60" s="1774"/>
      <c r="T60" s="357"/>
      <c r="W60" s="331"/>
    </row>
    <row r="61" spans="1:30" ht="15.95" customHeight="1">
      <c r="C61" s="357"/>
      <c r="D61" s="359"/>
      <c r="E61" s="359"/>
      <c r="F61" s="359"/>
      <c r="G61" s="360"/>
      <c r="H61" s="357"/>
      <c r="I61"/>
      <c r="K61" s="4"/>
      <c r="M61" s="357"/>
      <c r="R61" s="331"/>
      <c r="T61" s="357"/>
      <c r="W61" s="331"/>
    </row>
    <row r="62" spans="1:30">
      <c r="C62" s="357"/>
      <c r="G62" s="331"/>
      <c r="H62" s="357"/>
      <c r="I62"/>
      <c r="K62" s="4"/>
      <c r="M62" s="357"/>
      <c r="R62" s="331"/>
      <c r="T62" s="357"/>
      <c r="W62" s="331"/>
      <c r="Z62" s="1632"/>
      <c r="AA62" s="1632"/>
      <c r="AB62" s="1632"/>
      <c r="AC62" s="1632"/>
      <c r="AD62" s="783"/>
    </row>
    <row r="63" spans="1:30">
      <c r="C63" s="357"/>
      <c r="G63" s="331"/>
      <c r="H63" s="357"/>
      <c r="I63"/>
      <c r="K63" s="4"/>
      <c r="M63" s="357"/>
      <c r="R63" s="331"/>
      <c r="T63" s="357"/>
      <c r="W63" s="331"/>
      <c r="Z63" s="803"/>
      <c r="AA63" s="13"/>
      <c r="AB63" s="803"/>
      <c r="AC63" s="13"/>
      <c r="AD63" s="1278"/>
    </row>
    <row r="64" spans="1:30">
      <c r="C64" s="1777" t="str">
        <f>'WS-TRX-CU Normal'!O9</f>
        <v>RAFLY</v>
      </c>
      <c r="D64" s="1632"/>
      <c r="E64" s="1632"/>
      <c r="F64" s="1632"/>
      <c r="G64" s="1778"/>
      <c r="H64" s="1777" t="str">
        <f>IF(C64='WS-TRX-CU Normal'!O10," - ",'WS-TRX-CU Normal'!O10)</f>
        <v>NOUFAL</v>
      </c>
      <c r="I64" s="1632"/>
      <c r="J64" s="1632"/>
      <c r="K64" s="1632"/>
      <c r="L64" s="1632"/>
      <c r="M64" s="1777" t="str">
        <f>'WS-TRX-CU Normal'!O11</f>
        <v>A.SUMARTADJI</v>
      </c>
      <c r="N64" s="1632"/>
      <c r="O64" s="1632"/>
      <c r="P64" s="1632"/>
      <c r="Q64" s="1632"/>
      <c r="R64" s="1778"/>
      <c r="T64" s="357"/>
      <c r="W64" s="331"/>
      <c r="Z64" s="803"/>
      <c r="AA64" s="13"/>
      <c r="AB64" s="803"/>
      <c r="AC64" s="13"/>
      <c r="AD64" s="1277"/>
    </row>
    <row r="65" spans="1:30" s="15" customFormat="1" ht="12">
      <c r="C65" s="1779" t="s">
        <v>299</v>
      </c>
      <c r="D65" s="1685"/>
      <c r="E65" s="1685"/>
      <c r="F65" s="1685"/>
      <c r="G65" s="1780"/>
      <c r="H65" s="1779" t="s">
        <v>305</v>
      </c>
      <c r="I65" s="1685"/>
      <c r="J65" s="1685"/>
      <c r="K65" s="1685"/>
      <c r="L65" s="1685"/>
      <c r="M65" s="1779" t="s">
        <v>298</v>
      </c>
      <c r="N65" s="1685"/>
      <c r="O65" s="1685"/>
      <c r="P65" s="1685"/>
      <c r="Q65" s="1685"/>
      <c r="R65" s="1780"/>
      <c r="S65" s="364"/>
      <c r="T65" s="366"/>
      <c r="U65" s="364"/>
      <c r="V65" s="364"/>
      <c r="W65" s="365"/>
      <c r="X65" s="364"/>
      <c r="Z65" s="803"/>
      <c r="AA65" s="13"/>
      <c r="AB65" s="803"/>
      <c r="AC65" s="13"/>
      <c r="AD65" s="1277"/>
    </row>
    <row r="66" spans="1:30" ht="15.95" customHeight="1">
      <c r="C66" s="1783" t="s">
        <v>291</v>
      </c>
      <c r="D66" s="1784"/>
      <c r="E66" s="1775">
        <f>IF('DATA INDUK'!$H$19="","",'DATA INDUK'!$H$19-1)</f>
        <v>46050</v>
      </c>
      <c r="F66" s="1775"/>
      <c r="G66" s="1776"/>
      <c r="H66" s="1783" t="s">
        <v>291</v>
      </c>
      <c r="I66" s="1784"/>
      <c r="J66" s="1775">
        <f>IF('DATA INDUK'!$H$19="","",'DATA INDUK'!$H$19-1)</f>
        <v>46050</v>
      </c>
      <c r="K66" s="1775"/>
      <c r="L66" s="1776"/>
      <c r="M66" s="1783" t="s">
        <v>291</v>
      </c>
      <c r="N66" s="1784"/>
      <c r="O66" s="1784"/>
      <c r="P66" s="1775">
        <f>IF('DATA INDUK'!$H$19="","",'DATA INDUK'!$H$19-1)</f>
        <v>46050</v>
      </c>
      <c r="Q66" s="1775"/>
      <c r="R66" s="1776"/>
      <c r="T66" s="332"/>
      <c r="U66" s="333"/>
      <c r="V66" s="333"/>
      <c r="W66" s="334"/>
      <c r="Z66" s="803"/>
      <c r="AA66" s="13"/>
      <c r="AB66" s="803"/>
      <c r="AC66" s="13"/>
      <c r="AD66" s="1277"/>
    </row>
    <row r="67" spans="1:30" ht="8.1" customHeight="1">
      <c r="B67" s="353"/>
      <c r="C67" s="353"/>
      <c r="D67" s="353"/>
      <c r="E67" s="353"/>
      <c r="F67" s="353"/>
      <c r="G67" s="353"/>
      <c r="J67" s="353"/>
      <c r="K67" s="353"/>
      <c r="L67" s="353"/>
      <c r="M67" s="353"/>
      <c r="N67" s="353"/>
      <c r="O67" s="353"/>
      <c r="P67" s="19"/>
      <c r="Z67" s="803"/>
      <c r="AA67" s="13"/>
      <c r="AB67" s="803"/>
      <c r="AC67" s="13"/>
      <c r="AD67" s="1277"/>
    </row>
    <row r="68" spans="1:30" ht="15.95" customHeight="1">
      <c r="A68" s="1691" t="s">
        <v>899</v>
      </c>
      <c r="B68" s="1692"/>
      <c r="C68" s="1693"/>
      <c r="D68" s="965" t="s">
        <v>895</v>
      </c>
      <c r="E68" s="915"/>
      <c r="F68" s="916"/>
      <c r="G68" s="916"/>
      <c r="H68" s="916"/>
      <c r="I68" s="917"/>
      <c r="J68" s="916"/>
      <c r="K68" s="916"/>
      <c r="L68" s="918"/>
      <c r="M68" s="951" t="s">
        <v>90</v>
      </c>
      <c r="N68" s="916" t="s">
        <v>891</v>
      </c>
      <c r="O68" s="920"/>
      <c r="P68" s="920"/>
      <c r="Q68" s="920"/>
      <c r="R68" s="921"/>
      <c r="S68" s="921"/>
      <c r="T68" s="921"/>
      <c r="U68" s="921"/>
      <c r="V68" s="921"/>
      <c r="W68" s="921"/>
      <c r="X68" s="922"/>
      <c r="Z68" s="803"/>
      <c r="AA68" s="803"/>
      <c r="AB68" s="803"/>
      <c r="AC68" s="803"/>
      <c r="AD68" s="1277"/>
    </row>
    <row r="69" spans="1:30">
      <c r="A69" s="1694"/>
      <c r="B69" s="1695"/>
      <c r="C69" s="1696"/>
      <c r="D69" s="966" t="s">
        <v>904</v>
      </c>
      <c r="E69" s="923"/>
      <c r="F69" s="923"/>
      <c r="G69" s="923"/>
      <c r="H69" s="923"/>
      <c r="I69" s="923"/>
      <c r="J69" s="923"/>
      <c r="K69" s="923"/>
      <c r="L69" s="924"/>
      <c r="M69" s="952" t="s">
        <v>90</v>
      </c>
      <c r="N69" s="926" t="s">
        <v>912</v>
      </c>
      <c r="O69" s="927"/>
      <c r="P69" s="927"/>
      <c r="Q69" s="927"/>
      <c r="R69" s="928"/>
      <c r="S69" s="928"/>
      <c r="T69" s="928"/>
      <c r="U69" s="928"/>
      <c r="V69" s="928"/>
      <c r="W69" s="928"/>
      <c r="X69" s="929"/>
      <c r="Z69" s="803"/>
      <c r="AA69" s="803"/>
      <c r="AB69" s="803"/>
      <c r="AC69" s="803"/>
      <c r="AD69" s="1277"/>
    </row>
    <row r="70" spans="1:30">
      <c r="A70" s="1694"/>
      <c r="B70" s="1695"/>
      <c r="C70" s="1696"/>
      <c r="D70" s="966" t="s">
        <v>1580</v>
      </c>
      <c r="E70" s="923"/>
      <c r="F70" s="923"/>
      <c r="G70" s="923"/>
      <c r="H70" s="923"/>
      <c r="I70" s="923"/>
      <c r="J70" s="923"/>
      <c r="K70" s="923"/>
      <c r="L70" s="924"/>
      <c r="M70" s="953"/>
      <c r="N70" s="926" t="s">
        <v>1581</v>
      </c>
      <c r="O70" s="927"/>
      <c r="P70" s="927"/>
      <c r="Q70" s="927"/>
      <c r="R70" s="928"/>
      <c r="S70" s="928"/>
      <c r="T70" s="928"/>
      <c r="U70" s="928"/>
      <c r="V70" s="928"/>
      <c r="W70" s="928"/>
      <c r="X70" s="929"/>
      <c r="Z70" s="803"/>
      <c r="AA70" s="803"/>
      <c r="AB70" s="803"/>
      <c r="AC70" s="803"/>
      <c r="AD70" s="1277"/>
    </row>
    <row r="71" spans="1:30" ht="15" customHeight="1">
      <c r="A71" s="1694"/>
      <c r="B71" s="1695"/>
      <c r="C71" s="1696"/>
      <c r="D71" s="966" t="s">
        <v>1322</v>
      </c>
      <c r="E71" s="923"/>
      <c r="F71" s="923"/>
      <c r="G71" s="923"/>
      <c r="H71" s="923"/>
      <c r="I71" s="923"/>
      <c r="J71" s="923"/>
      <c r="K71" s="923"/>
      <c r="L71" s="924"/>
      <c r="M71" s="952" t="s">
        <v>90</v>
      </c>
      <c r="N71" s="926" t="s">
        <v>898</v>
      </c>
      <c r="O71" s="931"/>
      <c r="P71" s="932"/>
      <c r="Q71" s="933"/>
      <c r="R71" s="934"/>
      <c r="S71" s="934"/>
      <c r="T71" s="934"/>
      <c r="U71" s="934"/>
      <c r="V71" s="934"/>
      <c r="W71" s="934"/>
      <c r="X71" s="935"/>
      <c r="Z71" s="803"/>
      <c r="AA71" s="13"/>
      <c r="AB71" s="803"/>
      <c r="AC71" s="13"/>
      <c r="AD71" s="1277"/>
    </row>
    <row r="72" spans="1:30">
      <c r="A72" s="1697"/>
      <c r="B72" s="1698"/>
      <c r="C72" s="1699"/>
      <c r="D72" s="967" t="s">
        <v>897</v>
      </c>
      <c r="E72" s="936"/>
      <c r="F72" s="936"/>
      <c r="G72" s="936"/>
      <c r="H72" s="936"/>
      <c r="I72" s="936"/>
      <c r="J72" s="936"/>
      <c r="K72" s="936"/>
      <c r="L72" s="937"/>
      <c r="M72" s="954"/>
      <c r="N72" s="939" t="s">
        <v>894</v>
      </c>
      <c r="O72" s="940"/>
      <c r="P72" s="940"/>
      <c r="Q72" s="940"/>
      <c r="R72" s="940"/>
      <c r="S72" s="941"/>
      <c r="T72" s="940"/>
      <c r="U72" s="940"/>
      <c r="V72" s="941"/>
      <c r="W72" s="941"/>
      <c r="X72" s="942"/>
    </row>
    <row r="73" spans="1:30" ht="12" customHeight="1">
      <c r="B73" s="353"/>
      <c r="C73" s="353"/>
      <c r="D73" s="353"/>
      <c r="E73" s="353"/>
      <c r="F73" s="353"/>
      <c r="G73" s="353"/>
      <c r="J73" s="353"/>
      <c r="K73" s="353"/>
      <c r="L73" s="353"/>
      <c r="M73" s="353"/>
      <c r="N73" s="353"/>
      <c r="O73" s="353"/>
      <c r="P73" s="19"/>
      <c r="T73" s="912" t="str">
        <f>'DATA INDUK'!$BT$38</f>
        <v>23-MINEARTH-RM-LHU-TRX-CU-R0</v>
      </c>
    </row>
    <row r="74" spans="1:30">
      <c r="A74" s="361" t="s">
        <v>892</v>
      </c>
      <c r="B74" s="893"/>
      <c r="C74" s="893"/>
      <c r="D74" s="893"/>
      <c r="E74" s="893"/>
      <c r="F74" s="893"/>
      <c r="G74" s="893"/>
      <c r="H74" s="893"/>
      <c r="I74" s="894"/>
      <c r="J74" s="893"/>
      <c r="K74" s="361" t="s">
        <v>1330</v>
      </c>
      <c r="L74" s="893"/>
      <c r="M74" s="893"/>
      <c r="N74" s="893"/>
      <c r="O74" s="893"/>
      <c r="P74" s="893"/>
      <c r="Q74" s="893"/>
      <c r="R74" s="893"/>
      <c r="S74" s="361" t="s">
        <v>285</v>
      </c>
      <c r="T74" s="893"/>
      <c r="U74" s="895"/>
      <c r="V74" s="893"/>
      <c r="W74" s="893"/>
      <c r="X74" s="893"/>
    </row>
    <row r="75" spans="1:30">
      <c r="A75" s="361" t="s">
        <v>283</v>
      </c>
      <c r="B75" s="892"/>
      <c r="C75" s="892"/>
      <c r="D75" s="892"/>
      <c r="E75" s="892"/>
      <c r="F75" s="892"/>
      <c r="G75" s="892"/>
      <c r="H75" s="892"/>
      <c r="I75" s="891"/>
      <c r="J75" s="892"/>
      <c r="K75" s="361" t="s">
        <v>296</v>
      </c>
      <c r="L75" s="892"/>
      <c r="M75" s="892"/>
      <c r="N75" s="892"/>
      <c r="O75" s="892"/>
      <c r="P75" s="892"/>
      <c r="Q75" s="892"/>
      <c r="R75" s="892"/>
      <c r="S75" s="361" t="s">
        <v>289</v>
      </c>
      <c r="T75" s="892"/>
      <c r="U75" s="892"/>
      <c r="V75" s="892"/>
      <c r="W75" s="892"/>
      <c r="X75" s="892"/>
    </row>
    <row r="76" spans="1:30">
      <c r="A76" s="892"/>
      <c r="B76" s="361"/>
      <c r="C76" s="361"/>
      <c r="D76" s="361"/>
      <c r="E76" s="361"/>
      <c r="F76" s="361"/>
      <c r="G76" s="361"/>
      <c r="H76" s="336"/>
      <c r="I76" s="891"/>
      <c r="J76" s="336"/>
      <c r="K76" s="892"/>
      <c r="L76" s="336"/>
      <c r="M76" s="336"/>
      <c r="N76" s="336"/>
      <c r="O76" s="336"/>
      <c r="P76" s="892"/>
      <c r="Q76" s="336"/>
      <c r="R76" s="892"/>
      <c r="S76" s="892"/>
      <c r="T76" s="336"/>
      <c r="U76" s="336"/>
      <c r="V76" s="336"/>
      <c r="W76" s="336"/>
      <c r="X76" s="336"/>
    </row>
    <row r="77" spans="1:30">
      <c r="A77" s="353"/>
    </row>
    <row r="78" spans="1:30" ht="23.25">
      <c r="F78" s="1681" t="s">
        <v>302</v>
      </c>
      <c r="G78" s="1681"/>
      <c r="H78" s="1681"/>
      <c r="I78" s="1681"/>
      <c r="J78" s="1681"/>
      <c r="K78" s="1681"/>
      <c r="L78" s="1681"/>
      <c r="M78" s="1681"/>
      <c r="N78" s="1681"/>
      <c r="O78" s="1681"/>
      <c r="P78" s="1681"/>
      <c r="Q78" s="1681"/>
      <c r="R78" s="1681"/>
      <c r="S78" s="1681"/>
      <c r="T78" s="1681"/>
    </row>
    <row r="79" spans="1:30" ht="20.25">
      <c r="F79" s="1682" t="s">
        <v>1582</v>
      </c>
      <c r="G79" s="1682"/>
      <c r="H79" s="1682"/>
      <c r="I79" s="1682"/>
      <c r="J79" s="1682"/>
      <c r="K79" s="1682"/>
      <c r="L79" s="1682"/>
      <c r="M79" s="1682"/>
      <c r="N79" s="1682"/>
      <c r="O79" s="1682"/>
      <c r="P79" s="1682"/>
      <c r="Q79" s="1682"/>
      <c r="R79" s="1682"/>
      <c r="S79" s="1682"/>
      <c r="T79" s="1682"/>
    </row>
    <row r="80" spans="1:30">
      <c r="A80" s="333"/>
      <c r="B80" s="333"/>
      <c r="C80" s="333"/>
      <c r="D80" s="333"/>
      <c r="E80" s="333"/>
      <c r="F80" s="1745" t="s">
        <v>304</v>
      </c>
      <c r="G80" s="1745"/>
      <c r="H80" s="1745"/>
      <c r="I80" s="1745"/>
      <c r="J80" s="1745"/>
      <c r="K80" s="1745"/>
      <c r="L80" s="1745"/>
      <c r="M80" s="1745"/>
      <c r="N80" s="1745"/>
      <c r="O80" s="1745"/>
      <c r="P80" s="1745"/>
      <c r="Q80" s="1745"/>
      <c r="R80" s="1745"/>
      <c r="S80" s="1745"/>
      <c r="T80" s="1745"/>
      <c r="U80" s="333"/>
      <c r="V80" s="333"/>
      <c r="W80" s="333"/>
      <c r="X80" s="333"/>
    </row>
    <row r="81" spans="1:24" ht="8.1" customHeight="1"/>
    <row r="82" spans="1:24" ht="8.1" customHeight="1"/>
    <row r="83" spans="1:24">
      <c r="A83" s="1680" t="s">
        <v>1346</v>
      </c>
      <c r="B83" s="1680"/>
      <c r="C83" s="1680"/>
      <c r="D83" s="1680"/>
      <c r="E83" s="656"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5" t="s">
        <v>1347</v>
      </c>
      <c r="B84" s="1635"/>
      <c r="C84" s="1635"/>
      <c r="D84" s="1635"/>
      <c r="E84" s="794" t="str">
        <f>":  "&amp;IF('DATA INDUK'!$H$18="","",'DATA INDUK'!$H$18)</f>
        <v>:  R0</v>
      </c>
      <c r="G84" s="672"/>
      <c r="H84" s="672"/>
      <c r="I84" s="1127"/>
      <c r="J84" s="672" t="s">
        <v>1348</v>
      </c>
      <c r="K84" s="672"/>
      <c r="L84" s="672"/>
      <c r="M84" s="1636" t="str">
        <f>":  "&amp;IF('DATA INDUK'!$H$19="","",TEXT('DATA INDUK'!$H$19,"dd mmmm yyyy"))</f>
        <v>:  29 January 2026</v>
      </c>
      <c r="N84" s="1636"/>
      <c r="O84" s="1636"/>
      <c r="P84" s="1636"/>
      <c r="Q84" s="1636"/>
      <c r="R84" s="1194"/>
      <c r="S84" s="1127"/>
      <c r="T84" s="1649" t="s">
        <v>1540</v>
      </c>
      <c r="U84" s="1649"/>
      <c r="V84" s="1649"/>
      <c r="W84" s="1635" t="str">
        <f>":  2 dari 3"</f>
        <v>:  2 dari 3</v>
      </c>
      <c r="X84" s="1635"/>
    </row>
    <row r="85" spans="1:24" ht="8.1" customHeight="1">
      <c r="A85" s="353"/>
    </row>
    <row r="86" spans="1:24">
      <c r="A86" s="1706" t="str">
        <f>A26</f>
        <v>UJI TRIAKSIAL - TERKONSOLIDASI TIDAK TERDRAINASE (CU)</v>
      </c>
      <c r="B86" s="1706"/>
      <c r="C86" s="1706"/>
      <c r="D86" s="1706"/>
      <c r="E86" s="1706"/>
      <c r="F86" s="1706"/>
      <c r="G86" s="1706"/>
      <c r="H86" s="1706"/>
      <c r="I86" s="1706"/>
      <c r="J86" s="1706"/>
      <c r="K86" s="1706"/>
      <c r="L86" s="1706"/>
      <c r="M86" s="1706"/>
      <c r="N86" s="1706"/>
      <c r="O86" s="1706"/>
      <c r="P86" s="1706"/>
      <c r="Q86" s="1706"/>
      <c r="R86" s="1706"/>
      <c r="S86" s="1706"/>
      <c r="T86" s="1706"/>
      <c r="U86" s="1705" t="s">
        <v>2</v>
      </c>
      <c r="V86" s="1704" t="str">
        <f>'DATA INDUK'!$BS$38</f>
        <v>2455 : 2015</v>
      </c>
      <c r="W86" s="1704"/>
      <c r="X86" s="1704"/>
    </row>
    <row r="87" spans="1:24">
      <c r="A87" s="1650" t="str">
        <f>A27</f>
        <v>TRIAXIAL TEST- CONSOLIDATED UNDRAINED ((CU)</v>
      </c>
      <c r="B87" s="1650"/>
      <c r="C87" s="1650"/>
      <c r="D87" s="1650"/>
      <c r="E87" s="1650"/>
      <c r="F87" s="1650"/>
      <c r="G87" s="1650"/>
      <c r="H87" s="1650"/>
      <c r="I87" s="1650"/>
      <c r="J87" s="1650"/>
      <c r="K87" s="1650"/>
      <c r="L87" s="1650"/>
      <c r="M87" s="1650"/>
      <c r="N87" s="1650"/>
      <c r="O87" s="1650"/>
      <c r="P87" s="1650"/>
      <c r="Q87" s="1650"/>
      <c r="R87" s="1650"/>
      <c r="S87" s="1650"/>
      <c r="T87" s="1650"/>
      <c r="U87" s="1705"/>
      <c r="V87" s="1704"/>
      <c r="W87" s="1704"/>
      <c r="X87" s="1704"/>
    </row>
    <row r="88" spans="1:24" ht="8.1" customHeight="1">
      <c r="A88" s="353"/>
    </row>
    <row r="89" spans="1:24">
      <c r="A89" s="541" t="s">
        <v>184</v>
      </c>
      <c r="B89" s="877"/>
      <c r="C89" s="877"/>
      <c r="D89" s="877"/>
      <c r="E89" s="877"/>
      <c r="F89" s="877"/>
      <c r="G89" s="877"/>
      <c r="H89" s="877"/>
      <c r="I89" s="878"/>
      <c r="J89" s="877"/>
      <c r="K89" s="877"/>
      <c r="L89" s="877"/>
      <c r="M89" s="877"/>
      <c r="N89" s="877"/>
      <c r="O89" s="877"/>
      <c r="P89" s="877"/>
      <c r="Q89" s="877"/>
      <c r="R89" s="877"/>
      <c r="S89" s="877"/>
      <c r="T89" s="877"/>
      <c r="U89" s="877"/>
      <c r="V89" s="877"/>
      <c r="W89" s="877"/>
      <c r="X89" s="877"/>
    </row>
    <row r="90" spans="1:24">
      <c r="A90" s="540" t="s">
        <v>1376</v>
      </c>
      <c r="B90" s="15"/>
      <c r="C90" s="15"/>
      <c r="D90" s="15"/>
      <c r="E90" s="15"/>
      <c r="F90" s="15"/>
      <c r="G90" s="15"/>
      <c r="H90" s="15"/>
      <c r="I90" s="1176"/>
      <c r="J90" s="15"/>
      <c r="K90" s="15"/>
      <c r="L90" s="15"/>
      <c r="M90" s="540"/>
      <c r="N90" s="540" t="s">
        <v>1377</v>
      </c>
      <c r="O90" s="15"/>
      <c r="P90" s="15"/>
      <c r="Q90" s="15"/>
      <c r="R90" s="15"/>
      <c r="S90" s="15"/>
      <c r="T90" s="15"/>
      <c r="U90" s="1176"/>
      <c r="V90" s="15"/>
      <c r="W90" s="15"/>
      <c r="X90" s="15"/>
    </row>
    <row r="91" spans="1:24">
      <c r="A91" s="1248" t="s">
        <v>1378</v>
      </c>
      <c r="B91" s="15"/>
      <c r="C91" s="15"/>
      <c r="D91" s="15"/>
      <c r="E91" s="15"/>
      <c r="F91" s="15"/>
      <c r="G91" s="15"/>
      <c r="H91" s="15"/>
      <c r="I91" s="1176"/>
      <c r="J91" s="15"/>
      <c r="K91" s="15"/>
      <c r="L91" s="15"/>
      <c r="M91" s="1248"/>
      <c r="N91" s="15" t="s">
        <v>1379</v>
      </c>
      <c r="O91" s="15"/>
      <c r="P91" s="15"/>
      <c r="Q91" s="15"/>
      <c r="R91" s="15"/>
      <c r="S91" s="15"/>
      <c r="T91" s="15"/>
      <c r="U91" s="1176"/>
      <c r="V91" s="15"/>
      <c r="W91" s="15"/>
      <c r="X91" s="15"/>
    </row>
    <row r="92" spans="1:24">
      <c r="A92" s="353"/>
    </row>
    <row r="93" spans="1:24">
      <c r="A93" s="353"/>
    </row>
    <row r="94" spans="1:24">
      <c r="A94" s="353"/>
    </row>
    <row r="95" spans="1:24">
      <c r="A95" s="353"/>
    </row>
    <row r="96" spans="1:24">
      <c r="A96" s="353"/>
    </row>
    <row r="97" spans="1:27">
      <c r="A97" s="353"/>
    </row>
    <row r="98" spans="1:27">
      <c r="A98" s="353"/>
    </row>
    <row r="99" spans="1:27">
      <c r="A99" s="353"/>
    </row>
    <row r="100" spans="1:27">
      <c r="A100" s="353"/>
    </row>
    <row r="101" spans="1:27">
      <c r="A101" s="353"/>
    </row>
    <row r="102" spans="1:27">
      <c r="A102" s="353"/>
    </row>
    <row r="103" spans="1:27">
      <c r="A103" s="353"/>
    </row>
    <row r="104" spans="1:27">
      <c r="A104" s="540" t="s">
        <v>1380</v>
      </c>
      <c r="B104" s="15"/>
      <c r="C104" s="15"/>
      <c r="D104" s="15"/>
      <c r="E104" s="15"/>
      <c r="F104" s="15"/>
      <c r="G104" s="15"/>
      <c r="H104" s="15"/>
      <c r="I104" s="1176"/>
    </row>
    <row r="105" spans="1:27">
      <c r="A105" s="1248" t="s">
        <v>1381</v>
      </c>
      <c r="B105" s="15"/>
      <c r="C105" s="15"/>
      <c r="D105" s="15"/>
      <c r="E105" s="15"/>
      <c r="F105" s="15"/>
      <c r="G105" s="15"/>
      <c r="H105" s="15"/>
      <c r="I105" s="1176"/>
    </row>
    <row r="106" spans="1:27">
      <c r="A106" s="353"/>
    </row>
    <row r="107" spans="1:27">
      <c r="A107" s="353"/>
      <c r="AA107" s="4"/>
    </row>
    <row r="108" spans="1:27">
      <c r="A108" s="353"/>
      <c r="AA108" s="4"/>
    </row>
    <row r="109" spans="1:27">
      <c r="A109" s="353"/>
      <c r="AA109" s="4"/>
    </row>
    <row r="110" spans="1:27">
      <c r="A110" s="353"/>
      <c r="Z110" s="1210"/>
      <c r="AA110" s="4"/>
    </row>
    <row r="111" spans="1:27">
      <c r="A111" s="353"/>
    </row>
    <row r="112" spans="1:27">
      <c r="M112" s="710"/>
      <c r="N112" s="710"/>
      <c r="O112" s="710"/>
      <c r="P112" s="710"/>
      <c r="Q112" s="710"/>
      <c r="R112" s="710"/>
    </row>
    <row r="114" spans="1:23">
      <c r="M114" s="775"/>
    </row>
    <row r="115" spans="1:23" ht="8.1" customHeight="1">
      <c r="M115" s="775"/>
    </row>
    <row r="116" spans="1:23">
      <c r="M116" s="775"/>
    </row>
    <row r="117" spans="1:23">
      <c r="M117" s="775"/>
    </row>
    <row r="118" spans="1:23" ht="8.1" customHeight="1">
      <c r="M118" s="775"/>
    </row>
    <row r="119" spans="1:23">
      <c r="M119" s="775"/>
    </row>
    <row r="120" spans="1:23">
      <c r="M120" s="775"/>
    </row>
    <row r="121" spans="1:23">
      <c r="A121" s="541" t="s">
        <v>1308</v>
      </c>
      <c r="B121" s="541"/>
      <c r="C121" s="541"/>
      <c r="D121" s="541"/>
      <c r="E121" s="541"/>
      <c r="F121" s="541"/>
      <c r="G121" s="541"/>
      <c r="H121" s="541"/>
      <c r="I121" s="541"/>
      <c r="J121" s="541"/>
      <c r="K121" s="541"/>
      <c r="L121" s="541"/>
      <c r="M121" s="775"/>
    </row>
    <row r="122" spans="1:23">
      <c r="A122" s="353"/>
    </row>
    <row r="123" spans="1:23">
      <c r="A123" s="541" t="s">
        <v>1382</v>
      </c>
      <c r="B123" s="541"/>
      <c r="C123" s="541"/>
      <c r="D123" s="541"/>
      <c r="E123" s="541"/>
      <c r="F123" s="541"/>
      <c r="G123" s="541"/>
      <c r="H123" s="541"/>
      <c r="I123" s="541"/>
      <c r="J123" s="541"/>
      <c r="K123" s="541"/>
      <c r="L123" s="541"/>
    </row>
    <row r="124" spans="1:23">
      <c r="A124" s="353"/>
      <c r="C124" s="2074" t="s">
        <v>1383</v>
      </c>
      <c r="D124" s="2074"/>
      <c r="E124" s="2074"/>
      <c r="F124" s="2074"/>
      <c r="G124" s="2074"/>
      <c r="H124" s="2074"/>
      <c r="I124" s="2074" t="s">
        <v>1384</v>
      </c>
      <c r="J124" s="2074"/>
      <c r="K124" s="2074"/>
    </row>
    <row r="125" spans="1:23">
      <c r="A125" s="353"/>
      <c r="C125" s="2071" t="s">
        <v>1385</v>
      </c>
      <c r="D125" s="2071"/>
      <c r="E125" s="2071"/>
      <c r="F125" s="2071"/>
      <c r="G125" s="2071"/>
      <c r="H125" s="2071"/>
      <c r="I125" s="2087">
        <f>'WS-TRX-CU Normal'!$M$270</f>
        <v>52.254530487613614</v>
      </c>
      <c r="J125" s="2088"/>
      <c r="K125" s="1313" t="s">
        <v>465</v>
      </c>
      <c r="V125" s="1315"/>
      <c r="W125" s="576"/>
    </row>
    <row r="126" spans="1:23">
      <c r="A126" s="353"/>
      <c r="C126" s="2071" t="s">
        <v>1386</v>
      </c>
      <c r="D126" s="2071"/>
      <c r="E126" s="2071"/>
      <c r="F126" s="2071"/>
      <c r="G126" s="2071"/>
      <c r="H126" s="2071"/>
      <c r="I126" s="2087">
        <f>'WS-TRX-CU Normal'!M269</f>
        <v>10.670147865319105</v>
      </c>
      <c r="J126" s="2088"/>
      <c r="K126" s="1313" t="s">
        <v>825</v>
      </c>
      <c r="V126" s="1315"/>
      <c r="W126" s="576"/>
    </row>
    <row r="127" spans="1:23">
      <c r="A127" s="353"/>
      <c r="C127" s="1314"/>
      <c r="K127" s="1224"/>
      <c r="U127" s="576"/>
      <c r="V127" s="576"/>
      <c r="W127" s="326"/>
    </row>
    <row r="128" spans="1:23">
      <c r="A128" s="353"/>
      <c r="C128" s="2071" t="s">
        <v>1387</v>
      </c>
      <c r="D128" s="2071"/>
      <c r="E128" s="2071"/>
      <c r="F128" s="2071"/>
      <c r="G128" s="2071"/>
      <c r="H128" s="2071"/>
      <c r="I128" s="2087">
        <f>'WS-TRX-CU Normal'!M299</f>
        <v>46.822200125591863</v>
      </c>
      <c r="J128" s="2088"/>
      <c r="K128" s="1313" t="s">
        <v>465</v>
      </c>
      <c r="V128" s="1315"/>
      <c r="W128" s="576"/>
    </row>
    <row r="129" spans="1:24">
      <c r="A129" s="353"/>
      <c r="C129" s="2071" t="s">
        <v>1388</v>
      </c>
      <c r="D129" s="2071"/>
      <c r="E129" s="2071"/>
      <c r="F129" s="2071"/>
      <c r="G129" s="2071"/>
      <c r="H129" s="2071"/>
      <c r="I129" s="2087">
        <f>'WS-TRX-CU Normal'!M298</f>
        <v>16.776673295269003</v>
      </c>
      <c r="J129" s="2088"/>
      <c r="K129" s="1313" t="s">
        <v>825</v>
      </c>
      <c r="V129" s="1315"/>
      <c r="W129" s="576"/>
    </row>
    <row r="130" spans="1:24">
      <c r="A130" s="353"/>
      <c r="C130" s="656"/>
      <c r="D130" s="656"/>
      <c r="E130" s="656"/>
      <c r="F130" s="656"/>
      <c r="G130" s="656"/>
      <c r="H130" s="656"/>
      <c r="I130" s="2"/>
      <c r="J130" s="2"/>
      <c r="K130" s="335"/>
      <c r="U130" s="1315"/>
      <c r="V130" s="1315"/>
      <c r="W130" s="576"/>
    </row>
    <row r="131" spans="1:24">
      <c r="A131" s="353"/>
      <c r="T131" s="20" t="s">
        <v>1537</v>
      </c>
    </row>
    <row r="132" spans="1:24">
      <c r="C132" s="1768" t="s">
        <v>623</v>
      </c>
      <c r="D132" s="1769"/>
      <c r="E132" s="1769"/>
      <c r="F132" s="1769"/>
      <c r="G132" s="1770"/>
      <c r="H132" s="1768" t="s">
        <v>292</v>
      </c>
      <c r="I132" s="1769"/>
      <c r="J132" s="1769"/>
      <c r="K132" s="1769"/>
      <c r="L132" s="1769"/>
      <c r="M132" s="1768" t="s">
        <v>294</v>
      </c>
      <c r="N132" s="1769"/>
      <c r="O132" s="1769"/>
      <c r="P132" s="1769"/>
      <c r="Q132" s="1769"/>
      <c r="R132" s="1770"/>
      <c r="T132" s="328"/>
      <c r="U132" s="329"/>
      <c r="V132" s="329"/>
      <c r="W132" s="330"/>
    </row>
    <row r="133" spans="1:24">
      <c r="C133" s="1771" t="s">
        <v>624</v>
      </c>
      <c r="D133" s="1646"/>
      <c r="E133" s="1646"/>
      <c r="F133" s="1646"/>
      <c r="G133" s="1772"/>
      <c r="H133" s="1773" t="s">
        <v>293</v>
      </c>
      <c r="I133" s="1652"/>
      <c r="J133" s="1652"/>
      <c r="K133" s="1652"/>
      <c r="L133" s="1652"/>
      <c r="M133" s="1773" t="s">
        <v>295</v>
      </c>
      <c r="N133" s="1652"/>
      <c r="O133" s="1652"/>
      <c r="P133" s="1652"/>
      <c r="Q133" s="1652"/>
      <c r="R133" s="1774"/>
      <c r="T133" s="357"/>
      <c r="W133" s="331"/>
    </row>
    <row r="134" spans="1:24">
      <c r="C134" s="357"/>
      <c r="D134" s="359"/>
      <c r="E134" s="359"/>
      <c r="F134" s="359"/>
      <c r="G134" s="360"/>
      <c r="H134" s="357"/>
      <c r="I134"/>
      <c r="K134" s="4"/>
      <c r="M134" s="357"/>
      <c r="R134" s="331"/>
      <c r="T134" s="357"/>
      <c r="W134" s="331"/>
    </row>
    <row r="135" spans="1:24">
      <c r="C135" s="357"/>
      <c r="G135" s="331"/>
      <c r="H135" s="357"/>
      <c r="I135"/>
      <c r="K135" s="4"/>
      <c r="M135" s="357"/>
      <c r="R135" s="331"/>
      <c r="T135" s="357"/>
      <c r="W135" s="331"/>
    </row>
    <row r="136" spans="1:24">
      <c r="C136" s="357"/>
      <c r="G136" s="331"/>
      <c r="H136" s="357"/>
      <c r="I136"/>
      <c r="K136" s="4"/>
      <c r="M136" s="357"/>
      <c r="R136" s="331"/>
      <c r="T136" s="357"/>
      <c r="W136" s="331"/>
    </row>
    <row r="137" spans="1:24">
      <c r="C137" s="1777" t="str">
        <f>C64</f>
        <v>RAFLY</v>
      </c>
      <c r="D137" s="1632"/>
      <c r="E137" s="1632"/>
      <c r="F137" s="1632"/>
      <c r="G137" s="1778"/>
      <c r="H137" s="1777" t="str">
        <f>H64</f>
        <v>NOUFAL</v>
      </c>
      <c r="I137" s="1632"/>
      <c r="J137" s="1632"/>
      <c r="K137" s="1632"/>
      <c r="L137" s="1632"/>
      <c r="M137" s="1777" t="s">
        <v>766</v>
      </c>
      <c r="N137" s="1632"/>
      <c r="O137" s="1632"/>
      <c r="P137" s="1632"/>
      <c r="Q137" s="1632"/>
      <c r="R137" s="1778"/>
      <c r="T137" s="357"/>
      <c r="W137" s="331"/>
    </row>
    <row r="138" spans="1:24">
      <c r="A138" s="15"/>
      <c r="B138" s="15"/>
      <c r="C138" s="1779" t="s">
        <v>299</v>
      </c>
      <c r="D138" s="1685"/>
      <c r="E138" s="1685"/>
      <c r="F138" s="1685"/>
      <c r="G138" s="1780"/>
      <c r="H138" s="1779" t="s">
        <v>305</v>
      </c>
      <c r="I138" s="1685"/>
      <c r="J138" s="1685"/>
      <c r="K138" s="1685"/>
      <c r="L138" s="1685"/>
      <c r="M138" s="1779" t="s">
        <v>298</v>
      </c>
      <c r="N138" s="1685"/>
      <c r="O138" s="1685"/>
      <c r="P138" s="1685"/>
      <c r="Q138" s="1685"/>
      <c r="R138" s="1780"/>
      <c r="S138" s="364"/>
      <c r="T138" s="366"/>
      <c r="U138" s="364"/>
      <c r="V138" s="364"/>
      <c r="W138" s="365"/>
      <c r="X138" s="364"/>
    </row>
    <row r="139" spans="1:24">
      <c r="C139" s="1781" t="s">
        <v>291</v>
      </c>
      <c r="D139" s="1782"/>
      <c r="E139" s="2025">
        <v>46050</v>
      </c>
      <c r="F139" s="2025"/>
      <c r="G139" s="2026"/>
      <c r="H139" s="1783" t="s">
        <v>291</v>
      </c>
      <c r="I139" s="1784"/>
      <c r="J139" s="1775">
        <v>46050</v>
      </c>
      <c r="K139" s="1775"/>
      <c r="L139" s="1776"/>
      <c r="M139" s="1783" t="s">
        <v>291</v>
      </c>
      <c r="N139" s="1784"/>
      <c r="O139" s="1784"/>
      <c r="P139" s="1775">
        <v>46050</v>
      </c>
      <c r="Q139" s="1775"/>
      <c r="R139" s="1776"/>
      <c r="T139" s="332"/>
      <c r="U139" s="333"/>
      <c r="V139" s="333"/>
      <c r="W139" s="334"/>
    </row>
    <row r="140" spans="1:24" ht="9" customHeight="1">
      <c r="B140" s="353"/>
      <c r="C140" s="353"/>
      <c r="D140" s="353"/>
      <c r="E140" s="353"/>
      <c r="F140" s="353"/>
      <c r="G140" s="353"/>
      <c r="J140" s="353"/>
      <c r="K140" s="353"/>
      <c r="L140" s="353"/>
      <c r="M140" s="353"/>
      <c r="N140" s="353"/>
      <c r="O140" s="353"/>
      <c r="P140" s="19"/>
    </row>
    <row r="141" spans="1:24" ht="15.95" customHeight="1">
      <c r="A141" s="1691" t="s">
        <v>899</v>
      </c>
      <c r="B141" s="1692"/>
      <c r="C141" s="1693"/>
      <c r="D141" s="914" t="s">
        <v>895</v>
      </c>
      <c r="E141" s="915"/>
      <c r="F141" s="916"/>
      <c r="G141" s="916"/>
      <c r="H141" s="916"/>
      <c r="I141" s="917"/>
      <c r="J141" s="916"/>
      <c r="K141" s="916"/>
      <c r="L141" s="918"/>
      <c r="M141" s="919" t="s">
        <v>90</v>
      </c>
      <c r="N141" s="916" t="s">
        <v>891</v>
      </c>
      <c r="O141" s="920"/>
      <c r="P141" s="920"/>
      <c r="Q141" s="920"/>
      <c r="R141" s="921"/>
      <c r="S141" s="921"/>
      <c r="T141" s="921"/>
      <c r="U141" s="921"/>
      <c r="V141" s="921"/>
      <c r="W141" s="921"/>
      <c r="X141" s="922"/>
    </row>
    <row r="142" spans="1:24">
      <c r="A142" s="1694"/>
      <c r="B142" s="1695"/>
      <c r="C142" s="1696"/>
      <c r="D142" s="923" t="s">
        <v>901</v>
      </c>
      <c r="E142" s="923"/>
      <c r="F142" s="923"/>
      <c r="G142" s="923"/>
      <c r="H142" s="923"/>
      <c r="I142" s="923"/>
      <c r="J142" s="923"/>
      <c r="K142" s="923"/>
      <c r="L142" s="924"/>
      <c r="M142" s="925" t="s">
        <v>90</v>
      </c>
      <c r="N142" s="926" t="s">
        <v>893</v>
      </c>
      <c r="O142" s="927"/>
      <c r="P142" s="927"/>
      <c r="Q142" s="927"/>
      <c r="R142" s="928"/>
      <c r="S142" s="928"/>
      <c r="T142" s="928"/>
      <c r="U142" s="928"/>
      <c r="V142" s="928"/>
      <c r="W142" s="928"/>
      <c r="X142" s="929"/>
    </row>
    <row r="143" spans="1:24">
      <c r="A143" s="1694"/>
      <c r="B143" s="1695"/>
      <c r="C143" s="1696"/>
      <c r="D143" s="923" t="s">
        <v>1580</v>
      </c>
      <c r="E143" s="923"/>
      <c r="F143" s="923"/>
      <c r="G143" s="923"/>
      <c r="H143" s="923"/>
      <c r="I143" s="923"/>
      <c r="J143" s="923"/>
      <c r="K143" s="923"/>
      <c r="L143" s="924"/>
      <c r="M143" s="930"/>
      <c r="N143" s="926" t="s">
        <v>1583</v>
      </c>
      <c r="O143" s="927"/>
      <c r="P143" s="927"/>
      <c r="Q143" s="927"/>
      <c r="R143" s="928"/>
      <c r="S143" s="928"/>
      <c r="T143" s="928"/>
      <c r="U143" s="928"/>
      <c r="V143" s="928"/>
      <c r="W143" s="928"/>
      <c r="X143" s="929"/>
    </row>
    <row r="144" spans="1:24" ht="15" customHeight="1">
      <c r="A144" s="1694"/>
      <c r="B144" s="1695"/>
      <c r="C144" s="1696"/>
      <c r="D144" s="923" t="s">
        <v>896</v>
      </c>
      <c r="E144" s="923"/>
      <c r="F144" s="923"/>
      <c r="G144" s="923"/>
      <c r="H144" s="923"/>
      <c r="I144" s="923"/>
      <c r="J144" s="923"/>
      <c r="K144" s="923"/>
      <c r="L144" s="924"/>
      <c r="M144" s="925" t="s">
        <v>90</v>
      </c>
      <c r="N144" s="926" t="s">
        <v>903</v>
      </c>
      <c r="O144" s="931"/>
      <c r="P144" s="932"/>
      <c r="Q144" s="933"/>
      <c r="R144" s="934"/>
      <c r="S144" s="934"/>
      <c r="T144" s="934"/>
      <c r="U144" s="934"/>
      <c r="V144" s="934"/>
      <c r="W144" s="934"/>
      <c r="X144" s="935"/>
    </row>
    <row r="145" spans="1:24">
      <c r="A145" s="1697"/>
      <c r="B145" s="1698"/>
      <c r="C145" s="1699"/>
      <c r="D145" s="936" t="s">
        <v>897</v>
      </c>
      <c r="E145" s="936"/>
      <c r="F145" s="936"/>
      <c r="G145" s="936"/>
      <c r="H145" s="936"/>
      <c r="I145" s="936"/>
      <c r="J145" s="936"/>
      <c r="K145" s="936"/>
      <c r="L145" s="937"/>
      <c r="M145" s="938"/>
      <c r="N145" s="939" t="s">
        <v>902</v>
      </c>
      <c r="O145" s="940"/>
      <c r="P145" s="940"/>
      <c r="Q145" s="940"/>
      <c r="R145" s="940"/>
      <c r="S145" s="941"/>
      <c r="T145" s="940"/>
      <c r="U145" s="940"/>
      <c r="V145" s="941"/>
      <c r="W145" s="941"/>
      <c r="X145" s="942"/>
    </row>
    <row r="146" spans="1:24" ht="12" customHeight="1">
      <c r="B146" s="353"/>
      <c r="C146" s="353"/>
      <c r="D146" s="353"/>
      <c r="E146" s="353"/>
      <c r="F146" s="353"/>
      <c r="G146" s="353"/>
      <c r="J146" s="353"/>
      <c r="K146" s="353"/>
      <c r="L146" s="353"/>
      <c r="M146" s="353"/>
      <c r="N146" s="353"/>
      <c r="O146" s="353"/>
      <c r="P146" s="19"/>
      <c r="T146" s="912" t="str">
        <f>'DATA INDUK'!$BT$38</f>
        <v>23-MINEARTH-RM-LHU-TRX-CU-R0</v>
      </c>
      <c r="U146" s="20"/>
    </row>
    <row r="147" spans="1:24" ht="12" customHeight="1">
      <c r="A147" s="361" t="s">
        <v>892</v>
      </c>
      <c r="B147" s="893"/>
      <c r="C147" s="893"/>
      <c r="D147" s="893"/>
      <c r="E147" s="893"/>
      <c r="F147" s="893"/>
      <c r="G147" s="893"/>
      <c r="H147" s="893"/>
      <c r="I147" s="894"/>
      <c r="J147" s="893"/>
      <c r="K147" s="361" t="s">
        <v>1330</v>
      </c>
      <c r="L147" s="893"/>
      <c r="M147" s="893"/>
      <c r="N147" s="893"/>
      <c r="O147" s="893"/>
      <c r="P147" s="893"/>
      <c r="Q147" s="893"/>
      <c r="R147" s="893"/>
      <c r="S147" s="361" t="s">
        <v>285</v>
      </c>
      <c r="T147" s="893"/>
      <c r="U147" s="895"/>
      <c r="V147" s="893"/>
      <c r="W147" s="893"/>
      <c r="X147" s="893"/>
    </row>
    <row r="148" spans="1:24" ht="15.95" customHeight="1">
      <c r="A148" s="361" t="s">
        <v>283</v>
      </c>
      <c r="B148" s="892"/>
      <c r="C148" s="892"/>
      <c r="D148" s="892"/>
      <c r="E148" s="892"/>
      <c r="F148" s="892"/>
      <c r="G148" s="892"/>
      <c r="H148" s="892"/>
      <c r="I148" s="891"/>
      <c r="J148" s="892"/>
      <c r="K148" s="361" t="s">
        <v>296</v>
      </c>
      <c r="L148" s="892"/>
      <c r="M148" s="892"/>
      <c r="N148" s="892"/>
      <c r="O148" s="892"/>
      <c r="P148" s="892"/>
      <c r="Q148" s="892"/>
      <c r="R148" s="892"/>
      <c r="S148" s="361" t="s">
        <v>289</v>
      </c>
      <c r="T148" s="892"/>
      <c r="U148" s="892"/>
      <c r="V148" s="892"/>
      <c r="W148" s="892"/>
      <c r="X148" s="892"/>
    </row>
    <row r="149" spans="1:24">
      <c r="A149" s="892"/>
      <c r="B149" s="361"/>
      <c r="C149" s="361"/>
      <c r="D149" s="361"/>
      <c r="E149" s="361"/>
      <c r="F149" s="361"/>
      <c r="G149" s="361"/>
      <c r="H149" s="336"/>
      <c r="I149" s="891"/>
      <c r="J149" s="336"/>
      <c r="K149" s="892"/>
      <c r="L149" s="336"/>
      <c r="M149" s="336"/>
      <c r="N149" s="336"/>
      <c r="O149" s="336"/>
      <c r="P149" s="892"/>
      <c r="Q149" s="336"/>
      <c r="R149" s="892"/>
      <c r="S149" s="892"/>
      <c r="T149" s="336"/>
      <c r="U149" s="336"/>
      <c r="V149" s="336"/>
      <c r="W149" s="336"/>
      <c r="X149" s="336"/>
    </row>
    <row r="150" spans="1:24">
      <c r="A150" s="353"/>
    </row>
    <row r="151" spans="1:24" ht="23.25">
      <c r="F151" s="1681" t="s">
        <v>302</v>
      </c>
      <c r="G151" s="1681"/>
      <c r="H151" s="1681"/>
      <c r="I151" s="1681"/>
      <c r="J151" s="1681"/>
      <c r="K151" s="1681"/>
      <c r="L151" s="1681"/>
      <c r="M151" s="1681"/>
      <c r="N151" s="1681"/>
      <c r="O151" s="1681"/>
      <c r="P151" s="1681"/>
      <c r="Q151" s="1681"/>
      <c r="R151" s="1681"/>
      <c r="S151" s="1681"/>
      <c r="T151" s="1681"/>
    </row>
    <row r="152" spans="1:24" ht="20.25">
      <c r="F152" s="1682" t="s">
        <v>1586</v>
      </c>
      <c r="G152" s="1682"/>
      <c r="H152" s="1682"/>
      <c r="I152" s="1682"/>
      <c r="J152" s="1682"/>
      <c r="K152" s="1682"/>
      <c r="L152" s="1682"/>
      <c r="M152" s="1682"/>
      <c r="N152" s="1682"/>
      <c r="O152" s="1682"/>
      <c r="P152" s="1682"/>
      <c r="Q152" s="1682"/>
      <c r="R152" s="1682"/>
      <c r="S152" s="1682"/>
      <c r="T152" s="1682"/>
    </row>
    <row r="153" spans="1:24">
      <c r="F153" s="1683" t="s">
        <v>304</v>
      </c>
      <c r="G153" s="1683"/>
      <c r="H153" s="1683"/>
      <c r="I153" s="1683"/>
      <c r="J153" s="1683"/>
      <c r="K153" s="1683"/>
      <c r="L153" s="1683"/>
      <c r="M153" s="1683"/>
      <c r="N153" s="1683"/>
      <c r="O153" s="1683"/>
      <c r="P153" s="1683"/>
      <c r="Q153" s="1683"/>
      <c r="R153" s="1683"/>
      <c r="S153" s="1683"/>
      <c r="T153" s="1683"/>
    </row>
    <row r="154" spans="1:24" ht="8.1" customHeight="1">
      <c r="A154" s="333"/>
      <c r="B154" s="333"/>
      <c r="C154" s="333"/>
      <c r="D154" s="333"/>
      <c r="E154" s="333"/>
      <c r="F154" s="333"/>
      <c r="G154" s="333"/>
      <c r="H154" s="333"/>
      <c r="I154" s="337"/>
      <c r="J154" s="333"/>
      <c r="K154" s="333"/>
      <c r="L154" s="333"/>
      <c r="M154" s="333"/>
      <c r="N154" s="333"/>
      <c r="O154" s="333"/>
      <c r="P154" s="333"/>
      <c r="Q154" s="333"/>
      <c r="R154" s="333"/>
      <c r="S154" s="333"/>
      <c r="T154" s="333"/>
      <c r="U154" s="333"/>
      <c r="V154" s="333"/>
      <c r="W154" s="333"/>
      <c r="X154" s="333"/>
    </row>
    <row r="155" spans="1:24" ht="8.1" customHeight="1"/>
    <row r="156" spans="1:24">
      <c r="A156" s="1680" t="s">
        <v>1346</v>
      </c>
      <c r="B156" s="1680"/>
      <c r="C156" s="1680"/>
      <c r="D156" s="1680"/>
      <c r="E156" s="656" t="str">
        <f>":  " &amp; IF('DATA INDUK'!$H$17="","",'DATA INDUK'!$H$17)</f>
        <v>:  23/MGS/53/II/2026</v>
      </c>
      <c r="G156" s="340"/>
      <c r="H156" s="340"/>
      <c r="I156" s="16"/>
      <c r="J156" s="340"/>
      <c r="K156" s="335"/>
      <c r="L156" s="335"/>
      <c r="M156" s="335"/>
      <c r="N156" s="335"/>
      <c r="O156" s="335"/>
      <c r="P156" s="335"/>
      <c r="Q156" s="335"/>
      <c r="R156" s="335"/>
      <c r="S156" s="335"/>
      <c r="T156" s="335"/>
      <c r="U156" s="335"/>
      <c r="V156" s="335"/>
      <c r="W156" s="335"/>
      <c r="X156" s="335"/>
    </row>
    <row r="157" spans="1:24">
      <c r="A157" s="1635" t="s">
        <v>1347</v>
      </c>
      <c r="B157" s="1635"/>
      <c r="C157" s="1635"/>
      <c r="D157" s="1635"/>
      <c r="E157" s="794" t="str">
        <f>":  "&amp;IF('DATA INDUK'!$H$18="","",'DATA INDUK'!$H$18)</f>
        <v>:  R0</v>
      </c>
      <c r="G157" s="672"/>
      <c r="H157" s="672"/>
      <c r="I157" s="1127"/>
      <c r="J157" s="672" t="s">
        <v>1348</v>
      </c>
      <c r="K157" s="672"/>
      <c r="L157" s="672"/>
      <c r="M157" s="1636" t="str">
        <f>":  "&amp;IF('DATA INDUK'!$H$19="","",TEXT('DATA INDUK'!$H$19,"dd mmmm yyyy"))</f>
        <v>:  29 January 2026</v>
      </c>
      <c r="N157" s="1636"/>
      <c r="O157" s="1636"/>
      <c r="P157" s="1636"/>
      <c r="Q157" s="1636"/>
      <c r="R157" s="1194"/>
      <c r="S157" s="1127"/>
      <c r="T157" s="1649" t="s">
        <v>1349</v>
      </c>
      <c r="U157" s="1649"/>
      <c r="V157" s="1649"/>
      <c r="W157" s="1635" t="str">
        <f>":  3 dari 3"</f>
        <v>:  3 dari 3</v>
      </c>
      <c r="X157" s="1635"/>
    </row>
    <row r="158" spans="1:24" ht="8.1" customHeight="1"/>
    <row r="159" spans="1:24" ht="21" customHeight="1">
      <c r="A159" s="1878" t="s">
        <v>288</v>
      </c>
      <c r="B159" s="1878"/>
      <c r="C159" s="1878"/>
      <c r="D159" s="1878"/>
      <c r="E159" s="1878"/>
      <c r="F159" s="1878"/>
      <c r="G159" s="1878"/>
      <c r="H159" s="1878"/>
      <c r="I159" s="1878"/>
      <c r="J159" s="1878"/>
      <c r="K159" s="1878"/>
      <c r="L159" s="1878"/>
      <c r="M159" s="1878"/>
      <c r="N159" s="1878"/>
      <c r="O159" s="1878"/>
      <c r="P159" s="1878"/>
      <c r="Q159" s="1878"/>
      <c r="R159" s="1878"/>
      <c r="S159" s="1878"/>
      <c r="T159" s="1878"/>
      <c r="U159" s="1878"/>
      <c r="V159" s="1878"/>
      <c r="W159" s="1878"/>
      <c r="X159" s="1878"/>
    </row>
    <row r="161" spans="1:24">
      <c r="A161" s="531"/>
      <c r="B161" s="531"/>
      <c r="C161" s="531"/>
      <c r="D161" s="531"/>
      <c r="E161" s="531"/>
      <c r="F161" s="531"/>
      <c r="G161" s="531"/>
      <c r="H161" s="531"/>
      <c r="I161" s="700"/>
      <c r="J161" s="531"/>
      <c r="K161" s="531"/>
      <c r="L161" s="531"/>
      <c r="M161" s="531"/>
      <c r="N161" s="531"/>
      <c r="O161" s="531"/>
      <c r="P161" s="116"/>
      <c r="Q161" s="116"/>
      <c r="R161" s="116"/>
      <c r="S161" s="116"/>
      <c r="T161" s="116"/>
      <c r="U161" s="116"/>
      <c r="V161" s="116"/>
      <c r="W161" s="116"/>
      <c r="X161" s="116"/>
    </row>
    <row r="162" spans="1:24">
      <c r="A162" s="335"/>
      <c r="B162" s="335"/>
      <c r="C162" s="540" t="s">
        <v>1389</v>
      </c>
      <c r="D162" s="15"/>
      <c r="E162" s="15"/>
      <c r="F162" s="15"/>
      <c r="G162" s="15"/>
      <c r="H162" s="15"/>
      <c r="I162" s="1176"/>
      <c r="J162" s="15"/>
      <c r="K162" s="15"/>
      <c r="L162" s="15"/>
      <c r="M162" s="335"/>
      <c r="N162" s="335"/>
      <c r="O162" s="335"/>
    </row>
    <row r="163" spans="1:24">
      <c r="A163" s="335"/>
      <c r="B163" s="335"/>
      <c r="C163" s="1248" t="s">
        <v>1390</v>
      </c>
      <c r="D163" s="15"/>
      <c r="E163" s="15"/>
      <c r="F163" s="15"/>
      <c r="G163" s="15"/>
      <c r="H163" s="15"/>
      <c r="I163" s="1176"/>
      <c r="J163" s="15"/>
      <c r="K163" s="15"/>
      <c r="L163" s="15"/>
      <c r="M163" s="335"/>
      <c r="N163" s="335"/>
      <c r="O163" s="335"/>
    </row>
    <row r="178" spans="1:24">
      <c r="A178" s="531"/>
      <c r="B178" s="531"/>
      <c r="C178" s="531"/>
      <c r="D178" s="531"/>
      <c r="E178" s="531"/>
      <c r="F178" s="531"/>
      <c r="G178" s="531"/>
      <c r="H178" s="531"/>
      <c r="I178" s="700"/>
      <c r="J178" s="531"/>
      <c r="K178" s="531"/>
      <c r="L178" s="531"/>
      <c r="M178" s="531"/>
      <c r="N178" s="531"/>
      <c r="O178" s="531"/>
      <c r="P178" s="116"/>
      <c r="Q178" s="116"/>
      <c r="R178" s="116"/>
      <c r="S178" s="116"/>
      <c r="T178" s="116"/>
      <c r="U178" s="116"/>
      <c r="V178" s="116"/>
      <c r="W178" s="116"/>
      <c r="X178" s="116"/>
    </row>
    <row r="209" spans="1:27">
      <c r="H209" s="686"/>
      <c r="I209" s="687"/>
      <c r="J209" s="686"/>
      <c r="K209" s="686"/>
      <c r="L209" s="686"/>
      <c r="M209" s="686"/>
      <c r="N209" s="686"/>
      <c r="O209" s="686"/>
      <c r="P209" s="686"/>
      <c r="Q209" s="686"/>
      <c r="R209" s="686"/>
      <c r="S209" s="686"/>
      <c r="U209" s="20" t="s">
        <v>1537</v>
      </c>
      <c r="V209" s="686"/>
      <c r="W209" s="686"/>
      <c r="X209" s="686"/>
    </row>
    <row r="210" spans="1:27">
      <c r="A210" s="700" t="s">
        <v>297</v>
      </c>
      <c r="B210" s="338"/>
      <c r="C210" s="338"/>
      <c r="D210" s="4"/>
      <c r="E210" s="4"/>
      <c r="F210" s="4"/>
      <c r="G210" s="690"/>
      <c r="H210" s="1798" t="s">
        <v>623</v>
      </c>
      <c r="I210" s="1798"/>
      <c r="J210" s="1798"/>
      <c r="K210" s="1799"/>
      <c r="L210" s="1800" t="s">
        <v>292</v>
      </c>
      <c r="M210" s="1800"/>
      <c r="N210" s="1800"/>
      <c r="O210" s="1801"/>
      <c r="P210" s="1802" t="s">
        <v>294</v>
      </c>
      <c r="Q210" s="1798"/>
      <c r="R210" s="1798"/>
      <c r="S210" s="1799"/>
      <c r="U210" s="698"/>
      <c r="V210" s="688"/>
      <c r="W210" s="688"/>
      <c r="X210" s="694"/>
    </row>
    <row r="211" spans="1:27" ht="15.95" customHeight="1">
      <c r="G211" s="691"/>
      <c r="H211" s="1675" t="s">
        <v>624</v>
      </c>
      <c r="I211" s="1675"/>
      <c r="J211" s="1675"/>
      <c r="K211" s="1785"/>
      <c r="L211" s="1675" t="s">
        <v>293</v>
      </c>
      <c r="M211" s="1675"/>
      <c r="N211" s="1675"/>
      <c r="O211" s="1785"/>
      <c r="P211" s="1794" t="s">
        <v>295</v>
      </c>
      <c r="Q211" s="1675"/>
      <c r="R211" s="1675"/>
      <c r="S211" s="1785"/>
      <c r="U211" s="697"/>
      <c r="X211" s="691"/>
    </row>
    <row r="212" spans="1:27">
      <c r="G212" s="691"/>
      <c r="H212" s="1665" t="str">
        <f>C64</f>
        <v>RAFLY</v>
      </c>
      <c r="I212" s="1665"/>
      <c r="J212" s="1665"/>
      <c r="K212" s="1796"/>
      <c r="O212" s="690"/>
      <c r="P212" s="697"/>
      <c r="S212" s="691"/>
      <c r="U212" s="697"/>
      <c r="X212" s="691"/>
    </row>
    <row r="213" spans="1:27">
      <c r="G213" s="691"/>
      <c r="H213" s="1665"/>
      <c r="I213" s="1665"/>
      <c r="J213" s="1665"/>
      <c r="K213" s="1796"/>
      <c r="O213" s="690"/>
      <c r="P213" s="697"/>
      <c r="S213" s="691"/>
      <c r="U213" s="697"/>
      <c r="X213" s="691"/>
    </row>
    <row r="214" spans="1:27">
      <c r="G214" s="691"/>
      <c r="H214" s="1665"/>
      <c r="I214" s="1665"/>
      <c r="J214" s="1665"/>
      <c r="K214" s="1796"/>
      <c r="O214" s="690"/>
      <c r="P214" s="697"/>
      <c r="S214" s="691"/>
      <c r="U214" s="697"/>
      <c r="X214" s="691"/>
    </row>
    <row r="215" spans="1:27">
      <c r="G215" s="691"/>
      <c r="H215" s="1665"/>
      <c r="I215" s="1665"/>
      <c r="J215" s="1665"/>
      <c r="K215" s="1796"/>
      <c r="L215" s="1665" t="str">
        <f>H137</f>
        <v>NOUFAL</v>
      </c>
      <c r="M215" s="1665"/>
      <c r="N215" s="1665"/>
      <c r="O215" s="1796"/>
      <c r="P215" s="1797" t="str">
        <f>M64</f>
        <v>A.SUMARTADJI</v>
      </c>
      <c r="Q215" s="1665"/>
      <c r="R215" s="1665"/>
      <c r="S215" s="1796"/>
      <c r="U215" s="697"/>
      <c r="X215" s="691"/>
    </row>
    <row r="216" spans="1:27">
      <c r="G216" s="691"/>
      <c r="H216" s="1668" t="s">
        <v>299</v>
      </c>
      <c r="I216" s="1668"/>
      <c r="J216" s="1668"/>
      <c r="K216" s="1755"/>
      <c r="L216" s="1668" t="str">
        <f>H65</f>
        <v>Koordinator Teknis</v>
      </c>
      <c r="M216" s="1668"/>
      <c r="N216" s="1668"/>
      <c r="O216" s="1755"/>
      <c r="P216" s="1754" t="str">
        <f>M65</f>
        <v>Kepala Laboratorium</v>
      </c>
      <c r="Q216" s="1668"/>
      <c r="R216" s="1668"/>
      <c r="S216" s="1755"/>
      <c r="U216" s="699"/>
      <c r="V216" s="358"/>
      <c r="W216" s="358"/>
      <c r="X216" s="695"/>
      <c r="Y216" s="358"/>
      <c r="Z216" s="358"/>
      <c r="AA216" s="358"/>
    </row>
    <row r="217" spans="1:27" ht="15.95" customHeight="1">
      <c r="G217" s="691"/>
      <c r="H217" s="1803" t="s">
        <v>291</v>
      </c>
      <c r="I217" s="1803"/>
      <c r="J217" s="1804">
        <f>E66</f>
        <v>46050</v>
      </c>
      <c r="K217" s="1805"/>
      <c r="L217" s="1806" t="s">
        <v>300</v>
      </c>
      <c r="M217" s="1806"/>
      <c r="N217" s="1807">
        <f>J66</f>
        <v>46050</v>
      </c>
      <c r="O217" s="1808"/>
      <c r="P217" s="1809" t="s">
        <v>301</v>
      </c>
      <c r="Q217" s="1810"/>
      <c r="R217" s="1792">
        <f>P66</f>
        <v>46050</v>
      </c>
      <c r="S217" s="1793"/>
      <c r="U217" s="692"/>
      <c r="V217" s="693"/>
      <c r="W217" s="693"/>
      <c r="X217" s="696"/>
    </row>
    <row r="218" spans="1:27" ht="8.1" customHeight="1">
      <c r="H218" s="688"/>
      <c r="I218" s="689"/>
      <c r="J218" s="688"/>
      <c r="K218" s="688"/>
      <c r="L218" s="688"/>
      <c r="M218" s="688"/>
      <c r="N218" s="688"/>
      <c r="O218" s="688"/>
      <c r="P218" s="688"/>
      <c r="Q218" s="688"/>
      <c r="R218" s="688"/>
      <c r="S218" s="688"/>
    </row>
    <row r="219" spans="1:27" ht="18" customHeight="1">
      <c r="B219" s="356"/>
      <c r="C219" s="356"/>
      <c r="D219" s="356"/>
      <c r="E219" s="356"/>
      <c r="T219" s="860" t="str">
        <f>$T$146</f>
        <v>23-MINEARTH-RM-LHU-TRX-CU-R0</v>
      </c>
      <c r="U219" s="913"/>
      <c r="V219" s="913"/>
      <c r="W219" s="913"/>
      <c r="X219" s="913"/>
    </row>
    <row r="220" spans="1:27" ht="18" customHeight="1">
      <c r="A220" s="362"/>
      <c r="B220" s="362"/>
      <c r="C220" s="362"/>
      <c r="D220" s="362"/>
      <c r="E220" s="362"/>
    </row>
    <row r="221" spans="1:27" ht="8.1" customHeight="1"/>
  </sheetData>
  <mergeCells count="235">
    <mergeCell ref="E14:L14"/>
    <mergeCell ref="S20:X21"/>
    <mergeCell ref="N22:R23"/>
    <mergeCell ref="S22:X23"/>
    <mergeCell ref="S13:X13"/>
    <mergeCell ref="N14:R14"/>
    <mergeCell ref="S14:X14"/>
    <mergeCell ref="N15:R16"/>
    <mergeCell ref="S15:X16"/>
    <mergeCell ref="N17:R17"/>
    <mergeCell ref="S17:X17"/>
    <mergeCell ref="N18:R19"/>
    <mergeCell ref="S18:X19"/>
    <mergeCell ref="V30:X31"/>
    <mergeCell ref="A31:G31"/>
    <mergeCell ref="H31:I31"/>
    <mergeCell ref="J31:K31"/>
    <mergeCell ref="A26:T26"/>
    <mergeCell ref="U26:U27"/>
    <mergeCell ref="V26:X27"/>
    <mergeCell ref="A27:T27"/>
    <mergeCell ref="F1:T1"/>
    <mergeCell ref="F2:T2"/>
    <mergeCell ref="F3:T3"/>
    <mergeCell ref="A6:D6"/>
    <mergeCell ref="A7:D7"/>
    <mergeCell ref="M7:Q7"/>
    <mergeCell ref="A17:L17"/>
    <mergeCell ref="T7:V7"/>
    <mergeCell ref="W7:X7"/>
    <mergeCell ref="A9:L9"/>
    <mergeCell ref="A12:L12"/>
    <mergeCell ref="N12:X12"/>
    <mergeCell ref="A13:D13"/>
    <mergeCell ref="E13:L13"/>
    <mergeCell ref="A14:D14"/>
    <mergeCell ref="N13:R13"/>
    <mergeCell ref="A21:D22"/>
    <mergeCell ref="E21:L22"/>
    <mergeCell ref="A19:D20"/>
    <mergeCell ref="E19:L20"/>
    <mergeCell ref="N20:R21"/>
    <mergeCell ref="A34:G34"/>
    <mergeCell ref="H34:I34"/>
    <mergeCell ref="J34:K34"/>
    <mergeCell ref="N34:U34"/>
    <mergeCell ref="A30:G30"/>
    <mergeCell ref="N30:U31"/>
    <mergeCell ref="H30:L30"/>
    <mergeCell ref="A35:G35"/>
    <mergeCell ref="H35:I35"/>
    <mergeCell ref="J35:K35"/>
    <mergeCell ref="N35:U35"/>
    <mergeCell ref="A32:G32"/>
    <mergeCell ref="H32:I32"/>
    <mergeCell ref="J32:K32"/>
    <mergeCell ref="N32:U32"/>
    <mergeCell ref="A33:G33"/>
    <mergeCell ref="H33:I33"/>
    <mergeCell ref="J33:K33"/>
    <mergeCell ref="N33:U33"/>
    <mergeCell ref="N38:R38"/>
    <mergeCell ref="S38:X38"/>
    <mergeCell ref="N39:R39"/>
    <mergeCell ref="S39:T39"/>
    <mergeCell ref="U39:V39"/>
    <mergeCell ref="W39:X39"/>
    <mergeCell ref="A36:G36"/>
    <mergeCell ref="H36:I36"/>
    <mergeCell ref="J36:K36"/>
    <mergeCell ref="N36:U37"/>
    <mergeCell ref="V36:X37"/>
    <mergeCell ref="A37:G37"/>
    <mergeCell ref="H37:I37"/>
    <mergeCell ref="J37:K37"/>
    <mergeCell ref="A38:G38"/>
    <mergeCell ref="H38:I38"/>
    <mergeCell ref="J38:K38"/>
    <mergeCell ref="U44:V45"/>
    <mergeCell ref="W44:X45"/>
    <mergeCell ref="N46:R47"/>
    <mergeCell ref="S46:T47"/>
    <mergeCell ref="U46:V47"/>
    <mergeCell ref="W46:X47"/>
    <mergeCell ref="N44:R45"/>
    <mergeCell ref="S44:T45"/>
    <mergeCell ref="U40:V41"/>
    <mergeCell ref="W40:X41"/>
    <mergeCell ref="N42:R43"/>
    <mergeCell ref="S42:T43"/>
    <mergeCell ref="U42:V43"/>
    <mergeCell ref="W42:X43"/>
    <mergeCell ref="N40:R41"/>
    <mergeCell ref="S40:T41"/>
    <mergeCell ref="U52:V53"/>
    <mergeCell ref="W52:X53"/>
    <mergeCell ref="N54:R55"/>
    <mergeCell ref="S54:T55"/>
    <mergeCell ref="U54:V55"/>
    <mergeCell ref="W54:X55"/>
    <mergeCell ref="N52:R53"/>
    <mergeCell ref="S52:T53"/>
    <mergeCell ref="U48:V49"/>
    <mergeCell ref="W48:X49"/>
    <mergeCell ref="N50:R51"/>
    <mergeCell ref="S50:T51"/>
    <mergeCell ref="U50:V51"/>
    <mergeCell ref="W50:X51"/>
    <mergeCell ref="N48:R49"/>
    <mergeCell ref="S48:T49"/>
    <mergeCell ref="C60:G60"/>
    <mergeCell ref="H60:L60"/>
    <mergeCell ref="M60:R60"/>
    <mergeCell ref="Z62:AA62"/>
    <mergeCell ref="AB62:AC62"/>
    <mergeCell ref="C64:G64"/>
    <mergeCell ref="H64:L64"/>
    <mergeCell ref="M64:R64"/>
    <mergeCell ref="N56:R57"/>
    <mergeCell ref="S56:T57"/>
    <mergeCell ref="U56:V57"/>
    <mergeCell ref="W56:X57"/>
    <mergeCell ref="C59:G59"/>
    <mergeCell ref="H59:L59"/>
    <mergeCell ref="M59:R59"/>
    <mergeCell ref="C65:G65"/>
    <mergeCell ref="H65:L65"/>
    <mergeCell ref="M65:R65"/>
    <mergeCell ref="C66:D66"/>
    <mergeCell ref="E66:G66"/>
    <mergeCell ref="H66:I66"/>
    <mergeCell ref="J66:L66"/>
    <mergeCell ref="M66:O66"/>
    <mergeCell ref="P66:R66"/>
    <mergeCell ref="A68:C72"/>
    <mergeCell ref="F78:T78"/>
    <mergeCell ref="F79:T79"/>
    <mergeCell ref="F80:T80"/>
    <mergeCell ref="A84:D84"/>
    <mergeCell ref="M84:Q84"/>
    <mergeCell ref="T84:V84"/>
    <mergeCell ref="W84:X84"/>
    <mergeCell ref="A83:D83"/>
    <mergeCell ref="C125:H125"/>
    <mergeCell ref="I125:J125"/>
    <mergeCell ref="C126:H126"/>
    <mergeCell ref="I126:J126"/>
    <mergeCell ref="C128:H128"/>
    <mergeCell ref="I128:J128"/>
    <mergeCell ref="A86:T86"/>
    <mergeCell ref="U86:U87"/>
    <mergeCell ref="V86:X87"/>
    <mergeCell ref="A87:T87"/>
    <mergeCell ref="C124:H124"/>
    <mergeCell ref="I124:K124"/>
    <mergeCell ref="H217:I217"/>
    <mergeCell ref="J217:K217"/>
    <mergeCell ref="L217:M217"/>
    <mergeCell ref="N217:O217"/>
    <mergeCell ref="P217:Q217"/>
    <mergeCell ref="R217:S217"/>
    <mergeCell ref="H211:K211"/>
    <mergeCell ref="L211:O211"/>
    <mergeCell ref="P211:S211"/>
    <mergeCell ref="H212:K215"/>
    <mergeCell ref="L215:O215"/>
    <mergeCell ref="P215:S215"/>
    <mergeCell ref="H216:K216"/>
    <mergeCell ref="L216:O216"/>
    <mergeCell ref="P216:S216"/>
    <mergeCell ref="A159:X159"/>
    <mergeCell ref="H210:K210"/>
    <mergeCell ref="L210:O210"/>
    <mergeCell ref="P210:S210"/>
    <mergeCell ref="A141:C145"/>
    <mergeCell ref="F151:T151"/>
    <mergeCell ref="F152:T152"/>
    <mergeCell ref="F153:T153"/>
    <mergeCell ref="C139:D139"/>
    <mergeCell ref="E139:G139"/>
    <mergeCell ref="H139:I139"/>
    <mergeCell ref="J139:L139"/>
    <mergeCell ref="M139:O139"/>
    <mergeCell ref="A156:D156"/>
    <mergeCell ref="A157:D157"/>
    <mergeCell ref="M157:Q157"/>
    <mergeCell ref="T157:V157"/>
    <mergeCell ref="W157:X157"/>
    <mergeCell ref="P139:R139"/>
    <mergeCell ref="C137:G137"/>
    <mergeCell ref="H137:L137"/>
    <mergeCell ref="M137:R137"/>
    <mergeCell ref="C138:G138"/>
    <mergeCell ref="H138:L138"/>
    <mergeCell ref="M138:R138"/>
    <mergeCell ref="C129:H129"/>
    <mergeCell ref="I129:J129"/>
    <mergeCell ref="C132:G132"/>
    <mergeCell ref="H132:L132"/>
    <mergeCell ref="M132:R132"/>
    <mergeCell ref="C133:G133"/>
    <mergeCell ref="H133:L133"/>
    <mergeCell ref="M133:R133"/>
    <mergeCell ref="A42:G43"/>
    <mergeCell ref="A44:G45"/>
    <mergeCell ref="A46:G47"/>
    <mergeCell ref="A48:G49"/>
    <mergeCell ref="A50:G51"/>
    <mergeCell ref="A52:G53"/>
    <mergeCell ref="A54:G55"/>
    <mergeCell ref="A56:G57"/>
    <mergeCell ref="H42:I43"/>
    <mergeCell ref="J42:K43"/>
    <mergeCell ref="L42:L43"/>
    <mergeCell ref="H44:I45"/>
    <mergeCell ref="J44:K45"/>
    <mergeCell ref="L44:L45"/>
    <mergeCell ref="J46:K47"/>
    <mergeCell ref="L46:L47"/>
    <mergeCell ref="J48:K49"/>
    <mergeCell ref="L48:L49"/>
    <mergeCell ref="J50:K51"/>
    <mergeCell ref="L50:L51"/>
    <mergeCell ref="J52:K53"/>
    <mergeCell ref="L52:L53"/>
    <mergeCell ref="J54:K55"/>
    <mergeCell ref="L54:L55"/>
    <mergeCell ref="J56:K57"/>
    <mergeCell ref="L56:L57"/>
    <mergeCell ref="H46:I47"/>
    <mergeCell ref="H48:I49"/>
    <mergeCell ref="H50:I51"/>
    <mergeCell ref="H52:I53"/>
    <mergeCell ref="H54:I55"/>
    <mergeCell ref="H56:I57"/>
  </mergeCells>
  <pageMargins left="0.72" right="0.47" top="0.59" bottom="0.51" header="0.28000000000000003" footer="0.28000000000000003"/>
  <pageSetup paperSize="9" scale="68" orientation="portrait" r:id="rId1"/>
  <rowBreaks count="2" manualBreakCount="2">
    <brk id="76" max="23" man="1"/>
    <brk id="149" max="23" man="1"/>
  </rowBreaks>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2906-C328-437D-A1AD-5FEB75814E20}">
  <sheetPr>
    <tabColor theme="9"/>
  </sheetPr>
  <dimension ref="A1:BB352"/>
  <sheetViews>
    <sheetView topLeftCell="I1" zoomScale="26" zoomScaleNormal="26" workbookViewId="0">
      <selection activeCell="Y29" sqref="Y29"/>
    </sheetView>
  </sheetViews>
  <sheetFormatPr defaultColWidth="11" defaultRowHeight="15.75"/>
  <cols>
    <col min="3" max="3" width="14.625" bestFit="1" customWidth="1"/>
    <col min="4" max="4" width="11.375" bestFit="1" customWidth="1"/>
    <col min="17" max="17" width="11.625" bestFit="1" customWidth="1"/>
    <col min="26" max="26" width="13.625" bestFit="1" customWidth="1"/>
    <col min="37" max="37" width="11.625" bestFit="1" customWidth="1"/>
    <col min="46" max="46" width="12.125" bestFit="1" customWidth="1"/>
  </cols>
  <sheetData>
    <row r="1" spans="1:20" ht="18">
      <c r="A1" s="708" t="s">
        <v>701</v>
      </c>
      <c r="B1" s="708"/>
      <c r="C1" s="708"/>
      <c r="D1" s="708"/>
      <c r="E1" s="708"/>
      <c r="F1" s="708"/>
      <c r="G1" s="708"/>
      <c r="H1" s="708"/>
      <c r="I1" s="708"/>
      <c r="J1" s="708"/>
      <c r="K1" s="708"/>
      <c r="L1" s="708"/>
      <c r="M1" s="708"/>
      <c r="N1" s="708"/>
      <c r="O1" s="708"/>
      <c r="P1" s="708"/>
      <c r="Q1" s="708"/>
      <c r="R1" s="708"/>
      <c r="S1" s="708"/>
      <c r="T1" s="708"/>
    </row>
    <row r="2" spans="1:20" ht="23.25">
      <c r="A2" s="663" t="s">
        <v>1587</v>
      </c>
      <c r="B2" s="663"/>
      <c r="C2" s="663"/>
      <c r="D2" s="663"/>
      <c r="E2" s="663"/>
      <c r="F2" s="663"/>
      <c r="G2" s="663"/>
      <c r="H2" s="663"/>
      <c r="I2" s="663"/>
      <c r="J2" s="663"/>
      <c r="K2" s="663"/>
      <c r="L2" s="663"/>
      <c r="M2" s="663"/>
      <c r="N2" s="663"/>
      <c r="O2" s="663"/>
      <c r="P2" s="663"/>
      <c r="Q2" s="663"/>
      <c r="R2" s="663"/>
      <c r="S2" s="663"/>
      <c r="T2" s="663"/>
    </row>
    <row r="3" spans="1:20" ht="23.25">
      <c r="A3" s="664" t="s">
        <v>1588</v>
      </c>
      <c r="B3" s="662"/>
      <c r="C3" s="662"/>
      <c r="D3" s="662"/>
      <c r="E3" s="662"/>
      <c r="F3" s="662"/>
      <c r="G3" s="662"/>
      <c r="H3" s="662"/>
      <c r="I3" s="662"/>
      <c r="J3" s="662"/>
      <c r="K3" s="662"/>
      <c r="L3" s="662"/>
      <c r="M3" s="662"/>
      <c r="N3" s="662"/>
      <c r="O3" s="662"/>
      <c r="P3" s="662"/>
      <c r="Q3" s="662"/>
      <c r="R3" s="662"/>
      <c r="S3" s="662"/>
      <c r="T3" s="662"/>
    </row>
    <row r="4" spans="1:20">
      <c r="A4" s="709"/>
      <c r="B4" s="709"/>
      <c r="C4" s="709"/>
      <c r="D4" s="709"/>
      <c r="E4" s="709"/>
      <c r="F4" s="709"/>
      <c r="G4" s="709"/>
      <c r="H4" s="709"/>
      <c r="I4" s="709"/>
      <c r="J4" s="709"/>
      <c r="K4" s="709"/>
      <c r="L4" s="709"/>
      <c r="M4" s="709"/>
      <c r="N4" s="709"/>
      <c r="O4" s="709"/>
      <c r="P4" s="709"/>
      <c r="Q4" s="709"/>
      <c r="R4" s="709"/>
      <c r="S4" s="709"/>
      <c r="T4" s="709"/>
    </row>
    <row r="5" spans="1:20">
      <c r="A5" s="335" t="s">
        <v>837</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 t="s">
        <v>775</v>
      </c>
      <c r="B7" s="1"/>
      <c r="C7" s="1"/>
      <c r="D7" s="539" t="str">
        <f>IFERROR(INDEX('DATA INDUK'!$H$27:$H$152,MATCH(ROW(D1),'DATA INDUK'!$BF$27:$BF$152,0)),"")</f>
        <v>26-001-DS-001</v>
      </c>
      <c r="E7" s="13"/>
      <c r="F7" s="13"/>
      <c r="G7" s="13"/>
      <c r="H7" s="15"/>
      <c r="I7" s="15"/>
      <c r="J7" s="15"/>
      <c r="K7" s="15"/>
      <c r="L7" s="15"/>
      <c r="M7" s="15"/>
      <c r="N7" s="15"/>
      <c r="O7" s="15"/>
      <c r="P7" s="15"/>
      <c r="Q7" s="15"/>
      <c r="R7" s="15"/>
      <c r="S7" s="15"/>
      <c r="T7" s="335"/>
    </row>
    <row r="8" spans="1:20">
      <c r="A8" s="13"/>
      <c r="B8" s="13"/>
      <c r="C8" s="13"/>
      <c r="D8" s="540"/>
      <c r="E8" s="15"/>
      <c r="F8" s="15"/>
      <c r="G8" s="15"/>
      <c r="H8" s="15"/>
      <c r="I8" s="15"/>
      <c r="J8" s="15"/>
      <c r="K8" s="15"/>
      <c r="L8" s="15"/>
      <c r="M8" s="15"/>
      <c r="N8" s="15"/>
      <c r="O8" s="15"/>
      <c r="P8" s="15"/>
      <c r="Q8" s="15"/>
      <c r="R8" s="15"/>
      <c r="S8" s="15"/>
      <c r="T8" s="15"/>
    </row>
    <row r="9" spans="1:20">
      <c r="A9" s="1" t="s">
        <v>776</v>
      </c>
      <c r="B9" s="1"/>
      <c r="C9" s="1"/>
      <c r="D9" s="13" t="str">
        <f>IFERROR(INDEX('DATA INDUK'!$C$27:$C$152,MATCH(ROW(D1),'DATA INDUK'!$BF$27:$BF$152,0)),"")</f>
        <v>BH-04R1-SPT 15</v>
      </c>
      <c r="E9" s="15"/>
      <c r="F9" s="15"/>
      <c r="G9" s="15"/>
      <c r="H9" s="15"/>
      <c r="I9" s="15"/>
      <c r="J9" s="15"/>
      <c r="K9" s="15"/>
      <c r="L9" s="1" t="s">
        <v>703</v>
      </c>
      <c r="M9" s="1"/>
      <c r="N9" s="1"/>
      <c r="O9" s="15" t="str">
        <f>IF($D$7="","",P9)</f>
        <v>RAFLY</v>
      </c>
      <c r="P9" s="588" t="s">
        <v>1054</v>
      </c>
      <c r="Q9" s="15"/>
      <c r="R9" s="15"/>
      <c r="S9" s="15"/>
      <c r="T9" s="15" t="str">
        <f>"TTD_"&amp;O9&amp;""</f>
        <v>TTD_RAFLY</v>
      </c>
    </row>
    <row r="10" spans="1:20">
      <c r="A10" s="1" t="s">
        <v>777</v>
      </c>
      <c r="B10" s="1"/>
      <c r="C10" s="1"/>
      <c r="D10" s="13" t="str">
        <f>IFERROR(INDEX('DATA INDUK'!$J$27:$J$152,MATCH(ROW(D1),'DATA INDUK'!$BF$27:$BF$152,0)),"")</f>
        <v>22.50 - 22.95 m</v>
      </c>
      <c r="E10" s="15"/>
      <c r="F10" s="15"/>
      <c r="G10" s="15"/>
      <c r="H10" s="15"/>
      <c r="I10" s="15"/>
      <c r="J10" s="15"/>
      <c r="K10" s="15"/>
      <c r="L10" s="1" t="s">
        <v>704</v>
      </c>
      <c r="M10" s="1"/>
      <c r="N10" s="1"/>
      <c r="O10" s="15" t="str">
        <f t="shared" ref="O10:O11" si="0">IF($D$7="","",P10)</f>
        <v>NOUFAL</v>
      </c>
      <c r="P10" s="588" t="s">
        <v>1051</v>
      </c>
      <c r="Q10" s="15"/>
      <c r="R10" s="15"/>
      <c r="S10" s="15"/>
      <c r="T10" s="15" t="str">
        <f>IF(O9=O10,"TTD_","TTD_"&amp;O10&amp;"")</f>
        <v>TTD_NOUFAL</v>
      </c>
    </row>
    <row r="11" spans="1:20">
      <c r="A11" s="1" t="s">
        <v>778</v>
      </c>
      <c r="B11" s="1"/>
      <c r="C11" s="1"/>
      <c r="D11" s="13" t="str">
        <f>IFERROR(INDEX('DATA INDUK'!$D$27:$D$152,MATCH(ROW(D1),'DATA INDUK'!$BF$27:$BF$152,0)),"")</f>
        <v>Disturbed Sample</v>
      </c>
      <c r="E11" s="15"/>
      <c r="F11" s="15"/>
      <c r="G11" s="15"/>
      <c r="H11" s="15"/>
      <c r="I11" s="15"/>
      <c r="J11" s="15"/>
      <c r="K11" s="15"/>
      <c r="L11" s="13" t="s">
        <v>716</v>
      </c>
      <c r="M11" s="15"/>
      <c r="N11" s="15"/>
      <c r="O11" s="15" t="str">
        <f t="shared" si="0"/>
        <v>A.SUMARTADJI</v>
      </c>
      <c r="P11" s="588" t="s">
        <v>766</v>
      </c>
      <c r="Q11" s="15"/>
      <c r="R11" s="15"/>
      <c r="S11" s="15"/>
      <c r="T11" s="15" t="str">
        <f>"TTD_"&amp;O11&amp;""</f>
        <v>TTD_A.SUMARTADJI</v>
      </c>
    </row>
    <row r="12" spans="1:20">
      <c r="A12" s="1" t="s">
        <v>779</v>
      </c>
      <c r="B12" s="1"/>
      <c r="C12" s="1"/>
      <c r="D12" s="714"/>
      <c r="E12" s="15"/>
      <c r="F12" s="15"/>
      <c r="G12" s="15"/>
      <c r="H12" s="15"/>
      <c r="I12" s="15"/>
      <c r="J12" s="15"/>
      <c r="K12" s="15"/>
      <c r="L12" s="1" t="s">
        <v>705</v>
      </c>
      <c r="M12" s="1"/>
      <c r="N12" s="1"/>
      <c r="O12" s="715"/>
      <c r="P12" s="15"/>
      <c r="Q12" s="15"/>
      <c r="R12" s="15"/>
      <c r="S12" s="15"/>
      <c r="T12" s="335"/>
    </row>
    <row r="13" spans="1:20">
      <c r="A13" s="1" t="s">
        <v>780</v>
      </c>
      <c r="B13" s="1"/>
      <c r="C13" s="1"/>
      <c r="D13" s="714"/>
      <c r="E13" s="15"/>
      <c r="F13" s="15"/>
      <c r="G13" s="15"/>
      <c r="H13" s="15"/>
      <c r="I13" s="15"/>
      <c r="J13" s="15"/>
      <c r="K13" s="15"/>
      <c r="L13" s="15"/>
      <c r="M13" s="15"/>
      <c r="N13" s="15"/>
      <c r="O13" s="15"/>
      <c r="P13" s="15"/>
      <c r="Q13" s="15"/>
      <c r="R13" s="15"/>
      <c r="S13" s="15"/>
      <c r="T13" s="335"/>
    </row>
    <row r="14" spans="1:20"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20">
      <c r="A15" s="539"/>
      <c r="B15" s="539"/>
      <c r="C15" s="539"/>
      <c r="D15" s="540"/>
      <c r="E15" s="540"/>
      <c r="F15" s="540"/>
      <c r="G15" s="540"/>
      <c r="H15" s="540"/>
      <c r="I15" s="540"/>
      <c r="J15" s="540"/>
      <c r="K15" s="540"/>
      <c r="L15" s="540"/>
      <c r="M15" s="540"/>
      <c r="N15" s="540"/>
      <c r="O15" s="540"/>
      <c r="P15" s="540"/>
      <c r="Q15" s="540"/>
      <c r="R15" s="540"/>
      <c r="S15" s="540"/>
      <c r="T15" s="531"/>
    </row>
    <row r="16" spans="1:20">
      <c r="A16" s="539"/>
      <c r="B16" s="539"/>
      <c r="C16" s="539"/>
      <c r="D16" s="540"/>
      <c r="E16" s="540"/>
      <c r="F16" s="540"/>
      <c r="G16" s="540"/>
      <c r="H16" s="540"/>
      <c r="I16" s="540"/>
      <c r="J16" s="540"/>
      <c r="K16" s="540"/>
      <c r="L16" s="540"/>
      <c r="M16" s="540"/>
      <c r="N16" s="540"/>
      <c r="O16" s="540"/>
      <c r="P16" s="540"/>
      <c r="Q16" s="540"/>
      <c r="R16" s="540"/>
      <c r="S16" s="540"/>
      <c r="T16" s="531"/>
    </row>
    <row r="17" spans="1:20">
      <c r="A17" s="539"/>
      <c r="B17" s="116" t="s">
        <v>575</v>
      </c>
      <c r="D17" s="116" t="s">
        <v>798</v>
      </c>
      <c r="E17" s="540"/>
      <c r="F17" s="540"/>
      <c r="G17" s="540"/>
      <c r="H17" s="540"/>
      <c r="I17" s="540"/>
      <c r="J17" s="540"/>
      <c r="K17" s="540"/>
      <c r="L17" s="540"/>
      <c r="M17" s="540"/>
      <c r="N17" s="540"/>
      <c r="O17" s="540"/>
      <c r="P17" s="540"/>
      <c r="Q17" s="540"/>
      <c r="R17" s="540"/>
      <c r="S17" s="540"/>
      <c r="T17" s="531"/>
    </row>
    <row r="18" spans="1:20">
      <c r="A18" s="539"/>
      <c r="B18" t="s">
        <v>799</v>
      </c>
      <c r="D18" t="s">
        <v>839</v>
      </c>
      <c r="E18" s="540"/>
      <c r="F18" s="540"/>
      <c r="G18" s="540" t="s">
        <v>828</v>
      </c>
      <c r="H18" s="540"/>
      <c r="I18" s="540"/>
      <c r="J18" s="540"/>
      <c r="K18" s="540"/>
      <c r="L18" s="540"/>
      <c r="M18" s="540"/>
      <c r="N18" s="540"/>
      <c r="O18" s="540"/>
      <c r="P18" s="540"/>
      <c r="Q18" s="540"/>
      <c r="R18" s="540"/>
      <c r="S18" s="540"/>
      <c r="T18" s="531"/>
    </row>
    <row r="19" spans="1:20">
      <c r="A19" s="539"/>
      <c r="B19" t="s">
        <v>838</v>
      </c>
      <c r="D19" t="str">
        <f>E19</f>
        <v>No</v>
      </c>
      <c r="E19" t="s">
        <v>1</v>
      </c>
      <c r="F19" s="540"/>
      <c r="G19" s="540" t="s">
        <v>1</v>
      </c>
      <c r="H19" s="540"/>
      <c r="I19" s="540"/>
      <c r="J19" s="540"/>
      <c r="K19" s="540"/>
      <c r="L19" s="540"/>
      <c r="M19" s="540"/>
      <c r="N19" s="540"/>
      <c r="O19" s="540"/>
      <c r="P19" s="540"/>
      <c r="Q19" s="540"/>
      <c r="R19" s="540"/>
      <c r="S19" s="540"/>
      <c r="T19" s="531"/>
    </row>
    <row r="20" spans="1:20">
      <c r="A20" s="539"/>
      <c r="B20" t="s">
        <v>802</v>
      </c>
      <c r="D20" t="str">
        <f>E20</f>
        <v>No</v>
      </c>
      <c r="E20" t="s">
        <v>1</v>
      </c>
      <c r="F20" s="540"/>
      <c r="G20" s="540"/>
      <c r="H20" s="540"/>
      <c r="I20" s="540"/>
      <c r="J20" s="540"/>
      <c r="K20" s="540"/>
      <c r="L20" s="540"/>
      <c r="M20" s="540"/>
      <c r="N20" s="540"/>
      <c r="O20" s="540"/>
      <c r="P20" s="540"/>
      <c r="Q20" s="540"/>
      <c r="R20" s="540"/>
      <c r="S20" s="540"/>
      <c r="T20" s="531"/>
    </row>
    <row r="21" spans="1:20">
      <c r="A21" s="539"/>
      <c r="B21" t="s">
        <v>803</v>
      </c>
      <c r="D21" t="str">
        <f>E21</f>
        <v>With Side drain</v>
      </c>
      <c r="E21" t="s">
        <v>817</v>
      </c>
      <c r="F21" s="540"/>
      <c r="G21" s="540" t="s">
        <v>817</v>
      </c>
      <c r="H21" s="540"/>
      <c r="I21" s="540"/>
      <c r="J21" s="540"/>
      <c r="K21" s="540"/>
      <c r="L21" s="540"/>
      <c r="M21" s="540"/>
      <c r="N21" s="540"/>
      <c r="O21" s="540"/>
      <c r="P21" s="540"/>
      <c r="Q21" s="540"/>
      <c r="R21" s="540"/>
      <c r="S21" s="540"/>
      <c r="T21" s="531"/>
    </row>
    <row r="22" spans="1:20">
      <c r="A22" s="539"/>
      <c r="B22" t="s">
        <v>804</v>
      </c>
      <c r="D22" t="s">
        <v>805</v>
      </c>
      <c r="E22" s="540"/>
      <c r="F22" s="540"/>
      <c r="G22" s="540" t="s">
        <v>829</v>
      </c>
      <c r="H22" s="540"/>
      <c r="I22" s="540"/>
      <c r="J22" s="540"/>
      <c r="K22" s="540"/>
      <c r="L22" s="540"/>
      <c r="M22" s="540"/>
      <c r="N22" s="540"/>
      <c r="O22" s="540"/>
      <c r="P22" s="540"/>
      <c r="Q22" s="540"/>
      <c r="R22" s="540"/>
      <c r="S22" s="540"/>
      <c r="T22" s="531"/>
    </row>
    <row r="23" spans="1:20">
      <c r="A23" s="539"/>
      <c r="B23" s="539"/>
      <c r="C23" s="539"/>
      <c r="D23" s="540"/>
      <c r="E23" s="540"/>
      <c r="F23" s="540"/>
      <c r="G23" s="540"/>
      <c r="H23" s="540"/>
      <c r="I23" s="540"/>
      <c r="J23" s="540"/>
      <c r="K23" s="540"/>
      <c r="L23" s="540"/>
      <c r="M23" s="540"/>
      <c r="N23" s="540"/>
      <c r="O23" s="540"/>
      <c r="P23" s="540"/>
      <c r="Q23" s="540"/>
      <c r="R23" s="540"/>
      <c r="S23" s="540"/>
      <c r="T23" s="531"/>
    </row>
    <row r="33" spans="1:50" ht="20.100000000000001" customHeight="1"/>
    <row r="34" spans="1:50" ht="24" customHeight="1">
      <c r="A34" s="116"/>
      <c r="B34" s="2084" t="s">
        <v>181</v>
      </c>
      <c r="C34" s="2084"/>
      <c r="D34" s="2084"/>
      <c r="E34" s="2084"/>
      <c r="F34" s="2084"/>
      <c r="G34" s="2084"/>
      <c r="H34" s="2084"/>
      <c r="I34" s="2084"/>
      <c r="J34" s="2084"/>
      <c r="K34" s="2084"/>
      <c r="L34" s="2084"/>
      <c r="M34" s="2084"/>
      <c r="N34" s="2084"/>
      <c r="R34" s="2084" t="s">
        <v>182</v>
      </c>
      <c r="S34" s="2084"/>
      <c r="T34" s="2084"/>
      <c r="U34" s="2084"/>
      <c r="V34" s="2084"/>
      <c r="W34" s="2084"/>
      <c r="X34" s="2084"/>
      <c r="Y34" s="2084"/>
      <c r="Z34" s="2084"/>
      <c r="AA34" s="2084"/>
      <c r="AB34" s="2084"/>
      <c r="AC34" s="2084"/>
      <c r="AD34" s="2084"/>
      <c r="AI34" s="2084" t="s">
        <v>183</v>
      </c>
      <c r="AJ34" s="2084"/>
      <c r="AK34" s="2084"/>
      <c r="AL34" s="2084"/>
      <c r="AM34" s="2084"/>
      <c r="AN34" s="2084"/>
      <c r="AO34" s="2084"/>
      <c r="AP34" s="2084"/>
      <c r="AQ34" s="2084"/>
      <c r="AR34" s="2084"/>
      <c r="AS34" s="2084"/>
      <c r="AT34" s="2084"/>
      <c r="AU34" s="2084"/>
    </row>
    <row r="36" spans="1:50" ht="23.25">
      <c r="A36" s="1443"/>
      <c r="B36" s="1442" t="s">
        <v>106</v>
      </c>
      <c r="C36" s="1443"/>
      <c r="D36" s="1443"/>
      <c r="E36" s="1443"/>
      <c r="F36" s="1443"/>
      <c r="G36" s="1443"/>
      <c r="H36" s="1443"/>
      <c r="I36" s="1443"/>
      <c r="J36" s="1443"/>
      <c r="K36" s="1443"/>
      <c r="L36" s="1443"/>
      <c r="M36" s="1443"/>
      <c r="N36" s="1443"/>
      <c r="O36" s="1443"/>
      <c r="P36" s="1443"/>
      <c r="Q36" s="1443"/>
      <c r="R36" s="1443"/>
      <c r="S36" s="1443"/>
      <c r="T36" s="1443"/>
      <c r="U36" s="1443"/>
      <c r="V36" s="1443"/>
      <c r="W36" s="1443"/>
      <c r="X36" s="1443"/>
      <c r="Y36" s="1443"/>
      <c r="Z36" s="1443"/>
      <c r="AA36" s="1443"/>
      <c r="AB36" s="1443"/>
      <c r="AC36" s="1443"/>
      <c r="AD36" s="1443"/>
      <c r="AE36" s="1443"/>
      <c r="AF36" s="1443"/>
      <c r="AG36" s="1443"/>
      <c r="AH36" s="1443"/>
      <c r="AI36" s="1443"/>
      <c r="AJ36" s="1443"/>
      <c r="AK36" s="1443"/>
      <c r="AL36" s="1443"/>
      <c r="AM36" s="1443"/>
      <c r="AN36" s="1443"/>
      <c r="AO36" s="1443"/>
      <c r="AP36" s="1443"/>
      <c r="AQ36" s="1443"/>
      <c r="AR36" s="1443"/>
      <c r="AS36" s="1443"/>
      <c r="AT36" s="1443"/>
      <c r="AU36" s="1443"/>
      <c r="AV36" s="1443"/>
      <c r="AW36" s="1443"/>
      <c r="AX36" s="1443"/>
    </row>
    <row r="38" spans="1:50">
      <c r="B38" s="75" t="s">
        <v>124</v>
      </c>
      <c r="C38" s="75"/>
      <c r="E38" s="100" t="s">
        <v>118</v>
      </c>
      <c r="F38" s="21"/>
      <c r="G38" s="101" t="s">
        <v>120</v>
      </c>
      <c r="I38" s="326"/>
      <c r="J38" s="326"/>
      <c r="K38" s="326"/>
      <c r="R38" s="75" t="s">
        <v>124</v>
      </c>
      <c r="S38" s="75"/>
      <c r="U38" s="100" t="s">
        <v>118</v>
      </c>
      <c r="V38" s="21"/>
      <c r="W38" s="101" t="s">
        <v>120</v>
      </c>
      <c r="Y38" s="1361"/>
      <c r="Z38" s="1361"/>
      <c r="AA38" s="1361"/>
      <c r="AB38" s="1361"/>
      <c r="AI38" s="75" t="s">
        <v>124</v>
      </c>
      <c r="AJ38" s="75"/>
      <c r="AL38" s="100" t="s">
        <v>118</v>
      </c>
      <c r="AM38" s="21"/>
      <c r="AN38" s="101" t="s">
        <v>120</v>
      </c>
      <c r="AP38" s="1360" t="s">
        <v>110</v>
      </c>
      <c r="AQ38" s="1360"/>
      <c r="AR38" s="1360"/>
      <c r="AS38" s="1455">
        <v>145</v>
      </c>
    </row>
    <row r="39" spans="1:50">
      <c r="B39" s="2041" t="s">
        <v>119</v>
      </c>
      <c r="C39" s="2041"/>
      <c r="D39" s="102">
        <v>76</v>
      </c>
      <c r="E39" s="21" t="s">
        <v>75</v>
      </c>
      <c r="F39">
        <f>D39/10</f>
        <v>7.6</v>
      </c>
      <c r="G39" s="21" t="s">
        <v>45</v>
      </c>
      <c r="I39" s="326"/>
      <c r="J39" s="326"/>
      <c r="K39" s="326"/>
      <c r="N39" s="21"/>
      <c r="R39" s="4" t="s">
        <v>119</v>
      </c>
      <c r="S39" s="4"/>
      <c r="T39" s="102">
        <v>76.400000000000006</v>
      </c>
      <c r="U39" s="21" t="s">
        <v>75</v>
      </c>
      <c r="V39">
        <f>T39/10</f>
        <v>7.6400000000000006</v>
      </c>
      <c r="W39" s="21" t="s">
        <v>45</v>
      </c>
      <c r="Y39" s="1361"/>
      <c r="Z39" s="1361"/>
      <c r="AA39" s="1361"/>
      <c r="AD39" s="21"/>
      <c r="AI39" s="4" t="s">
        <v>119</v>
      </c>
      <c r="AJ39" s="4"/>
      <c r="AK39" s="102">
        <v>76.400000000000006</v>
      </c>
      <c r="AL39" s="21" t="s">
        <v>75</v>
      </c>
      <c r="AM39">
        <f>AK39/10</f>
        <v>7.6400000000000006</v>
      </c>
      <c r="AN39" s="21" t="s">
        <v>45</v>
      </c>
      <c r="AP39" s="1360" t="s">
        <v>111</v>
      </c>
      <c r="AQ39" s="1360"/>
      <c r="AR39" s="1360"/>
      <c r="AS39" s="1387">
        <v>149.88999999999999</v>
      </c>
      <c r="AU39" s="21"/>
    </row>
    <row r="40" spans="1:50">
      <c r="B40" s="2041" t="s">
        <v>125</v>
      </c>
      <c r="C40" s="2041"/>
      <c r="D40" s="106">
        <v>38</v>
      </c>
      <c r="E40" s="103" t="s">
        <v>75</v>
      </c>
      <c r="F40">
        <f>D40/10</f>
        <v>3.8</v>
      </c>
      <c r="G40" s="21" t="s">
        <v>45</v>
      </c>
      <c r="I40" s="984" t="s">
        <v>110</v>
      </c>
      <c r="J40" s="984"/>
      <c r="K40" s="984"/>
      <c r="L40" s="1455">
        <v>145</v>
      </c>
      <c r="N40" s="1362"/>
      <c r="R40" s="4" t="s">
        <v>125</v>
      </c>
      <c r="S40" s="4"/>
      <c r="T40" s="106">
        <v>38</v>
      </c>
      <c r="U40" s="103" t="s">
        <v>75</v>
      </c>
      <c r="V40">
        <f>T40/10</f>
        <v>3.8</v>
      </c>
      <c r="W40" s="21" t="s">
        <v>45</v>
      </c>
      <c r="Y40" s="1360" t="s">
        <v>110</v>
      </c>
      <c r="Z40" s="1360"/>
      <c r="AA40" s="1360"/>
      <c r="AB40" s="1455">
        <v>145</v>
      </c>
      <c r="AD40" s="1362"/>
      <c r="AI40" s="4" t="s">
        <v>125</v>
      </c>
      <c r="AJ40" s="4"/>
      <c r="AK40" s="106">
        <v>38</v>
      </c>
      <c r="AL40" s="103" t="s">
        <v>75</v>
      </c>
      <c r="AM40">
        <f>AK40/10</f>
        <v>3.8</v>
      </c>
      <c r="AN40" s="21" t="s">
        <v>45</v>
      </c>
      <c r="AP40" s="1360" t="s">
        <v>113</v>
      </c>
      <c r="AQ40" s="1360"/>
      <c r="AR40" s="1360"/>
      <c r="AS40" s="1388">
        <v>104.64</v>
      </c>
      <c r="AU40" s="1362"/>
    </row>
    <row r="41" spans="1:50">
      <c r="B41" s="2041" t="s">
        <v>126</v>
      </c>
      <c r="C41" s="2041"/>
      <c r="D41" s="99">
        <f>(D40^2*3.14)/4</f>
        <v>1133.54</v>
      </c>
      <c r="E41" s="103" t="s">
        <v>107</v>
      </c>
      <c r="F41" s="104">
        <f>(F40^2*3.14)/4</f>
        <v>11.3354</v>
      </c>
      <c r="G41" s="105" t="s">
        <v>121</v>
      </c>
      <c r="I41" s="984" t="s">
        <v>111</v>
      </c>
      <c r="J41" s="984"/>
      <c r="K41" s="984"/>
      <c r="L41" s="1387">
        <v>149</v>
      </c>
      <c r="N41" s="1363"/>
      <c r="R41" s="4" t="s">
        <v>126</v>
      </c>
      <c r="S41" s="4"/>
      <c r="T41" s="99">
        <f>(T40^2*3.14)/4</f>
        <v>1133.54</v>
      </c>
      <c r="U41" s="103" t="s">
        <v>107</v>
      </c>
      <c r="V41" s="104">
        <f>(V40^2*3.14)/4</f>
        <v>11.3354</v>
      </c>
      <c r="W41" s="105" t="s">
        <v>121</v>
      </c>
      <c r="Y41" s="1360" t="s">
        <v>111</v>
      </c>
      <c r="Z41" s="1360"/>
      <c r="AA41" s="1360"/>
      <c r="AB41" s="1387">
        <v>149.87</v>
      </c>
      <c r="AD41" s="1363"/>
      <c r="AI41" s="4" t="s">
        <v>126</v>
      </c>
      <c r="AJ41" s="4"/>
      <c r="AK41" s="99">
        <f>(AK40^2*3.14)/4</f>
        <v>1133.54</v>
      </c>
      <c r="AL41" s="103" t="s">
        <v>107</v>
      </c>
      <c r="AM41" s="104">
        <f>(AM40^2*3.14)/4</f>
        <v>11.3354</v>
      </c>
      <c r="AN41" s="105" t="s">
        <v>121</v>
      </c>
      <c r="AP41" s="1360" t="s">
        <v>114</v>
      </c>
      <c r="AQ41" s="1360"/>
      <c r="AR41" s="1360"/>
      <c r="AS41" s="1456">
        <f>IFERROR(VLOOKUP(AS38,$BA$55:$BB$196,2,0),0)</f>
        <v>0</v>
      </c>
      <c r="AU41" s="1363"/>
    </row>
    <row r="42" spans="1:50">
      <c r="B42" s="2041" t="s">
        <v>127</v>
      </c>
      <c r="C42" s="2041"/>
      <c r="D42" s="99">
        <f>D41*D39</f>
        <v>86149.04</v>
      </c>
      <c r="E42" s="103" t="s">
        <v>122</v>
      </c>
      <c r="F42" s="104">
        <f>F41*F39</f>
        <v>86.149039999999999</v>
      </c>
      <c r="G42" s="105" t="s">
        <v>104</v>
      </c>
      <c r="I42" s="984" t="s">
        <v>113</v>
      </c>
      <c r="J42" s="984"/>
      <c r="K42" s="984"/>
      <c r="L42" s="1388">
        <v>104.09</v>
      </c>
      <c r="N42" s="1363"/>
      <c r="R42" s="4" t="s">
        <v>127</v>
      </c>
      <c r="S42" s="4"/>
      <c r="T42" s="99">
        <f>T41*T39</f>
        <v>86602.456000000006</v>
      </c>
      <c r="U42" s="103" t="s">
        <v>122</v>
      </c>
      <c r="V42" s="104">
        <f>V41*V39</f>
        <v>86.602456000000004</v>
      </c>
      <c r="W42" s="105" t="s">
        <v>104</v>
      </c>
      <c r="Y42" s="1360" t="s">
        <v>113</v>
      </c>
      <c r="Z42" s="1360"/>
      <c r="AA42" s="1360"/>
      <c r="AB42" s="1388">
        <v>104.67</v>
      </c>
      <c r="AD42" s="1363"/>
      <c r="AI42" s="4" t="s">
        <v>127</v>
      </c>
      <c r="AJ42" s="4"/>
      <c r="AK42" s="99">
        <f>AK41*AK39</f>
        <v>86602.456000000006</v>
      </c>
      <c r="AL42" s="103" t="s">
        <v>122</v>
      </c>
      <c r="AM42" s="104">
        <f>AM41*AM39</f>
        <v>86.602456000000004</v>
      </c>
      <c r="AN42" s="105" t="s">
        <v>104</v>
      </c>
      <c r="AP42" s="1360" t="s">
        <v>115</v>
      </c>
      <c r="AQ42" s="1360"/>
      <c r="AR42" s="1360"/>
      <c r="AS42" s="1389">
        <f>AS39-AS41</f>
        <v>149.88999999999999</v>
      </c>
      <c r="AU42" s="1363"/>
    </row>
    <row r="43" spans="1:50">
      <c r="B43" s="2041" t="s">
        <v>73</v>
      </c>
      <c r="C43" s="2041"/>
      <c r="D43" s="42">
        <f>L44/F42</f>
        <v>1.7295607704972684</v>
      </c>
      <c r="E43" t="s">
        <v>123</v>
      </c>
      <c r="F43" s="42"/>
      <c r="I43" s="984" t="s">
        <v>114</v>
      </c>
      <c r="J43" s="984"/>
      <c r="K43" s="984"/>
      <c r="L43" s="1456">
        <f>IFERROR(VLOOKUP(L40,$BA$55:$BB$196,2,0),0)</f>
        <v>0</v>
      </c>
      <c r="N43" s="1364"/>
      <c r="R43" s="4" t="s">
        <v>73</v>
      </c>
      <c r="S43" s="4"/>
      <c r="T43" s="78">
        <f>AB44/V42</f>
        <v>1.7305513829769446</v>
      </c>
      <c r="U43" t="s">
        <v>123</v>
      </c>
      <c r="V43" s="78"/>
      <c r="Y43" s="1360" t="s">
        <v>114</v>
      </c>
      <c r="Z43" s="1360"/>
      <c r="AA43" s="1360"/>
      <c r="AB43" s="1456">
        <f>IFERROR(VLOOKUP(AB40,$BA$55:$BB$196,2,0),0)</f>
        <v>0</v>
      </c>
      <c r="AD43" s="1364"/>
      <c r="AI43" s="4" t="s">
        <v>73</v>
      </c>
      <c r="AJ43" s="4"/>
      <c r="AK43" s="78">
        <f>AS42/AM42</f>
        <v>1.7307823233096298</v>
      </c>
      <c r="AL43" t="s">
        <v>123</v>
      </c>
      <c r="AM43" s="78"/>
      <c r="AP43" s="1360" t="s">
        <v>116</v>
      </c>
      <c r="AQ43" s="1360"/>
      <c r="AR43" s="1360"/>
      <c r="AS43" s="1389">
        <f>AS40-AS41</f>
        <v>104.64</v>
      </c>
      <c r="AU43" s="1364"/>
    </row>
    <row r="44" spans="1:50">
      <c r="B44" s="2041" t="s">
        <v>108</v>
      </c>
      <c r="C44" s="2041"/>
      <c r="D44" s="42">
        <f>L47</f>
        <v>43.145354981266209</v>
      </c>
      <c r="E44" t="s">
        <v>34</v>
      </c>
      <c r="I44" s="984" t="s">
        <v>115</v>
      </c>
      <c r="J44" s="984"/>
      <c r="K44" s="984"/>
      <c r="L44" s="1389">
        <f>L41-L43</f>
        <v>149</v>
      </c>
      <c r="N44" s="42"/>
      <c r="R44" s="4" t="s">
        <v>108</v>
      </c>
      <c r="S44" s="4"/>
      <c r="T44" s="78">
        <f>AB47</f>
        <v>43.18333811025127</v>
      </c>
      <c r="U44" t="s">
        <v>34</v>
      </c>
      <c r="V44" s="21"/>
      <c r="Y44" s="1360" t="s">
        <v>115</v>
      </c>
      <c r="Z44" s="1360"/>
      <c r="AA44" s="1360"/>
      <c r="AB44" s="1389">
        <f>AB41-AB43</f>
        <v>149.87</v>
      </c>
      <c r="AD44" s="42"/>
      <c r="AI44" s="4" t="s">
        <v>108</v>
      </c>
      <c r="AJ44" s="4"/>
      <c r="AK44" s="78">
        <f>AS45</f>
        <v>43.243501529051976</v>
      </c>
      <c r="AL44" t="s">
        <v>34</v>
      </c>
      <c r="AM44" s="21"/>
      <c r="AP44" s="1360" t="s">
        <v>117</v>
      </c>
      <c r="AQ44" s="1360"/>
      <c r="AR44" s="1360"/>
      <c r="AS44" s="1389">
        <f>AS42-AS43</f>
        <v>45.249999999999986</v>
      </c>
      <c r="AU44" s="42"/>
    </row>
    <row r="45" spans="1:50">
      <c r="B45" s="2041" t="s">
        <v>109</v>
      </c>
      <c r="C45" s="2041"/>
      <c r="D45" s="42">
        <f>D43/(1+(D44/100))</f>
        <v>1.2082549033628232</v>
      </c>
      <c r="E45" t="s">
        <v>123</v>
      </c>
      <c r="F45" s="42"/>
      <c r="I45" s="984" t="s">
        <v>116</v>
      </c>
      <c r="J45" s="984"/>
      <c r="K45" s="984"/>
      <c r="L45" s="1389">
        <f>L42-L43</f>
        <v>104.09</v>
      </c>
      <c r="N45" s="42"/>
      <c r="R45" s="4" t="s">
        <v>109</v>
      </c>
      <c r="S45" s="4"/>
      <c r="T45" s="42">
        <f>T43/(1+(T44/100))</f>
        <v>1.2086262311082723</v>
      </c>
      <c r="U45" t="s">
        <v>123</v>
      </c>
      <c r="V45" s="78"/>
      <c r="Y45" s="1360" t="s">
        <v>116</v>
      </c>
      <c r="Z45" s="1360"/>
      <c r="AA45" s="1360"/>
      <c r="AB45" s="1389">
        <f>AB42-AB43</f>
        <v>104.67</v>
      </c>
      <c r="AD45" s="42"/>
      <c r="AI45" s="4" t="s">
        <v>109</v>
      </c>
      <c r="AJ45" s="4"/>
      <c r="AK45" s="42">
        <f>AK43/(1+(AK44/100))</f>
        <v>1.2082798206092444</v>
      </c>
      <c r="AL45" t="s">
        <v>123</v>
      </c>
      <c r="AM45" s="78"/>
      <c r="AP45" s="1360" t="s">
        <v>108</v>
      </c>
      <c r="AQ45" s="1360"/>
      <c r="AR45" s="1360"/>
      <c r="AS45" s="1389">
        <f>(AS44/AS43)*100</f>
        <v>43.243501529051976</v>
      </c>
      <c r="AU45" s="42"/>
    </row>
    <row r="46" spans="1:50">
      <c r="E46" s="96"/>
      <c r="F46" s="42"/>
      <c r="I46" s="984" t="s">
        <v>117</v>
      </c>
      <c r="J46" s="984"/>
      <c r="K46" s="984"/>
      <c r="L46" s="1389">
        <f>L44-L45</f>
        <v>44.91</v>
      </c>
      <c r="N46" s="42"/>
      <c r="U46" s="96"/>
      <c r="V46" s="42"/>
      <c r="Y46" s="1360" t="s">
        <v>117</v>
      </c>
      <c r="Z46" s="1360"/>
      <c r="AA46" s="1360"/>
      <c r="AB46" s="1389">
        <f>AB44-AB45</f>
        <v>45.2</v>
      </c>
      <c r="AD46" s="42"/>
      <c r="AL46" s="96"/>
      <c r="AM46" s="42"/>
      <c r="AU46" s="42"/>
    </row>
    <row r="47" spans="1:50">
      <c r="E47" s="96"/>
      <c r="F47" s="42"/>
      <c r="I47" s="984" t="s">
        <v>108</v>
      </c>
      <c r="J47" s="984"/>
      <c r="K47" s="984"/>
      <c r="L47" s="1389">
        <f>(L46/L45)*100</f>
        <v>43.145354981266209</v>
      </c>
      <c r="N47" s="42"/>
      <c r="U47" s="96"/>
      <c r="V47" s="42"/>
      <c r="Y47" s="1360" t="s">
        <v>108</v>
      </c>
      <c r="Z47" s="1360"/>
      <c r="AA47" s="1360"/>
      <c r="AB47" s="1389">
        <f>(AB46/AB45)*100</f>
        <v>43.18333811025127</v>
      </c>
      <c r="AD47" s="42"/>
      <c r="AL47" s="96"/>
      <c r="AM47" s="42"/>
      <c r="AU47" s="42"/>
    </row>
    <row r="48" spans="1:50">
      <c r="E48" s="96"/>
      <c r="F48" s="42"/>
    </row>
    <row r="49" spans="1:54">
      <c r="E49" s="96"/>
      <c r="F49" s="42"/>
    </row>
    <row r="50" spans="1:54" s="1445" customFormat="1" ht="25.5" customHeight="1">
      <c r="A50" s="1443"/>
      <c r="B50" s="1442" t="s">
        <v>76</v>
      </c>
      <c r="C50" s="1443"/>
      <c r="D50" s="1443"/>
      <c r="E50" s="1443"/>
      <c r="F50" s="1443"/>
      <c r="G50" s="1443"/>
      <c r="H50" s="1443"/>
      <c r="I50" s="1443"/>
      <c r="J50" s="1443"/>
      <c r="K50" s="1443"/>
      <c r="L50" s="1443"/>
      <c r="M50" s="1443"/>
      <c r="N50" s="1443"/>
      <c r="O50" s="1443"/>
      <c r="P50" s="1443"/>
      <c r="Q50" s="1443"/>
      <c r="R50" s="1443"/>
      <c r="S50" s="1443"/>
      <c r="T50" s="1443"/>
      <c r="U50" s="1443"/>
      <c r="V50" s="1443"/>
      <c r="W50" s="1443"/>
      <c r="X50" s="1443"/>
      <c r="Y50" s="1443"/>
      <c r="Z50" s="1443"/>
      <c r="AA50" s="1443"/>
      <c r="AB50" s="1443"/>
      <c r="AC50" s="1443"/>
      <c r="AD50" s="1443"/>
      <c r="AE50" s="1443"/>
      <c r="AF50" s="1443"/>
      <c r="AG50" s="1443"/>
      <c r="AH50" s="1443"/>
      <c r="AI50" s="1443"/>
      <c r="AJ50" s="1443"/>
      <c r="AK50" s="1443"/>
      <c r="AL50" s="1443"/>
      <c r="AM50" s="1443"/>
      <c r="AN50" s="1443"/>
      <c r="AO50" s="1443"/>
      <c r="AP50" s="1443"/>
      <c r="AQ50" s="1443"/>
      <c r="AR50" s="1443"/>
      <c r="AS50" s="1443"/>
      <c r="AT50" s="1443"/>
      <c r="AU50" s="1443"/>
      <c r="AV50" s="1443"/>
      <c r="AW50" s="1443"/>
      <c r="AX50" s="1443"/>
    </row>
    <row r="52" spans="1:54" ht="33.950000000000003" customHeight="1">
      <c r="B52" s="44" t="s">
        <v>77</v>
      </c>
      <c r="C52" s="45" t="s">
        <v>78</v>
      </c>
      <c r="D52" s="45" t="s">
        <v>79</v>
      </c>
      <c r="E52" s="46" t="s">
        <v>80</v>
      </c>
      <c r="F52" s="2055" t="s">
        <v>81</v>
      </c>
      <c r="G52" s="2057" t="s">
        <v>82</v>
      </c>
      <c r="H52" s="2058"/>
      <c r="I52" s="2059"/>
      <c r="J52" s="2052" t="s">
        <v>83</v>
      </c>
      <c r="K52" s="2053"/>
      <c r="L52" s="2053"/>
      <c r="M52" s="2053"/>
      <c r="N52" s="2053"/>
      <c r="P52" s="1319"/>
      <c r="S52" s="1390" t="s">
        <v>77</v>
      </c>
      <c r="T52" s="1390" t="s">
        <v>78</v>
      </c>
      <c r="U52" s="1390" t="s">
        <v>79</v>
      </c>
      <c r="V52" s="1391" t="s">
        <v>80</v>
      </c>
      <c r="W52" s="2085" t="s">
        <v>81</v>
      </c>
      <c r="X52" s="2085" t="s">
        <v>82</v>
      </c>
      <c r="Y52" s="2085"/>
      <c r="Z52" s="2085"/>
      <c r="AA52" s="2082" t="s">
        <v>83</v>
      </c>
      <c r="AB52" s="2082"/>
      <c r="AC52" s="2082"/>
      <c r="AD52" s="2082"/>
      <c r="AE52" s="2082"/>
      <c r="AF52" s="1319"/>
      <c r="AJ52" s="1392" t="s">
        <v>77</v>
      </c>
      <c r="AK52" s="1392" t="s">
        <v>78</v>
      </c>
      <c r="AL52" s="1392" t="s">
        <v>79</v>
      </c>
      <c r="AM52" s="8" t="s">
        <v>80</v>
      </c>
      <c r="AN52" s="2085" t="s">
        <v>81</v>
      </c>
      <c r="AO52" s="2085" t="s">
        <v>82</v>
      </c>
      <c r="AP52" s="2085"/>
      <c r="AQ52" s="2085"/>
      <c r="AR52" s="2082" t="s">
        <v>83</v>
      </c>
      <c r="AS52" s="2082"/>
      <c r="AT52" s="2082"/>
      <c r="AU52" s="2082"/>
      <c r="AV52" s="2082"/>
      <c r="AW52" s="1319"/>
    </row>
    <row r="53" spans="1:54" ht="47.25">
      <c r="B53" s="47" t="s">
        <v>84</v>
      </c>
      <c r="C53" s="48" t="s">
        <v>84</v>
      </c>
      <c r="D53" s="48" t="s">
        <v>84</v>
      </c>
      <c r="E53" s="48" t="s">
        <v>84</v>
      </c>
      <c r="F53" s="2083"/>
      <c r="G53" s="48" t="s">
        <v>85</v>
      </c>
      <c r="H53" s="48" t="s">
        <v>86</v>
      </c>
      <c r="I53" s="48" t="s">
        <v>87</v>
      </c>
      <c r="J53" s="49" t="s">
        <v>85</v>
      </c>
      <c r="K53" s="50" t="s">
        <v>86</v>
      </c>
      <c r="L53" s="168" t="s">
        <v>87</v>
      </c>
      <c r="M53" s="1316" t="s">
        <v>88</v>
      </c>
      <c r="N53" s="1316" t="s">
        <v>89</v>
      </c>
      <c r="S53" s="1393" t="s">
        <v>84</v>
      </c>
      <c r="T53" s="1393" t="s">
        <v>84</v>
      </c>
      <c r="U53" s="1393" t="s">
        <v>84</v>
      </c>
      <c r="V53" s="1393" t="s">
        <v>84</v>
      </c>
      <c r="W53" s="2086"/>
      <c r="X53" s="1393" t="s">
        <v>85</v>
      </c>
      <c r="Y53" s="1393" t="s">
        <v>86</v>
      </c>
      <c r="Z53" s="1393" t="s">
        <v>87</v>
      </c>
      <c r="AA53" s="1395" t="s">
        <v>85</v>
      </c>
      <c r="AB53" s="1393" t="s">
        <v>86</v>
      </c>
      <c r="AC53" s="1394" t="s">
        <v>87</v>
      </c>
      <c r="AD53" s="1396" t="s">
        <v>88</v>
      </c>
      <c r="AE53" s="1396" t="s">
        <v>89</v>
      </c>
      <c r="AJ53" s="1393" t="s">
        <v>84</v>
      </c>
      <c r="AK53" s="1393" t="s">
        <v>84</v>
      </c>
      <c r="AL53" s="1393" t="s">
        <v>84</v>
      </c>
      <c r="AM53" s="1393" t="s">
        <v>84</v>
      </c>
      <c r="AN53" s="2086"/>
      <c r="AO53" s="1393" t="s">
        <v>85</v>
      </c>
      <c r="AP53" s="1393" t="s">
        <v>86</v>
      </c>
      <c r="AQ53" s="1393" t="s">
        <v>87</v>
      </c>
      <c r="AR53" s="1395" t="s">
        <v>85</v>
      </c>
      <c r="AS53" s="1393" t="s">
        <v>86</v>
      </c>
      <c r="AT53" s="1394" t="s">
        <v>87</v>
      </c>
      <c r="AU53" s="1426" t="s">
        <v>88</v>
      </c>
      <c r="AV53" s="1426" t="s">
        <v>89</v>
      </c>
      <c r="AW53" s="326"/>
    </row>
    <row r="54" spans="1:54">
      <c r="B54" s="52"/>
      <c r="C54" s="54"/>
      <c r="D54" s="54"/>
      <c r="E54" s="55"/>
      <c r="F54" s="56"/>
      <c r="G54" s="55"/>
      <c r="H54" s="55"/>
      <c r="I54" s="55"/>
      <c r="J54" s="55"/>
      <c r="K54" s="56"/>
      <c r="L54" s="58"/>
      <c r="M54" s="58"/>
      <c r="N54" s="1317"/>
      <c r="P54" s="21"/>
      <c r="S54" s="1397"/>
      <c r="T54" s="984"/>
      <c r="U54" s="984"/>
      <c r="V54" s="1398"/>
      <c r="W54" s="1399"/>
      <c r="X54" s="1398"/>
      <c r="Y54" s="1398"/>
      <c r="Z54" s="1398"/>
      <c r="AA54" s="1400"/>
      <c r="AB54" s="1401"/>
      <c r="AC54" s="1402"/>
      <c r="AD54" s="1400"/>
      <c r="AE54" s="1400"/>
      <c r="AJ54" s="1427"/>
      <c r="AK54" s="1394"/>
      <c r="AL54" s="1394"/>
      <c r="AM54" s="1393"/>
      <c r="AN54" s="1395"/>
      <c r="AO54" s="1393"/>
      <c r="AP54" s="1393"/>
      <c r="AQ54" s="1393"/>
      <c r="AR54" s="1393"/>
      <c r="AS54" s="1428"/>
      <c r="AT54" s="1429"/>
      <c r="AU54" s="1393"/>
      <c r="AV54" s="1393"/>
      <c r="AW54" s="326"/>
      <c r="BA54" s="1384" t="s">
        <v>366</v>
      </c>
      <c r="BB54" s="1375"/>
    </row>
    <row r="55" spans="1:54">
      <c r="B55" s="59">
        <v>0</v>
      </c>
      <c r="C55" s="60">
        <v>0</v>
      </c>
      <c r="D55">
        <v>0</v>
      </c>
      <c r="E55" s="61"/>
      <c r="F55" s="62"/>
      <c r="G55" s="61"/>
      <c r="H55" s="61"/>
      <c r="I55" s="61"/>
      <c r="J55" s="61"/>
      <c r="K55" s="62"/>
      <c r="L55" s="64"/>
      <c r="M55" s="64"/>
      <c r="N55" s="1318"/>
      <c r="S55" s="1403">
        <v>0</v>
      </c>
      <c r="T55" s="1403">
        <v>0</v>
      </c>
      <c r="U55" s="1419">
        <v>0</v>
      </c>
      <c r="V55" s="1398"/>
      <c r="W55" s="1399"/>
      <c r="X55" s="1398"/>
      <c r="Y55" s="1398"/>
      <c r="Z55" s="1398"/>
      <c r="AA55" s="1400"/>
      <c r="AB55" s="1401"/>
      <c r="AC55" s="1402"/>
      <c r="AD55" s="1404"/>
      <c r="AE55" s="1404"/>
      <c r="AJ55" s="1430">
        <v>0</v>
      </c>
      <c r="AK55" s="1430">
        <v>0</v>
      </c>
      <c r="AL55" s="1431">
        <v>0</v>
      </c>
      <c r="AM55" s="1393"/>
      <c r="AN55" s="1395"/>
      <c r="AO55" s="1393"/>
      <c r="AP55" s="1393"/>
      <c r="AQ55" s="1393"/>
      <c r="AR55" s="1393"/>
      <c r="AS55" s="1428"/>
      <c r="AT55" s="1429"/>
      <c r="AU55" s="1394"/>
      <c r="AV55" s="1394"/>
      <c r="AW55" s="326"/>
      <c r="BA55" s="1376">
        <v>1</v>
      </c>
      <c r="BB55" s="1377">
        <v>9.0299999999999994</v>
      </c>
    </row>
    <row r="56" spans="1:54">
      <c r="B56" s="59">
        <v>50</v>
      </c>
      <c r="C56" s="60" t="s">
        <v>90</v>
      </c>
      <c r="D56" s="163">
        <v>10</v>
      </c>
      <c r="E56" s="61">
        <f>D56</f>
        <v>10</v>
      </c>
      <c r="F56" s="66">
        <f>E56/(B56-B55)</f>
        <v>0.2</v>
      </c>
      <c r="G56" s="61"/>
      <c r="H56" s="61"/>
      <c r="I56" s="61"/>
      <c r="J56" s="164">
        <v>18.100000000000001</v>
      </c>
      <c r="K56" s="164">
        <v>23.1</v>
      </c>
      <c r="L56" s="166">
        <f>ABS(K56-J56)</f>
        <v>5</v>
      </c>
      <c r="M56" s="64"/>
      <c r="N56" s="1318"/>
      <c r="S56" s="1403">
        <v>50</v>
      </c>
      <c r="T56" s="1403" t="s">
        <v>90</v>
      </c>
      <c r="U56" s="1420">
        <v>12</v>
      </c>
      <c r="V56" s="1398">
        <f>ABS(U56-U55)</f>
        <v>12</v>
      </c>
      <c r="W56" s="1405">
        <f>V56/(S56-S55)</f>
        <v>0.24</v>
      </c>
      <c r="X56" s="1398"/>
      <c r="Y56" s="1398"/>
      <c r="Z56" s="1398"/>
      <c r="AA56" s="1406">
        <v>17.100000000000001</v>
      </c>
      <c r="AB56" s="1406">
        <v>18.7</v>
      </c>
      <c r="AC56" s="1407">
        <f>ABS(AB56-AA56)</f>
        <v>1.5999999999999979</v>
      </c>
      <c r="AD56" s="1408">
        <f>AC56</f>
        <v>1.5999999999999979</v>
      </c>
      <c r="AE56" s="1404"/>
      <c r="AJ56" s="1430">
        <v>50</v>
      </c>
      <c r="AK56" s="1430" t="s">
        <v>90</v>
      </c>
      <c r="AL56" s="1432">
        <v>10</v>
      </c>
      <c r="AM56" s="1393">
        <f>ABS(AL56-AL55)</f>
        <v>10</v>
      </c>
      <c r="AN56" s="1374">
        <f>AM56/(AJ56-AJ55)</f>
        <v>0.2</v>
      </c>
      <c r="AO56" s="1393"/>
      <c r="AP56" s="1393"/>
      <c r="AQ56" s="1393"/>
      <c r="AR56" s="1433"/>
      <c r="AS56" s="1434"/>
      <c r="AT56" s="1429"/>
      <c r="AU56" s="1394"/>
      <c r="AV56" s="1394"/>
      <c r="AW56" s="326"/>
      <c r="BA56" s="1378">
        <v>2</v>
      </c>
      <c r="BB56" s="1379">
        <v>8.8420000000000005</v>
      </c>
    </row>
    <row r="57" spans="1:54">
      <c r="B57" s="59">
        <v>50</v>
      </c>
      <c r="C57" s="60">
        <v>40</v>
      </c>
      <c r="D57" s="163">
        <v>40</v>
      </c>
      <c r="E57" s="61"/>
      <c r="F57" s="66"/>
      <c r="G57" s="164">
        <v>22.4</v>
      </c>
      <c r="H57" s="115">
        <f>G59</f>
        <v>23.7</v>
      </c>
      <c r="I57" s="62">
        <f>ABS(G57-H57)</f>
        <v>1.3000000000000007</v>
      </c>
      <c r="J57" s="163"/>
      <c r="K57" s="164"/>
      <c r="L57" s="167"/>
      <c r="M57" s="64"/>
      <c r="N57" s="1318"/>
      <c r="S57" s="1403">
        <v>50</v>
      </c>
      <c r="T57" s="1403">
        <v>40</v>
      </c>
      <c r="U57" s="1420">
        <v>40</v>
      </c>
      <c r="V57" s="1398"/>
      <c r="W57" s="1409"/>
      <c r="X57" s="1410">
        <v>24</v>
      </c>
      <c r="Y57" s="1411">
        <f>X59</f>
        <v>24.8</v>
      </c>
      <c r="Z57" s="1399">
        <f>ABS(X57-Y57)</f>
        <v>0.80000000000000071</v>
      </c>
      <c r="AA57" s="1412"/>
      <c r="AB57" s="1413"/>
      <c r="AC57" s="1402"/>
      <c r="AD57" s="1408"/>
      <c r="AE57" s="1408">
        <f>Z57</f>
        <v>0.80000000000000071</v>
      </c>
      <c r="AJ57" s="1430">
        <v>50</v>
      </c>
      <c r="AK57" s="1430">
        <v>40</v>
      </c>
      <c r="AL57" s="1432">
        <v>40</v>
      </c>
      <c r="AM57" s="1393"/>
      <c r="AN57" s="1374"/>
      <c r="AO57" s="1435">
        <v>20</v>
      </c>
      <c r="AP57" s="1436">
        <f>AO59</f>
        <v>22.3</v>
      </c>
      <c r="AQ57" s="1395">
        <f>ABS(AO57-AP57)</f>
        <v>2.3000000000000007</v>
      </c>
      <c r="AR57" s="1433"/>
      <c r="AS57" s="1434"/>
      <c r="AT57" s="1429"/>
      <c r="AU57" s="1394"/>
      <c r="AV57" s="1394"/>
      <c r="AW57" s="326"/>
      <c r="BA57" s="1378">
        <v>3</v>
      </c>
      <c r="BB57" s="1380">
        <v>9.0410000000000004</v>
      </c>
    </row>
    <row r="58" spans="1:54">
      <c r="B58" s="59">
        <v>100</v>
      </c>
      <c r="C58" s="60" t="s">
        <v>90</v>
      </c>
      <c r="D58" s="163">
        <v>66</v>
      </c>
      <c r="E58" s="61">
        <f>ABS(D58-D57)</f>
        <v>26</v>
      </c>
      <c r="F58" s="66">
        <f>E58/(B58-B57)</f>
        <v>0.52</v>
      </c>
      <c r="G58" s="164"/>
      <c r="H58" s="115"/>
      <c r="I58" s="62"/>
      <c r="J58" s="164">
        <v>23.1</v>
      </c>
      <c r="K58" s="164">
        <v>26.3</v>
      </c>
      <c r="L58" s="166">
        <f>ABS(K58-J58)</f>
        <v>3.1999999999999993</v>
      </c>
      <c r="M58" s="64"/>
      <c r="N58" s="1318"/>
      <c r="S58" s="1403">
        <v>100</v>
      </c>
      <c r="T58" s="1403" t="s">
        <v>90</v>
      </c>
      <c r="U58" s="1420">
        <v>68</v>
      </c>
      <c r="V58" s="1398">
        <f>ABS(U58-U57)</f>
        <v>28</v>
      </c>
      <c r="W58" s="1409">
        <f>V58/(S58-S57)</f>
        <v>0.56000000000000005</v>
      </c>
      <c r="X58" s="1410"/>
      <c r="Y58" s="1411"/>
      <c r="Z58" s="1399"/>
      <c r="AA58" s="1406">
        <v>18.7</v>
      </c>
      <c r="AB58" s="1406">
        <v>22.4</v>
      </c>
      <c r="AC58" s="1407">
        <f>ABS(AB58-AA58)</f>
        <v>3.6999999999999993</v>
      </c>
      <c r="AD58" s="1408">
        <f>AC58</f>
        <v>3.6999999999999993</v>
      </c>
      <c r="AE58" s="1408"/>
      <c r="AJ58" s="1430">
        <v>100</v>
      </c>
      <c r="AK58" s="1430" t="s">
        <v>90</v>
      </c>
      <c r="AL58" s="1432">
        <v>62</v>
      </c>
      <c r="AM58" s="1393">
        <f>ABS(AL58-AL57)</f>
        <v>22</v>
      </c>
      <c r="AN58" s="1374">
        <f>AM58/(AJ58-AJ57)</f>
        <v>0.44</v>
      </c>
      <c r="AO58" s="1435"/>
      <c r="AP58" s="1436"/>
      <c r="AQ58" s="1395"/>
      <c r="AR58" s="1433"/>
      <c r="AS58" s="1434"/>
      <c r="AT58" s="1429"/>
      <c r="AU58" s="1394"/>
      <c r="AV58" s="1394"/>
      <c r="AW58" s="326"/>
      <c r="BA58" s="1381">
        <v>4</v>
      </c>
      <c r="BB58" s="1379">
        <v>8.9359999999999999</v>
      </c>
    </row>
    <row r="59" spans="1:54">
      <c r="B59" s="59">
        <v>100</v>
      </c>
      <c r="C59" s="60">
        <v>90</v>
      </c>
      <c r="D59" s="163">
        <v>90</v>
      </c>
      <c r="E59" s="61"/>
      <c r="F59" s="66"/>
      <c r="G59" s="164">
        <v>23.7</v>
      </c>
      <c r="H59" s="115">
        <f>G61</f>
        <v>26.4</v>
      </c>
      <c r="I59" s="62">
        <f>ABS(G59-H59)</f>
        <v>2.6999999999999993</v>
      </c>
      <c r="J59" s="163"/>
      <c r="K59" s="164"/>
      <c r="L59" s="167"/>
      <c r="M59" s="64"/>
      <c r="N59" s="1318"/>
      <c r="S59" s="1403">
        <v>100</v>
      </c>
      <c r="T59" s="1403">
        <v>90</v>
      </c>
      <c r="U59" s="1420">
        <v>90</v>
      </c>
      <c r="V59" s="1398"/>
      <c r="W59" s="1409"/>
      <c r="X59" s="1410">
        <v>24.8</v>
      </c>
      <c r="Y59" s="1411">
        <f>X61</f>
        <v>25.1</v>
      </c>
      <c r="Z59" s="1399">
        <f>ABS(X59-Y59)</f>
        <v>0.30000000000000071</v>
      </c>
      <c r="AA59" s="1412"/>
      <c r="AB59" s="1413"/>
      <c r="AC59" s="1402"/>
      <c r="AD59" s="1408"/>
      <c r="AE59" s="1408">
        <f>Z59</f>
        <v>0.30000000000000071</v>
      </c>
      <c r="AJ59" s="1430">
        <v>100</v>
      </c>
      <c r="AK59" s="1430">
        <v>90</v>
      </c>
      <c r="AL59" s="1432">
        <v>90</v>
      </c>
      <c r="AM59" s="1393"/>
      <c r="AN59" s="1374"/>
      <c r="AO59" s="1435">
        <v>22.3</v>
      </c>
      <c r="AP59" s="1436">
        <f>AO61</f>
        <v>25.5</v>
      </c>
      <c r="AQ59" s="1395">
        <f>ABS(AO59-AP59)</f>
        <v>3.1999999999999993</v>
      </c>
      <c r="AR59" s="1433"/>
      <c r="AS59" s="1434"/>
      <c r="AT59" s="1429"/>
      <c r="AU59" s="1394"/>
      <c r="AV59" s="1394"/>
      <c r="AW59" s="326"/>
      <c r="BA59" s="1381">
        <v>5</v>
      </c>
      <c r="BB59" s="1379">
        <v>8.8559999999999999</v>
      </c>
    </row>
    <row r="60" spans="1:54">
      <c r="B60" s="59">
        <v>150</v>
      </c>
      <c r="C60" s="60" t="s">
        <v>90</v>
      </c>
      <c r="D60" s="163">
        <v>130</v>
      </c>
      <c r="E60" s="61">
        <f>ABS(D60-D59)</f>
        <v>40</v>
      </c>
      <c r="F60" s="66">
        <f>E60/(B60-B59)</f>
        <v>0.8</v>
      </c>
      <c r="G60" s="164"/>
      <c r="H60" s="115"/>
      <c r="I60" s="62"/>
      <c r="J60" s="164">
        <v>26.3</v>
      </c>
      <c r="K60" s="164">
        <v>27.9</v>
      </c>
      <c r="L60" s="166">
        <f>ABS(K60-J60)</f>
        <v>1.5999999999999979</v>
      </c>
      <c r="M60" s="64"/>
      <c r="N60" s="1318"/>
      <c r="S60" s="1403">
        <v>150</v>
      </c>
      <c r="T60" s="1403" t="s">
        <v>90</v>
      </c>
      <c r="U60" s="1420">
        <v>130</v>
      </c>
      <c r="V60" s="1398">
        <f>ABS(U60-U59)</f>
        <v>40</v>
      </c>
      <c r="W60" s="1409">
        <f>V60/(S60-S59)</f>
        <v>0.8</v>
      </c>
      <c r="X60" s="1410"/>
      <c r="Y60" s="1411"/>
      <c r="Z60" s="1399"/>
      <c r="AA60" s="1406">
        <v>22.4</v>
      </c>
      <c r="AB60" s="1406">
        <v>24.2</v>
      </c>
      <c r="AC60" s="1407">
        <f>ABS(AB60-AA60)</f>
        <v>1.8000000000000007</v>
      </c>
      <c r="AD60" s="1408">
        <f>AC60</f>
        <v>1.8000000000000007</v>
      </c>
      <c r="AE60" s="1408"/>
      <c r="AJ60" s="1430">
        <v>150</v>
      </c>
      <c r="AK60" s="1430" t="s">
        <v>90</v>
      </c>
      <c r="AL60" s="1432">
        <v>124</v>
      </c>
      <c r="AM60" s="1393">
        <f>ABS(AL60-AL59)</f>
        <v>34</v>
      </c>
      <c r="AN60" s="1374">
        <f>AM60/(AJ60-AJ59)</f>
        <v>0.68</v>
      </c>
      <c r="AO60" s="1435"/>
      <c r="AP60" s="1436"/>
      <c r="AQ60" s="1395"/>
      <c r="AR60" s="1433"/>
      <c r="AS60" s="1434"/>
      <c r="AT60" s="1429"/>
      <c r="AU60" s="1394"/>
      <c r="AV60" s="1394"/>
      <c r="AW60" s="326"/>
      <c r="BA60" s="1381">
        <v>6</v>
      </c>
      <c r="BB60" s="1379">
        <v>8.7260000000000009</v>
      </c>
    </row>
    <row r="61" spans="1:54">
      <c r="B61" s="59">
        <v>150</v>
      </c>
      <c r="C61" s="60">
        <v>190</v>
      </c>
      <c r="D61" s="163">
        <v>140</v>
      </c>
      <c r="E61" s="61"/>
      <c r="F61" s="66"/>
      <c r="G61" s="164">
        <v>26.4</v>
      </c>
      <c r="H61" s="115">
        <f>G63</f>
        <v>27.4</v>
      </c>
      <c r="I61" s="62">
        <f>ABS(G61-H61)</f>
        <v>1</v>
      </c>
      <c r="J61" s="165"/>
      <c r="K61" s="164"/>
      <c r="L61" s="167"/>
      <c r="M61" s="64"/>
      <c r="N61" s="1318"/>
      <c r="S61" s="1403">
        <v>150</v>
      </c>
      <c r="T61" s="1403">
        <v>190</v>
      </c>
      <c r="U61" s="1420">
        <v>140</v>
      </c>
      <c r="V61" s="1398"/>
      <c r="W61" s="1409"/>
      <c r="X61" s="1410">
        <v>25.1</v>
      </c>
      <c r="Y61" s="1411">
        <f>X63</f>
        <v>26.3</v>
      </c>
      <c r="Z61" s="1399">
        <f>ABS(X61-Y61)</f>
        <v>1.1999999999999993</v>
      </c>
      <c r="AA61" s="1414"/>
      <c r="AB61" s="1413"/>
      <c r="AC61" s="1402"/>
      <c r="AD61" s="1408"/>
      <c r="AE61" s="1408">
        <f>Z61</f>
        <v>1.1999999999999993</v>
      </c>
      <c r="AJ61" s="1430">
        <v>150</v>
      </c>
      <c r="AK61" s="1430">
        <v>190</v>
      </c>
      <c r="AL61" s="1432">
        <v>140</v>
      </c>
      <c r="AM61" s="1393"/>
      <c r="AN61" s="1374"/>
      <c r="AO61" s="1435">
        <v>25.5</v>
      </c>
      <c r="AP61" s="1436">
        <f>AO63</f>
        <v>26.2</v>
      </c>
      <c r="AQ61" s="1395">
        <f>ABS(AO61-AP61)</f>
        <v>0.69999999999999929</v>
      </c>
      <c r="AR61" s="1437"/>
      <c r="AS61" s="1434"/>
      <c r="AT61" s="1429"/>
      <c r="AU61" s="1394"/>
      <c r="AV61" s="1394"/>
      <c r="AW61" s="326"/>
      <c r="BA61" s="1381">
        <v>7</v>
      </c>
      <c r="BB61" s="1379">
        <v>8.8819999999999997</v>
      </c>
    </row>
    <row r="62" spans="1:54">
      <c r="B62" s="59">
        <v>200</v>
      </c>
      <c r="C62" s="60" t="s">
        <v>90</v>
      </c>
      <c r="D62" s="163">
        <v>185</v>
      </c>
      <c r="E62" s="61">
        <f>ABS(D62-D61)</f>
        <v>45</v>
      </c>
      <c r="F62" s="66">
        <f>E62/(B62-B61)</f>
        <v>0.9</v>
      </c>
      <c r="G62" s="164"/>
      <c r="H62" s="69"/>
      <c r="I62" s="62"/>
      <c r="J62" s="164">
        <v>27.9</v>
      </c>
      <c r="K62" s="164">
        <v>28.2</v>
      </c>
      <c r="L62" s="166">
        <f>ABS(K62-J62)</f>
        <v>0.30000000000000071</v>
      </c>
      <c r="M62" s="64"/>
      <c r="N62" s="1318"/>
      <c r="S62" s="1403">
        <v>200</v>
      </c>
      <c r="T62" s="1403" t="s">
        <v>90</v>
      </c>
      <c r="U62" s="1420">
        <v>184</v>
      </c>
      <c r="V62" s="1398">
        <f>ABS(U62-U61)</f>
        <v>44</v>
      </c>
      <c r="W62" s="1409">
        <f>V62/(S62-S61)</f>
        <v>0.88</v>
      </c>
      <c r="X62" s="1410"/>
      <c r="Y62" s="1415"/>
      <c r="Z62" s="1399"/>
      <c r="AA62" s="1406">
        <v>24.2</v>
      </c>
      <c r="AB62" s="1406">
        <v>26.2</v>
      </c>
      <c r="AC62" s="1407">
        <f>ABS(AB62-AA62)</f>
        <v>2</v>
      </c>
      <c r="AD62" s="1408">
        <f>AC62</f>
        <v>2</v>
      </c>
      <c r="AE62" s="1408"/>
      <c r="AJ62" s="1430">
        <v>200</v>
      </c>
      <c r="AK62" s="1430" t="s">
        <v>90</v>
      </c>
      <c r="AL62" s="1432">
        <v>182</v>
      </c>
      <c r="AM62" s="1393">
        <f>ABS(AL62-AL61)</f>
        <v>42</v>
      </c>
      <c r="AN62" s="1374">
        <f>AM62/(AJ62-AJ61)</f>
        <v>0.84</v>
      </c>
      <c r="AO62" s="1435"/>
      <c r="AP62" s="1438"/>
      <c r="AQ62" s="1395"/>
      <c r="AR62" s="1437"/>
      <c r="AS62" s="1439"/>
      <c r="AT62" s="1429"/>
      <c r="AU62" s="1394"/>
      <c r="AV62" s="1394"/>
      <c r="AW62" s="326"/>
      <c r="BA62" s="1381">
        <v>8</v>
      </c>
      <c r="BB62" s="1379">
        <v>8.8179999999999996</v>
      </c>
    </row>
    <row r="63" spans="1:54">
      <c r="B63" s="59">
        <v>200</v>
      </c>
      <c r="C63" s="60" t="s">
        <v>90</v>
      </c>
      <c r="D63" s="163">
        <v>190</v>
      </c>
      <c r="E63" s="61"/>
      <c r="F63" s="66"/>
      <c r="G63" s="164">
        <v>27.4</v>
      </c>
      <c r="H63" s="114">
        <v>29</v>
      </c>
      <c r="I63" s="62">
        <f>ABS(G63-H63)</f>
        <v>1.6000000000000014</v>
      </c>
      <c r="J63" s="163"/>
      <c r="K63" s="163"/>
      <c r="L63" s="1444"/>
      <c r="M63" s="73"/>
      <c r="N63" s="1318"/>
      <c r="S63" s="1403">
        <v>200</v>
      </c>
      <c r="T63" s="1403" t="s">
        <v>90</v>
      </c>
      <c r="U63" s="1420">
        <v>190</v>
      </c>
      <c r="V63" s="1398"/>
      <c r="W63" s="1409"/>
      <c r="X63" s="1410">
        <v>26.3</v>
      </c>
      <c r="Y63" s="1410">
        <v>26.7</v>
      </c>
      <c r="Z63" s="1399">
        <f>ABS(X63-Y63)</f>
        <v>0.39999999999999858</v>
      </c>
      <c r="AA63" s="1412"/>
      <c r="AB63" s="1412"/>
      <c r="AC63" s="1416"/>
      <c r="AD63" s="1408"/>
      <c r="AE63" s="1408">
        <f>Z63</f>
        <v>0.39999999999999858</v>
      </c>
      <c r="AJ63" s="1430">
        <v>200</v>
      </c>
      <c r="AK63" s="1430" t="s">
        <v>90</v>
      </c>
      <c r="AL63" s="1432">
        <v>190</v>
      </c>
      <c r="AM63" s="1393"/>
      <c r="AN63" s="1374"/>
      <c r="AO63" s="1435">
        <v>26.2</v>
      </c>
      <c r="AP63" s="1440">
        <v>27.7</v>
      </c>
      <c r="AQ63" s="1395">
        <f>ABS(AO63-AP63)</f>
        <v>1.5</v>
      </c>
      <c r="AR63" s="1437"/>
      <c r="AS63" s="1439"/>
      <c r="AT63" s="1441"/>
      <c r="AU63" s="1394"/>
      <c r="AV63" s="1394"/>
      <c r="AW63" s="326"/>
      <c r="BA63" s="1381">
        <v>9</v>
      </c>
      <c r="BB63" s="1379">
        <v>8.7989999999999995</v>
      </c>
    </row>
    <row r="64" spans="1:54">
      <c r="B64" s="59">
        <v>240</v>
      </c>
      <c r="C64" s="60" t="s">
        <v>90</v>
      </c>
      <c r="D64" s="163">
        <v>229</v>
      </c>
      <c r="E64" s="61">
        <f>ABS(D64-D63)</f>
        <v>39</v>
      </c>
      <c r="F64" s="66">
        <f>E64/(B64-B63)</f>
        <v>0.97499999999999998</v>
      </c>
      <c r="G64" s="69"/>
      <c r="H64" s="69"/>
      <c r="I64" s="62"/>
      <c r="J64" s="164">
        <v>28.2</v>
      </c>
      <c r="K64" s="164">
        <v>29</v>
      </c>
      <c r="L64" s="166">
        <f>ABS(J64-I64)</f>
        <v>28.2</v>
      </c>
      <c r="M64" s="73"/>
      <c r="N64" s="1318"/>
      <c r="S64" s="1403">
        <v>290</v>
      </c>
      <c r="T64" s="1403" t="s">
        <v>90</v>
      </c>
      <c r="U64" s="1420">
        <v>275</v>
      </c>
      <c r="V64" s="1398">
        <f>ABS(U64-U63)</f>
        <v>85</v>
      </c>
      <c r="W64" s="1409">
        <f>V64/(S65-S62)</f>
        <v>0.94444444444444442</v>
      </c>
      <c r="X64" s="1415"/>
      <c r="Y64" s="1415"/>
      <c r="Z64" s="1399"/>
      <c r="AA64" s="1406">
        <v>26.2</v>
      </c>
      <c r="AB64" s="1406">
        <v>28.5</v>
      </c>
      <c r="AC64" s="1407">
        <f>ABS(AB64-AA64)</f>
        <v>2.3000000000000007</v>
      </c>
      <c r="AD64" s="1408">
        <f>AC64</f>
        <v>2.3000000000000007</v>
      </c>
      <c r="AE64" s="1408"/>
      <c r="AJ64" s="1430">
        <v>290</v>
      </c>
      <c r="AK64" s="1430" t="s">
        <v>90</v>
      </c>
      <c r="AL64" s="1432">
        <v>276</v>
      </c>
      <c r="AM64" s="1393">
        <f>ABS(AL64-AL63)</f>
        <v>86</v>
      </c>
      <c r="AN64" s="1374">
        <f>AM64/(AJ64-AJ63)</f>
        <v>0.9555555555555556</v>
      </c>
      <c r="AO64" s="1438"/>
      <c r="AP64" s="1438"/>
      <c r="AQ64" s="1395"/>
      <c r="AR64" s="1437"/>
      <c r="AS64" s="1439"/>
      <c r="AT64" s="1441"/>
      <c r="AU64" s="1394"/>
      <c r="AV64" s="1394"/>
      <c r="AW64" s="326"/>
      <c r="BA64" s="1376">
        <v>10</v>
      </c>
      <c r="BB64" s="1377">
        <v>8.7929999999999993</v>
      </c>
    </row>
    <row r="65" spans="2:54">
      <c r="B65" s="59">
        <v>290</v>
      </c>
      <c r="C65" s="60"/>
      <c r="D65" s="113"/>
      <c r="E65" s="61"/>
      <c r="F65" s="66"/>
      <c r="G65" s="69"/>
      <c r="H65" s="69"/>
      <c r="I65" s="62"/>
      <c r="J65" s="70"/>
      <c r="K65" s="70"/>
      <c r="L65" s="73"/>
      <c r="M65" s="73"/>
      <c r="N65" s="1318"/>
      <c r="S65" s="1403">
        <v>290</v>
      </c>
      <c r="T65" s="1403"/>
      <c r="U65" s="1419"/>
      <c r="V65" s="1398"/>
      <c r="W65" s="1409"/>
      <c r="X65" s="1415"/>
      <c r="Y65" s="1415"/>
      <c r="Z65" s="1399"/>
      <c r="AA65" s="1417"/>
      <c r="AB65" s="1417"/>
      <c r="AC65" s="984"/>
      <c r="AD65" s="984"/>
      <c r="AE65" s="984"/>
      <c r="AJ65" s="1430">
        <v>390</v>
      </c>
      <c r="AK65" s="1430"/>
      <c r="AL65" s="1432">
        <v>376</v>
      </c>
      <c r="AM65" s="1393">
        <f>ABS(AL65-AL63)</f>
        <v>186</v>
      </c>
      <c r="AN65" s="1374">
        <f>AM65/(AJ65-AJ63)</f>
        <v>0.97894736842105268</v>
      </c>
      <c r="AO65" s="1438"/>
      <c r="AP65" s="1438"/>
      <c r="AQ65" s="1395"/>
      <c r="AR65" s="1437"/>
      <c r="AS65" s="1437"/>
      <c r="AT65" s="1394"/>
      <c r="AU65" s="1394"/>
      <c r="AV65" s="1394"/>
      <c r="AW65" s="326"/>
      <c r="BA65" s="1376">
        <v>11</v>
      </c>
      <c r="BB65" s="1377">
        <v>8.8040000000000003</v>
      </c>
    </row>
    <row r="66" spans="2:54">
      <c r="B66" s="59">
        <v>390</v>
      </c>
      <c r="C66" s="60"/>
      <c r="D66" s="113"/>
      <c r="E66" s="61"/>
      <c r="F66" s="66"/>
      <c r="G66" s="69"/>
      <c r="H66" s="69"/>
      <c r="I66" s="74"/>
      <c r="J66" s="70"/>
      <c r="K66" s="70"/>
      <c r="L66" s="73"/>
      <c r="M66" s="73"/>
      <c r="N66" s="1318"/>
      <c r="S66" s="1403">
        <v>390</v>
      </c>
      <c r="T66" s="1403"/>
      <c r="U66" s="1419"/>
      <c r="V66" s="1398"/>
      <c r="W66" s="1409"/>
      <c r="X66" s="1415"/>
      <c r="Y66" s="1415"/>
      <c r="Z66" s="1418"/>
      <c r="AA66" s="1417"/>
      <c r="AB66" s="1417"/>
      <c r="AC66" s="984"/>
      <c r="AD66" s="984"/>
      <c r="AE66" s="984"/>
      <c r="AJ66" s="1421"/>
      <c r="AK66" s="1421"/>
      <c r="AL66" s="1421"/>
      <c r="AM66" s="1361"/>
      <c r="AN66" s="1422"/>
      <c r="AO66" s="1424"/>
      <c r="AP66" s="1424"/>
      <c r="AQ66" s="1425"/>
      <c r="AR66" s="1423"/>
      <c r="AS66" s="1423"/>
      <c r="AT66" s="326"/>
      <c r="AU66" s="326"/>
      <c r="AV66" s="326"/>
      <c r="AW66" s="326"/>
      <c r="BA66" s="1376">
        <v>12</v>
      </c>
      <c r="BB66" s="1377">
        <v>8.9280000000000008</v>
      </c>
    </row>
    <row r="67" spans="2:54">
      <c r="B67" s="109"/>
      <c r="C67" s="109"/>
      <c r="D67" s="830"/>
      <c r="E67" s="21"/>
      <c r="F67" s="78"/>
      <c r="G67" s="110"/>
      <c r="H67" s="110"/>
      <c r="I67" s="111"/>
      <c r="J67" s="112"/>
      <c r="K67" s="112"/>
      <c r="R67" s="109"/>
      <c r="T67" s="109"/>
      <c r="U67" s="109"/>
      <c r="V67" s="21"/>
      <c r="W67" s="78"/>
      <c r="X67" s="110"/>
      <c r="Y67" s="110"/>
      <c r="Z67" s="111"/>
      <c r="AA67" s="112"/>
      <c r="AB67" s="112"/>
      <c r="AI67" s="109"/>
      <c r="AK67" s="109"/>
      <c r="AL67" s="109"/>
      <c r="AM67" s="21"/>
      <c r="AN67" s="78"/>
      <c r="AO67" s="110"/>
      <c r="AP67" s="110"/>
      <c r="AQ67" s="111"/>
      <c r="AR67" s="112"/>
      <c r="AS67" s="112"/>
      <c r="BA67" s="1376">
        <v>13</v>
      </c>
      <c r="BB67" s="1377">
        <v>8.8770000000000007</v>
      </c>
    </row>
    <row r="68" spans="2:54" s="832" customFormat="1" ht="18.75">
      <c r="B68" s="833"/>
      <c r="C68" s="833"/>
      <c r="D68" s="834" t="s">
        <v>850</v>
      </c>
      <c r="E68" s="835"/>
      <c r="F68" s="836">
        <f>MAX(F54:F66)</f>
        <v>0.97499999999999998</v>
      </c>
      <c r="G68" s="837"/>
      <c r="H68" s="837"/>
      <c r="I68" s="838"/>
      <c r="J68" s="839"/>
      <c r="K68" s="839"/>
      <c r="R68" s="833"/>
      <c r="T68" s="833"/>
      <c r="U68" s="833"/>
      <c r="V68" s="835"/>
      <c r="W68" s="836">
        <f>MAX(W54:W66)</f>
        <v>0.94444444444444442</v>
      </c>
      <c r="X68" s="837"/>
      <c r="Y68" s="837"/>
      <c r="Z68" s="838"/>
      <c r="AA68" s="839"/>
      <c r="AB68" s="839"/>
      <c r="AI68" s="833"/>
      <c r="AK68" s="833"/>
      <c r="AL68" s="833"/>
      <c r="AM68" s="835"/>
      <c r="AN68" s="836">
        <f>MAX(AN54:AN66)</f>
        <v>0.97894736842105268</v>
      </c>
      <c r="AO68" s="837"/>
      <c r="AP68" s="837"/>
      <c r="AQ68" s="838"/>
      <c r="AR68" s="839"/>
      <c r="AS68" s="839"/>
      <c r="BA68" s="1376">
        <v>14</v>
      </c>
      <c r="BB68" s="1377">
        <v>8.8919999999999995</v>
      </c>
    </row>
    <row r="69" spans="2:54">
      <c r="B69" s="109"/>
      <c r="D69" s="109"/>
      <c r="E69" s="109"/>
      <c r="F69" s="21"/>
      <c r="G69" s="78"/>
      <c r="H69" s="110"/>
      <c r="I69" s="110"/>
      <c r="J69" s="111"/>
      <c r="K69" s="112"/>
      <c r="L69" s="112"/>
      <c r="R69" s="109"/>
      <c r="T69" s="109"/>
      <c r="U69" s="109"/>
      <c r="V69" s="21"/>
      <c r="W69" s="78"/>
      <c r="X69" s="110"/>
      <c r="Y69" s="110"/>
      <c r="Z69" s="111"/>
      <c r="AA69" s="112"/>
      <c r="AB69" s="112"/>
      <c r="AI69" s="109"/>
      <c r="AK69" s="109"/>
      <c r="AL69" s="109"/>
      <c r="AM69" s="21"/>
      <c r="AN69" s="78"/>
      <c r="AO69" s="110"/>
      <c r="AP69" s="110"/>
      <c r="AQ69" s="111"/>
      <c r="AR69" s="112"/>
      <c r="AS69" s="112"/>
      <c r="BA69" s="1376">
        <v>15</v>
      </c>
      <c r="BB69" s="1377">
        <v>8.9930000000000003</v>
      </c>
    </row>
    <row r="70" spans="2:54">
      <c r="B70" s="162" t="s">
        <v>128</v>
      </c>
      <c r="D70" s="109"/>
      <c r="E70" s="109"/>
      <c r="F70" s="21"/>
      <c r="G70" s="78"/>
      <c r="H70" s="110"/>
      <c r="I70" s="110"/>
      <c r="J70" s="111"/>
      <c r="K70" s="112"/>
      <c r="L70" s="112"/>
      <c r="Q70" s="4"/>
      <c r="R70" s="162" t="s">
        <v>128</v>
      </c>
      <c r="T70" s="109"/>
      <c r="U70" s="109"/>
      <c r="V70" s="21"/>
      <c r="W70" s="78"/>
      <c r="X70" s="110"/>
      <c r="Y70" s="110"/>
      <c r="Z70" s="111"/>
      <c r="AA70" s="112"/>
      <c r="AB70" s="112"/>
      <c r="AI70" s="162" t="s">
        <v>128</v>
      </c>
      <c r="AK70" s="109"/>
      <c r="AL70" s="109"/>
      <c r="AM70" s="21"/>
      <c r="AN70" s="78"/>
      <c r="AO70" s="110"/>
      <c r="AP70" s="110"/>
      <c r="AQ70" s="111"/>
      <c r="AR70" s="112"/>
      <c r="AS70" s="112"/>
      <c r="BA70" s="1376">
        <v>16</v>
      </c>
      <c r="BB70" s="1377">
        <v>8.9090000000000007</v>
      </c>
    </row>
    <row r="71" spans="2:54">
      <c r="B71" s="109" t="s">
        <v>129</v>
      </c>
      <c r="C71" t="s">
        <v>130</v>
      </c>
      <c r="D71" s="109"/>
      <c r="E71" s="109"/>
      <c r="F71" s="21"/>
      <c r="G71" s="78"/>
      <c r="H71" s="110"/>
      <c r="I71" s="110"/>
      <c r="J71" s="111"/>
      <c r="K71" s="112"/>
      <c r="L71" s="112"/>
      <c r="R71" s="109" t="s">
        <v>129</v>
      </c>
      <c r="S71" t="s">
        <v>130</v>
      </c>
      <c r="T71" s="109"/>
      <c r="U71" s="109"/>
      <c r="V71" s="21"/>
      <c r="W71" s="78"/>
      <c r="X71" s="110"/>
      <c r="Y71" s="110"/>
      <c r="Z71" s="111"/>
      <c r="AA71" s="112"/>
      <c r="AB71" s="112"/>
      <c r="AI71" s="109" t="s">
        <v>129</v>
      </c>
      <c r="AJ71" t="s">
        <v>130</v>
      </c>
      <c r="AK71" s="109"/>
      <c r="AL71" s="109"/>
      <c r="AM71" s="21"/>
      <c r="AN71" s="78"/>
      <c r="AO71" s="110"/>
      <c r="AP71" s="110"/>
      <c r="AQ71" s="111"/>
      <c r="AR71" s="112"/>
      <c r="AS71" s="112"/>
      <c r="BA71" s="1376">
        <v>17</v>
      </c>
      <c r="BB71" s="1377">
        <v>9.0489999999999995</v>
      </c>
    </row>
    <row r="72" spans="2:54">
      <c r="B72">
        <v>0</v>
      </c>
      <c r="D72" s="109"/>
      <c r="E72" s="109"/>
      <c r="F72" s="21"/>
      <c r="G72" s="78"/>
      <c r="H72" s="110"/>
      <c r="I72" s="110"/>
      <c r="J72" s="111"/>
      <c r="K72" s="112"/>
      <c r="L72" s="112"/>
      <c r="R72">
        <v>0</v>
      </c>
      <c r="T72" s="109"/>
      <c r="U72" s="109"/>
      <c r="V72" s="21"/>
      <c r="W72" s="78"/>
      <c r="X72" s="110"/>
      <c r="Y72" s="110"/>
      <c r="Z72" s="111"/>
      <c r="AA72" s="112"/>
      <c r="AB72" s="112"/>
      <c r="AI72">
        <v>0</v>
      </c>
      <c r="AK72" s="109"/>
      <c r="AL72" s="109"/>
      <c r="AM72" s="21"/>
      <c r="AN72" s="78"/>
      <c r="AO72" s="110"/>
      <c r="AP72" s="110"/>
      <c r="AQ72" s="111"/>
      <c r="AR72" s="112"/>
      <c r="AS72" s="112"/>
      <c r="BA72" s="1376">
        <v>18</v>
      </c>
      <c r="BB72" s="1377">
        <v>8.9339999999999993</v>
      </c>
    </row>
    <row r="73" spans="2:54">
      <c r="B73">
        <v>50</v>
      </c>
      <c r="C73" s="42">
        <f>F56</f>
        <v>0.2</v>
      </c>
      <c r="D73" s="109"/>
      <c r="E73" s="109"/>
      <c r="F73" s="21"/>
      <c r="G73" s="78"/>
      <c r="H73" s="110"/>
      <c r="I73" s="110"/>
      <c r="J73" s="111"/>
      <c r="K73" s="112"/>
      <c r="L73" s="112"/>
      <c r="R73">
        <v>50</v>
      </c>
      <c r="S73" s="42">
        <f>W56</f>
        <v>0.24</v>
      </c>
      <c r="T73" s="109"/>
      <c r="U73" s="109"/>
      <c r="V73" s="21"/>
      <c r="W73" s="78"/>
      <c r="X73" s="110"/>
      <c r="Y73" s="110"/>
      <c r="Z73" s="111"/>
      <c r="AA73" s="112"/>
      <c r="AB73" s="112"/>
      <c r="AI73">
        <v>50</v>
      </c>
      <c r="AJ73" s="42">
        <f>AN56</f>
        <v>0.2</v>
      </c>
      <c r="AK73" s="109"/>
      <c r="AL73" s="109"/>
      <c r="AM73" s="21"/>
      <c r="AN73" s="78"/>
      <c r="AO73" s="110"/>
      <c r="AP73" s="110"/>
      <c r="AQ73" s="111"/>
      <c r="AR73" s="112"/>
      <c r="AS73" s="112"/>
      <c r="BA73" s="1381">
        <v>19</v>
      </c>
      <c r="BB73" s="1379">
        <v>8.9610000000000003</v>
      </c>
    </row>
    <row r="74" spans="2:54">
      <c r="B74">
        <v>100</v>
      </c>
      <c r="C74" s="42">
        <f>F58</f>
        <v>0.52</v>
      </c>
      <c r="D74" s="109"/>
      <c r="E74" s="109"/>
      <c r="F74" s="21"/>
      <c r="G74" s="78"/>
      <c r="H74" s="110"/>
      <c r="I74" s="110"/>
      <c r="J74" s="111"/>
      <c r="K74" s="112"/>
      <c r="L74" s="112"/>
      <c r="R74">
        <v>100</v>
      </c>
      <c r="S74" s="42">
        <f>W58</f>
        <v>0.56000000000000005</v>
      </c>
      <c r="T74" s="109"/>
      <c r="U74" s="109"/>
      <c r="V74" s="21"/>
      <c r="W74" s="78"/>
      <c r="X74" s="110"/>
      <c r="Y74" s="110"/>
      <c r="Z74" s="111"/>
      <c r="AA74" s="112"/>
      <c r="AB74" s="112"/>
      <c r="AI74">
        <v>100</v>
      </c>
      <c r="AJ74" s="42">
        <f>AN58</f>
        <v>0.44</v>
      </c>
      <c r="AK74" s="109"/>
      <c r="AL74" s="109"/>
      <c r="AM74" s="21"/>
      <c r="AN74" s="78"/>
      <c r="AO74" s="110"/>
      <c r="AP74" s="110"/>
      <c r="AQ74" s="111"/>
      <c r="AR74" s="112"/>
      <c r="AS74" s="112"/>
      <c r="BA74" s="1381">
        <v>20</v>
      </c>
      <c r="BB74" s="1379">
        <v>8.7759999999999998</v>
      </c>
    </row>
    <row r="75" spans="2:54">
      <c r="B75">
        <v>150</v>
      </c>
      <c r="C75" s="42">
        <f>F60</f>
        <v>0.8</v>
      </c>
      <c r="D75" s="109"/>
      <c r="E75" s="109"/>
      <c r="F75" s="21"/>
      <c r="G75" s="78"/>
      <c r="H75" s="110"/>
      <c r="I75" s="110"/>
      <c r="J75" s="111"/>
      <c r="K75" s="112"/>
      <c r="L75" s="112"/>
      <c r="R75">
        <v>150</v>
      </c>
      <c r="S75" s="42">
        <f>W60</f>
        <v>0.8</v>
      </c>
      <c r="T75" s="109"/>
      <c r="U75" s="109"/>
      <c r="V75" s="21"/>
      <c r="W75" s="78"/>
      <c r="X75" s="110"/>
      <c r="Y75" s="110"/>
      <c r="Z75" s="111"/>
      <c r="AA75" s="112"/>
      <c r="AB75" s="112"/>
      <c r="AI75">
        <v>150</v>
      </c>
      <c r="AJ75" s="42">
        <f>AN60</f>
        <v>0.68</v>
      </c>
      <c r="AK75" s="109"/>
      <c r="AL75" s="109"/>
      <c r="AM75" s="21"/>
      <c r="AN75" s="78"/>
      <c r="AO75" s="110"/>
      <c r="AP75" s="110"/>
      <c r="AQ75" s="111"/>
      <c r="AR75" s="112"/>
      <c r="AS75" s="112"/>
      <c r="BA75" s="1381">
        <v>21</v>
      </c>
      <c r="BB75" s="1379">
        <v>8.9030000000000005</v>
      </c>
    </row>
    <row r="76" spans="2:54">
      <c r="B76">
        <v>200</v>
      </c>
      <c r="C76" s="42">
        <f>F62</f>
        <v>0.9</v>
      </c>
      <c r="D76" s="109"/>
      <c r="E76" s="109"/>
      <c r="F76" s="21"/>
      <c r="G76" s="78"/>
      <c r="H76" s="110"/>
      <c r="I76" s="110"/>
      <c r="J76" s="111"/>
      <c r="K76" s="112"/>
      <c r="L76" s="112"/>
      <c r="R76">
        <v>200</v>
      </c>
      <c r="S76" s="42">
        <f>W62</f>
        <v>0.88</v>
      </c>
      <c r="T76" s="109"/>
      <c r="U76" s="109"/>
      <c r="V76" s="21"/>
      <c r="W76" s="78"/>
      <c r="X76" s="110"/>
      <c r="Y76" s="110"/>
      <c r="Z76" s="111"/>
      <c r="AA76" s="112"/>
      <c r="AB76" s="112"/>
      <c r="AI76">
        <v>200</v>
      </c>
      <c r="AJ76" s="42">
        <f>AN62</f>
        <v>0.84</v>
      </c>
      <c r="AK76" s="109"/>
      <c r="AL76" s="109"/>
      <c r="AM76" s="21"/>
      <c r="AN76" s="78"/>
      <c r="AO76" s="110"/>
      <c r="AP76" s="110"/>
      <c r="AQ76" s="111"/>
      <c r="AR76" s="112"/>
      <c r="AS76" s="112"/>
      <c r="BA76" s="1381">
        <v>22</v>
      </c>
      <c r="BB76" s="1379">
        <v>8.843</v>
      </c>
    </row>
    <row r="77" spans="2:54">
      <c r="B77">
        <v>240</v>
      </c>
      <c r="C77" s="42">
        <f>F64</f>
        <v>0.97499999999999998</v>
      </c>
      <c r="D77" s="109"/>
      <c r="E77" s="109"/>
      <c r="F77" s="21"/>
      <c r="G77" s="78"/>
      <c r="H77" s="110"/>
      <c r="I77" s="110"/>
      <c r="J77" s="111"/>
      <c r="K77" s="112"/>
      <c r="L77" s="112"/>
      <c r="R77">
        <v>290</v>
      </c>
      <c r="S77" s="42">
        <f>W64</f>
        <v>0.94444444444444442</v>
      </c>
      <c r="T77" s="109"/>
      <c r="U77" s="109"/>
      <c r="V77" s="21"/>
      <c r="W77" s="78"/>
      <c r="X77" s="110"/>
      <c r="Y77" s="110"/>
      <c r="Z77" s="111"/>
      <c r="AA77" s="112"/>
      <c r="AB77" s="112"/>
      <c r="AI77">
        <v>290</v>
      </c>
      <c r="AJ77" s="42">
        <f>AN64</f>
        <v>0.9555555555555556</v>
      </c>
      <c r="AK77" s="109"/>
      <c r="AL77" s="109"/>
      <c r="AM77" s="21"/>
      <c r="AN77" s="78"/>
      <c r="AO77" s="110"/>
      <c r="AP77" s="110"/>
      <c r="AQ77" s="111"/>
      <c r="AR77" s="112"/>
      <c r="AS77" s="112"/>
      <c r="BA77" s="1381">
        <v>23</v>
      </c>
      <c r="BB77" s="1379">
        <v>8.84</v>
      </c>
    </row>
    <row r="78" spans="2:54">
      <c r="B78">
        <v>390</v>
      </c>
      <c r="C78" s="42">
        <f>F66</f>
        <v>0</v>
      </c>
      <c r="D78" s="109"/>
      <c r="E78" s="109"/>
      <c r="F78" s="21"/>
      <c r="G78" s="78"/>
      <c r="H78" s="110"/>
      <c r="I78" s="110"/>
      <c r="J78" s="111"/>
      <c r="K78" s="112"/>
      <c r="L78" s="112"/>
      <c r="S78" s="42"/>
      <c r="T78" s="109"/>
      <c r="U78" s="109"/>
      <c r="V78" s="21"/>
      <c r="W78" s="78"/>
      <c r="X78" s="110"/>
      <c r="Y78" s="110"/>
      <c r="Z78" s="111"/>
      <c r="AA78" s="112"/>
      <c r="AB78" s="112"/>
      <c r="AI78">
        <v>390</v>
      </c>
      <c r="AJ78" s="42">
        <f>AN65</f>
        <v>0.97894736842105268</v>
      </c>
      <c r="AK78" s="109"/>
      <c r="AL78" s="109"/>
      <c r="AM78" s="21"/>
      <c r="AN78" s="78"/>
      <c r="AO78" s="110"/>
      <c r="AP78" s="110"/>
      <c r="AQ78" s="111"/>
      <c r="AR78" s="112"/>
      <c r="AS78" s="112"/>
      <c r="BA78" s="1381">
        <v>24</v>
      </c>
      <c r="BB78" s="1379">
        <v>9.01</v>
      </c>
    </row>
    <row r="79" spans="2:54">
      <c r="B79" s="109"/>
      <c r="D79" s="109"/>
      <c r="E79" s="109"/>
      <c r="F79" s="21"/>
      <c r="G79" s="78"/>
      <c r="H79" s="110"/>
      <c r="I79" s="110"/>
      <c r="J79" s="111"/>
      <c r="K79" s="112"/>
      <c r="L79" s="112"/>
      <c r="BA79" s="1381">
        <v>25</v>
      </c>
      <c r="BB79" s="1379">
        <v>8.8119999999999994</v>
      </c>
    </row>
    <row r="80" spans="2:54">
      <c r="B80" s="109"/>
      <c r="D80" s="109"/>
      <c r="E80" s="109"/>
      <c r="F80" s="21"/>
      <c r="G80" s="78"/>
      <c r="H80" s="110"/>
      <c r="I80" s="110"/>
      <c r="J80" s="111"/>
      <c r="K80" s="112"/>
      <c r="L80" s="112"/>
      <c r="BA80" s="1381">
        <v>26</v>
      </c>
      <c r="BB80" s="1379">
        <v>8.8460000000000001</v>
      </c>
    </row>
    <row r="81" spans="1:54">
      <c r="B81" s="109"/>
      <c r="D81" s="109"/>
      <c r="E81" s="109"/>
      <c r="F81" s="21"/>
      <c r="G81" s="78"/>
      <c r="H81" s="110"/>
      <c r="I81" s="110"/>
      <c r="J81" s="111"/>
      <c r="K81" s="112"/>
      <c r="L81" s="112"/>
      <c r="BA81" s="1381">
        <v>27</v>
      </c>
      <c r="BB81" s="1379">
        <v>8.9139999999999997</v>
      </c>
    </row>
    <row r="82" spans="1:54">
      <c r="B82" s="109"/>
      <c r="D82" s="109"/>
      <c r="E82" s="109"/>
      <c r="F82" s="21"/>
      <c r="G82" s="78"/>
      <c r="H82" s="110"/>
      <c r="I82" s="110"/>
      <c r="J82" s="111"/>
      <c r="K82" s="112"/>
      <c r="L82" s="112"/>
      <c r="BA82" s="1381">
        <v>28</v>
      </c>
      <c r="BB82" s="1379">
        <v>9.9</v>
      </c>
    </row>
    <row r="83" spans="1:54">
      <c r="B83" s="109"/>
      <c r="D83" s="109"/>
      <c r="E83" s="109"/>
      <c r="F83" s="21"/>
      <c r="G83" s="78"/>
      <c r="H83" s="110"/>
      <c r="I83" s="110"/>
      <c r="J83" s="111"/>
      <c r="K83" s="112"/>
      <c r="L83" s="112"/>
      <c r="BA83" s="1381">
        <v>29</v>
      </c>
      <c r="BB83" s="1379">
        <v>8.9</v>
      </c>
    </row>
    <row r="84" spans="1:54">
      <c r="B84" s="109"/>
      <c r="D84" s="109"/>
      <c r="E84" s="109"/>
      <c r="F84" s="21"/>
      <c r="G84" s="78"/>
      <c r="H84" s="110"/>
      <c r="I84" s="110"/>
      <c r="J84" s="111"/>
      <c r="K84" s="112"/>
      <c r="L84" s="112"/>
      <c r="BA84" s="1378">
        <v>30</v>
      </c>
      <c r="BB84" s="1380">
        <v>8.8539999999999992</v>
      </c>
    </row>
    <row r="85" spans="1:54">
      <c r="B85" s="109"/>
      <c r="D85" s="109"/>
      <c r="E85" s="109"/>
      <c r="F85" s="21"/>
      <c r="G85" s="78"/>
      <c r="H85" s="110"/>
      <c r="I85" s="110"/>
      <c r="J85" s="111"/>
      <c r="K85" s="112"/>
      <c r="L85" s="112"/>
      <c r="BA85" s="1381">
        <v>31</v>
      </c>
      <c r="BB85" s="1379">
        <v>8.8149999999999995</v>
      </c>
    </row>
    <row r="86" spans="1:54">
      <c r="BA86" s="1381">
        <v>32</v>
      </c>
      <c r="BB86" s="1379">
        <v>8.9849999999999994</v>
      </c>
    </row>
    <row r="87" spans="1:54">
      <c r="BA87" s="1381">
        <v>33</v>
      </c>
      <c r="BB87" s="1379">
        <v>8.8970000000000002</v>
      </c>
    </row>
    <row r="88" spans="1:54" ht="23.25">
      <c r="A88" s="1442" t="s">
        <v>91</v>
      </c>
      <c r="B88" s="1442"/>
      <c r="C88" s="1442"/>
      <c r="D88" s="1442"/>
      <c r="E88" s="1442"/>
      <c r="F88" s="1442"/>
      <c r="G88" s="1442"/>
      <c r="H88" s="1442"/>
      <c r="I88" s="1442"/>
      <c r="J88" s="1442"/>
      <c r="K88" s="1442"/>
      <c r="L88" s="1442"/>
      <c r="M88" s="1442"/>
      <c r="N88" s="1442"/>
      <c r="O88" s="1442"/>
      <c r="P88" s="1442"/>
      <c r="Q88" s="1442"/>
      <c r="R88" s="1442"/>
      <c r="S88" s="1442"/>
      <c r="T88" s="1442"/>
      <c r="U88" s="1442"/>
      <c r="V88" s="1442"/>
      <c r="W88" s="1442"/>
      <c r="X88" s="1442"/>
      <c r="Y88" s="1442"/>
      <c r="Z88" s="1442"/>
      <c r="AA88" s="1442"/>
      <c r="AB88" s="1442"/>
      <c r="AC88" s="1442"/>
      <c r="AD88" s="1442"/>
      <c r="AE88" s="1442"/>
      <c r="AF88" s="1442"/>
      <c r="AG88" s="1442"/>
      <c r="AH88" s="1442"/>
      <c r="AI88" s="1442"/>
      <c r="AJ88" s="1442"/>
      <c r="AK88" s="1442"/>
      <c r="AL88" s="1442"/>
      <c r="AM88" s="1442"/>
      <c r="AN88" s="1442"/>
      <c r="AO88" s="1442"/>
      <c r="AP88" s="1442"/>
      <c r="AQ88" s="1442"/>
      <c r="AR88" s="1442"/>
      <c r="AS88" s="1442"/>
      <c r="AT88" s="1442"/>
      <c r="AU88" s="1442"/>
      <c r="AV88" s="1442"/>
      <c r="AW88" s="1442"/>
      <c r="AX88" s="1442"/>
      <c r="BA88" s="1381">
        <v>34</v>
      </c>
      <c r="BB88" s="1379">
        <v>8.91</v>
      </c>
    </row>
    <row r="89" spans="1:54">
      <c r="BA89" s="1376">
        <v>35</v>
      </c>
      <c r="BB89" s="1377">
        <v>8.7249999999999996</v>
      </c>
    </row>
    <row r="90" spans="1:54">
      <c r="B90" s="75" t="s">
        <v>92</v>
      </c>
      <c r="C90" s="75"/>
      <c r="E90" t="s">
        <v>0</v>
      </c>
      <c r="F90" s="76">
        <v>50</v>
      </c>
      <c r="G90" t="s">
        <v>84</v>
      </c>
      <c r="BA90" s="1376">
        <v>36</v>
      </c>
      <c r="BB90" s="1377">
        <v>8.7149999999999999</v>
      </c>
    </row>
    <row r="91" spans="1:54">
      <c r="B91" s="75" t="s">
        <v>77</v>
      </c>
      <c r="C91" s="75"/>
      <c r="E91" t="s">
        <v>0</v>
      </c>
      <c r="F91" s="75">
        <f>B64</f>
        <v>240</v>
      </c>
      <c r="G91" t="s">
        <v>84</v>
      </c>
      <c r="R91" s="75" t="s">
        <v>92</v>
      </c>
      <c r="S91" s="75"/>
      <c r="T91" s="76">
        <v>100</v>
      </c>
      <c r="U91" t="s">
        <v>84</v>
      </c>
      <c r="AI91" s="75" t="s">
        <v>92</v>
      </c>
      <c r="AJ91" s="75"/>
      <c r="AK91" s="75">
        <v>200</v>
      </c>
      <c r="AL91" t="s">
        <v>84</v>
      </c>
      <c r="BA91" s="1376">
        <v>37</v>
      </c>
      <c r="BB91" s="1377">
        <v>8.7520000000000007</v>
      </c>
    </row>
    <row r="92" spans="1:54">
      <c r="B92" s="75" t="s">
        <v>78</v>
      </c>
      <c r="C92" s="75"/>
      <c r="E92" t="s">
        <v>0</v>
      </c>
      <c r="F92" s="75">
        <f>C61</f>
        <v>190</v>
      </c>
      <c r="G92" t="s">
        <v>84</v>
      </c>
      <c r="R92" s="75" t="s">
        <v>77</v>
      </c>
      <c r="S92" s="75"/>
      <c r="T92" s="75">
        <f>B65</f>
        <v>290</v>
      </c>
      <c r="U92" t="s">
        <v>84</v>
      </c>
      <c r="AI92" s="75" t="s">
        <v>77</v>
      </c>
      <c r="AJ92" s="75"/>
      <c r="AK92" s="75">
        <f>B66</f>
        <v>390</v>
      </c>
      <c r="AL92" t="s">
        <v>84</v>
      </c>
      <c r="BA92" s="1376">
        <v>38</v>
      </c>
      <c r="BB92" s="1377">
        <v>8.73</v>
      </c>
    </row>
    <row r="93" spans="1:54">
      <c r="B93" s="75" t="s">
        <v>93</v>
      </c>
      <c r="C93" s="75"/>
      <c r="E93" t="s">
        <v>0</v>
      </c>
      <c r="F93" s="104">
        <f>MAX(D55:D66)</f>
        <v>229</v>
      </c>
      <c r="G93" t="s">
        <v>84</v>
      </c>
      <c r="R93" s="75" t="s">
        <v>78</v>
      </c>
      <c r="S93" s="75"/>
      <c r="T93" s="75">
        <f>C61</f>
        <v>190</v>
      </c>
      <c r="U93" t="s">
        <v>84</v>
      </c>
      <c r="AI93" s="75" t="s">
        <v>78</v>
      </c>
      <c r="AJ93" s="75"/>
      <c r="AK93" s="75">
        <f>C61</f>
        <v>190</v>
      </c>
      <c r="AL93" t="s">
        <v>84</v>
      </c>
      <c r="BA93" s="1376">
        <v>39</v>
      </c>
      <c r="BB93" s="1377">
        <v>8.8610000000000007</v>
      </c>
    </row>
    <row r="94" spans="1:54">
      <c r="B94" s="75" t="s">
        <v>94</v>
      </c>
      <c r="C94" s="75"/>
      <c r="E94" t="s">
        <v>0</v>
      </c>
      <c r="F94" s="75">
        <f>ABS(F93-F92)</f>
        <v>39</v>
      </c>
      <c r="G94" t="s">
        <v>84</v>
      </c>
      <c r="R94" s="75" t="s">
        <v>93</v>
      </c>
      <c r="S94" s="75"/>
      <c r="T94" s="75">
        <f>MAX(U55:U66)</f>
        <v>275</v>
      </c>
      <c r="U94" t="s">
        <v>84</v>
      </c>
      <c r="AI94" s="75" t="s">
        <v>105</v>
      </c>
      <c r="AJ94" s="75"/>
      <c r="AK94" s="75">
        <f>MAX(AL55:AL65)</f>
        <v>376</v>
      </c>
      <c r="AL94" t="s">
        <v>84</v>
      </c>
      <c r="BA94" s="1376">
        <v>40</v>
      </c>
      <c r="BB94" s="1377">
        <v>8.8580000000000005</v>
      </c>
    </row>
    <row r="95" spans="1:54">
      <c r="R95" s="75" t="s">
        <v>94</v>
      </c>
      <c r="S95" s="75"/>
      <c r="T95" s="75">
        <f>ABS(T94-T93)</f>
        <v>85</v>
      </c>
      <c r="U95" t="s">
        <v>84</v>
      </c>
      <c r="AI95" s="75" t="s">
        <v>94</v>
      </c>
      <c r="AJ95" s="75"/>
      <c r="AK95" s="75">
        <f>AK94-AK93</f>
        <v>186</v>
      </c>
      <c r="AL95" t="s">
        <v>84</v>
      </c>
      <c r="BA95" s="1376">
        <v>41</v>
      </c>
      <c r="BB95" s="1377">
        <v>8.7590000000000003</v>
      </c>
    </row>
    <row r="96" spans="1:54">
      <c r="B96" s="2045" t="s">
        <v>95</v>
      </c>
      <c r="C96" s="2047" t="s">
        <v>96</v>
      </c>
      <c r="D96" s="2049" t="s">
        <v>55</v>
      </c>
      <c r="E96" s="2051"/>
      <c r="F96" s="2049" t="s">
        <v>97</v>
      </c>
      <c r="G96" s="2051"/>
      <c r="H96" s="2049" t="s">
        <v>79</v>
      </c>
      <c r="I96" s="2050"/>
      <c r="J96" s="2051"/>
      <c r="BA96" s="1376">
        <v>42</v>
      </c>
      <c r="BB96" s="1377">
        <v>8.8000000000000007</v>
      </c>
    </row>
    <row r="97" spans="2:54">
      <c r="B97" s="2046"/>
      <c r="C97" s="2048"/>
      <c r="D97" s="82" t="s">
        <v>98</v>
      </c>
      <c r="E97" s="82" t="s">
        <v>98</v>
      </c>
      <c r="F97" s="82" t="s">
        <v>99</v>
      </c>
      <c r="G97" s="82" t="s">
        <v>100</v>
      </c>
      <c r="H97" s="82" t="s">
        <v>101</v>
      </c>
      <c r="I97" s="82" t="s">
        <v>100</v>
      </c>
      <c r="J97" s="82" t="s">
        <v>102</v>
      </c>
      <c r="R97" s="81" t="s">
        <v>95</v>
      </c>
      <c r="S97" s="82" t="s">
        <v>96</v>
      </c>
      <c r="T97" s="82" t="s">
        <v>55</v>
      </c>
      <c r="U97" s="82"/>
      <c r="V97" s="22" t="s">
        <v>97</v>
      </c>
      <c r="W97" s="22"/>
      <c r="X97" s="22" t="s">
        <v>79</v>
      </c>
      <c r="Y97" s="22"/>
      <c r="Z97" s="22"/>
      <c r="AI97" s="91" t="s">
        <v>95</v>
      </c>
      <c r="AJ97" s="22" t="s">
        <v>96</v>
      </c>
      <c r="AK97" s="82" t="s">
        <v>55</v>
      </c>
      <c r="AL97" s="82"/>
      <c r="AM97" s="22" t="s">
        <v>97</v>
      </c>
      <c r="AN97" s="22"/>
      <c r="AO97" s="22" t="s">
        <v>79</v>
      </c>
      <c r="AP97" s="22"/>
      <c r="AQ97" s="22"/>
      <c r="BA97" s="1376">
        <v>43</v>
      </c>
      <c r="BB97" s="1377">
        <v>8.8610000000000007</v>
      </c>
    </row>
    <row r="98" spans="2:54">
      <c r="B98" s="81"/>
      <c r="C98" s="82"/>
      <c r="D98" s="82" t="s">
        <v>103</v>
      </c>
      <c r="E98" s="82"/>
      <c r="F98" s="82"/>
      <c r="G98" s="82" t="s">
        <v>104</v>
      </c>
      <c r="H98" s="82" t="s">
        <v>84</v>
      </c>
      <c r="I98" s="82" t="s">
        <v>84</v>
      </c>
      <c r="J98" s="82" t="s">
        <v>34</v>
      </c>
      <c r="R98" s="81"/>
      <c r="S98" s="82"/>
      <c r="T98" s="82" t="s">
        <v>98</v>
      </c>
      <c r="U98" s="82" t="s">
        <v>98</v>
      </c>
      <c r="V98" s="82" t="s">
        <v>99</v>
      </c>
      <c r="W98" s="82" t="s">
        <v>100</v>
      </c>
      <c r="X98" s="82" t="s">
        <v>101</v>
      </c>
      <c r="Y98" s="82" t="s">
        <v>100</v>
      </c>
      <c r="Z98" s="82" t="s">
        <v>102</v>
      </c>
      <c r="AI98" s="81"/>
      <c r="AJ98" s="82"/>
      <c r="AK98" s="82" t="s">
        <v>98</v>
      </c>
      <c r="AL98" s="82" t="s">
        <v>98</v>
      </c>
      <c r="AM98" s="82" t="s">
        <v>99</v>
      </c>
      <c r="AN98" s="82" t="s">
        <v>100</v>
      </c>
      <c r="AO98" s="82" t="s">
        <v>101</v>
      </c>
      <c r="AP98" s="82" t="s">
        <v>100</v>
      </c>
      <c r="AQ98" s="82" t="s">
        <v>102</v>
      </c>
      <c r="BA98" s="1376">
        <v>44</v>
      </c>
      <c r="BB98" s="1377">
        <v>8.8780000000000001</v>
      </c>
    </row>
    <row r="99" spans="2:54">
      <c r="B99" s="121">
        <f>M59</f>
        <v>0</v>
      </c>
      <c r="C99" s="120">
        <v>0.33680555555555558</v>
      </c>
      <c r="D99" s="119">
        <v>0</v>
      </c>
      <c r="E99" s="86">
        <f t="shared" ref="E99:E112" si="1">SQRT(D99)</f>
        <v>0</v>
      </c>
      <c r="F99" s="295">
        <f>MAX(H57:H63)</f>
        <v>29</v>
      </c>
      <c r="G99" s="88">
        <v>0</v>
      </c>
      <c r="H99" s="89">
        <f>F93</f>
        <v>229</v>
      </c>
      <c r="I99" s="88">
        <v>0</v>
      </c>
      <c r="J99" s="86">
        <f t="shared" ref="J99:J112" si="2">(I99/$F$94)*100</f>
        <v>0</v>
      </c>
      <c r="R99" s="81"/>
      <c r="S99" s="82"/>
      <c r="T99" s="82" t="s">
        <v>103</v>
      </c>
      <c r="U99" s="82"/>
      <c r="V99" s="82"/>
      <c r="W99" s="82" t="s">
        <v>104</v>
      </c>
      <c r="X99" s="82" t="s">
        <v>84</v>
      </c>
      <c r="Y99" s="82" t="s">
        <v>84</v>
      </c>
      <c r="Z99" s="82" t="s">
        <v>34</v>
      </c>
      <c r="AI99" s="81"/>
      <c r="AJ99" s="82"/>
      <c r="AK99" s="82" t="s">
        <v>103</v>
      </c>
      <c r="AL99" s="82"/>
      <c r="AM99" s="82"/>
      <c r="AN99" s="82" t="s">
        <v>104</v>
      </c>
      <c r="AO99" s="82" t="s">
        <v>84</v>
      </c>
      <c r="AP99" s="82" t="s">
        <v>84</v>
      </c>
      <c r="AQ99" s="82" t="s">
        <v>34</v>
      </c>
      <c r="BA99" s="1376">
        <v>45</v>
      </c>
      <c r="BB99" s="1377">
        <v>8.9410000000000007</v>
      </c>
    </row>
    <row r="100" spans="2:54">
      <c r="B100" s="91"/>
      <c r="C100" s="92" t="b">
        <f>C99=D100</f>
        <v>0</v>
      </c>
      <c r="D100" s="119">
        <v>0.25</v>
      </c>
      <c r="E100" s="86">
        <f t="shared" si="1"/>
        <v>0.5</v>
      </c>
      <c r="F100" s="117">
        <v>27.2</v>
      </c>
      <c r="G100" s="88">
        <f>$F$99-F100</f>
        <v>1.8000000000000007</v>
      </c>
      <c r="H100" s="118">
        <v>225</v>
      </c>
      <c r="I100" s="88">
        <f>$H$99-H100</f>
        <v>4</v>
      </c>
      <c r="J100" s="86">
        <f t="shared" si="2"/>
        <v>10.256410256410255</v>
      </c>
      <c r="R100" s="121">
        <f>Z59</f>
        <v>0.30000000000000071</v>
      </c>
      <c r="S100" s="120">
        <v>0.34027777777777773</v>
      </c>
      <c r="T100" s="119">
        <v>0</v>
      </c>
      <c r="U100" s="86">
        <f t="shared" ref="U100:U113" si="3">SQRT(T100)</f>
        <v>0</v>
      </c>
      <c r="V100" s="295">
        <f>MAX(Y56:Y64)</f>
        <v>26.7</v>
      </c>
      <c r="W100" s="88">
        <v>0</v>
      </c>
      <c r="X100" s="89">
        <f>T94</f>
        <v>275</v>
      </c>
      <c r="Y100" s="88">
        <v>0</v>
      </c>
      <c r="Z100" s="90" t="e">
        <f>(Y100/$E$66)*100</f>
        <v>#DIV/0!</v>
      </c>
      <c r="AI100" s="83">
        <f>AH59</f>
        <v>0</v>
      </c>
      <c r="AJ100" s="84">
        <v>0.34375</v>
      </c>
      <c r="AK100" s="85">
        <v>0</v>
      </c>
      <c r="AL100" s="86">
        <f t="shared" ref="AL100:AL113" si="4">SQRT(AK100)</f>
        <v>0</v>
      </c>
      <c r="AM100" s="296">
        <v>27.7</v>
      </c>
      <c r="AN100" s="86">
        <v>0</v>
      </c>
      <c r="AO100" s="89">
        <f>AK94</f>
        <v>376</v>
      </c>
      <c r="AP100" s="86">
        <v>0</v>
      </c>
      <c r="AQ100" s="86">
        <f t="shared" ref="AQ100:AQ113" si="5">(AP100/$AK$95)*100</f>
        <v>0</v>
      </c>
      <c r="BA100" s="1376">
        <v>46</v>
      </c>
      <c r="BB100" s="1377">
        <v>9.01</v>
      </c>
    </row>
    <row r="101" spans="2:54">
      <c r="B101" s="91"/>
      <c r="C101" s="92">
        <v>0.3371527777777778</v>
      </c>
      <c r="D101" s="119">
        <v>0.5</v>
      </c>
      <c r="E101" s="86">
        <f t="shared" si="1"/>
        <v>0.70710678118654757</v>
      </c>
      <c r="F101" s="117">
        <v>27</v>
      </c>
      <c r="G101" s="88">
        <f t="shared" ref="G101:G112" si="6">$F$99-F101</f>
        <v>2</v>
      </c>
      <c r="H101" s="118">
        <v>220</v>
      </c>
      <c r="I101" s="88">
        <f t="shared" ref="I101:I112" si="7">$H$99-H101</f>
        <v>9</v>
      </c>
      <c r="J101" s="86">
        <f t="shared" si="2"/>
        <v>23.076923076923077</v>
      </c>
      <c r="R101" s="91"/>
      <c r="S101" s="92">
        <v>0.34045138888888887</v>
      </c>
      <c r="T101" s="119">
        <v>0.25</v>
      </c>
      <c r="U101" s="86">
        <f t="shared" si="3"/>
        <v>0.5</v>
      </c>
      <c r="V101" s="117">
        <v>25.4</v>
      </c>
      <c r="W101" s="88">
        <f t="shared" ref="W101:W113" si="8">$V$100-V101</f>
        <v>1.3000000000000007</v>
      </c>
      <c r="X101" s="118">
        <v>218</v>
      </c>
      <c r="Y101" s="88">
        <f t="shared" ref="Y101:Y113" si="9">$X$100-X101</f>
        <v>57</v>
      </c>
      <c r="Z101" s="90">
        <f t="shared" ref="Z101:Z113" si="10">(Y101/$T$95)*100</f>
        <v>67.058823529411754</v>
      </c>
      <c r="AI101" s="91"/>
      <c r="AJ101" s="92">
        <f t="shared" ref="AJ101:AJ113" si="11">$D$212+AK101/1440</f>
        <v>1.7361111111111112E-4</v>
      </c>
      <c r="AK101" s="85">
        <v>0.25</v>
      </c>
      <c r="AL101" s="86">
        <f t="shared" si="4"/>
        <v>0.5</v>
      </c>
      <c r="AM101" s="87">
        <v>27.4</v>
      </c>
      <c r="AN101" s="86">
        <f t="shared" ref="AN101:AN113" si="12">$AM$100-AM101</f>
        <v>0.30000000000000071</v>
      </c>
      <c r="AO101" s="93">
        <v>245</v>
      </c>
      <c r="AP101" s="86">
        <f t="shared" ref="AP101:AP113" si="13">$AO$100-AO101</f>
        <v>131</v>
      </c>
      <c r="AQ101" s="86">
        <f t="shared" si="5"/>
        <v>70.430107526881727</v>
      </c>
      <c r="BA101" s="1376">
        <v>47</v>
      </c>
      <c r="BB101" s="1377">
        <v>8.8993000000000002</v>
      </c>
    </row>
    <row r="102" spans="2:54">
      <c r="B102" s="91"/>
      <c r="C102" s="92">
        <v>0.33749999999999997</v>
      </c>
      <c r="D102" s="119">
        <v>1</v>
      </c>
      <c r="E102" s="86">
        <f t="shared" si="1"/>
        <v>1</v>
      </c>
      <c r="F102" s="117">
        <v>26.7</v>
      </c>
      <c r="G102" s="88">
        <f t="shared" si="6"/>
        <v>2.3000000000000007</v>
      </c>
      <c r="H102" s="118">
        <v>210</v>
      </c>
      <c r="I102" s="88">
        <f t="shared" si="7"/>
        <v>19</v>
      </c>
      <c r="J102" s="86">
        <f t="shared" si="2"/>
        <v>48.717948717948715</v>
      </c>
      <c r="R102" s="91"/>
      <c r="S102" s="92">
        <v>0.34062500000000001</v>
      </c>
      <c r="T102" s="119">
        <v>0.5</v>
      </c>
      <c r="U102" s="86">
        <f t="shared" si="3"/>
        <v>0.70710678118654757</v>
      </c>
      <c r="V102" s="117">
        <v>25.2</v>
      </c>
      <c r="W102" s="88">
        <f t="shared" si="8"/>
        <v>1.5</v>
      </c>
      <c r="X102" s="118">
        <v>212</v>
      </c>
      <c r="Y102" s="88">
        <f t="shared" si="9"/>
        <v>63</v>
      </c>
      <c r="Z102" s="90">
        <f t="shared" si="10"/>
        <v>74.117647058823536</v>
      </c>
      <c r="AI102" s="91"/>
      <c r="AJ102" s="92">
        <f t="shared" si="11"/>
        <v>3.4722222222222224E-4</v>
      </c>
      <c r="AK102" s="85">
        <v>0.5</v>
      </c>
      <c r="AL102" s="86">
        <f t="shared" si="4"/>
        <v>0.70710678118654757</v>
      </c>
      <c r="AM102" s="87">
        <v>27.2</v>
      </c>
      <c r="AN102" s="86">
        <f t="shared" si="12"/>
        <v>0.5</v>
      </c>
      <c r="AO102" s="93">
        <v>235</v>
      </c>
      <c r="AP102" s="86">
        <f t="shared" si="13"/>
        <v>141</v>
      </c>
      <c r="AQ102" s="86">
        <f t="shared" si="5"/>
        <v>75.806451612903231</v>
      </c>
      <c r="BA102" s="1376">
        <v>48</v>
      </c>
      <c r="BB102" s="1377">
        <v>8.7490000000000006</v>
      </c>
    </row>
    <row r="103" spans="2:54">
      <c r="B103" s="91"/>
      <c r="C103" s="92">
        <v>0.33836805555555555</v>
      </c>
      <c r="D103" s="119">
        <v>2.25</v>
      </c>
      <c r="E103" s="86">
        <f t="shared" si="1"/>
        <v>1.5</v>
      </c>
      <c r="F103" s="117">
        <v>26.3</v>
      </c>
      <c r="G103" s="88">
        <f t="shared" si="6"/>
        <v>2.6999999999999993</v>
      </c>
      <c r="H103" s="118">
        <v>205</v>
      </c>
      <c r="I103" s="88">
        <f t="shared" si="7"/>
        <v>24</v>
      </c>
      <c r="J103" s="86">
        <f t="shared" si="2"/>
        <v>61.53846153846154</v>
      </c>
      <c r="R103" s="91"/>
      <c r="S103" s="92">
        <v>0.34097222222222223</v>
      </c>
      <c r="T103" s="119">
        <v>1</v>
      </c>
      <c r="U103" s="86">
        <f t="shared" si="3"/>
        <v>1</v>
      </c>
      <c r="V103" s="117">
        <v>25</v>
      </c>
      <c r="W103" s="88">
        <f t="shared" si="8"/>
        <v>1.6999999999999993</v>
      </c>
      <c r="X103" s="118">
        <v>210</v>
      </c>
      <c r="Y103" s="88">
        <f t="shared" si="9"/>
        <v>65</v>
      </c>
      <c r="Z103" s="90">
        <f t="shared" si="10"/>
        <v>76.470588235294116</v>
      </c>
      <c r="AI103" s="91"/>
      <c r="AJ103" s="92">
        <f t="shared" si="11"/>
        <v>6.9444444444444447E-4</v>
      </c>
      <c r="AK103" s="85">
        <v>1</v>
      </c>
      <c r="AL103" s="86">
        <f t="shared" si="4"/>
        <v>1</v>
      </c>
      <c r="AM103" s="87">
        <v>27</v>
      </c>
      <c r="AN103" s="86">
        <f t="shared" si="12"/>
        <v>0.69999999999999929</v>
      </c>
      <c r="AO103" s="93">
        <v>230</v>
      </c>
      <c r="AP103" s="86">
        <f t="shared" si="13"/>
        <v>146</v>
      </c>
      <c r="AQ103" s="86">
        <f t="shared" si="5"/>
        <v>78.494623655913969</v>
      </c>
      <c r="BA103" s="1376">
        <v>49</v>
      </c>
      <c r="BB103" s="1377">
        <v>8.8219999999999992</v>
      </c>
    </row>
    <row r="104" spans="2:54">
      <c r="B104" s="91"/>
      <c r="C104" s="92">
        <f t="shared" ref="C104:C112" si="14">$D$91+D104/1440</f>
        <v>2.7777777777777779E-3</v>
      </c>
      <c r="D104" s="119">
        <v>4</v>
      </c>
      <c r="E104" s="86">
        <f t="shared" si="1"/>
        <v>2</v>
      </c>
      <c r="F104" s="117">
        <v>25.8</v>
      </c>
      <c r="G104" s="88">
        <f t="shared" si="6"/>
        <v>3.1999999999999993</v>
      </c>
      <c r="H104" s="118">
        <v>200</v>
      </c>
      <c r="I104" s="88">
        <f t="shared" si="7"/>
        <v>29</v>
      </c>
      <c r="J104" s="86">
        <f t="shared" si="2"/>
        <v>74.358974358974365</v>
      </c>
      <c r="R104" s="91"/>
      <c r="S104" s="92">
        <f t="shared" ref="S104:S113" si="15">$D$126+T104/1440</f>
        <v>1.5625000000000001E-3</v>
      </c>
      <c r="T104" s="119">
        <v>2.25</v>
      </c>
      <c r="U104" s="86">
        <f t="shared" si="3"/>
        <v>1.5</v>
      </c>
      <c r="V104" s="117">
        <v>24.8</v>
      </c>
      <c r="W104" s="88">
        <f t="shared" si="8"/>
        <v>1.8999999999999986</v>
      </c>
      <c r="X104" s="118">
        <v>208</v>
      </c>
      <c r="Y104" s="88">
        <f t="shared" si="9"/>
        <v>67</v>
      </c>
      <c r="Z104" s="90">
        <f t="shared" si="10"/>
        <v>78.82352941176471</v>
      </c>
      <c r="AI104" s="91"/>
      <c r="AJ104" s="92">
        <f t="shared" si="11"/>
        <v>1.5625000000000001E-3</v>
      </c>
      <c r="AK104" s="85">
        <v>2.25</v>
      </c>
      <c r="AL104" s="86">
        <f t="shared" si="4"/>
        <v>1.5</v>
      </c>
      <c r="AM104" s="87">
        <v>26.7</v>
      </c>
      <c r="AN104" s="86">
        <f t="shared" si="12"/>
        <v>1</v>
      </c>
      <c r="AO104" s="93">
        <v>225</v>
      </c>
      <c r="AP104" s="86">
        <f t="shared" si="13"/>
        <v>151</v>
      </c>
      <c r="AQ104" s="86">
        <f t="shared" si="5"/>
        <v>81.182795698924721</v>
      </c>
      <c r="BA104" s="1376">
        <v>50</v>
      </c>
      <c r="BB104" s="1377">
        <v>8.7810000000000006</v>
      </c>
    </row>
    <row r="105" spans="2:54">
      <c r="B105" s="91"/>
      <c r="C105" s="92">
        <f t="shared" si="14"/>
        <v>6.2500000000000003E-3</v>
      </c>
      <c r="D105" s="119">
        <v>9</v>
      </c>
      <c r="E105" s="86">
        <f t="shared" si="1"/>
        <v>3</v>
      </c>
      <c r="F105" s="117">
        <v>24.9</v>
      </c>
      <c r="G105" s="88">
        <f t="shared" si="6"/>
        <v>4.1000000000000014</v>
      </c>
      <c r="H105" s="118">
        <v>198</v>
      </c>
      <c r="I105" s="88">
        <f t="shared" si="7"/>
        <v>31</v>
      </c>
      <c r="J105" s="86">
        <f t="shared" si="2"/>
        <v>79.487179487179489</v>
      </c>
      <c r="R105" s="91"/>
      <c r="S105" s="92">
        <f t="shared" si="15"/>
        <v>2.7777777777777779E-3</v>
      </c>
      <c r="T105" s="119">
        <v>4</v>
      </c>
      <c r="U105" s="86">
        <f t="shared" si="3"/>
        <v>2</v>
      </c>
      <c r="V105" s="117">
        <v>24.6</v>
      </c>
      <c r="W105" s="88">
        <f t="shared" si="8"/>
        <v>2.0999999999999979</v>
      </c>
      <c r="X105" s="118">
        <v>206</v>
      </c>
      <c r="Y105" s="88">
        <f t="shared" si="9"/>
        <v>69</v>
      </c>
      <c r="Z105" s="90">
        <f t="shared" si="10"/>
        <v>81.17647058823529</v>
      </c>
      <c r="AI105" s="91"/>
      <c r="AJ105" s="92">
        <f t="shared" si="11"/>
        <v>2.7777777777777779E-3</v>
      </c>
      <c r="AK105" s="85">
        <v>4</v>
      </c>
      <c r="AL105" s="86">
        <f t="shared" si="4"/>
        <v>2</v>
      </c>
      <c r="AM105" s="87">
        <v>26.5</v>
      </c>
      <c r="AN105" s="86">
        <f t="shared" si="12"/>
        <v>1.1999999999999993</v>
      </c>
      <c r="AO105" s="93">
        <v>220</v>
      </c>
      <c r="AP105" s="86">
        <f t="shared" si="13"/>
        <v>156</v>
      </c>
      <c r="AQ105" s="86">
        <f t="shared" si="5"/>
        <v>83.870967741935488</v>
      </c>
      <c r="BA105" s="1376">
        <v>51</v>
      </c>
      <c r="BB105" s="1377">
        <v>8.843</v>
      </c>
    </row>
    <row r="106" spans="2:54">
      <c r="B106" s="91"/>
      <c r="C106" s="92">
        <f t="shared" si="14"/>
        <v>1.1111111111111112E-2</v>
      </c>
      <c r="D106" s="119">
        <v>16</v>
      </c>
      <c r="E106" s="86">
        <f t="shared" si="1"/>
        <v>4</v>
      </c>
      <c r="F106" s="117">
        <v>24.1</v>
      </c>
      <c r="G106" s="88">
        <f t="shared" si="6"/>
        <v>4.8999999999999986</v>
      </c>
      <c r="H106" s="118">
        <v>196</v>
      </c>
      <c r="I106" s="88">
        <f t="shared" si="7"/>
        <v>33</v>
      </c>
      <c r="J106" s="86">
        <f t="shared" si="2"/>
        <v>84.615384615384613</v>
      </c>
      <c r="R106" s="91"/>
      <c r="S106" s="92">
        <f t="shared" si="15"/>
        <v>6.2500000000000003E-3</v>
      </c>
      <c r="T106" s="119">
        <v>9</v>
      </c>
      <c r="U106" s="86">
        <f t="shared" si="3"/>
        <v>3</v>
      </c>
      <c r="V106" s="117">
        <v>24.1</v>
      </c>
      <c r="W106" s="88">
        <f t="shared" si="8"/>
        <v>2.5999999999999979</v>
      </c>
      <c r="X106" s="118">
        <v>205</v>
      </c>
      <c r="Y106" s="88">
        <f t="shared" si="9"/>
        <v>70</v>
      </c>
      <c r="Z106" s="90">
        <f t="shared" si="10"/>
        <v>82.35294117647058</v>
      </c>
      <c r="AI106" s="91"/>
      <c r="AJ106" s="92">
        <f t="shared" si="11"/>
        <v>6.2500000000000003E-3</v>
      </c>
      <c r="AK106" s="85">
        <v>9</v>
      </c>
      <c r="AL106" s="86">
        <f t="shared" si="4"/>
        <v>3</v>
      </c>
      <c r="AM106" s="87">
        <v>26.2</v>
      </c>
      <c r="AN106" s="86">
        <f t="shared" si="12"/>
        <v>1.5</v>
      </c>
      <c r="AO106" s="93">
        <v>215</v>
      </c>
      <c r="AP106" s="86">
        <f t="shared" si="13"/>
        <v>161</v>
      </c>
      <c r="AQ106" s="86">
        <f t="shared" si="5"/>
        <v>86.55913978494624</v>
      </c>
      <c r="BA106" s="1376">
        <v>52</v>
      </c>
      <c r="BB106" s="1377">
        <v>8.8580000000000005</v>
      </c>
    </row>
    <row r="107" spans="2:54">
      <c r="B107" s="91"/>
      <c r="C107" s="92">
        <f t="shared" si="14"/>
        <v>1.7361111111111112E-2</v>
      </c>
      <c r="D107" s="119">
        <v>25</v>
      </c>
      <c r="E107" s="86">
        <f t="shared" si="1"/>
        <v>5</v>
      </c>
      <c r="F107" s="117">
        <v>23.4</v>
      </c>
      <c r="G107" s="88">
        <f t="shared" si="6"/>
        <v>5.6000000000000014</v>
      </c>
      <c r="H107" s="118">
        <v>194</v>
      </c>
      <c r="I107" s="88">
        <f t="shared" si="7"/>
        <v>35</v>
      </c>
      <c r="J107" s="86">
        <f t="shared" si="2"/>
        <v>89.743589743589752</v>
      </c>
      <c r="R107" s="91"/>
      <c r="S107" s="92">
        <f t="shared" si="15"/>
        <v>1.1111111111111112E-2</v>
      </c>
      <c r="T107" s="119">
        <v>16</v>
      </c>
      <c r="U107" s="86">
        <f t="shared" si="3"/>
        <v>4</v>
      </c>
      <c r="V107" s="117">
        <v>23.8</v>
      </c>
      <c r="W107" s="88">
        <f t="shared" si="8"/>
        <v>2.8999999999999986</v>
      </c>
      <c r="X107" s="118">
        <v>202</v>
      </c>
      <c r="Y107" s="88">
        <f t="shared" si="9"/>
        <v>73</v>
      </c>
      <c r="Z107" s="90">
        <f t="shared" si="10"/>
        <v>85.882352941176464</v>
      </c>
      <c r="AI107" s="91"/>
      <c r="AJ107" s="92">
        <f t="shared" si="11"/>
        <v>1.1111111111111112E-2</v>
      </c>
      <c r="AK107" s="85">
        <v>16</v>
      </c>
      <c r="AL107" s="86">
        <f t="shared" si="4"/>
        <v>4</v>
      </c>
      <c r="AM107" s="87">
        <v>25.9</v>
      </c>
      <c r="AN107" s="86">
        <f t="shared" si="12"/>
        <v>1.8000000000000007</v>
      </c>
      <c r="AO107" s="93">
        <v>210</v>
      </c>
      <c r="AP107" s="86">
        <f t="shared" si="13"/>
        <v>166</v>
      </c>
      <c r="AQ107" s="86">
        <f t="shared" si="5"/>
        <v>89.247311827956992</v>
      </c>
      <c r="BA107" s="1376">
        <v>53</v>
      </c>
      <c r="BB107" s="1377">
        <v>8.7810000000000006</v>
      </c>
    </row>
    <row r="108" spans="2:54">
      <c r="B108" s="91"/>
      <c r="C108" s="92">
        <f t="shared" si="14"/>
        <v>2.5000000000000001E-2</v>
      </c>
      <c r="D108" s="119">
        <v>36</v>
      </c>
      <c r="E108" s="86">
        <f t="shared" si="1"/>
        <v>6</v>
      </c>
      <c r="F108" s="117">
        <v>23</v>
      </c>
      <c r="G108" s="88">
        <f t="shared" si="6"/>
        <v>6</v>
      </c>
      <c r="H108" s="118">
        <v>193</v>
      </c>
      <c r="I108" s="88">
        <f t="shared" si="7"/>
        <v>36</v>
      </c>
      <c r="J108" s="86">
        <f t="shared" si="2"/>
        <v>92.307692307692307</v>
      </c>
      <c r="R108" s="91"/>
      <c r="S108" s="92">
        <f t="shared" si="15"/>
        <v>1.7361111111111112E-2</v>
      </c>
      <c r="T108" s="119">
        <v>25</v>
      </c>
      <c r="U108" s="86">
        <f t="shared" si="3"/>
        <v>5</v>
      </c>
      <c r="V108" s="117">
        <v>23.6</v>
      </c>
      <c r="W108" s="88">
        <f t="shared" si="8"/>
        <v>3.0999999999999979</v>
      </c>
      <c r="X108" s="118">
        <v>200</v>
      </c>
      <c r="Y108" s="88">
        <f t="shared" si="9"/>
        <v>75</v>
      </c>
      <c r="Z108" s="90">
        <f t="shared" si="10"/>
        <v>88.235294117647058</v>
      </c>
      <c r="AI108" s="91"/>
      <c r="AJ108" s="92">
        <f t="shared" si="11"/>
        <v>1.7361111111111112E-2</v>
      </c>
      <c r="AK108" s="85">
        <v>25</v>
      </c>
      <c r="AL108" s="86">
        <f t="shared" si="4"/>
        <v>5</v>
      </c>
      <c r="AM108" s="87">
        <v>25.7</v>
      </c>
      <c r="AN108" s="86">
        <f t="shared" si="12"/>
        <v>2</v>
      </c>
      <c r="AO108" s="93">
        <v>207</v>
      </c>
      <c r="AP108" s="86">
        <f t="shared" si="13"/>
        <v>169</v>
      </c>
      <c r="AQ108" s="86">
        <f t="shared" si="5"/>
        <v>90.86021505376344</v>
      </c>
      <c r="BA108" s="1376">
        <v>54</v>
      </c>
      <c r="BB108" s="1377">
        <v>8.9179999999999993</v>
      </c>
    </row>
    <row r="109" spans="2:54">
      <c r="B109" s="91"/>
      <c r="C109" s="92">
        <f t="shared" si="14"/>
        <v>4.4444444444444446E-2</v>
      </c>
      <c r="D109" s="119">
        <v>64</v>
      </c>
      <c r="E109" s="86">
        <f t="shared" si="1"/>
        <v>8</v>
      </c>
      <c r="F109" s="117">
        <v>22.7</v>
      </c>
      <c r="G109" s="88">
        <f t="shared" si="6"/>
        <v>6.3000000000000007</v>
      </c>
      <c r="H109" s="118">
        <v>192</v>
      </c>
      <c r="I109" s="88">
        <f t="shared" si="7"/>
        <v>37</v>
      </c>
      <c r="J109" s="86">
        <f t="shared" si="2"/>
        <v>94.871794871794862</v>
      </c>
      <c r="R109" s="91"/>
      <c r="S109" s="92">
        <f t="shared" si="15"/>
        <v>2.5000000000000001E-2</v>
      </c>
      <c r="T109" s="119">
        <v>36</v>
      </c>
      <c r="U109" s="86">
        <f t="shared" si="3"/>
        <v>6</v>
      </c>
      <c r="V109" s="117">
        <v>23.5</v>
      </c>
      <c r="W109" s="88">
        <f t="shared" si="8"/>
        <v>3.1999999999999993</v>
      </c>
      <c r="X109" s="118">
        <v>198</v>
      </c>
      <c r="Y109" s="88">
        <f t="shared" si="9"/>
        <v>77</v>
      </c>
      <c r="Z109" s="90">
        <f t="shared" si="10"/>
        <v>90.588235294117652</v>
      </c>
      <c r="AI109" s="91"/>
      <c r="AJ109" s="92">
        <f t="shared" si="11"/>
        <v>2.5000000000000001E-2</v>
      </c>
      <c r="AK109" s="85">
        <v>36</v>
      </c>
      <c r="AL109" s="86">
        <f t="shared" si="4"/>
        <v>6</v>
      </c>
      <c r="AM109" s="87">
        <v>25.5</v>
      </c>
      <c r="AN109" s="86">
        <f t="shared" si="12"/>
        <v>2.1999999999999993</v>
      </c>
      <c r="AO109" s="93">
        <v>205</v>
      </c>
      <c r="AP109" s="86">
        <f t="shared" si="13"/>
        <v>171</v>
      </c>
      <c r="AQ109" s="86">
        <f t="shared" si="5"/>
        <v>91.935483870967744</v>
      </c>
      <c r="BA109" s="1376">
        <v>55</v>
      </c>
      <c r="BB109" s="1377">
        <v>9.0299999999999994</v>
      </c>
    </row>
    <row r="110" spans="2:54">
      <c r="B110" s="91"/>
      <c r="C110" s="92">
        <f t="shared" si="14"/>
        <v>8.4027777777777785E-2</v>
      </c>
      <c r="D110" s="119">
        <v>121</v>
      </c>
      <c r="E110" s="86">
        <f t="shared" si="1"/>
        <v>11</v>
      </c>
      <c r="F110" s="117">
        <v>22.5</v>
      </c>
      <c r="G110" s="88">
        <f t="shared" si="6"/>
        <v>6.5</v>
      </c>
      <c r="H110" s="118">
        <v>191</v>
      </c>
      <c r="I110" s="88">
        <f t="shared" si="7"/>
        <v>38</v>
      </c>
      <c r="J110" s="86">
        <f t="shared" si="2"/>
        <v>97.435897435897431</v>
      </c>
      <c r="R110" s="91"/>
      <c r="S110" s="92">
        <f t="shared" si="15"/>
        <v>4.4444444444444446E-2</v>
      </c>
      <c r="T110" s="119">
        <v>64</v>
      </c>
      <c r="U110" s="86">
        <f t="shared" si="3"/>
        <v>8</v>
      </c>
      <c r="V110" s="117">
        <v>23.3</v>
      </c>
      <c r="W110" s="88">
        <f t="shared" si="8"/>
        <v>3.3999999999999986</v>
      </c>
      <c r="X110" s="118">
        <v>195</v>
      </c>
      <c r="Y110" s="88">
        <f t="shared" si="9"/>
        <v>80</v>
      </c>
      <c r="Z110" s="90">
        <f t="shared" si="10"/>
        <v>94.117647058823522</v>
      </c>
      <c r="AI110" s="91"/>
      <c r="AJ110" s="92">
        <f t="shared" si="11"/>
        <v>4.4444444444444446E-2</v>
      </c>
      <c r="AK110" s="85">
        <v>64</v>
      </c>
      <c r="AL110" s="86">
        <f t="shared" si="4"/>
        <v>8</v>
      </c>
      <c r="AM110" s="87">
        <v>25.3</v>
      </c>
      <c r="AN110" s="86">
        <f t="shared" si="12"/>
        <v>2.3999999999999986</v>
      </c>
      <c r="AO110" s="93">
        <v>202</v>
      </c>
      <c r="AP110" s="86">
        <f t="shared" si="13"/>
        <v>174</v>
      </c>
      <c r="AQ110" s="86">
        <f t="shared" si="5"/>
        <v>93.548387096774192</v>
      </c>
      <c r="BA110" s="1376">
        <v>56</v>
      </c>
      <c r="BB110" s="1377">
        <v>8.9239999999999995</v>
      </c>
    </row>
    <row r="111" spans="2:54">
      <c r="B111" s="91"/>
      <c r="C111" s="92">
        <f t="shared" si="14"/>
        <v>0.15625</v>
      </c>
      <c r="D111" s="119">
        <v>225</v>
      </c>
      <c r="E111" s="86">
        <f t="shared" si="1"/>
        <v>15</v>
      </c>
      <c r="F111" s="117">
        <v>22.3</v>
      </c>
      <c r="G111" s="88">
        <f t="shared" si="6"/>
        <v>6.6999999999999993</v>
      </c>
      <c r="H111" s="118">
        <v>190</v>
      </c>
      <c r="I111" s="88">
        <f t="shared" si="7"/>
        <v>39</v>
      </c>
      <c r="J111" s="86">
        <f t="shared" si="2"/>
        <v>100</v>
      </c>
      <c r="R111" s="91"/>
      <c r="S111" s="92">
        <f t="shared" si="15"/>
        <v>8.4027777777777785E-2</v>
      </c>
      <c r="T111" s="119">
        <v>121</v>
      </c>
      <c r="U111" s="86">
        <f t="shared" si="3"/>
        <v>11</v>
      </c>
      <c r="V111" s="117">
        <v>23.2</v>
      </c>
      <c r="W111" s="88">
        <f t="shared" si="8"/>
        <v>3.5</v>
      </c>
      <c r="X111" s="118">
        <v>192</v>
      </c>
      <c r="Y111" s="88">
        <f t="shared" si="9"/>
        <v>83</v>
      </c>
      <c r="Z111" s="90">
        <f t="shared" si="10"/>
        <v>97.647058823529406</v>
      </c>
      <c r="AI111" s="91"/>
      <c r="AJ111" s="92">
        <f t="shared" si="11"/>
        <v>8.4027777777777785E-2</v>
      </c>
      <c r="AK111" s="85">
        <v>121</v>
      </c>
      <c r="AL111" s="86">
        <f t="shared" si="4"/>
        <v>11</v>
      </c>
      <c r="AM111" s="87">
        <v>25.2</v>
      </c>
      <c r="AN111" s="86">
        <f t="shared" si="12"/>
        <v>2.5</v>
      </c>
      <c r="AO111" s="93">
        <v>198</v>
      </c>
      <c r="AP111" s="86">
        <f t="shared" si="13"/>
        <v>178</v>
      </c>
      <c r="AQ111" s="86">
        <f t="shared" si="5"/>
        <v>95.6989247311828</v>
      </c>
      <c r="BA111" s="1376">
        <v>57</v>
      </c>
      <c r="BB111" s="1377">
        <v>9.0109999999999992</v>
      </c>
    </row>
    <row r="112" spans="2:54">
      <c r="B112" s="94"/>
      <c r="C112" s="92">
        <f t="shared" si="14"/>
        <v>0.75694444444444442</v>
      </c>
      <c r="D112" s="119">
        <v>1090</v>
      </c>
      <c r="E112" s="86">
        <f t="shared" si="1"/>
        <v>33.015148038438355</v>
      </c>
      <c r="F112" s="117">
        <v>22.1</v>
      </c>
      <c r="G112" s="88">
        <f t="shared" si="6"/>
        <v>6.8999999999999986</v>
      </c>
      <c r="H112" s="118">
        <v>190</v>
      </c>
      <c r="I112" s="88">
        <f t="shared" si="7"/>
        <v>39</v>
      </c>
      <c r="J112" s="86">
        <f t="shared" si="2"/>
        <v>100</v>
      </c>
      <c r="R112" s="91"/>
      <c r="S112" s="92">
        <f t="shared" si="15"/>
        <v>0.15625</v>
      </c>
      <c r="T112" s="119">
        <v>225</v>
      </c>
      <c r="U112" s="86">
        <f t="shared" si="3"/>
        <v>15</v>
      </c>
      <c r="V112" s="117">
        <v>23.1</v>
      </c>
      <c r="W112" s="88">
        <f t="shared" si="8"/>
        <v>3.5999999999999979</v>
      </c>
      <c r="X112" s="118">
        <v>190</v>
      </c>
      <c r="Y112" s="88">
        <f t="shared" si="9"/>
        <v>85</v>
      </c>
      <c r="Z112" s="90">
        <f t="shared" si="10"/>
        <v>100</v>
      </c>
      <c r="AI112" s="91"/>
      <c r="AJ112" s="92">
        <f t="shared" si="11"/>
        <v>0.15625</v>
      </c>
      <c r="AK112" s="85">
        <v>225</v>
      </c>
      <c r="AL112" s="86">
        <f t="shared" si="4"/>
        <v>15</v>
      </c>
      <c r="AM112" s="87">
        <v>25.2</v>
      </c>
      <c r="AN112" s="86">
        <f t="shared" si="12"/>
        <v>2.5</v>
      </c>
      <c r="AO112" s="93">
        <v>194</v>
      </c>
      <c r="AP112" s="86">
        <f t="shared" si="13"/>
        <v>182</v>
      </c>
      <c r="AQ112" s="86">
        <f t="shared" si="5"/>
        <v>97.849462365591393</v>
      </c>
      <c r="BA112" s="1376">
        <v>58</v>
      </c>
      <c r="BB112" s="1377">
        <v>8.8539999999999992</v>
      </c>
    </row>
    <row r="113" spans="1:54">
      <c r="B113" s="75"/>
      <c r="D113" s="79"/>
      <c r="H113" s="80"/>
      <c r="J113" s="77"/>
      <c r="O113" s="75"/>
      <c r="Q113" s="79"/>
      <c r="R113" s="94"/>
      <c r="S113" s="92">
        <f t="shared" si="15"/>
        <v>0.75694444444444442</v>
      </c>
      <c r="T113" s="119">
        <v>1090</v>
      </c>
      <c r="U113" s="86">
        <f t="shared" si="3"/>
        <v>33.015148038438355</v>
      </c>
      <c r="V113" s="117">
        <v>23</v>
      </c>
      <c r="W113" s="88">
        <f t="shared" si="8"/>
        <v>3.6999999999999993</v>
      </c>
      <c r="X113" s="118">
        <v>190</v>
      </c>
      <c r="Y113" s="88">
        <f t="shared" si="9"/>
        <v>85</v>
      </c>
      <c r="Z113" s="90">
        <f t="shared" si="10"/>
        <v>100</v>
      </c>
      <c r="AB113" s="95"/>
      <c r="AI113" s="94"/>
      <c r="AJ113" s="92">
        <f t="shared" si="11"/>
        <v>0.75694444444444442</v>
      </c>
      <c r="AK113" s="85">
        <v>1090</v>
      </c>
      <c r="AL113" s="86">
        <f t="shared" si="4"/>
        <v>33.015148038438355</v>
      </c>
      <c r="AM113" s="87">
        <v>25.2</v>
      </c>
      <c r="AN113" s="86">
        <f t="shared" si="12"/>
        <v>2.5</v>
      </c>
      <c r="AO113" s="93">
        <v>190</v>
      </c>
      <c r="AP113" s="86">
        <f t="shared" si="13"/>
        <v>186</v>
      </c>
      <c r="AQ113" s="86">
        <f t="shared" si="5"/>
        <v>100</v>
      </c>
      <c r="BA113" s="1376">
        <v>59</v>
      </c>
      <c r="BB113" s="1377">
        <v>8.8989999999999991</v>
      </c>
    </row>
    <row r="114" spans="1:54">
      <c r="B114" s="75"/>
      <c r="C114" t="s">
        <v>1538</v>
      </c>
      <c r="D114" s="79"/>
      <c r="G114" s="42">
        <f>MAX(G99:G112)</f>
        <v>6.8999999999999986</v>
      </c>
      <c r="H114" s="80"/>
      <c r="J114" s="77"/>
      <c r="O114" s="75"/>
      <c r="Q114" s="79"/>
      <c r="R114" s="1446"/>
      <c r="S114" s="1447"/>
      <c r="T114" s="756"/>
      <c r="U114" s="77"/>
      <c r="V114" s="1448"/>
      <c r="W114" s="78"/>
      <c r="X114" s="1449"/>
      <c r="Y114" s="78"/>
      <c r="Z114" s="157"/>
      <c r="AB114" s="95"/>
      <c r="AI114" s="1446"/>
      <c r="AJ114" s="1447"/>
      <c r="AK114" s="1450"/>
      <c r="AL114" s="77"/>
      <c r="AM114" s="1451"/>
      <c r="AN114" s="77"/>
      <c r="AO114" s="1452"/>
      <c r="AP114" s="77"/>
      <c r="AQ114" s="77"/>
      <c r="BA114" s="1376">
        <v>60</v>
      </c>
      <c r="BB114" s="1377">
        <v>8.8209999999999997</v>
      </c>
    </row>
    <row r="115" spans="1:54">
      <c r="B115" s="75"/>
      <c r="D115" s="79"/>
      <c r="H115" s="80"/>
      <c r="J115" s="77"/>
      <c r="O115" s="75"/>
      <c r="Q115" s="79"/>
      <c r="R115" s="1446"/>
      <c r="S115" s="1447"/>
      <c r="T115" s="756"/>
      <c r="U115" s="77"/>
      <c r="V115" s="1448"/>
      <c r="W115" s="42">
        <f>MAX(W100:W113)</f>
        <v>3.6999999999999993</v>
      </c>
      <c r="X115" s="1449"/>
      <c r="Y115" s="78"/>
      <c r="Z115" s="157"/>
      <c r="AB115" s="95"/>
      <c r="AI115" s="1446"/>
      <c r="AJ115" s="1447"/>
      <c r="AK115" s="1450"/>
      <c r="AL115" s="77"/>
      <c r="AM115" s="1451"/>
      <c r="AN115" s="42">
        <f>MAX(AN100:AN113)</f>
        <v>2.5</v>
      </c>
      <c r="AO115" s="1452"/>
      <c r="AP115" s="77"/>
      <c r="AQ115" s="77"/>
      <c r="BA115" s="1376">
        <v>61</v>
      </c>
      <c r="BB115" s="1377">
        <v>8.8450000000000006</v>
      </c>
    </row>
    <row r="116" spans="1:54">
      <c r="B116" s="75"/>
      <c r="D116" s="79"/>
      <c r="H116" s="80"/>
      <c r="J116" s="77"/>
      <c r="O116" s="75"/>
      <c r="Q116" s="79"/>
      <c r="R116" s="1446"/>
      <c r="S116" s="1447"/>
      <c r="T116" s="756"/>
      <c r="U116" s="77"/>
      <c r="V116" s="1448"/>
      <c r="W116" s="78"/>
      <c r="X116" s="1449"/>
      <c r="Y116" s="78"/>
      <c r="Z116" s="157"/>
      <c r="AB116" s="95"/>
      <c r="AI116" s="1446"/>
      <c r="AJ116" s="1447"/>
      <c r="AK116" s="1450"/>
      <c r="AL116" s="77"/>
      <c r="AM116" s="1451"/>
      <c r="AN116" s="77"/>
      <c r="AO116" s="1452"/>
      <c r="AP116" s="77"/>
      <c r="AQ116" s="77"/>
      <c r="BA116" s="1376">
        <v>62</v>
      </c>
      <c r="BB116" s="1377">
        <v>8.76</v>
      </c>
    </row>
    <row r="117" spans="1:54">
      <c r="B117" s="75"/>
      <c r="D117" s="79"/>
      <c r="H117" s="80"/>
      <c r="J117" s="77"/>
      <c r="O117" s="75"/>
      <c r="Q117" s="79"/>
      <c r="R117" s="1446"/>
      <c r="S117" s="1447"/>
      <c r="T117" s="756"/>
      <c r="U117" s="77"/>
      <c r="V117" s="1448"/>
      <c r="W117" s="78"/>
      <c r="X117" s="1449"/>
      <c r="Y117" s="78"/>
      <c r="Z117" s="157"/>
      <c r="AB117" s="95"/>
      <c r="AI117" s="1446"/>
      <c r="AJ117" s="1447"/>
      <c r="AK117" s="1450"/>
      <c r="AL117" s="77"/>
      <c r="AM117" s="1451"/>
      <c r="AN117" s="77"/>
      <c r="AO117" s="1452"/>
      <c r="AP117" s="77"/>
      <c r="AQ117" s="77"/>
      <c r="BA117" s="1376">
        <v>63</v>
      </c>
      <c r="BB117" s="1377">
        <v>8.86</v>
      </c>
    </row>
    <row r="118" spans="1:54">
      <c r="BA118" s="1376">
        <v>64</v>
      </c>
      <c r="BB118" s="1377">
        <v>8.8089999999999993</v>
      </c>
    </row>
    <row r="119" spans="1:54" ht="24" customHeight="1">
      <c r="A119" s="1442"/>
      <c r="B119" s="1442" t="s">
        <v>137</v>
      </c>
      <c r="C119" s="1442"/>
      <c r="D119" s="1442"/>
      <c r="E119" s="1442"/>
      <c r="F119" s="1442"/>
      <c r="G119" s="1442"/>
      <c r="H119" s="1442"/>
      <c r="I119" s="1442"/>
      <c r="J119" s="1442"/>
      <c r="K119" s="1442"/>
      <c r="L119" s="1442"/>
      <c r="M119" s="1442"/>
      <c r="N119" s="1442"/>
      <c r="O119" s="1442"/>
      <c r="P119" s="1442"/>
      <c r="Q119" s="1442"/>
      <c r="R119" s="1442"/>
      <c r="S119" s="1442"/>
      <c r="T119" s="1442"/>
      <c r="U119" s="1442"/>
      <c r="V119" s="1442"/>
      <c r="W119" s="1442"/>
      <c r="X119" s="1442"/>
      <c r="Y119" s="1442"/>
      <c r="Z119" s="1442"/>
      <c r="AA119" s="1442"/>
      <c r="AB119" s="1442"/>
      <c r="AC119" s="1442"/>
      <c r="AD119" s="1442"/>
      <c r="AE119" s="1442"/>
      <c r="AF119" s="1442"/>
      <c r="AG119" s="1442"/>
      <c r="AH119" s="1442"/>
      <c r="AI119" s="1442"/>
      <c r="AJ119" s="1442"/>
      <c r="AK119" s="1442"/>
      <c r="AL119" s="1442"/>
      <c r="AM119" s="1442"/>
      <c r="AN119" s="1442"/>
      <c r="AO119" s="1442"/>
      <c r="AP119" s="1442"/>
      <c r="AQ119" s="1442"/>
      <c r="AR119" s="1442"/>
      <c r="AS119" s="1442"/>
      <c r="AT119" s="1442"/>
      <c r="AU119" s="1442"/>
      <c r="AV119" s="1442"/>
      <c r="AW119" s="1442"/>
      <c r="AX119" s="1442"/>
      <c r="BA119" s="1376">
        <v>65</v>
      </c>
      <c r="BB119" s="1377">
        <v>8.8840000000000003</v>
      </c>
    </row>
    <row r="120" spans="1:54">
      <c r="AF120" s="42"/>
      <c r="BA120" s="1376">
        <v>66</v>
      </c>
      <c r="BB120" s="1377">
        <v>8.923</v>
      </c>
    </row>
    <row r="121" spans="1:54">
      <c r="B121" t="str">
        <f>B90</f>
        <v>Effective pressure</v>
      </c>
      <c r="D121">
        <f>F90</f>
        <v>50</v>
      </c>
      <c r="E121" t="s">
        <v>465</v>
      </c>
      <c r="G121" s="4" t="s">
        <v>138</v>
      </c>
      <c r="H121" s="1453">
        <f>G114/$F$42</f>
        <v>8.0093753801551343E-2</v>
      </c>
      <c r="J121" t="s">
        <v>139</v>
      </c>
      <c r="L121" s="42">
        <f>L123/L122</f>
        <v>1101.5697646667575</v>
      </c>
      <c r="M121" t="s">
        <v>107</v>
      </c>
      <c r="R121" t="s">
        <v>92</v>
      </c>
      <c r="T121">
        <f>T91</f>
        <v>100</v>
      </c>
      <c r="U121" t="s">
        <v>465</v>
      </c>
      <c r="W121" s="4" t="s">
        <v>138</v>
      </c>
      <c r="X121" s="1454">
        <f>W115/$V$42</f>
        <v>4.2723961546771827E-2</v>
      </c>
      <c r="Z121" t="s">
        <v>139</v>
      </c>
      <c r="AB121" s="42">
        <f>AB123/AB122</f>
        <v>1116.9236150139643</v>
      </c>
      <c r="AC121" t="s">
        <v>107</v>
      </c>
      <c r="AI121" t="s">
        <v>92</v>
      </c>
      <c r="AK121">
        <f>AK91</f>
        <v>200</v>
      </c>
      <c r="AL121" t="s">
        <v>465</v>
      </c>
      <c r="AM121" s="42"/>
      <c r="AN121" s="4" t="s">
        <v>138</v>
      </c>
      <c r="AO121" s="1454">
        <f>AN115/$AM$42</f>
        <v>2.8867541585656645E-2</v>
      </c>
      <c r="AQ121" t="s">
        <v>139</v>
      </c>
      <c r="AS121" s="42">
        <f>AS123/AS122</f>
        <v>1122.4184613167072</v>
      </c>
      <c r="AT121" t="s">
        <v>107</v>
      </c>
      <c r="BA121" s="1376">
        <v>67</v>
      </c>
      <c r="BB121" s="1377">
        <v>8.9600000000000009</v>
      </c>
    </row>
    <row r="122" spans="1:54">
      <c r="B122" t="str">
        <f>B91</f>
        <v>Cell pressure</v>
      </c>
      <c r="D122">
        <f>F91</f>
        <v>240</v>
      </c>
      <c r="E122" t="s">
        <v>465</v>
      </c>
      <c r="G122" s="4"/>
      <c r="H122" s="126"/>
      <c r="J122" t="s">
        <v>140</v>
      </c>
      <c r="L122" s="42">
        <f>D39*(1-((2/3)*H121))</f>
        <v>71.941916474054736</v>
      </c>
      <c r="M122" t="s">
        <v>75</v>
      </c>
      <c r="R122" t="s">
        <v>77</v>
      </c>
      <c r="T122">
        <f>T92</f>
        <v>290</v>
      </c>
      <c r="U122" t="s">
        <v>465</v>
      </c>
      <c r="W122" s="4"/>
      <c r="X122" s="126"/>
      <c r="Z122" t="s">
        <v>140</v>
      </c>
      <c r="AB122" s="42">
        <f>$T$39*(1-((2/3)*X121))</f>
        <v>74.223926225217753</v>
      </c>
      <c r="AC122" t="s">
        <v>75</v>
      </c>
      <c r="AI122" t="s">
        <v>77</v>
      </c>
      <c r="AK122">
        <f>AK92</f>
        <v>390</v>
      </c>
      <c r="AL122" t="s">
        <v>465</v>
      </c>
      <c r="AM122" s="42"/>
      <c r="AN122" s="4"/>
      <c r="AO122" s="126"/>
      <c r="AQ122" t="s">
        <v>140</v>
      </c>
      <c r="AS122" s="42">
        <f>$AK$39*(1-((2/3)*AO121))</f>
        <v>74.929679881903894</v>
      </c>
      <c r="AT122" t="s">
        <v>75</v>
      </c>
      <c r="BA122" s="1376">
        <v>68</v>
      </c>
      <c r="BB122" s="1377">
        <v>8.9870000000000001</v>
      </c>
    </row>
    <row r="123" spans="1:54">
      <c r="B123" t="str">
        <f>B92</f>
        <v>Back pressure</v>
      </c>
      <c r="D123">
        <f>F92</f>
        <v>190</v>
      </c>
      <c r="E123" t="s">
        <v>465</v>
      </c>
      <c r="G123" s="130"/>
      <c r="H123" s="131"/>
      <c r="J123" t="s">
        <v>141</v>
      </c>
      <c r="L123" s="42">
        <f>D42*(1-H121)</f>
        <v>79249.039999999994</v>
      </c>
      <c r="M123" t="s">
        <v>122</v>
      </c>
      <c r="R123" t="s">
        <v>78</v>
      </c>
      <c r="T123">
        <f>T93</f>
        <v>190</v>
      </c>
      <c r="U123" t="s">
        <v>465</v>
      </c>
      <c r="W123" s="130"/>
      <c r="X123" s="131"/>
      <c r="Z123" t="s">
        <v>141</v>
      </c>
      <c r="AB123" s="42">
        <f>$T$42*(1-X121)</f>
        <v>82902.456000000006</v>
      </c>
      <c r="AC123" t="s">
        <v>122</v>
      </c>
      <c r="AI123" t="s">
        <v>78</v>
      </c>
      <c r="AK123">
        <f>AK93</f>
        <v>190</v>
      </c>
      <c r="AL123" t="s">
        <v>465</v>
      </c>
      <c r="AN123" s="130"/>
      <c r="AO123" s="131"/>
      <c r="AQ123" t="s">
        <v>141</v>
      </c>
      <c r="AS123" s="42">
        <f>$AK$42*(1-AO121)</f>
        <v>84102.456000000006</v>
      </c>
      <c r="AT123" t="s">
        <v>122</v>
      </c>
      <c r="BA123" s="1376">
        <v>69</v>
      </c>
      <c r="BB123" s="1377">
        <v>8.8239999999999998</v>
      </c>
    </row>
    <row r="124" spans="1:54">
      <c r="B124" t="str">
        <f>B93</f>
        <v>PWP after build-up</v>
      </c>
      <c r="D124">
        <f>F93</f>
        <v>229</v>
      </c>
      <c r="E124" t="s">
        <v>465</v>
      </c>
      <c r="J124" t="s">
        <v>142</v>
      </c>
      <c r="R124" t="s">
        <v>93</v>
      </c>
      <c r="T124">
        <f>T94</f>
        <v>275</v>
      </c>
      <c r="U124" t="s">
        <v>465</v>
      </c>
      <c r="Z124" t="s">
        <v>142</v>
      </c>
      <c r="AI124" t="s">
        <v>93</v>
      </c>
      <c r="AK124">
        <f>AK94</f>
        <v>376</v>
      </c>
      <c r="AL124" t="s">
        <v>465</v>
      </c>
      <c r="AQ124" t="s">
        <v>142</v>
      </c>
      <c r="BA124" s="1376">
        <v>70</v>
      </c>
      <c r="BB124" s="1377">
        <v>8.923</v>
      </c>
    </row>
    <row r="125" spans="1:54">
      <c r="B125" t="str">
        <f>B94</f>
        <v>Difference</v>
      </c>
      <c r="D125">
        <f>F94</f>
        <v>39</v>
      </c>
      <c r="E125" t="s">
        <v>465</v>
      </c>
      <c r="J125" t="s">
        <v>143</v>
      </c>
      <c r="L125" s="102">
        <v>0.1206324</v>
      </c>
      <c r="M125" t="s">
        <v>204</v>
      </c>
      <c r="N125" t="s">
        <v>1593</v>
      </c>
      <c r="O125" t="s">
        <v>1594</v>
      </c>
      <c r="R125" t="s">
        <v>94</v>
      </c>
      <c r="T125">
        <f>T95</f>
        <v>85</v>
      </c>
      <c r="U125" t="s">
        <v>465</v>
      </c>
      <c r="Z125" t="s">
        <v>143</v>
      </c>
      <c r="AB125" s="102">
        <f>L125</f>
        <v>0.1206324</v>
      </c>
      <c r="AC125" t="s">
        <v>204</v>
      </c>
      <c r="AI125" t="s">
        <v>94</v>
      </c>
      <c r="AK125">
        <f>AK95</f>
        <v>186</v>
      </c>
      <c r="AL125" t="s">
        <v>465</v>
      </c>
      <c r="AQ125" t="s">
        <v>143</v>
      </c>
      <c r="AS125" s="102">
        <f>AB125</f>
        <v>0.1206324</v>
      </c>
      <c r="AT125" t="s">
        <v>204</v>
      </c>
      <c r="BA125" s="1376">
        <v>71</v>
      </c>
      <c r="BB125" s="1377">
        <v>8.8940000000000001</v>
      </c>
    </row>
    <row r="126" spans="1:54">
      <c r="O126" t="s">
        <v>1595</v>
      </c>
      <c r="BA126" s="1376">
        <v>72</v>
      </c>
      <c r="BB126" s="1377">
        <v>8.8279999999999994</v>
      </c>
    </row>
    <row r="127" spans="1:54" ht="31.5">
      <c r="B127" s="2066" t="s">
        <v>145</v>
      </c>
      <c r="C127" s="2066"/>
      <c r="D127" s="153" t="s">
        <v>146</v>
      </c>
      <c r="E127" s="2057" t="s">
        <v>147</v>
      </c>
      <c r="F127" s="2059"/>
      <c r="G127" s="2099" t="s">
        <v>79</v>
      </c>
      <c r="H127" s="2100"/>
      <c r="I127" s="132" t="s">
        <v>148</v>
      </c>
      <c r="J127" s="2057" t="s">
        <v>149</v>
      </c>
      <c r="K127" s="2058"/>
      <c r="L127" s="2058"/>
      <c r="M127" s="2059"/>
      <c r="N127" s="5"/>
      <c r="O127" t="s">
        <v>1589</v>
      </c>
      <c r="R127" s="318" t="s">
        <v>145</v>
      </c>
      <c r="S127" s="318"/>
      <c r="T127" s="153" t="s">
        <v>146</v>
      </c>
      <c r="U127" s="315" t="s">
        <v>147</v>
      </c>
      <c r="V127" s="317"/>
      <c r="W127" s="1543" t="s">
        <v>79</v>
      </c>
      <c r="X127" s="1544"/>
      <c r="Y127" s="132" t="s">
        <v>148</v>
      </c>
      <c r="Z127" s="315" t="s">
        <v>149</v>
      </c>
      <c r="AA127" s="316"/>
      <c r="AB127" s="316"/>
      <c r="AC127" s="317"/>
      <c r="AI127" s="318" t="s">
        <v>145</v>
      </c>
      <c r="AJ127" s="318"/>
      <c r="AK127" s="153" t="s">
        <v>146</v>
      </c>
      <c r="AL127" s="315" t="s">
        <v>147</v>
      </c>
      <c r="AM127" s="317"/>
      <c r="AN127" s="1543" t="s">
        <v>79</v>
      </c>
      <c r="AO127" s="1544"/>
      <c r="AP127" s="132" t="s">
        <v>148</v>
      </c>
      <c r="AQ127" s="315" t="s">
        <v>149</v>
      </c>
      <c r="AR127" s="316"/>
      <c r="AS127" s="316"/>
      <c r="AT127" s="317"/>
      <c r="BA127" s="1376">
        <v>73</v>
      </c>
      <c r="BB127" s="1377">
        <v>8.8030000000000008</v>
      </c>
    </row>
    <row r="128" spans="1:54" ht="31.5">
      <c r="B128" s="132" t="s">
        <v>150</v>
      </c>
      <c r="C128" s="141" t="s">
        <v>151</v>
      </c>
      <c r="D128" s="142"/>
      <c r="E128" s="132" t="s">
        <v>150</v>
      </c>
      <c r="F128" s="132" t="s">
        <v>58</v>
      </c>
      <c r="G128" s="1537" t="s">
        <v>152</v>
      </c>
      <c r="H128" s="1537" t="s">
        <v>153</v>
      </c>
      <c r="I128" s="143" t="s">
        <v>154</v>
      </c>
      <c r="J128" s="143" t="s">
        <v>155</v>
      </c>
      <c r="K128" s="143" t="s">
        <v>156</v>
      </c>
      <c r="L128" s="143" t="s">
        <v>157</v>
      </c>
      <c r="M128" s="143" t="s">
        <v>158</v>
      </c>
      <c r="N128" s="133"/>
      <c r="O128" t="s">
        <v>1590</v>
      </c>
      <c r="R128" s="132" t="s">
        <v>150</v>
      </c>
      <c r="S128" s="141" t="s">
        <v>151</v>
      </c>
      <c r="T128" s="142"/>
      <c r="U128" s="132" t="s">
        <v>150</v>
      </c>
      <c r="V128" s="132" t="s">
        <v>58</v>
      </c>
      <c r="W128" s="1537" t="s">
        <v>152</v>
      </c>
      <c r="X128" s="1537" t="s">
        <v>153</v>
      </c>
      <c r="Y128" s="143" t="s">
        <v>154</v>
      </c>
      <c r="Z128" s="143" t="s">
        <v>155</v>
      </c>
      <c r="AA128" s="143" t="s">
        <v>156</v>
      </c>
      <c r="AB128" s="143" t="s">
        <v>157</v>
      </c>
      <c r="AC128" s="143" t="s">
        <v>158</v>
      </c>
      <c r="AI128" s="132" t="s">
        <v>150</v>
      </c>
      <c r="AJ128" s="141" t="s">
        <v>151</v>
      </c>
      <c r="AK128" s="142"/>
      <c r="AL128" s="132" t="s">
        <v>150</v>
      </c>
      <c r="AM128" s="132" t="s">
        <v>58</v>
      </c>
      <c r="AN128" s="1537" t="s">
        <v>152</v>
      </c>
      <c r="AO128" s="1537" t="s">
        <v>153</v>
      </c>
      <c r="AP128" s="143" t="s">
        <v>154</v>
      </c>
      <c r="AQ128" s="143" t="s">
        <v>155</v>
      </c>
      <c r="AR128" s="143" t="s">
        <v>156</v>
      </c>
      <c r="AS128" s="143" t="s">
        <v>157</v>
      </c>
      <c r="AT128" s="143" t="s">
        <v>158</v>
      </c>
      <c r="BA128" s="1376">
        <v>74</v>
      </c>
      <c r="BB128" s="1377">
        <v>8.9489999999999998</v>
      </c>
    </row>
    <row r="129" spans="2:54">
      <c r="B129" s="22"/>
      <c r="C129" s="81" t="s">
        <v>75</v>
      </c>
      <c r="D129" s="82" t="s">
        <v>34</v>
      </c>
      <c r="E129" s="82" t="s">
        <v>62</v>
      </c>
      <c r="F129" s="82" t="s">
        <v>265</v>
      </c>
      <c r="G129" s="1538" t="s">
        <v>465</v>
      </c>
      <c r="H129" s="1538"/>
      <c r="I129" s="82" t="s">
        <v>465</v>
      </c>
      <c r="J129" t="s">
        <v>465</v>
      </c>
      <c r="K129" t="s">
        <v>465</v>
      </c>
      <c r="L129" t="s">
        <v>465</v>
      </c>
      <c r="M129" s="144"/>
      <c r="N129" s="21"/>
      <c r="O129" t="s">
        <v>1591</v>
      </c>
      <c r="R129" s="22"/>
      <c r="S129" s="81" t="s">
        <v>75</v>
      </c>
      <c r="T129" s="82" t="s">
        <v>34</v>
      </c>
      <c r="U129" s="82" t="s">
        <v>62</v>
      </c>
      <c r="V129" s="82" t="s">
        <v>1391</v>
      </c>
      <c r="W129" s="1545" t="s">
        <v>465</v>
      </c>
      <c r="X129" s="1538"/>
      <c r="Y129" t="s">
        <v>465</v>
      </c>
      <c r="Z129" t="s">
        <v>465</v>
      </c>
      <c r="AA129" t="s">
        <v>465</v>
      </c>
      <c r="AB129" t="s">
        <v>465</v>
      </c>
      <c r="AC129" s="144"/>
      <c r="AI129" s="22"/>
      <c r="AJ129" s="81" t="s">
        <v>75</v>
      </c>
      <c r="AK129" s="82" t="s">
        <v>34</v>
      </c>
      <c r="AL129" s="82" t="s">
        <v>62</v>
      </c>
      <c r="AM129" s="82" t="s">
        <v>1391</v>
      </c>
      <c r="AN129" s="1545" t="s">
        <v>465</v>
      </c>
      <c r="AO129" s="1538"/>
      <c r="AP129" s="21" t="s">
        <v>465</v>
      </c>
      <c r="AQ129" s="21" t="s">
        <v>465</v>
      </c>
      <c r="AR129" s="21" t="s">
        <v>465</v>
      </c>
      <c r="AS129" s="21" t="s">
        <v>465</v>
      </c>
      <c r="AT129" s="144"/>
      <c r="BA129" s="1376">
        <v>75</v>
      </c>
      <c r="BB129" s="1377">
        <v>8.8510000000000009</v>
      </c>
    </row>
    <row r="130" spans="2:54">
      <c r="B130" s="297">
        <v>0</v>
      </c>
      <c r="C130" s="146">
        <v>0</v>
      </c>
      <c r="D130" s="147">
        <f>(C130/$L$122)*100</f>
        <v>0</v>
      </c>
      <c r="E130" s="148">
        <v>0</v>
      </c>
      <c r="F130" s="148">
        <f>E130*$L$125</f>
        <v>0</v>
      </c>
      <c r="G130" s="1536">
        <f>D123</f>
        <v>190</v>
      </c>
      <c r="H130" s="1539">
        <v>0</v>
      </c>
      <c r="I130" s="97">
        <v>0</v>
      </c>
      <c r="J130" s="150">
        <f>$D$122+I130</f>
        <v>240</v>
      </c>
      <c r="K130" s="150">
        <f>J130-G130</f>
        <v>50</v>
      </c>
      <c r="L130" s="148">
        <f>$D$122-G130</f>
        <v>50</v>
      </c>
      <c r="M130" s="97">
        <f t="shared" ref="M130:M159" si="16">K130/L130</f>
        <v>1</v>
      </c>
      <c r="N130" s="96"/>
      <c r="O130" t="s">
        <v>1592</v>
      </c>
      <c r="R130" s="298">
        <v>0</v>
      </c>
      <c r="S130" s="151">
        <f>(R130-$R$130)/100</f>
        <v>0</v>
      </c>
      <c r="T130" s="147">
        <f t="shared" ref="T130:T160" si="17">(S130/$AB$122)*100</f>
        <v>0</v>
      </c>
      <c r="U130" s="148">
        <v>0</v>
      </c>
      <c r="V130" s="148">
        <f>U130*$L$125</f>
        <v>0</v>
      </c>
      <c r="W130" s="1536">
        <f>T123</f>
        <v>190</v>
      </c>
      <c r="X130" s="1539">
        <v>0</v>
      </c>
      <c r="Y130" s="97">
        <v>0</v>
      </c>
      <c r="Z130" s="150">
        <f t="shared" ref="Z130:Z160" si="18">$T$122+Y130</f>
        <v>290</v>
      </c>
      <c r="AA130" s="150">
        <f>Z130-W130</f>
        <v>100</v>
      </c>
      <c r="AB130" s="148">
        <f t="shared" ref="AB130:AB160" si="19">$T$122-W130</f>
        <v>100</v>
      </c>
      <c r="AC130" s="147">
        <f t="shared" ref="AC130:AC160" si="20">AA130/AB130</f>
        <v>1</v>
      </c>
      <c r="AI130" s="298">
        <v>0</v>
      </c>
      <c r="AJ130" s="151">
        <f>(AI130-$B$130)/100</f>
        <v>0</v>
      </c>
      <c r="AK130" s="147">
        <f t="shared" ref="AK130:AK158" si="21">(AJ130/$AS$122)*100</f>
        <v>0</v>
      </c>
      <c r="AL130" s="148">
        <v>0</v>
      </c>
      <c r="AM130" s="148">
        <f t="shared" ref="AM130:AM158" si="22">AL130*$AS$125</f>
        <v>0</v>
      </c>
      <c r="AN130" s="1536">
        <f>MIN(AO100:AO113)</f>
        <v>190</v>
      </c>
      <c r="AO130" s="1539">
        <v>0</v>
      </c>
      <c r="AP130" s="97">
        <v>0</v>
      </c>
      <c r="AQ130" s="150">
        <f t="shared" ref="AQ130:AQ158" si="23">$AK$122+AP130</f>
        <v>390</v>
      </c>
      <c r="AR130" s="150">
        <f>AQ130-AN130</f>
        <v>200</v>
      </c>
      <c r="AS130" s="148">
        <f t="shared" ref="AS130:AS158" si="24">$AK$122-AN130</f>
        <v>200</v>
      </c>
      <c r="AT130" s="147">
        <f>AR130/AS130</f>
        <v>1</v>
      </c>
      <c r="BA130" s="1376">
        <v>76</v>
      </c>
      <c r="BB130" s="1377">
        <v>8.7460000000000004</v>
      </c>
    </row>
    <row r="131" spans="2:54">
      <c r="B131" s="297">
        <v>10</v>
      </c>
      <c r="C131" s="151">
        <f>(B131-$B$130)/100</f>
        <v>0.1</v>
      </c>
      <c r="D131" s="147">
        <f t="shared" ref="D131:D159" si="25">(C131/$L$122)*100</f>
        <v>0.13900102318801055</v>
      </c>
      <c r="E131" s="325">
        <v>30</v>
      </c>
      <c r="F131" s="148">
        <f t="shared" ref="F131:F159" si="26">E131*$L$125</f>
        <v>3.6189719999999999</v>
      </c>
      <c r="G131" s="1540">
        <v>192.5</v>
      </c>
      <c r="H131" s="1541">
        <f>G131-$G$130</f>
        <v>2.5</v>
      </c>
      <c r="I131" s="147">
        <f>(F131/$L$121)*((1-(D131/100)))*9806.65</f>
        <v>32.172869525735706</v>
      </c>
      <c r="J131" s="150">
        <f>$D$122+I131</f>
        <v>272.17286952573568</v>
      </c>
      <c r="K131" s="150">
        <f t="shared" ref="K131:K159" si="27">J131-G131</f>
        <v>79.672869525735678</v>
      </c>
      <c r="L131" s="148">
        <f t="shared" ref="L131:L159" si="28">$D$122-G131</f>
        <v>47.5</v>
      </c>
      <c r="M131" s="147">
        <f t="shared" si="16"/>
        <v>1.6773235689628563</v>
      </c>
      <c r="N131" s="137"/>
      <c r="R131" s="297">
        <v>10</v>
      </c>
      <c r="S131" s="151">
        <f>(R131-$B$130)/100</f>
        <v>0.1</v>
      </c>
      <c r="T131" s="147">
        <f t="shared" si="17"/>
        <v>0.13472744583272231</v>
      </c>
      <c r="U131" s="128">
        <v>21.514607500223487</v>
      </c>
      <c r="V131" s="148">
        <f t="shared" ref="V131:V160" si="29">U131*$L$125</f>
        <v>2.5953587378099598</v>
      </c>
      <c r="W131" s="1546">
        <v>194</v>
      </c>
      <c r="X131" s="1541">
        <f t="shared" ref="X131:X160" si="30">W131-$W$130</f>
        <v>4</v>
      </c>
      <c r="Y131" s="147">
        <f>(V131/$AB$121)*((1-(T131/100)))*9806.65</f>
        <v>22.756689802609941</v>
      </c>
      <c r="Z131" s="150">
        <f t="shared" si="18"/>
        <v>312.75668980260991</v>
      </c>
      <c r="AA131" s="150">
        <f t="shared" ref="AA131:AA160" si="31">Z131-W131</f>
        <v>118.75668980260991</v>
      </c>
      <c r="AB131" s="148">
        <f t="shared" si="19"/>
        <v>96</v>
      </c>
      <c r="AC131" s="147">
        <f t="shared" si="20"/>
        <v>1.2370488521105198</v>
      </c>
      <c r="AI131" s="297">
        <v>10</v>
      </c>
      <c r="AJ131" s="151">
        <f t="shared" ref="AJ131:AJ158" si="32">(AI131-$B$130)/100</f>
        <v>0.1</v>
      </c>
      <c r="AK131" s="147">
        <f t="shared" si="21"/>
        <v>0.13345846419951249</v>
      </c>
      <c r="AL131" s="152">
        <v>37.158908817031374</v>
      </c>
      <c r="AM131" s="148">
        <f t="shared" si="22"/>
        <v>4.4825683519796558</v>
      </c>
      <c r="AN131" s="1540">
        <v>194.8</v>
      </c>
      <c r="AO131" s="1541">
        <f t="shared" ref="AO131:AO158" si="33">AN131-$AN$130</f>
        <v>4.8000000000000114</v>
      </c>
      <c r="AP131" s="147">
        <f>(AM131/$AS$121)*((1-(AK131/100)))*9806.65</f>
        <v>39.112250434018655</v>
      </c>
      <c r="AQ131" s="150">
        <f t="shared" si="23"/>
        <v>429.11225043401868</v>
      </c>
      <c r="AR131" s="150">
        <f t="shared" ref="AR131:AR158" si="34">AQ131-AN131</f>
        <v>234.31225043401867</v>
      </c>
      <c r="AS131" s="148">
        <f t="shared" si="24"/>
        <v>195.2</v>
      </c>
      <c r="AT131" s="147">
        <f t="shared" ref="AT131:AT158" si="35">AR131/AS131</f>
        <v>1.2003701354201777</v>
      </c>
      <c r="BA131" s="1376">
        <v>77</v>
      </c>
      <c r="BB131" s="1377">
        <v>8.843</v>
      </c>
    </row>
    <row r="132" spans="2:54">
      <c r="B132" s="297">
        <v>20</v>
      </c>
      <c r="C132" s="151">
        <f t="shared" ref="C132:C159" si="36">(B132-$B$130)/100</f>
        <v>0.2</v>
      </c>
      <c r="D132" s="147">
        <f t="shared" si="25"/>
        <v>0.27800204637602111</v>
      </c>
      <c r="E132" s="325">
        <v>26.166773449701449</v>
      </c>
      <c r="F132" s="148">
        <f t="shared" si="26"/>
        <v>3.1565606814937652</v>
      </c>
      <c r="G132" s="1540">
        <v>193.3</v>
      </c>
      <c r="H132" s="1541">
        <f t="shared" ref="H132:H159" si="37">G132-$G$130</f>
        <v>3.3000000000000114</v>
      </c>
      <c r="I132" s="147">
        <f t="shared" ref="I132:I159" si="38">(F132/$L$121)*((1-(D132/100)))*9806.65</f>
        <v>28.02294549951068</v>
      </c>
      <c r="J132" s="150">
        <f t="shared" ref="J132:J159" si="39">$D$122+I132</f>
        <v>268.02294549951068</v>
      </c>
      <c r="K132" s="150">
        <f t="shared" si="27"/>
        <v>74.722945499510672</v>
      </c>
      <c r="L132" s="148">
        <f t="shared" si="28"/>
        <v>46.699999999999989</v>
      </c>
      <c r="M132" s="147">
        <f t="shared" si="16"/>
        <v>1.6000630727946614</v>
      </c>
      <c r="N132" s="137"/>
      <c r="R132" s="297">
        <v>20</v>
      </c>
      <c r="S132" s="151">
        <f t="shared" ref="S132:S160" si="40">(R132-$B$130)/100</f>
        <v>0.2</v>
      </c>
      <c r="T132" s="147">
        <f t="shared" si="17"/>
        <v>0.26945489166544462</v>
      </c>
      <c r="U132" s="128">
        <v>48.789096927584133</v>
      </c>
      <c r="V132" s="148">
        <f t="shared" si="29"/>
        <v>5.8855458562071004</v>
      </c>
      <c r="W132" s="1546">
        <v>195.5</v>
      </c>
      <c r="X132" s="1541">
        <f t="shared" si="30"/>
        <v>5.5</v>
      </c>
      <c r="Y132" s="147">
        <f t="shared" ref="Y132:Y160" si="41">(V132/$AB$121)*((1-(T132/100)))*9806.65</f>
        <v>51.536170335660479</v>
      </c>
      <c r="Z132" s="150">
        <f t="shared" si="18"/>
        <v>341.53617033566047</v>
      </c>
      <c r="AA132" s="150">
        <f t="shared" si="31"/>
        <v>146.03617033566047</v>
      </c>
      <c r="AB132" s="148">
        <f t="shared" si="19"/>
        <v>94.5</v>
      </c>
      <c r="AC132" s="147">
        <f t="shared" si="20"/>
        <v>1.5453562998482591</v>
      </c>
      <c r="AI132" s="297">
        <v>20</v>
      </c>
      <c r="AJ132" s="151">
        <f t="shared" si="32"/>
        <v>0.2</v>
      </c>
      <c r="AK132" s="147">
        <f t="shared" si="21"/>
        <v>0.26691692839902498</v>
      </c>
      <c r="AL132" s="152">
        <v>77.724717190459671</v>
      </c>
      <c r="AM132" s="148">
        <f t="shared" si="22"/>
        <v>9.3761191740064067</v>
      </c>
      <c r="AN132" s="1540">
        <v>198.6</v>
      </c>
      <c r="AO132" s="1541">
        <f t="shared" si="33"/>
        <v>8.5999999999999943</v>
      </c>
      <c r="AP132" s="147">
        <f t="shared" ref="AP132:AP158" si="42">(AM132/$AS$121)*((1-(AK132/100)))*9806.65</f>
        <v>81.701162827581356</v>
      </c>
      <c r="AQ132" s="150">
        <f t="shared" si="23"/>
        <v>471.70116282758136</v>
      </c>
      <c r="AR132" s="150">
        <f t="shared" si="34"/>
        <v>273.10116282758133</v>
      </c>
      <c r="AS132" s="148">
        <f t="shared" si="24"/>
        <v>191.4</v>
      </c>
      <c r="AT132" s="147">
        <f t="shared" si="35"/>
        <v>1.4268608298201741</v>
      </c>
      <c r="BA132" s="1376">
        <v>78</v>
      </c>
      <c r="BB132" s="1377">
        <v>8.8279999999999994</v>
      </c>
    </row>
    <row r="133" spans="2:54">
      <c r="B133" s="297">
        <v>40</v>
      </c>
      <c r="C133" s="151">
        <f t="shared" si="36"/>
        <v>0.4</v>
      </c>
      <c r="D133" s="147">
        <f t="shared" si="25"/>
        <v>0.55600409275204221</v>
      </c>
      <c r="E133" s="325">
        <v>47.658234193679775</v>
      </c>
      <c r="F133" s="148">
        <f t="shared" si="26"/>
        <v>5.7491271705456564</v>
      </c>
      <c r="G133" s="1540">
        <v>194.6</v>
      </c>
      <c r="H133" s="1541">
        <f t="shared" si="37"/>
        <v>4.5999999999999943</v>
      </c>
      <c r="I133" s="147">
        <f t="shared" si="38"/>
        <v>50.896644450853614</v>
      </c>
      <c r="J133" s="150">
        <f t="shared" si="39"/>
        <v>290.89664445085361</v>
      </c>
      <c r="K133" s="150">
        <f t="shared" si="27"/>
        <v>96.29664445085362</v>
      </c>
      <c r="L133" s="148">
        <f t="shared" si="28"/>
        <v>45.400000000000006</v>
      </c>
      <c r="M133" s="147">
        <f t="shared" si="16"/>
        <v>2.1210714636751895</v>
      </c>
      <c r="N133" s="137"/>
      <c r="R133" s="297">
        <v>40</v>
      </c>
      <c r="S133" s="151">
        <f t="shared" si="40"/>
        <v>0.4</v>
      </c>
      <c r="T133" s="147">
        <f t="shared" si="17"/>
        <v>0.53890978333088924</v>
      </c>
      <c r="U133" s="128">
        <v>80.261524893257089</v>
      </c>
      <c r="V133" s="148">
        <f t="shared" si="29"/>
        <v>9.6821403755333471</v>
      </c>
      <c r="W133" s="1546">
        <v>199.1</v>
      </c>
      <c r="X133" s="1541">
        <f t="shared" si="30"/>
        <v>9.0999999999999943</v>
      </c>
      <c r="Y133" s="147">
        <f t="shared" si="41"/>
        <v>84.551592645823021</v>
      </c>
      <c r="Z133" s="150">
        <f t="shared" si="18"/>
        <v>374.55159264582301</v>
      </c>
      <c r="AA133" s="150">
        <f t="shared" si="31"/>
        <v>175.45159264582301</v>
      </c>
      <c r="AB133" s="148">
        <f t="shared" si="19"/>
        <v>90.9</v>
      </c>
      <c r="AC133" s="147">
        <f t="shared" si="20"/>
        <v>1.9301605351575688</v>
      </c>
      <c r="AI133" s="297">
        <v>40</v>
      </c>
      <c r="AJ133" s="151">
        <f t="shared" si="32"/>
        <v>0.4</v>
      </c>
      <c r="AK133" s="147">
        <f t="shared" si="21"/>
        <v>0.53383385679804995</v>
      </c>
      <c r="AL133" s="152">
        <v>112.87303689732384</v>
      </c>
      <c r="AM133" s="148">
        <f t="shared" si="22"/>
        <v>13.616145336212728</v>
      </c>
      <c r="AN133" s="1540">
        <v>204.6</v>
      </c>
      <c r="AO133" s="1541">
        <f t="shared" si="33"/>
        <v>14.599999999999994</v>
      </c>
      <c r="AP133" s="147">
        <f t="shared" si="42"/>
        <v>118.33015443622463</v>
      </c>
      <c r="AQ133" s="150">
        <f t="shared" si="23"/>
        <v>508.33015443622463</v>
      </c>
      <c r="AR133" s="150">
        <f t="shared" si="34"/>
        <v>303.73015443622467</v>
      </c>
      <c r="AS133" s="148">
        <f t="shared" si="24"/>
        <v>185.4</v>
      </c>
      <c r="AT133" s="147">
        <f t="shared" si="35"/>
        <v>1.6382424726872959</v>
      </c>
      <c r="BA133" s="1376">
        <v>79</v>
      </c>
      <c r="BB133" s="1377">
        <v>8.9149999999999991</v>
      </c>
    </row>
    <row r="134" spans="2:54">
      <c r="B134" s="297">
        <v>60</v>
      </c>
      <c r="C134" s="151">
        <f t="shared" si="36"/>
        <v>0.6</v>
      </c>
      <c r="D134" s="147">
        <f t="shared" si="25"/>
        <v>0.83400613912806321</v>
      </c>
      <c r="E134" s="325">
        <v>71.826404083972193</v>
      </c>
      <c r="F134" s="148">
        <f t="shared" si="26"/>
        <v>8.6645915080193667</v>
      </c>
      <c r="G134" s="1540">
        <v>196</v>
      </c>
      <c r="H134" s="1541">
        <f t="shared" si="37"/>
        <v>6</v>
      </c>
      <c r="I134" s="147">
        <f t="shared" si="38"/>
        <v>76.492618859333604</v>
      </c>
      <c r="J134" s="150">
        <f t="shared" si="39"/>
        <v>316.49261885933362</v>
      </c>
      <c r="K134" s="150">
        <f t="shared" si="27"/>
        <v>120.49261885933362</v>
      </c>
      <c r="L134" s="148">
        <f t="shared" si="28"/>
        <v>44</v>
      </c>
      <c r="M134" s="147">
        <f t="shared" si="16"/>
        <v>2.7384686104394005</v>
      </c>
      <c r="N134" s="137"/>
      <c r="R134" s="297">
        <v>60</v>
      </c>
      <c r="S134" s="151">
        <f t="shared" si="40"/>
        <v>0.6</v>
      </c>
      <c r="T134" s="147">
        <f t="shared" si="17"/>
        <v>0.80836467499633358</v>
      </c>
      <c r="U134" s="128">
        <v>100.5422661794878</v>
      </c>
      <c r="V134" s="148">
        <f t="shared" si="29"/>
        <v>12.128654870670443</v>
      </c>
      <c r="W134" s="1546">
        <v>201.8</v>
      </c>
      <c r="X134" s="1541">
        <f t="shared" si="30"/>
        <v>11.800000000000011</v>
      </c>
      <c r="Y134" s="147">
        <f t="shared" si="41"/>
        <v>105.62941892137292</v>
      </c>
      <c r="Z134" s="150">
        <f t="shared" si="18"/>
        <v>395.62941892137292</v>
      </c>
      <c r="AA134" s="150">
        <f t="shared" si="31"/>
        <v>193.82941892137291</v>
      </c>
      <c r="AB134" s="148">
        <f t="shared" si="19"/>
        <v>88.199999999999989</v>
      </c>
      <c r="AC134" s="147">
        <f t="shared" si="20"/>
        <v>2.1976124594259971</v>
      </c>
      <c r="AI134" s="297">
        <v>60</v>
      </c>
      <c r="AJ134" s="151">
        <f t="shared" si="32"/>
        <v>0.6</v>
      </c>
      <c r="AK134" s="147">
        <f t="shared" si="21"/>
        <v>0.80075078519707477</v>
      </c>
      <c r="AL134" s="152">
        <v>137.40351708262932</v>
      </c>
      <c r="AM134" s="148">
        <f t="shared" si="22"/>
        <v>16.575316034118572</v>
      </c>
      <c r="AN134" s="1540">
        <v>213.2</v>
      </c>
      <c r="AO134" s="1541">
        <f t="shared" si="33"/>
        <v>23.199999999999989</v>
      </c>
      <c r="AP134" s="147">
        <f t="shared" si="42"/>
        <v>143.66007115046528</v>
      </c>
      <c r="AQ134" s="150">
        <f t="shared" si="23"/>
        <v>533.66007115046523</v>
      </c>
      <c r="AR134" s="150">
        <f t="shared" si="34"/>
        <v>320.46007115046524</v>
      </c>
      <c r="AS134" s="148">
        <f t="shared" si="24"/>
        <v>176.8</v>
      </c>
      <c r="AT134" s="147">
        <f t="shared" si="35"/>
        <v>1.8125569635207308</v>
      </c>
      <c r="BA134" s="1376">
        <v>80</v>
      </c>
      <c r="BB134" s="1377">
        <v>8.8130000000000006</v>
      </c>
    </row>
    <row r="135" spans="2:54">
      <c r="B135" s="297">
        <v>80</v>
      </c>
      <c r="C135" s="151">
        <f t="shared" si="36"/>
        <v>0.8</v>
      </c>
      <c r="D135" s="147">
        <f t="shared" si="25"/>
        <v>1.1120081855040844</v>
      </c>
      <c r="E135" s="325">
        <v>80.021209518318159</v>
      </c>
      <c r="F135" s="148">
        <f t="shared" si="26"/>
        <v>9.6531505550975627</v>
      </c>
      <c r="G135" s="1540">
        <v>197.5</v>
      </c>
      <c r="H135" s="1541">
        <f t="shared" si="37"/>
        <v>7.5</v>
      </c>
      <c r="I135" s="147">
        <f t="shared" si="38"/>
        <v>84.980895971290664</v>
      </c>
      <c r="J135" s="150">
        <f t="shared" si="39"/>
        <v>324.98089597129069</v>
      </c>
      <c r="K135" s="150">
        <f t="shared" si="27"/>
        <v>127.48089597129069</v>
      </c>
      <c r="L135" s="148">
        <f t="shared" si="28"/>
        <v>42.5</v>
      </c>
      <c r="M135" s="147">
        <f t="shared" si="16"/>
        <v>2.999550493442134</v>
      </c>
      <c r="N135" s="137"/>
      <c r="R135" s="297">
        <v>80</v>
      </c>
      <c r="S135" s="151">
        <f t="shared" si="40"/>
        <v>0.8</v>
      </c>
      <c r="T135" s="147">
        <f t="shared" si="17"/>
        <v>1.0778195666617785</v>
      </c>
      <c r="U135" s="128">
        <v>119.54792601690181</v>
      </c>
      <c r="V135" s="148">
        <f t="shared" si="29"/>
        <v>14.421353230441307</v>
      </c>
      <c r="W135" s="1546">
        <v>205.7</v>
      </c>
      <c r="X135" s="1541">
        <f t="shared" si="30"/>
        <v>15.699999999999989</v>
      </c>
      <c r="Y135" s="147">
        <f t="shared" si="41"/>
        <v>125.25552660060487</v>
      </c>
      <c r="Z135" s="150">
        <f t="shared" si="18"/>
        <v>415.25552660060487</v>
      </c>
      <c r="AA135" s="150">
        <f t="shared" si="31"/>
        <v>209.55552660060488</v>
      </c>
      <c r="AB135" s="148">
        <f t="shared" si="19"/>
        <v>84.300000000000011</v>
      </c>
      <c r="AC135" s="147">
        <f t="shared" si="20"/>
        <v>2.4858306832811965</v>
      </c>
      <c r="AI135" s="297">
        <v>80</v>
      </c>
      <c r="AJ135" s="151">
        <f t="shared" si="32"/>
        <v>0.8</v>
      </c>
      <c r="AK135" s="147">
        <f t="shared" si="21"/>
        <v>1.0676677135960999</v>
      </c>
      <c r="AL135" s="152">
        <v>163.73348846581706</v>
      </c>
      <c r="AM135" s="148">
        <f t="shared" si="22"/>
        <v>19.75156367400383</v>
      </c>
      <c r="AN135" s="1540">
        <v>218</v>
      </c>
      <c r="AO135" s="1541">
        <f t="shared" si="33"/>
        <v>28</v>
      </c>
      <c r="AP135" s="147">
        <f t="shared" si="42"/>
        <v>170.72833500140825</v>
      </c>
      <c r="AQ135" s="150">
        <f t="shared" si="23"/>
        <v>560.72833500140825</v>
      </c>
      <c r="AR135" s="150">
        <f t="shared" si="34"/>
        <v>342.72833500140825</v>
      </c>
      <c r="AS135" s="148">
        <f t="shared" si="24"/>
        <v>172</v>
      </c>
      <c r="AT135" s="147">
        <f t="shared" si="35"/>
        <v>1.9926065988453969</v>
      </c>
      <c r="BA135" s="1376">
        <v>81</v>
      </c>
      <c r="BB135" s="1377">
        <v>8.9649999999999999</v>
      </c>
    </row>
    <row r="136" spans="2:54">
      <c r="B136" s="297">
        <v>100</v>
      </c>
      <c r="C136" s="151">
        <f t="shared" si="36"/>
        <v>1</v>
      </c>
      <c r="D136" s="147">
        <f t="shared" si="25"/>
        <v>1.3900102318801055</v>
      </c>
      <c r="E136" s="325">
        <v>86.873297738308224</v>
      </c>
      <c r="F136" s="148">
        <f t="shared" si="26"/>
        <v>10.479734402086693</v>
      </c>
      <c r="G136" s="1540">
        <v>198.4</v>
      </c>
      <c r="H136" s="1541">
        <f t="shared" si="37"/>
        <v>8.4000000000000057</v>
      </c>
      <c r="I136" s="147">
        <f t="shared" si="38"/>
        <v>91.998311859045145</v>
      </c>
      <c r="J136" s="150">
        <f t="shared" si="39"/>
        <v>331.99831185904515</v>
      </c>
      <c r="K136" s="150">
        <f t="shared" si="27"/>
        <v>133.59831185904514</v>
      </c>
      <c r="L136" s="148">
        <f t="shared" si="28"/>
        <v>41.599999999999994</v>
      </c>
      <c r="M136" s="147">
        <f t="shared" si="16"/>
        <v>3.2114978812270469</v>
      </c>
      <c r="N136" s="137"/>
      <c r="R136" s="297">
        <v>100</v>
      </c>
      <c r="S136" s="151">
        <f t="shared" si="40"/>
        <v>1</v>
      </c>
      <c r="T136" s="147">
        <f t="shared" si="17"/>
        <v>1.3472744583272229</v>
      </c>
      <c r="U136" s="128">
        <v>127.02113127362773</v>
      </c>
      <c r="V136" s="148">
        <f t="shared" si="29"/>
        <v>15.32286391625277</v>
      </c>
      <c r="W136" s="1546">
        <v>210</v>
      </c>
      <c r="X136" s="1541">
        <f t="shared" si="30"/>
        <v>20</v>
      </c>
      <c r="Y136" s="147">
        <f t="shared" si="41"/>
        <v>132.72301389893315</v>
      </c>
      <c r="Z136" s="150">
        <f t="shared" si="18"/>
        <v>422.72301389893312</v>
      </c>
      <c r="AA136" s="150">
        <f t="shared" si="31"/>
        <v>212.72301389893312</v>
      </c>
      <c r="AB136" s="148">
        <f t="shared" si="19"/>
        <v>80</v>
      </c>
      <c r="AC136" s="147">
        <f t="shared" si="20"/>
        <v>2.6590376737366639</v>
      </c>
      <c r="AI136" s="297">
        <v>100</v>
      </c>
      <c r="AJ136" s="151">
        <f t="shared" si="32"/>
        <v>1</v>
      </c>
      <c r="AK136" s="147">
        <f t="shared" si="21"/>
        <v>1.3345846419951246</v>
      </c>
      <c r="AL136" s="152">
        <v>175.63900899859053</v>
      </c>
      <c r="AM136" s="148">
        <f t="shared" si="22"/>
        <v>21.187755189121571</v>
      </c>
      <c r="AN136" s="1540">
        <v>224.8</v>
      </c>
      <c r="AO136" s="1541">
        <f t="shared" si="33"/>
        <v>34.800000000000011</v>
      </c>
      <c r="AP136" s="147">
        <f t="shared" si="42"/>
        <v>182.64835666741789</v>
      </c>
      <c r="AQ136" s="150">
        <f t="shared" si="23"/>
        <v>572.64835666741783</v>
      </c>
      <c r="AR136" s="150">
        <f t="shared" si="34"/>
        <v>347.84835666741782</v>
      </c>
      <c r="AS136" s="148">
        <f t="shared" si="24"/>
        <v>165.2</v>
      </c>
      <c r="AT136" s="147">
        <f t="shared" si="35"/>
        <v>2.1056195924177836</v>
      </c>
      <c r="BA136" s="1376">
        <v>82</v>
      </c>
      <c r="BB136" s="1377">
        <v>8.7970000000000006</v>
      </c>
    </row>
    <row r="137" spans="2:54">
      <c r="B137" s="297">
        <v>120</v>
      </c>
      <c r="C137" s="151">
        <f t="shared" si="36"/>
        <v>1.2</v>
      </c>
      <c r="D137" s="147">
        <f t="shared" si="25"/>
        <v>1.6680122782561264</v>
      </c>
      <c r="E137" s="325">
        <v>94.656268346253526</v>
      </c>
      <c r="F137" s="148">
        <f t="shared" si="26"/>
        <v>11.418612825652595</v>
      </c>
      <c r="G137" s="1540">
        <v>200</v>
      </c>
      <c r="H137" s="1541">
        <f t="shared" si="37"/>
        <v>10</v>
      </c>
      <c r="I137" s="147">
        <f t="shared" si="38"/>
        <v>99.957833400324461</v>
      </c>
      <c r="J137" s="150">
        <f t="shared" si="39"/>
        <v>339.95783340032449</v>
      </c>
      <c r="K137" s="150">
        <f t="shared" si="27"/>
        <v>139.95783340032449</v>
      </c>
      <c r="L137" s="148">
        <f t="shared" si="28"/>
        <v>40</v>
      </c>
      <c r="M137" s="147">
        <f t="shared" si="16"/>
        <v>3.4989458350081124</v>
      </c>
      <c r="N137" s="137"/>
      <c r="R137" s="297">
        <v>120</v>
      </c>
      <c r="S137" s="151">
        <f t="shared" si="40"/>
        <v>1.2</v>
      </c>
      <c r="T137" s="147">
        <f t="shared" si="17"/>
        <v>1.6167293499926672</v>
      </c>
      <c r="U137" s="128">
        <v>134.53465225603031</v>
      </c>
      <c r="V137" s="148">
        <f t="shared" si="29"/>
        <v>16.22923798481035</v>
      </c>
      <c r="W137" s="1546">
        <v>215</v>
      </c>
      <c r="X137" s="1541">
        <f t="shared" si="30"/>
        <v>25</v>
      </c>
      <c r="Y137" s="147">
        <f t="shared" si="41"/>
        <v>140.18985521114206</v>
      </c>
      <c r="Z137" s="150">
        <f t="shared" si="18"/>
        <v>430.18985521114206</v>
      </c>
      <c r="AA137" s="150">
        <f t="shared" si="31"/>
        <v>215.18985521114206</v>
      </c>
      <c r="AB137" s="148">
        <f t="shared" si="19"/>
        <v>75</v>
      </c>
      <c r="AC137" s="147">
        <f t="shared" si="20"/>
        <v>2.8691980694818939</v>
      </c>
      <c r="AI137" s="297">
        <v>120</v>
      </c>
      <c r="AJ137" s="151">
        <f t="shared" si="32"/>
        <v>1.2</v>
      </c>
      <c r="AK137" s="147">
        <f t="shared" si="21"/>
        <v>1.6015015703941495</v>
      </c>
      <c r="AL137" s="152">
        <v>183.41875389023198</v>
      </c>
      <c r="AM137" s="148">
        <f t="shared" si="22"/>
        <v>22.126244486788021</v>
      </c>
      <c r="AN137" s="1540">
        <v>227.8</v>
      </c>
      <c r="AO137" s="1541">
        <f t="shared" si="33"/>
        <v>37.800000000000011</v>
      </c>
      <c r="AP137" s="147">
        <f t="shared" si="42"/>
        <v>190.22257323298905</v>
      </c>
      <c r="AQ137" s="150">
        <f t="shared" si="23"/>
        <v>580.22257323298902</v>
      </c>
      <c r="AR137" s="150">
        <f t="shared" si="34"/>
        <v>352.42257323298901</v>
      </c>
      <c r="AS137" s="148">
        <f t="shared" si="24"/>
        <v>162.19999999999999</v>
      </c>
      <c r="AT137" s="147">
        <f t="shared" si="35"/>
        <v>2.1727655563069606</v>
      </c>
      <c r="BA137" s="1376">
        <v>83</v>
      </c>
      <c r="BB137" s="1377">
        <v>8.9280000000000008</v>
      </c>
    </row>
    <row r="138" spans="2:54">
      <c r="B138" s="297">
        <v>140</v>
      </c>
      <c r="C138" s="151">
        <f t="shared" si="36"/>
        <v>1.4</v>
      </c>
      <c r="D138" s="147">
        <f t="shared" si="25"/>
        <v>1.9460143246321477</v>
      </c>
      <c r="E138" s="325">
        <v>102.58092871709566</v>
      </c>
      <c r="F138" s="148">
        <f t="shared" si="26"/>
        <v>12.374583625372171</v>
      </c>
      <c r="G138" s="1540">
        <v>201.2</v>
      </c>
      <c r="H138" s="1541">
        <f t="shared" si="37"/>
        <v>11.199999999999989</v>
      </c>
      <c r="I138" s="147">
        <f t="shared" si="38"/>
        <v>108.02008503368103</v>
      </c>
      <c r="J138" s="150">
        <f t="shared" si="39"/>
        <v>348.02008503368103</v>
      </c>
      <c r="K138" s="150">
        <f t="shared" si="27"/>
        <v>146.82008503368104</v>
      </c>
      <c r="L138" s="148">
        <f t="shared" si="28"/>
        <v>38.800000000000011</v>
      </c>
      <c r="M138" s="147">
        <f t="shared" si="16"/>
        <v>3.7840228101464173</v>
      </c>
      <c r="N138" s="137"/>
      <c r="R138" s="297">
        <v>140</v>
      </c>
      <c r="S138" s="151">
        <f t="shared" si="40"/>
        <v>1.4</v>
      </c>
      <c r="T138" s="147">
        <f t="shared" si="17"/>
        <v>1.886184241658112</v>
      </c>
      <c r="U138" s="128">
        <v>141.01563771432726</v>
      </c>
      <c r="V138" s="148">
        <f t="shared" si="29"/>
        <v>17.01105481500981</v>
      </c>
      <c r="W138" s="1546">
        <v>219</v>
      </c>
      <c r="X138" s="1541">
        <f t="shared" si="30"/>
        <v>29</v>
      </c>
      <c r="Y138" s="147">
        <f t="shared" si="41"/>
        <v>146.54081836752269</v>
      </c>
      <c r="Z138" s="150">
        <f t="shared" si="18"/>
        <v>436.54081836752266</v>
      </c>
      <c r="AA138" s="150">
        <f t="shared" si="31"/>
        <v>217.54081836752266</v>
      </c>
      <c r="AB138" s="148">
        <f t="shared" si="19"/>
        <v>71</v>
      </c>
      <c r="AC138" s="147">
        <f t="shared" si="20"/>
        <v>3.0639551882749672</v>
      </c>
      <c r="AI138" s="297">
        <v>140</v>
      </c>
      <c r="AJ138" s="151">
        <f t="shared" si="32"/>
        <v>1.4</v>
      </c>
      <c r="AK138" s="147">
        <f t="shared" si="21"/>
        <v>1.8684184987931742</v>
      </c>
      <c r="AL138" s="152">
        <v>189.32001549963957</v>
      </c>
      <c r="AM138" s="148">
        <f t="shared" si="22"/>
        <v>22.838127837758719</v>
      </c>
      <c r="AN138" s="1540">
        <v>231</v>
      </c>
      <c r="AO138" s="1541">
        <f t="shared" si="33"/>
        <v>41</v>
      </c>
      <c r="AP138" s="147">
        <f t="shared" si="42"/>
        <v>195.81013731447291</v>
      </c>
      <c r="AQ138" s="150">
        <f t="shared" si="23"/>
        <v>585.81013731447297</v>
      </c>
      <c r="AR138" s="150">
        <f t="shared" si="34"/>
        <v>354.81013731447297</v>
      </c>
      <c r="AS138" s="148">
        <f t="shared" si="24"/>
        <v>159</v>
      </c>
      <c r="AT138" s="147">
        <f t="shared" si="35"/>
        <v>2.2315102975753018</v>
      </c>
      <c r="BA138" s="1376">
        <v>84</v>
      </c>
      <c r="BB138" s="1377">
        <v>8.9039999999999999</v>
      </c>
    </row>
    <row r="139" spans="2:54">
      <c r="B139" s="297">
        <v>160</v>
      </c>
      <c r="C139" s="151">
        <f t="shared" si="36"/>
        <v>1.6</v>
      </c>
      <c r="D139" s="147">
        <f t="shared" si="25"/>
        <v>2.2240163710081688</v>
      </c>
      <c r="E139" s="325">
        <v>108.8508938318639</v>
      </c>
      <c r="F139" s="148">
        <f t="shared" si="26"/>
        <v>13.130944565082938</v>
      </c>
      <c r="G139" s="1540">
        <v>202.3</v>
      </c>
      <c r="H139" s="1541">
        <f t="shared" si="37"/>
        <v>12.300000000000011</v>
      </c>
      <c r="I139" s="147">
        <f t="shared" si="38"/>
        <v>114.29752597847606</v>
      </c>
      <c r="J139" s="150">
        <f t="shared" si="39"/>
        <v>354.29752597847607</v>
      </c>
      <c r="K139" s="150">
        <f t="shared" si="27"/>
        <v>151.99752597847606</v>
      </c>
      <c r="L139" s="148">
        <f t="shared" si="28"/>
        <v>37.699999999999989</v>
      </c>
      <c r="M139" s="147">
        <f t="shared" si="16"/>
        <v>4.0317646148136896</v>
      </c>
      <c r="N139" s="137"/>
      <c r="R139" s="297">
        <v>160</v>
      </c>
      <c r="S139" s="151">
        <f t="shared" si="40"/>
        <v>1.6</v>
      </c>
      <c r="T139" s="147">
        <f t="shared" si="17"/>
        <v>2.1556391333235569</v>
      </c>
      <c r="U139" s="128">
        <v>145.27198930452928</v>
      </c>
      <c r="V139" s="148">
        <f t="shared" si="29"/>
        <v>17.5245087225797</v>
      </c>
      <c r="W139" s="1546">
        <v>223</v>
      </c>
      <c r="X139" s="1541">
        <f t="shared" si="30"/>
        <v>33</v>
      </c>
      <c r="Y139" s="147">
        <f t="shared" si="41"/>
        <v>150.54933965017838</v>
      </c>
      <c r="Z139" s="150">
        <f t="shared" si="18"/>
        <v>440.54933965017835</v>
      </c>
      <c r="AA139" s="150">
        <f t="shared" si="31"/>
        <v>217.54933965017835</v>
      </c>
      <c r="AB139" s="148">
        <f t="shared" si="19"/>
        <v>67</v>
      </c>
      <c r="AC139" s="147">
        <f t="shared" si="20"/>
        <v>3.2470050694056471</v>
      </c>
      <c r="AI139" s="297">
        <v>160</v>
      </c>
      <c r="AJ139" s="151">
        <f t="shared" si="32"/>
        <v>1.6</v>
      </c>
      <c r="AK139" s="147">
        <f t="shared" si="21"/>
        <v>2.1353354271921998</v>
      </c>
      <c r="AL139" s="152">
        <v>192.84590826560716</v>
      </c>
      <c r="AM139" s="148">
        <f t="shared" si="22"/>
        <v>23.26346474426003</v>
      </c>
      <c r="AN139" s="1540">
        <v>234.4</v>
      </c>
      <c r="AO139" s="1541">
        <f t="shared" si="33"/>
        <v>44.400000000000006</v>
      </c>
      <c r="AP139" s="147">
        <f t="shared" si="42"/>
        <v>198.91438120413395</v>
      </c>
      <c r="AQ139" s="150">
        <f t="shared" si="23"/>
        <v>588.91438120413397</v>
      </c>
      <c r="AR139" s="150">
        <f t="shared" si="34"/>
        <v>354.514381204134</v>
      </c>
      <c r="AS139" s="148">
        <f t="shared" si="24"/>
        <v>155.6</v>
      </c>
      <c r="AT139" s="147">
        <f t="shared" si="35"/>
        <v>2.278370059152532</v>
      </c>
      <c r="BA139" s="1376">
        <v>85</v>
      </c>
      <c r="BB139" s="1377">
        <v>8.7690000000000001</v>
      </c>
    </row>
    <row r="140" spans="2:54">
      <c r="B140" s="297">
        <v>180</v>
      </c>
      <c r="C140" s="151">
        <f t="shared" si="36"/>
        <v>1.8</v>
      </c>
      <c r="D140" s="147">
        <f t="shared" si="25"/>
        <v>2.5020184173841895</v>
      </c>
      <c r="E140" s="325">
        <v>116.7571123545348</v>
      </c>
      <c r="F140" s="148">
        <f t="shared" si="26"/>
        <v>14.084690680397184</v>
      </c>
      <c r="G140" s="1540">
        <v>202.8</v>
      </c>
      <c r="H140" s="1541">
        <f t="shared" si="37"/>
        <v>12.800000000000011</v>
      </c>
      <c r="I140" s="147">
        <f t="shared" si="38"/>
        <v>122.25077110185219</v>
      </c>
      <c r="J140" s="150">
        <f t="shared" si="39"/>
        <v>362.25077110185219</v>
      </c>
      <c r="K140" s="150">
        <f t="shared" si="27"/>
        <v>159.45077110185218</v>
      </c>
      <c r="L140" s="148">
        <f t="shared" si="28"/>
        <v>37.199999999999989</v>
      </c>
      <c r="M140" s="147">
        <f t="shared" si="16"/>
        <v>4.2863110511250602</v>
      </c>
      <c r="N140" s="137"/>
      <c r="R140" s="297">
        <v>180</v>
      </c>
      <c r="S140" s="151">
        <f t="shared" si="40"/>
        <v>1.8</v>
      </c>
      <c r="T140" s="147">
        <f t="shared" si="17"/>
        <v>2.4250940249890012</v>
      </c>
      <c r="U140" s="128">
        <v>148.25667187766427</v>
      </c>
      <c r="V140" s="148">
        <f t="shared" si="29"/>
        <v>17.884558144615148</v>
      </c>
      <c r="W140" s="1546">
        <v>226.9</v>
      </c>
      <c r="X140" s="1541">
        <f t="shared" si="30"/>
        <v>36.900000000000006</v>
      </c>
      <c r="Y140" s="147">
        <f t="shared" si="41"/>
        <v>153.21932992432195</v>
      </c>
      <c r="Z140" s="150">
        <f t="shared" si="18"/>
        <v>443.21932992432198</v>
      </c>
      <c r="AA140" s="150">
        <f t="shared" si="31"/>
        <v>216.31932992432198</v>
      </c>
      <c r="AB140" s="148">
        <f t="shared" si="19"/>
        <v>63.099999999999994</v>
      </c>
      <c r="AC140" s="147">
        <f t="shared" si="20"/>
        <v>3.4281985724932169</v>
      </c>
      <c r="AI140" s="297">
        <v>180</v>
      </c>
      <c r="AJ140" s="151">
        <f t="shared" si="32"/>
        <v>1.8</v>
      </c>
      <c r="AK140" s="147">
        <f t="shared" si="21"/>
        <v>2.4022523555912243</v>
      </c>
      <c r="AL140" s="152">
        <v>196.02896740991449</v>
      </c>
      <c r="AM140" s="148">
        <f t="shared" si="22"/>
        <v>23.647444808179767</v>
      </c>
      <c r="AN140" s="1540">
        <v>237.8</v>
      </c>
      <c r="AO140" s="1541">
        <f t="shared" si="33"/>
        <v>47.800000000000011</v>
      </c>
      <c r="AP140" s="147">
        <f t="shared" si="42"/>
        <v>201.6461293313499</v>
      </c>
      <c r="AQ140" s="150">
        <f t="shared" si="23"/>
        <v>591.64612933134993</v>
      </c>
      <c r="AR140" s="150">
        <f t="shared" si="34"/>
        <v>353.84612933134991</v>
      </c>
      <c r="AS140" s="148">
        <f t="shared" si="24"/>
        <v>152.19999999999999</v>
      </c>
      <c r="AT140" s="147">
        <f t="shared" si="35"/>
        <v>2.3248760140036131</v>
      </c>
      <c r="BA140" s="1376">
        <v>86</v>
      </c>
      <c r="BB140" s="1377">
        <v>8.8079999999999998</v>
      </c>
    </row>
    <row r="141" spans="2:54">
      <c r="B141" s="297">
        <f t="shared" ref="B141:B146" si="43">B140+20</f>
        <v>200</v>
      </c>
      <c r="C141" s="151">
        <f t="shared" si="36"/>
        <v>2</v>
      </c>
      <c r="D141" s="147">
        <f t="shared" si="25"/>
        <v>2.7800204637602111</v>
      </c>
      <c r="E141" s="325">
        <v>122.29665755992794</v>
      </c>
      <c r="F141" s="148">
        <f t="shared" si="26"/>
        <v>14.75293931343225</v>
      </c>
      <c r="G141" s="1540">
        <v>203.7</v>
      </c>
      <c r="H141" s="1541">
        <f t="shared" si="37"/>
        <v>13.699999999999989</v>
      </c>
      <c r="I141" s="147">
        <f t="shared" si="38"/>
        <v>127.68584347614329</v>
      </c>
      <c r="J141" s="150">
        <f t="shared" si="39"/>
        <v>367.6858434761433</v>
      </c>
      <c r="K141" s="150">
        <f t="shared" si="27"/>
        <v>163.98584347614332</v>
      </c>
      <c r="L141" s="148">
        <f t="shared" si="28"/>
        <v>36.300000000000011</v>
      </c>
      <c r="M141" s="147">
        <f t="shared" si="16"/>
        <v>4.5175163492050485</v>
      </c>
      <c r="N141" s="137"/>
      <c r="R141" s="297">
        <v>200</v>
      </c>
      <c r="S141" s="151">
        <f t="shared" si="40"/>
        <v>2</v>
      </c>
      <c r="T141" s="147">
        <f t="shared" si="17"/>
        <v>2.6945489166544458</v>
      </c>
      <c r="U141" s="128">
        <v>151.25763154819708</v>
      </c>
      <c r="V141" s="148">
        <f t="shared" si="29"/>
        <v>18.246571111974731</v>
      </c>
      <c r="W141" s="1546">
        <v>229</v>
      </c>
      <c r="X141" s="1541">
        <f t="shared" si="30"/>
        <v>39</v>
      </c>
      <c r="Y141" s="147">
        <f t="shared" si="41"/>
        <v>155.88905938760806</v>
      </c>
      <c r="Z141" s="150">
        <f t="shared" si="18"/>
        <v>445.88905938760809</v>
      </c>
      <c r="AA141" s="150">
        <f t="shared" si="31"/>
        <v>216.88905938760809</v>
      </c>
      <c r="AB141" s="148">
        <f t="shared" si="19"/>
        <v>61</v>
      </c>
      <c r="AC141" s="147">
        <f t="shared" si="20"/>
        <v>3.555558350616526</v>
      </c>
      <c r="AI141" s="297">
        <v>200</v>
      </c>
      <c r="AJ141" s="151">
        <f t="shared" si="32"/>
        <v>2</v>
      </c>
      <c r="AK141" s="147">
        <f t="shared" si="21"/>
        <v>2.6691692839902492</v>
      </c>
      <c r="AL141" s="152">
        <v>198.62429480062789</v>
      </c>
      <c r="AM141" s="148">
        <f t="shared" si="22"/>
        <v>23.960525380107264</v>
      </c>
      <c r="AN141" s="1540">
        <v>242</v>
      </c>
      <c r="AO141" s="1541">
        <f t="shared" si="33"/>
        <v>52</v>
      </c>
      <c r="AP141" s="147">
        <f t="shared" si="42"/>
        <v>203.75704843856482</v>
      </c>
      <c r="AQ141" s="150">
        <f t="shared" si="23"/>
        <v>593.75704843856488</v>
      </c>
      <c r="AR141" s="150">
        <f t="shared" si="34"/>
        <v>351.75704843856488</v>
      </c>
      <c r="AS141" s="148">
        <f t="shared" si="24"/>
        <v>148</v>
      </c>
      <c r="AT141" s="147">
        <f t="shared" si="35"/>
        <v>2.376736813774087</v>
      </c>
      <c r="BA141" s="1376">
        <v>87</v>
      </c>
      <c r="BB141" s="1377">
        <v>8.8320000000000007</v>
      </c>
    </row>
    <row r="142" spans="2:54">
      <c r="B142" s="297">
        <f t="shared" si="43"/>
        <v>220</v>
      </c>
      <c r="C142" s="151">
        <f t="shared" si="36"/>
        <v>2.2000000000000002</v>
      </c>
      <c r="D142" s="147">
        <f t="shared" si="25"/>
        <v>3.0580225101362322</v>
      </c>
      <c r="E142" s="325">
        <v>127.46376368131634</v>
      </c>
      <c r="F142" s="148">
        <f t="shared" si="26"/>
        <v>15.376259725910025</v>
      </c>
      <c r="G142" s="1540">
        <v>204.3</v>
      </c>
      <c r="H142" s="1541">
        <f t="shared" si="37"/>
        <v>14.300000000000011</v>
      </c>
      <c r="I142" s="147">
        <f t="shared" si="38"/>
        <v>132.70009970963969</v>
      </c>
      <c r="J142" s="150">
        <f t="shared" si="39"/>
        <v>372.70009970963969</v>
      </c>
      <c r="K142" s="150">
        <f t="shared" si="27"/>
        <v>168.40009970963968</v>
      </c>
      <c r="L142" s="148">
        <f t="shared" si="28"/>
        <v>35.699999999999989</v>
      </c>
      <c r="M142" s="147">
        <f t="shared" si="16"/>
        <v>4.717089627721001</v>
      </c>
      <c r="N142" s="137"/>
      <c r="R142" s="297">
        <v>220</v>
      </c>
      <c r="S142" s="151">
        <f t="shared" si="40"/>
        <v>2.2000000000000002</v>
      </c>
      <c r="T142" s="147">
        <f t="shared" si="17"/>
        <v>2.9640038083198905</v>
      </c>
      <c r="U142" s="128">
        <v>153.40706933223439</v>
      </c>
      <c r="V142" s="148">
        <f t="shared" si="29"/>
        <v>18.50586295051383</v>
      </c>
      <c r="W142" s="1546">
        <v>230</v>
      </c>
      <c r="X142" s="1541">
        <f t="shared" si="30"/>
        <v>40</v>
      </c>
      <c r="Y142" s="147">
        <f t="shared" si="41"/>
        <v>157.66649481263909</v>
      </c>
      <c r="Z142" s="150">
        <f t="shared" si="18"/>
        <v>447.66649481263909</v>
      </c>
      <c r="AA142" s="150">
        <f t="shared" si="31"/>
        <v>217.66649481263909</v>
      </c>
      <c r="AB142" s="148">
        <f t="shared" si="19"/>
        <v>60</v>
      </c>
      <c r="AC142" s="147">
        <f t="shared" si="20"/>
        <v>3.627774913543985</v>
      </c>
      <c r="AI142" s="297">
        <v>220</v>
      </c>
      <c r="AJ142" s="151">
        <f t="shared" si="32"/>
        <v>2.2000000000000002</v>
      </c>
      <c r="AK142" s="147">
        <f t="shared" si="21"/>
        <v>2.9360862123892746</v>
      </c>
      <c r="AL142" s="152">
        <v>200.86978395514873</v>
      </c>
      <c r="AM142" s="148">
        <f t="shared" si="22"/>
        <v>24.231404125991084</v>
      </c>
      <c r="AN142" s="1540">
        <v>245.3</v>
      </c>
      <c r="AO142" s="1541">
        <f t="shared" si="33"/>
        <v>55.300000000000011</v>
      </c>
      <c r="AP142" s="147">
        <f t="shared" si="42"/>
        <v>205.49547060495698</v>
      </c>
      <c r="AQ142" s="150">
        <f t="shared" si="23"/>
        <v>595.49547060495695</v>
      </c>
      <c r="AR142" s="150">
        <f t="shared" si="34"/>
        <v>350.19547060495694</v>
      </c>
      <c r="AS142" s="148">
        <f t="shared" si="24"/>
        <v>144.69999999999999</v>
      </c>
      <c r="AT142" s="147">
        <f t="shared" si="35"/>
        <v>2.4201483801310086</v>
      </c>
      <c r="BA142" s="1376">
        <v>88</v>
      </c>
      <c r="BB142" s="1377">
        <v>8.9280000000000008</v>
      </c>
    </row>
    <row r="143" spans="2:54">
      <c r="B143" s="297">
        <f t="shared" si="43"/>
        <v>240</v>
      </c>
      <c r="C143" s="151">
        <f t="shared" si="36"/>
        <v>2.4</v>
      </c>
      <c r="D143" s="147">
        <f t="shared" si="25"/>
        <v>3.3360245565122528</v>
      </c>
      <c r="E143" s="325">
        <v>131.85153443608371</v>
      </c>
      <c r="F143" s="148">
        <f t="shared" si="26"/>
        <v>15.905567042707425</v>
      </c>
      <c r="G143" s="1540">
        <v>205.7</v>
      </c>
      <c r="H143" s="1541">
        <f t="shared" si="37"/>
        <v>15.699999999999989</v>
      </c>
      <c r="I143" s="147">
        <f t="shared" si="38"/>
        <v>136.87447839937516</v>
      </c>
      <c r="J143" s="150">
        <f t="shared" si="39"/>
        <v>376.87447839937516</v>
      </c>
      <c r="K143" s="150">
        <f t="shared" si="27"/>
        <v>171.17447839937518</v>
      </c>
      <c r="L143" s="148">
        <f t="shared" si="28"/>
        <v>34.300000000000011</v>
      </c>
      <c r="M143" s="147">
        <f t="shared" si="16"/>
        <v>4.990509574325805</v>
      </c>
      <c r="N143" s="137"/>
      <c r="R143" s="297">
        <v>240</v>
      </c>
      <c r="S143" s="151">
        <f t="shared" si="40"/>
        <v>2.4</v>
      </c>
      <c r="T143" s="147">
        <f t="shared" si="17"/>
        <v>3.2334586999853343</v>
      </c>
      <c r="U143" s="128">
        <v>156.00344951241331</v>
      </c>
      <c r="V143" s="148">
        <f t="shared" si="29"/>
        <v>18.819070522961248</v>
      </c>
      <c r="W143" s="1546">
        <v>231</v>
      </c>
      <c r="X143" s="1541">
        <f t="shared" si="30"/>
        <v>41</v>
      </c>
      <c r="Y143" s="147">
        <f t="shared" si="41"/>
        <v>159.8897378625706</v>
      </c>
      <c r="Z143" s="150">
        <f t="shared" si="18"/>
        <v>449.8897378625706</v>
      </c>
      <c r="AA143" s="150">
        <f t="shared" si="31"/>
        <v>218.8897378625706</v>
      </c>
      <c r="AB143" s="148">
        <f t="shared" si="19"/>
        <v>59</v>
      </c>
      <c r="AC143" s="147">
        <f t="shared" si="20"/>
        <v>3.7099955569927219</v>
      </c>
      <c r="AI143" s="297">
        <v>240</v>
      </c>
      <c r="AJ143" s="151">
        <f t="shared" si="32"/>
        <v>2.4</v>
      </c>
      <c r="AK143" s="147">
        <f t="shared" si="21"/>
        <v>3.2030031407882991</v>
      </c>
      <c r="AL143" s="152">
        <v>203.12765898805807</v>
      </c>
      <c r="AM143" s="148">
        <f t="shared" si="22"/>
        <v>24.503777010111015</v>
      </c>
      <c r="AN143" s="1540">
        <v>249</v>
      </c>
      <c r="AO143" s="1541">
        <f t="shared" si="33"/>
        <v>59</v>
      </c>
      <c r="AP143" s="147">
        <f t="shared" si="42"/>
        <v>207.23389485501033</v>
      </c>
      <c r="AQ143" s="150">
        <f t="shared" si="23"/>
        <v>597.23389485501036</v>
      </c>
      <c r="AR143" s="150">
        <f t="shared" si="34"/>
        <v>348.23389485501036</v>
      </c>
      <c r="AS143" s="148">
        <f t="shared" si="24"/>
        <v>141</v>
      </c>
      <c r="AT143" s="147">
        <f t="shared" si="35"/>
        <v>2.4697439351419175</v>
      </c>
      <c r="BA143" s="1376">
        <v>89</v>
      </c>
      <c r="BB143" s="1377">
        <v>9.0719999999999992</v>
      </c>
    </row>
    <row r="144" spans="2:54">
      <c r="B144" s="297">
        <f t="shared" si="43"/>
        <v>260</v>
      </c>
      <c r="C144" s="151">
        <f t="shared" si="36"/>
        <v>2.6</v>
      </c>
      <c r="D144" s="147">
        <f t="shared" si="25"/>
        <v>3.6140266028882739</v>
      </c>
      <c r="E144" s="325">
        <v>135.85848594149601</v>
      </c>
      <c r="F144" s="148">
        <f t="shared" si="26"/>
        <v>16.388935219488925</v>
      </c>
      <c r="G144" s="1540">
        <v>207.5</v>
      </c>
      <c r="H144" s="1541">
        <f t="shared" si="37"/>
        <v>17.5</v>
      </c>
      <c r="I144" s="147">
        <f t="shared" si="38"/>
        <v>140.62846770944972</v>
      </c>
      <c r="J144" s="150">
        <f t="shared" si="39"/>
        <v>380.62846770944975</v>
      </c>
      <c r="K144" s="150">
        <f t="shared" si="27"/>
        <v>173.12846770944975</v>
      </c>
      <c r="L144" s="148">
        <f t="shared" si="28"/>
        <v>32.5</v>
      </c>
      <c r="M144" s="147">
        <f t="shared" si="16"/>
        <v>5.3270297756753768</v>
      </c>
      <c r="N144" s="137"/>
      <c r="R144" s="297">
        <v>260</v>
      </c>
      <c r="S144" s="151">
        <f t="shared" si="40"/>
        <v>2.6</v>
      </c>
      <c r="T144" s="147">
        <f t="shared" si="17"/>
        <v>3.5029135916507794</v>
      </c>
      <c r="U144" s="128">
        <v>158.39592973838384</v>
      </c>
      <c r="V144" s="148">
        <f t="shared" si="29"/>
        <v>19.107681154572614</v>
      </c>
      <c r="W144" s="1546">
        <v>232</v>
      </c>
      <c r="X144" s="1541">
        <f t="shared" si="30"/>
        <v>42</v>
      </c>
      <c r="Y144" s="147">
        <f t="shared" si="41"/>
        <v>161.88976350649349</v>
      </c>
      <c r="Z144" s="150">
        <f t="shared" si="18"/>
        <v>451.88976350649352</v>
      </c>
      <c r="AA144" s="150">
        <f t="shared" si="31"/>
        <v>219.88976350649352</v>
      </c>
      <c r="AB144" s="148">
        <f t="shared" si="19"/>
        <v>58</v>
      </c>
      <c r="AC144" s="147">
        <f t="shared" si="20"/>
        <v>3.7912028190774745</v>
      </c>
      <c r="AI144" s="297">
        <v>260</v>
      </c>
      <c r="AJ144" s="151">
        <f t="shared" si="32"/>
        <v>2.6</v>
      </c>
      <c r="AK144" s="147">
        <f t="shared" si="21"/>
        <v>3.469920069187324</v>
      </c>
      <c r="AL144" s="152">
        <v>204.78780869047409</v>
      </c>
      <c r="AM144" s="148">
        <f t="shared" si="22"/>
        <v>24.704044853072748</v>
      </c>
      <c r="AN144" s="1540">
        <v>256</v>
      </c>
      <c r="AO144" s="1541">
        <f t="shared" si="33"/>
        <v>66</v>
      </c>
      <c r="AP144" s="147">
        <f t="shared" si="42"/>
        <v>208.35148840385537</v>
      </c>
      <c r="AQ144" s="150">
        <f t="shared" si="23"/>
        <v>598.35148840385534</v>
      </c>
      <c r="AR144" s="150">
        <f t="shared" si="34"/>
        <v>342.35148840385534</v>
      </c>
      <c r="AS144" s="148">
        <f t="shared" si="24"/>
        <v>134</v>
      </c>
      <c r="AT144" s="147">
        <f t="shared" si="35"/>
        <v>2.5548618537601144</v>
      </c>
      <c r="BA144" s="1376">
        <v>90</v>
      </c>
      <c r="BB144" s="1377">
        <v>8.9060000000000006</v>
      </c>
    </row>
    <row r="145" spans="2:54">
      <c r="B145" s="297">
        <f t="shared" si="43"/>
        <v>280</v>
      </c>
      <c r="C145" s="151">
        <f t="shared" si="36"/>
        <v>2.8</v>
      </c>
      <c r="D145" s="147">
        <f t="shared" si="25"/>
        <v>3.8920286492642955</v>
      </c>
      <c r="E145" s="325">
        <v>139.48146890902692</v>
      </c>
      <c r="F145" s="148">
        <f t="shared" si="26"/>
        <v>16.825984350021297</v>
      </c>
      <c r="G145" s="1540">
        <v>209</v>
      </c>
      <c r="H145" s="1541">
        <f t="shared" si="37"/>
        <v>19</v>
      </c>
      <c r="I145" s="147">
        <f t="shared" si="38"/>
        <v>143.96222801783767</v>
      </c>
      <c r="J145" s="150">
        <f t="shared" si="39"/>
        <v>383.96222801783767</v>
      </c>
      <c r="K145" s="150">
        <f t="shared" si="27"/>
        <v>174.96222801783767</v>
      </c>
      <c r="L145" s="148">
        <f t="shared" si="28"/>
        <v>31</v>
      </c>
      <c r="M145" s="147">
        <f t="shared" si="16"/>
        <v>5.6439428392850859</v>
      </c>
      <c r="N145" s="137"/>
      <c r="R145" s="297">
        <v>280</v>
      </c>
      <c r="S145" s="151">
        <f t="shared" si="40"/>
        <v>2.8</v>
      </c>
      <c r="T145" s="147">
        <f t="shared" si="17"/>
        <v>3.7723684833162241</v>
      </c>
      <c r="U145" s="129">
        <v>159.92649058416143</v>
      </c>
      <c r="V145" s="148">
        <f t="shared" si="29"/>
        <v>19.292316382744794</v>
      </c>
      <c r="W145" s="1546">
        <v>233</v>
      </c>
      <c r="X145" s="1541">
        <f t="shared" si="30"/>
        <v>43</v>
      </c>
      <c r="Y145" s="147">
        <f t="shared" si="41"/>
        <v>162.99766171307186</v>
      </c>
      <c r="Z145" s="150">
        <f t="shared" si="18"/>
        <v>452.99766171307186</v>
      </c>
      <c r="AA145" s="150">
        <f t="shared" si="31"/>
        <v>219.99766171307186</v>
      </c>
      <c r="AB145" s="148">
        <f t="shared" si="19"/>
        <v>57</v>
      </c>
      <c r="AC145" s="147">
        <f t="shared" si="20"/>
        <v>3.8596081002293308</v>
      </c>
      <c r="AI145" s="297">
        <v>280</v>
      </c>
      <c r="AJ145" s="151">
        <f t="shared" si="32"/>
        <v>2.8</v>
      </c>
      <c r="AK145" s="147">
        <f t="shared" si="21"/>
        <v>3.7368369975863485</v>
      </c>
      <c r="AL145" s="152">
        <v>206.70192888890955</v>
      </c>
      <c r="AM145" s="148">
        <f t="shared" si="22"/>
        <v>24.934949766498491</v>
      </c>
      <c r="AN145" s="1540">
        <v>262</v>
      </c>
      <c r="AO145" s="1541">
        <f t="shared" si="33"/>
        <v>72</v>
      </c>
      <c r="AP145" s="147">
        <f t="shared" si="42"/>
        <v>209.71741673648916</v>
      </c>
      <c r="AQ145" s="150">
        <f t="shared" si="23"/>
        <v>599.71741673648921</v>
      </c>
      <c r="AR145" s="150">
        <f t="shared" si="34"/>
        <v>337.71741673648921</v>
      </c>
      <c r="AS145" s="148">
        <f t="shared" si="24"/>
        <v>128</v>
      </c>
      <c r="AT145" s="147">
        <f t="shared" si="35"/>
        <v>2.638417318253822</v>
      </c>
      <c r="BA145" s="1376">
        <v>91</v>
      </c>
      <c r="BB145" s="1377">
        <v>8.8390000000000004</v>
      </c>
    </row>
    <row r="146" spans="2:54">
      <c r="B146" s="297">
        <f t="shared" si="43"/>
        <v>300</v>
      </c>
      <c r="C146" s="151">
        <f t="shared" si="36"/>
        <v>3</v>
      </c>
      <c r="D146" s="147">
        <f t="shared" si="25"/>
        <v>4.1700306956403166</v>
      </c>
      <c r="E146" s="325">
        <v>141.39395765266005</v>
      </c>
      <c r="F146" s="148">
        <f t="shared" si="26"/>
        <v>17.056692457138748</v>
      </c>
      <c r="G146" s="1540">
        <v>210</v>
      </c>
      <c r="H146" s="1541">
        <f t="shared" si="37"/>
        <v>20</v>
      </c>
      <c r="I146" s="147">
        <f t="shared" si="38"/>
        <v>145.51401920818006</v>
      </c>
      <c r="J146" s="150">
        <f t="shared" si="39"/>
        <v>385.51401920818006</v>
      </c>
      <c r="K146" s="150">
        <f t="shared" si="27"/>
        <v>175.51401920818006</v>
      </c>
      <c r="L146" s="148">
        <f t="shared" si="28"/>
        <v>30</v>
      </c>
      <c r="M146" s="147">
        <f t="shared" si="16"/>
        <v>5.8504673069393354</v>
      </c>
      <c r="N146" s="137"/>
      <c r="R146" s="297">
        <v>300</v>
      </c>
      <c r="S146" s="151">
        <f t="shared" si="40"/>
        <v>3</v>
      </c>
      <c r="T146" s="147">
        <f t="shared" si="17"/>
        <v>4.0418233749816688</v>
      </c>
      <c r="U146" s="129">
        <v>160.8073663105784</v>
      </c>
      <c r="V146" s="148">
        <f t="shared" si="29"/>
        <v>19.398578535724219</v>
      </c>
      <c r="W146" s="1546">
        <v>234</v>
      </c>
      <c r="X146" s="1541">
        <f t="shared" si="30"/>
        <v>44</v>
      </c>
      <c r="Y146" s="147">
        <f t="shared" si="41"/>
        <v>163.43651634622117</v>
      </c>
      <c r="Z146" s="150">
        <f t="shared" si="18"/>
        <v>453.4365163462212</v>
      </c>
      <c r="AA146" s="150">
        <f t="shared" si="31"/>
        <v>219.4365163462212</v>
      </c>
      <c r="AB146" s="148">
        <f t="shared" si="19"/>
        <v>56</v>
      </c>
      <c r="AC146" s="147">
        <f t="shared" si="20"/>
        <v>3.9185092204682355</v>
      </c>
      <c r="AI146" s="297">
        <v>300</v>
      </c>
      <c r="AJ146" s="151">
        <f t="shared" si="32"/>
        <v>3</v>
      </c>
      <c r="AK146" s="147">
        <f t="shared" si="21"/>
        <v>4.0037539259853743</v>
      </c>
      <c r="AL146" s="152">
        <v>208.25853049830855</v>
      </c>
      <c r="AM146" s="148">
        <f t="shared" si="22"/>
        <v>25.122726354484154</v>
      </c>
      <c r="AN146" s="1540">
        <v>268</v>
      </c>
      <c r="AO146" s="1541">
        <f t="shared" si="33"/>
        <v>78</v>
      </c>
      <c r="AP146" s="147">
        <f t="shared" si="42"/>
        <v>210.71084683624375</v>
      </c>
      <c r="AQ146" s="150">
        <f t="shared" si="23"/>
        <v>600.71084683624372</v>
      </c>
      <c r="AR146" s="150">
        <f t="shared" si="34"/>
        <v>332.71084683624372</v>
      </c>
      <c r="AS146" s="148">
        <f t="shared" si="24"/>
        <v>122</v>
      </c>
      <c r="AT146" s="147">
        <f t="shared" si="35"/>
        <v>2.7271380888216696</v>
      </c>
      <c r="BA146" s="1376">
        <v>92</v>
      </c>
      <c r="BB146" s="1377">
        <v>8.8219999999999992</v>
      </c>
    </row>
    <row r="147" spans="2:54">
      <c r="B147" s="297">
        <v>350</v>
      </c>
      <c r="C147" s="151">
        <f t="shared" si="36"/>
        <v>3.5</v>
      </c>
      <c r="D147" s="147">
        <f t="shared" si="25"/>
        <v>4.8650358115803689</v>
      </c>
      <c r="E147" s="325">
        <v>144.940460192373</v>
      </c>
      <c r="F147" s="148">
        <f t="shared" si="26"/>
        <v>17.484515570110418</v>
      </c>
      <c r="G147" s="1540">
        <v>211</v>
      </c>
      <c r="H147" s="1541">
        <f t="shared" si="37"/>
        <v>21</v>
      </c>
      <c r="I147" s="147">
        <f t="shared" si="38"/>
        <v>148.08205464704676</v>
      </c>
      <c r="J147" s="150">
        <f t="shared" si="39"/>
        <v>388.08205464704679</v>
      </c>
      <c r="K147" s="150">
        <f t="shared" si="27"/>
        <v>177.08205464704679</v>
      </c>
      <c r="L147" s="148">
        <f t="shared" si="28"/>
        <v>29</v>
      </c>
      <c r="M147" s="147">
        <f t="shared" si="16"/>
        <v>6.106277746449889</v>
      </c>
      <c r="N147" s="137"/>
      <c r="R147" s="297">
        <v>350</v>
      </c>
      <c r="S147" s="151">
        <f t="shared" si="40"/>
        <v>3.5</v>
      </c>
      <c r="T147" s="147">
        <f t="shared" si="17"/>
        <v>4.7154606041452798</v>
      </c>
      <c r="U147" s="129">
        <v>162.36828376452354</v>
      </c>
      <c r="V147" s="148">
        <f t="shared" si="29"/>
        <v>19.586875754395511</v>
      </c>
      <c r="W147" s="1546">
        <v>234</v>
      </c>
      <c r="X147" s="1541">
        <f t="shared" si="30"/>
        <v>44</v>
      </c>
      <c r="Y147" s="147">
        <f t="shared" si="41"/>
        <v>163.86447454853183</v>
      </c>
      <c r="Z147" s="150">
        <f t="shared" si="18"/>
        <v>453.8644745485318</v>
      </c>
      <c r="AA147" s="150">
        <f t="shared" si="31"/>
        <v>219.8644745485318</v>
      </c>
      <c r="AB147" s="148">
        <f t="shared" si="19"/>
        <v>56</v>
      </c>
      <c r="AC147" s="147">
        <f t="shared" si="20"/>
        <v>3.9261513312237821</v>
      </c>
      <c r="AI147" s="297">
        <v>350</v>
      </c>
      <c r="AJ147" s="151">
        <f t="shared" si="32"/>
        <v>3.5</v>
      </c>
      <c r="AK147" s="147">
        <f t="shared" si="21"/>
        <v>4.6710462469829368</v>
      </c>
      <c r="AL147" s="152">
        <v>209.96372324858774</v>
      </c>
      <c r="AM147" s="148">
        <f t="shared" si="22"/>
        <v>25.328427848412936</v>
      </c>
      <c r="AN147" s="1540">
        <v>272</v>
      </c>
      <c r="AO147" s="1541">
        <f t="shared" si="33"/>
        <v>82</v>
      </c>
      <c r="AP147" s="147">
        <f t="shared" si="42"/>
        <v>210.95942575737416</v>
      </c>
      <c r="AQ147" s="150">
        <f t="shared" si="23"/>
        <v>600.95942575737422</v>
      </c>
      <c r="AR147" s="150">
        <f t="shared" si="34"/>
        <v>328.95942575737422</v>
      </c>
      <c r="AS147" s="148">
        <f t="shared" si="24"/>
        <v>118</v>
      </c>
      <c r="AT147" s="147">
        <f t="shared" si="35"/>
        <v>2.7877917437065611</v>
      </c>
      <c r="BA147" s="1376">
        <v>93</v>
      </c>
      <c r="BB147" s="1377">
        <v>8.8539999999999992</v>
      </c>
    </row>
    <row r="148" spans="2:54">
      <c r="B148" s="297">
        <v>400</v>
      </c>
      <c r="C148" s="151">
        <f t="shared" si="36"/>
        <v>4</v>
      </c>
      <c r="D148" s="147">
        <f t="shared" si="25"/>
        <v>5.5600409275204221</v>
      </c>
      <c r="E148" s="325">
        <v>147.19477820456748</v>
      </c>
      <c r="F148" s="148">
        <f t="shared" si="26"/>
        <v>17.756459362284666</v>
      </c>
      <c r="G148" s="1540">
        <v>212</v>
      </c>
      <c r="H148" s="1541">
        <f t="shared" si="37"/>
        <v>22</v>
      </c>
      <c r="I148" s="147">
        <f t="shared" si="38"/>
        <v>149.28660114108547</v>
      </c>
      <c r="J148" s="150">
        <f t="shared" si="39"/>
        <v>389.2866011410855</v>
      </c>
      <c r="K148" s="150">
        <f t="shared" si="27"/>
        <v>177.2866011410855</v>
      </c>
      <c r="L148" s="148">
        <f t="shared" si="28"/>
        <v>28</v>
      </c>
      <c r="M148" s="147">
        <f t="shared" si="16"/>
        <v>6.3316643264673393</v>
      </c>
      <c r="N148" s="137"/>
      <c r="R148" s="297">
        <v>400</v>
      </c>
      <c r="S148" s="151">
        <f t="shared" si="40"/>
        <v>4</v>
      </c>
      <c r="T148" s="147">
        <f t="shared" si="17"/>
        <v>5.3890978333088917</v>
      </c>
      <c r="U148" s="129">
        <v>164.28476515796655</v>
      </c>
      <c r="V148" s="148">
        <f t="shared" si="29"/>
        <v>19.818065504441883</v>
      </c>
      <c r="W148" s="1546">
        <v>234</v>
      </c>
      <c r="X148" s="1541">
        <f t="shared" si="30"/>
        <v>44</v>
      </c>
      <c r="Y148" s="147">
        <f t="shared" si="41"/>
        <v>164.62646228336601</v>
      </c>
      <c r="Z148" s="150">
        <f t="shared" si="18"/>
        <v>454.62646228336598</v>
      </c>
      <c r="AA148" s="150">
        <f t="shared" si="31"/>
        <v>220.62646228336598</v>
      </c>
      <c r="AB148" s="148">
        <f t="shared" si="19"/>
        <v>56</v>
      </c>
      <c r="AC148" s="147">
        <f t="shared" si="20"/>
        <v>3.9397582550601067</v>
      </c>
      <c r="AI148" s="297">
        <v>400</v>
      </c>
      <c r="AJ148" s="151">
        <f t="shared" si="32"/>
        <v>4</v>
      </c>
      <c r="AK148" s="147">
        <f t="shared" si="21"/>
        <v>5.3383385679804984</v>
      </c>
      <c r="AL148" s="152">
        <v>212.93748130167776</v>
      </c>
      <c r="AM148" s="148">
        <f t="shared" si="22"/>
        <v>25.687159419376513</v>
      </c>
      <c r="AN148" s="1540">
        <v>274</v>
      </c>
      <c r="AO148" s="1541">
        <f t="shared" si="33"/>
        <v>84</v>
      </c>
      <c r="AP148" s="147">
        <f t="shared" si="42"/>
        <v>212.4496783809075</v>
      </c>
      <c r="AQ148" s="150">
        <f t="shared" si="23"/>
        <v>602.44967838090747</v>
      </c>
      <c r="AR148" s="150">
        <f t="shared" si="34"/>
        <v>328.44967838090747</v>
      </c>
      <c r="AS148" s="148">
        <f t="shared" si="24"/>
        <v>116</v>
      </c>
      <c r="AT148" s="147">
        <f t="shared" si="35"/>
        <v>2.8314627446629954</v>
      </c>
      <c r="BA148" s="1376">
        <v>94</v>
      </c>
      <c r="BB148" s="1377">
        <v>8.8260000000000005</v>
      </c>
    </row>
    <row r="149" spans="2:54">
      <c r="B149" s="297">
        <v>450</v>
      </c>
      <c r="C149" s="151">
        <f t="shared" si="36"/>
        <v>4.5</v>
      </c>
      <c r="D149" s="147">
        <f t="shared" si="25"/>
        <v>6.2550460434604744</v>
      </c>
      <c r="E149" s="325">
        <v>148.23350609174921</v>
      </c>
      <c r="F149" s="148">
        <f t="shared" si="26"/>
        <v>17.881763600262328</v>
      </c>
      <c r="G149" s="1540">
        <v>212</v>
      </c>
      <c r="H149" s="1541">
        <f t="shared" si="37"/>
        <v>22</v>
      </c>
      <c r="I149" s="147">
        <f t="shared" si="38"/>
        <v>149.23370377302703</v>
      </c>
      <c r="J149" s="150">
        <f t="shared" si="39"/>
        <v>389.23370377302706</v>
      </c>
      <c r="K149" s="150">
        <f t="shared" si="27"/>
        <v>177.23370377302706</v>
      </c>
      <c r="L149" s="148">
        <f t="shared" si="28"/>
        <v>28</v>
      </c>
      <c r="M149" s="147">
        <f t="shared" si="16"/>
        <v>6.3297751347509665</v>
      </c>
      <c r="N149" s="137"/>
      <c r="R149" s="297">
        <v>450</v>
      </c>
      <c r="S149" s="151">
        <f t="shared" si="40"/>
        <v>4.5</v>
      </c>
      <c r="T149" s="147">
        <f t="shared" si="17"/>
        <v>6.0627350624725036</v>
      </c>
      <c r="U149" s="129">
        <v>166.22829761591998</v>
      </c>
      <c r="V149" s="148">
        <f t="shared" si="29"/>
        <v>20.052518489322708</v>
      </c>
      <c r="W149" s="1546">
        <v>234</v>
      </c>
      <c r="X149" s="1541">
        <f t="shared" si="30"/>
        <v>44</v>
      </c>
      <c r="Y149" s="147">
        <f t="shared" si="41"/>
        <v>165.38801657413111</v>
      </c>
      <c r="Z149" s="150">
        <f t="shared" si="18"/>
        <v>455.38801657413114</v>
      </c>
      <c r="AA149" s="150">
        <f t="shared" si="31"/>
        <v>221.38801657413114</v>
      </c>
      <c r="AB149" s="148">
        <f t="shared" si="19"/>
        <v>56</v>
      </c>
      <c r="AC149" s="147">
        <f t="shared" si="20"/>
        <v>3.9533574388237702</v>
      </c>
      <c r="AI149" s="297">
        <v>450</v>
      </c>
      <c r="AJ149" s="151">
        <f t="shared" si="32"/>
        <v>4.5</v>
      </c>
      <c r="AK149" s="147">
        <f t="shared" si="21"/>
        <v>6.005630888978061</v>
      </c>
      <c r="AL149" s="152">
        <v>215.82813387265867</v>
      </c>
      <c r="AM149" s="148">
        <f t="shared" si="22"/>
        <v>26.03586577658011</v>
      </c>
      <c r="AN149" s="1540">
        <v>276</v>
      </c>
      <c r="AO149" s="1541">
        <f t="shared" si="33"/>
        <v>86</v>
      </c>
      <c r="AP149" s="147">
        <f t="shared" si="42"/>
        <v>213.81577099438576</v>
      </c>
      <c r="AQ149" s="150">
        <f t="shared" si="23"/>
        <v>603.81577099438573</v>
      </c>
      <c r="AR149" s="150">
        <f t="shared" si="34"/>
        <v>327.81577099438573</v>
      </c>
      <c r="AS149" s="148">
        <f t="shared" si="24"/>
        <v>114</v>
      </c>
      <c r="AT149" s="147">
        <f t="shared" si="35"/>
        <v>2.8755769385472432</v>
      </c>
      <c r="BA149" s="1376">
        <v>95</v>
      </c>
      <c r="BB149" s="1377">
        <v>8.8789999999999996</v>
      </c>
    </row>
    <row r="150" spans="2:54">
      <c r="B150" s="297">
        <v>500</v>
      </c>
      <c r="C150" s="151">
        <f t="shared" si="36"/>
        <v>5</v>
      </c>
      <c r="D150" s="147">
        <f t="shared" si="25"/>
        <v>6.9500511594005276</v>
      </c>
      <c r="E150" s="325">
        <v>149.28699841216874</v>
      </c>
      <c r="F150" s="148">
        <f t="shared" si="26"/>
        <v>18.008848907256105</v>
      </c>
      <c r="G150" s="1540">
        <v>212</v>
      </c>
      <c r="H150" s="1541">
        <f t="shared" si="37"/>
        <v>22</v>
      </c>
      <c r="I150" s="147">
        <f t="shared" si="38"/>
        <v>149.18005452406811</v>
      </c>
      <c r="J150" s="150">
        <f t="shared" si="39"/>
        <v>389.18005452406811</v>
      </c>
      <c r="K150" s="150">
        <f t="shared" si="27"/>
        <v>177.18005452406811</v>
      </c>
      <c r="L150" s="148">
        <f t="shared" si="28"/>
        <v>28</v>
      </c>
      <c r="M150" s="147">
        <f t="shared" si="16"/>
        <v>6.3278590901452896</v>
      </c>
      <c r="N150" s="137"/>
      <c r="R150" s="297">
        <v>500</v>
      </c>
      <c r="S150" s="151">
        <f t="shared" si="40"/>
        <v>5</v>
      </c>
      <c r="T150" s="147">
        <f t="shared" si="17"/>
        <v>6.7363722916361137</v>
      </c>
      <c r="U150" s="129">
        <v>168.19945794636917</v>
      </c>
      <c r="V150" s="148">
        <f t="shared" si="29"/>
        <v>20.290304290769583</v>
      </c>
      <c r="W150" s="1546">
        <v>234</v>
      </c>
      <c r="X150" s="1541">
        <f t="shared" si="30"/>
        <v>44</v>
      </c>
      <c r="Y150" s="147">
        <f t="shared" si="41"/>
        <v>166.14912817852897</v>
      </c>
      <c r="Z150" s="150">
        <f t="shared" si="18"/>
        <v>456.14912817852894</v>
      </c>
      <c r="AA150" s="150">
        <f t="shared" si="31"/>
        <v>222.14912817852894</v>
      </c>
      <c r="AB150" s="148">
        <f t="shared" si="19"/>
        <v>56</v>
      </c>
      <c r="AC150" s="147">
        <f t="shared" si="20"/>
        <v>3.966948717473731</v>
      </c>
      <c r="AI150" s="297">
        <v>500</v>
      </c>
      <c r="AJ150" s="151">
        <f t="shared" si="32"/>
        <v>5</v>
      </c>
      <c r="AK150" s="147">
        <f t="shared" si="21"/>
        <v>6.6729232099756235</v>
      </c>
      <c r="AL150" s="152">
        <v>220.14868254700687</v>
      </c>
      <c r="AM150" s="148">
        <f t="shared" si="22"/>
        <v>26.557063932483551</v>
      </c>
      <c r="AN150" s="1540">
        <v>277</v>
      </c>
      <c r="AO150" s="1541">
        <f t="shared" si="33"/>
        <v>87</v>
      </c>
      <c r="AP150" s="147">
        <f t="shared" si="42"/>
        <v>216.5477104800716</v>
      </c>
      <c r="AQ150" s="150">
        <f t="shared" si="23"/>
        <v>606.5477104800716</v>
      </c>
      <c r="AR150" s="150">
        <f t="shared" si="34"/>
        <v>329.5477104800716</v>
      </c>
      <c r="AS150" s="148">
        <f t="shared" si="24"/>
        <v>113</v>
      </c>
      <c r="AT150" s="147">
        <f t="shared" si="35"/>
        <v>2.9163514201776248</v>
      </c>
      <c r="BA150" s="1376">
        <v>96</v>
      </c>
      <c r="BB150" s="1377">
        <v>11.742000000000001</v>
      </c>
    </row>
    <row r="151" spans="2:54">
      <c r="B151" s="297">
        <v>550</v>
      </c>
      <c r="C151" s="151">
        <f t="shared" si="36"/>
        <v>5.5</v>
      </c>
      <c r="D151" s="147">
        <f t="shared" si="25"/>
        <v>7.64505627534058</v>
      </c>
      <c r="E151" s="325">
        <v>150.35557221057903</v>
      </c>
      <c r="F151" s="148">
        <f t="shared" si="26"/>
        <v>18.137753529135452</v>
      </c>
      <c r="G151" s="1540">
        <v>212</v>
      </c>
      <c r="H151" s="1541">
        <f t="shared" si="37"/>
        <v>22</v>
      </c>
      <c r="I151" s="147">
        <f t="shared" si="38"/>
        <v>149.12563724865871</v>
      </c>
      <c r="J151" s="150">
        <f t="shared" si="39"/>
        <v>389.12563724865868</v>
      </c>
      <c r="K151" s="150">
        <f t="shared" si="27"/>
        <v>177.12563724865868</v>
      </c>
      <c r="L151" s="148">
        <f t="shared" si="28"/>
        <v>28</v>
      </c>
      <c r="M151" s="147">
        <f t="shared" si="16"/>
        <v>6.3259156160235239</v>
      </c>
      <c r="N151" s="137"/>
      <c r="R151" s="297">
        <v>550</v>
      </c>
      <c r="S151" s="151">
        <f t="shared" si="40"/>
        <v>5.5</v>
      </c>
      <c r="T151" s="147">
        <f t="shared" si="17"/>
        <v>7.4100095207997265</v>
      </c>
      <c r="U151" s="129">
        <v>170.65330900497966</v>
      </c>
      <c r="V151" s="148">
        <f t="shared" si="29"/>
        <v>20.58631823321231</v>
      </c>
      <c r="W151" s="1546">
        <v>234</v>
      </c>
      <c r="X151" s="1541">
        <f t="shared" si="30"/>
        <v>44</v>
      </c>
      <c r="Y151" s="147">
        <f t="shared" si="41"/>
        <v>167.35547460587753</v>
      </c>
      <c r="Z151" s="150">
        <f t="shared" si="18"/>
        <v>457.35547460587753</v>
      </c>
      <c r="AA151" s="150">
        <f t="shared" si="31"/>
        <v>223.35547460587753</v>
      </c>
      <c r="AB151" s="148">
        <f t="shared" si="19"/>
        <v>56</v>
      </c>
      <c r="AC151" s="147">
        <f t="shared" si="20"/>
        <v>3.9884906179620989</v>
      </c>
      <c r="AI151" s="297">
        <v>550</v>
      </c>
      <c r="AJ151" s="151">
        <f t="shared" si="32"/>
        <v>5.5</v>
      </c>
      <c r="AK151" s="147">
        <f t="shared" si="21"/>
        <v>7.3402155309731851</v>
      </c>
      <c r="AL151" s="152">
        <v>222.49721086050741</v>
      </c>
      <c r="AM151" s="148">
        <f t="shared" si="22"/>
        <v>26.840372539409074</v>
      </c>
      <c r="AN151" s="1540">
        <v>278</v>
      </c>
      <c r="AO151" s="1541">
        <f t="shared" si="33"/>
        <v>88</v>
      </c>
      <c r="AP151" s="147">
        <f t="shared" si="42"/>
        <v>217.2929817460421</v>
      </c>
      <c r="AQ151" s="150">
        <f t="shared" si="23"/>
        <v>607.29298174604207</v>
      </c>
      <c r="AR151" s="150">
        <f t="shared" si="34"/>
        <v>329.29298174604207</v>
      </c>
      <c r="AS151" s="148">
        <f t="shared" si="24"/>
        <v>112</v>
      </c>
      <c r="AT151" s="147">
        <f t="shared" si="35"/>
        <v>2.940115908446804</v>
      </c>
      <c r="BA151" s="1376">
        <v>97</v>
      </c>
      <c r="BB151" s="1377">
        <v>11.648</v>
      </c>
    </row>
    <row r="152" spans="2:54">
      <c r="B152" s="297">
        <v>600</v>
      </c>
      <c r="C152" s="151">
        <f t="shared" si="36"/>
        <v>6</v>
      </c>
      <c r="D152" s="147">
        <f t="shared" si="25"/>
        <v>8.3400613912806332</v>
      </c>
      <c r="E152" s="325">
        <v>151.8643490565866</v>
      </c>
      <c r="F152" s="148">
        <f t="shared" si="26"/>
        <v>18.31976090113378</v>
      </c>
      <c r="G152" s="1540">
        <v>212</v>
      </c>
      <c r="H152" s="1541">
        <f t="shared" si="37"/>
        <v>22</v>
      </c>
      <c r="I152" s="147">
        <f t="shared" si="38"/>
        <v>149.48858522438621</v>
      </c>
      <c r="J152" s="150">
        <f t="shared" si="39"/>
        <v>389.48858522438621</v>
      </c>
      <c r="K152" s="150">
        <f t="shared" si="27"/>
        <v>177.48858522438621</v>
      </c>
      <c r="L152" s="148">
        <f t="shared" si="28"/>
        <v>28</v>
      </c>
      <c r="M152" s="147">
        <f t="shared" si="16"/>
        <v>6.3388780437280792</v>
      </c>
      <c r="N152" s="137"/>
      <c r="R152" s="297">
        <v>600</v>
      </c>
      <c r="S152" s="151">
        <f t="shared" si="40"/>
        <v>6</v>
      </c>
      <c r="T152" s="147">
        <f t="shared" si="17"/>
        <v>8.0836467499633375</v>
      </c>
      <c r="U152" s="129">
        <v>172.22705263399922</v>
      </c>
      <c r="V152" s="148">
        <f t="shared" si="29"/>
        <v>20.77616270416565</v>
      </c>
      <c r="W152" s="1546">
        <v>234</v>
      </c>
      <c r="X152" s="1541">
        <f t="shared" si="30"/>
        <v>44</v>
      </c>
      <c r="Y152" s="147">
        <f t="shared" si="41"/>
        <v>167.6699850262664</v>
      </c>
      <c r="Z152" s="150">
        <f t="shared" si="18"/>
        <v>457.66998502626643</v>
      </c>
      <c r="AA152" s="150">
        <f t="shared" si="31"/>
        <v>223.66998502626643</v>
      </c>
      <c r="AB152" s="148">
        <f t="shared" si="19"/>
        <v>56</v>
      </c>
      <c r="AC152" s="147">
        <f t="shared" si="20"/>
        <v>3.9941068754690434</v>
      </c>
      <c r="AI152" s="297">
        <v>600</v>
      </c>
      <c r="AJ152" s="151">
        <f t="shared" si="32"/>
        <v>6</v>
      </c>
      <c r="AK152" s="147">
        <f t="shared" si="21"/>
        <v>8.0075078519707485</v>
      </c>
      <c r="AL152" s="152">
        <v>223.08692497698621</v>
      </c>
      <c r="AM152" s="148">
        <f t="shared" si="22"/>
        <v>26.91151116859379</v>
      </c>
      <c r="AN152" s="1540">
        <v>278</v>
      </c>
      <c r="AO152" s="1541">
        <f t="shared" si="33"/>
        <v>88</v>
      </c>
      <c r="AP152" s="147">
        <f t="shared" si="42"/>
        <v>216.29991271835215</v>
      </c>
      <c r="AQ152" s="150">
        <f t="shared" si="23"/>
        <v>606.29991271835218</v>
      </c>
      <c r="AR152" s="150">
        <f t="shared" si="34"/>
        <v>328.29991271835218</v>
      </c>
      <c r="AS152" s="148">
        <f t="shared" si="24"/>
        <v>112</v>
      </c>
      <c r="AT152" s="147">
        <f t="shared" si="35"/>
        <v>2.9312492206995731</v>
      </c>
      <c r="BA152" s="1376">
        <v>98</v>
      </c>
      <c r="BB152" s="1377">
        <v>11.9</v>
      </c>
    </row>
    <row r="153" spans="2:54">
      <c r="B153" s="297">
        <v>650</v>
      </c>
      <c r="C153" s="151">
        <f t="shared" si="36"/>
        <v>6.5</v>
      </c>
      <c r="D153" s="147">
        <f t="shared" si="25"/>
        <v>9.0350665072206855</v>
      </c>
      <c r="E153" s="325">
        <v>152.96715863074064</v>
      </c>
      <c r="F153" s="148">
        <f t="shared" si="26"/>
        <v>18.452795466806958</v>
      </c>
      <c r="G153" s="1540">
        <v>212</v>
      </c>
      <c r="H153" s="1541">
        <f t="shared" si="37"/>
        <v>22</v>
      </c>
      <c r="I153" s="147">
        <f t="shared" si="38"/>
        <v>149.43242448713994</v>
      </c>
      <c r="J153" s="150">
        <f t="shared" si="39"/>
        <v>389.43242448713994</v>
      </c>
      <c r="K153" s="150">
        <f t="shared" si="27"/>
        <v>177.43242448713994</v>
      </c>
      <c r="L153" s="148">
        <f t="shared" si="28"/>
        <v>28</v>
      </c>
      <c r="M153" s="147">
        <f t="shared" si="16"/>
        <v>6.3368723031121403</v>
      </c>
      <c r="N153" s="137"/>
      <c r="R153" s="297">
        <v>650</v>
      </c>
      <c r="S153" s="151">
        <f t="shared" si="40"/>
        <v>6.5</v>
      </c>
      <c r="T153" s="147">
        <f t="shared" si="17"/>
        <v>8.7572839791269477</v>
      </c>
      <c r="U153" s="129">
        <v>174.7457962993158</v>
      </c>
      <c r="V153" s="148">
        <f t="shared" si="29"/>
        <v>21.080004797497583</v>
      </c>
      <c r="W153" s="1546">
        <v>234</v>
      </c>
      <c r="X153" s="1541">
        <f t="shared" si="30"/>
        <v>44</v>
      </c>
      <c r="Y153" s="147">
        <f t="shared" si="41"/>
        <v>168.87529166771313</v>
      </c>
      <c r="Z153" s="150">
        <f t="shared" si="18"/>
        <v>458.8752916677131</v>
      </c>
      <c r="AA153" s="150">
        <f t="shared" si="31"/>
        <v>224.8752916677131</v>
      </c>
      <c r="AB153" s="148">
        <f t="shared" si="19"/>
        <v>56</v>
      </c>
      <c r="AC153" s="147">
        <f t="shared" si="20"/>
        <v>4.0156302083520199</v>
      </c>
      <c r="AI153" s="297">
        <v>650</v>
      </c>
      <c r="AJ153" s="151">
        <f t="shared" si="32"/>
        <v>6.5</v>
      </c>
      <c r="AK153" s="147">
        <f t="shared" si="21"/>
        <v>8.6748001729683093</v>
      </c>
      <c r="AL153" s="152">
        <v>223.55625883958353</v>
      </c>
      <c r="AM153" s="148">
        <f t="shared" si="22"/>
        <v>26.968128038840177</v>
      </c>
      <c r="AN153" s="1540">
        <v>278</v>
      </c>
      <c r="AO153" s="1541">
        <f t="shared" si="33"/>
        <v>88</v>
      </c>
      <c r="AP153" s="147">
        <f t="shared" si="42"/>
        <v>215.18267740991806</v>
      </c>
      <c r="AQ153" s="150">
        <f t="shared" si="23"/>
        <v>605.18267740991803</v>
      </c>
      <c r="AR153" s="150">
        <f t="shared" si="34"/>
        <v>327.18267740991803</v>
      </c>
      <c r="AS153" s="148">
        <f t="shared" si="24"/>
        <v>112</v>
      </c>
      <c r="AT153" s="147">
        <f t="shared" si="35"/>
        <v>2.9212739054456969</v>
      </c>
      <c r="BA153" s="1376">
        <v>99</v>
      </c>
      <c r="BB153" s="1377">
        <v>11.936</v>
      </c>
    </row>
    <row r="154" spans="2:54">
      <c r="B154" s="297">
        <v>700</v>
      </c>
      <c r="C154" s="151">
        <f t="shared" si="36"/>
        <v>7</v>
      </c>
      <c r="D154" s="147">
        <f t="shared" si="25"/>
        <v>9.7300716231607378</v>
      </c>
      <c r="E154" s="325">
        <v>153.22408199489092</v>
      </c>
      <c r="F154" s="148">
        <f t="shared" si="26"/>
        <v>18.483788748840478</v>
      </c>
      <c r="G154" s="1540">
        <v>212</v>
      </c>
      <c r="H154" s="1541">
        <f t="shared" si="37"/>
        <v>22</v>
      </c>
      <c r="I154" s="147">
        <f t="shared" si="38"/>
        <v>148.53977531746816</v>
      </c>
      <c r="J154" s="150">
        <f t="shared" si="39"/>
        <v>388.53977531746818</v>
      </c>
      <c r="K154" s="150">
        <f t="shared" si="27"/>
        <v>176.53977531746818</v>
      </c>
      <c r="L154" s="148">
        <f t="shared" si="28"/>
        <v>28</v>
      </c>
      <c r="M154" s="147">
        <f t="shared" si="16"/>
        <v>6.3049919756238637</v>
      </c>
      <c r="N154" s="137"/>
      <c r="R154" s="297">
        <v>700</v>
      </c>
      <c r="S154" s="151">
        <f t="shared" si="40"/>
        <v>7</v>
      </c>
      <c r="T154" s="147">
        <f t="shared" si="17"/>
        <v>9.4309212082905596</v>
      </c>
      <c r="U154" s="129">
        <v>176.83694863877821</v>
      </c>
      <c r="V154" s="148">
        <f t="shared" si="29"/>
        <v>21.332265522972548</v>
      </c>
      <c r="W154" s="1546">
        <v>234</v>
      </c>
      <c r="X154" s="1541">
        <f t="shared" si="30"/>
        <v>44</v>
      </c>
      <c r="Y154" s="147">
        <f t="shared" si="41"/>
        <v>169.63448061858188</v>
      </c>
      <c r="Z154" s="150">
        <f t="shared" si="18"/>
        <v>459.63448061858185</v>
      </c>
      <c r="AA154" s="150">
        <f t="shared" si="31"/>
        <v>225.63448061858185</v>
      </c>
      <c r="AB154" s="148">
        <f t="shared" si="19"/>
        <v>56</v>
      </c>
      <c r="AC154" s="147">
        <f t="shared" si="20"/>
        <v>4.0291871539032469</v>
      </c>
      <c r="AI154" s="297">
        <v>700</v>
      </c>
      <c r="AJ154" s="151">
        <f t="shared" si="32"/>
        <v>7</v>
      </c>
      <c r="AK154" s="147">
        <f t="shared" si="21"/>
        <v>9.3420924939658736</v>
      </c>
      <c r="AL154" s="152">
        <v>223.25280754604944</v>
      </c>
      <c r="AM154" s="148">
        <f t="shared" si="22"/>
        <v>26.931521981018054</v>
      </c>
      <c r="AN154" s="1540">
        <v>278</v>
      </c>
      <c r="AO154" s="1541">
        <f t="shared" si="33"/>
        <v>88</v>
      </c>
      <c r="AP154" s="147">
        <f t="shared" si="42"/>
        <v>213.32043592085404</v>
      </c>
      <c r="AQ154" s="150">
        <f t="shared" si="23"/>
        <v>603.32043592085404</v>
      </c>
      <c r="AR154" s="150">
        <f t="shared" si="34"/>
        <v>325.32043592085404</v>
      </c>
      <c r="AS154" s="148">
        <f t="shared" si="24"/>
        <v>112</v>
      </c>
      <c r="AT154" s="147">
        <f t="shared" si="35"/>
        <v>2.9046467492933394</v>
      </c>
      <c r="BA154" s="1376">
        <v>100</v>
      </c>
      <c r="BB154" s="1377">
        <v>11.704000000000001</v>
      </c>
    </row>
    <row r="155" spans="2:54">
      <c r="B155" s="297">
        <v>750</v>
      </c>
      <c r="C155" s="151">
        <f t="shared" si="36"/>
        <v>7.5</v>
      </c>
      <c r="D155" s="147">
        <f t="shared" si="25"/>
        <v>10.42507673910079</v>
      </c>
      <c r="E155" s="325">
        <v>153.9189779231022</v>
      </c>
      <c r="F155" s="148">
        <f t="shared" si="26"/>
        <v>18.567615712410834</v>
      </c>
      <c r="G155" s="1540">
        <v>212</v>
      </c>
      <c r="H155" s="1541">
        <f t="shared" si="37"/>
        <v>22</v>
      </c>
      <c r="I155" s="147">
        <f t="shared" si="38"/>
        <v>148.06460498663046</v>
      </c>
      <c r="J155" s="150">
        <f t="shared" si="39"/>
        <v>388.06460498663046</v>
      </c>
      <c r="K155" s="150">
        <f t="shared" si="27"/>
        <v>176.06460498663046</v>
      </c>
      <c r="L155" s="148">
        <f t="shared" si="28"/>
        <v>28</v>
      </c>
      <c r="M155" s="147">
        <f t="shared" si="16"/>
        <v>6.2880216066653736</v>
      </c>
      <c r="N155" s="137"/>
      <c r="R155" s="297">
        <v>750</v>
      </c>
      <c r="S155" s="151">
        <f t="shared" si="40"/>
        <v>7.5</v>
      </c>
      <c r="T155" s="147">
        <f t="shared" si="17"/>
        <v>10.104558437454171</v>
      </c>
      <c r="U155" s="129">
        <v>178.95892265734878</v>
      </c>
      <c r="V155" s="148">
        <f t="shared" si="29"/>
        <v>21.588244341570363</v>
      </c>
      <c r="W155" s="1546">
        <v>234</v>
      </c>
      <c r="X155" s="1541">
        <f t="shared" si="30"/>
        <v>44</v>
      </c>
      <c r="Y155" s="147">
        <f t="shared" si="41"/>
        <v>170.39317570814612</v>
      </c>
      <c r="Z155" s="150">
        <f t="shared" si="18"/>
        <v>460.39317570814615</v>
      </c>
      <c r="AA155" s="150">
        <f t="shared" si="31"/>
        <v>226.39317570814615</v>
      </c>
      <c r="AB155" s="148">
        <f t="shared" si="19"/>
        <v>56</v>
      </c>
      <c r="AC155" s="147">
        <f t="shared" si="20"/>
        <v>4.04273528050261</v>
      </c>
      <c r="AI155" s="297">
        <v>750</v>
      </c>
      <c r="AJ155" s="151">
        <f t="shared" si="32"/>
        <v>7.5</v>
      </c>
      <c r="AK155" s="147">
        <f t="shared" si="21"/>
        <v>10.009384814963434</v>
      </c>
      <c r="AL155" s="152">
        <v>222.29029014363678</v>
      </c>
      <c r="AM155" s="148">
        <f t="shared" si="22"/>
        <v>26.81541119672325</v>
      </c>
      <c r="AN155" s="1540">
        <v>278</v>
      </c>
      <c r="AO155" s="1541">
        <f t="shared" si="33"/>
        <v>88</v>
      </c>
      <c r="AP155" s="147">
        <f t="shared" si="42"/>
        <v>210.8373534112979</v>
      </c>
      <c r="AQ155" s="150">
        <f t="shared" si="23"/>
        <v>600.83735341129795</v>
      </c>
      <c r="AR155" s="150">
        <f t="shared" si="34"/>
        <v>322.83735341129795</v>
      </c>
      <c r="AS155" s="148">
        <f t="shared" si="24"/>
        <v>112</v>
      </c>
      <c r="AT155" s="147">
        <f t="shared" si="35"/>
        <v>2.8824763697437317</v>
      </c>
      <c r="BA155" s="1376">
        <v>101</v>
      </c>
      <c r="BB155" s="1377">
        <v>11.682</v>
      </c>
    </row>
    <row r="156" spans="2:54">
      <c r="B156" s="297">
        <v>800</v>
      </c>
      <c r="C156" s="151">
        <f t="shared" si="36"/>
        <v>8</v>
      </c>
      <c r="D156" s="147">
        <f t="shared" si="25"/>
        <v>11.120081855040844</v>
      </c>
      <c r="E156" s="325">
        <v>153.31196308571847</v>
      </c>
      <c r="F156" s="148">
        <f t="shared" si="26"/>
        <v>18.494390055741626</v>
      </c>
      <c r="G156" s="1540">
        <v>212</v>
      </c>
      <c r="H156" s="1541">
        <f t="shared" si="37"/>
        <v>22</v>
      </c>
      <c r="I156" s="147">
        <f t="shared" si="38"/>
        <v>146.33638668481598</v>
      </c>
      <c r="J156" s="150">
        <f t="shared" si="39"/>
        <v>386.33638668481598</v>
      </c>
      <c r="K156" s="150">
        <f t="shared" si="27"/>
        <v>174.33638668481598</v>
      </c>
      <c r="L156" s="148">
        <f t="shared" si="28"/>
        <v>28</v>
      </c>
      <c r="M156" s="147">
        <f t="shared" si="16"/>
        <v>6.2262995244577137</v>
      </c>
      <c r="N156" s="137"/>
      <c r="R156" s="297">
        <v>800</v>
      </c>
      <c r="S156" s="151">
        <f t="shared" si="40"/>
        <v>8</v>
      </c>
      <c r="T156" s="147">
        <f t="shared" si="17"/>
        <v>10.778195666617783</v>
      </c>
      <c r="U156" s="129">
        <v>179.93405477526511</v>
      </c>
      <c r="V156" s="148">
        <f t="shared" si="29"/>
        <v>21.705876869271691</v>
      </c>
      <c r="W156" s="1546">
        <v>234</v>
      </c>
      <c r="X156" s="1541">
        <f t="shared" si="30"/>
        <v>44</v>
      </c>
      <c r="Y156" s="147">
        <f t="shared" si="41"/>
        <v>170.03782419350014</v>
      </c>
      <c r="Z156" s="150">
        <f t="shared" si="18"/>
        <v>460.03782419350011</v>
      </c>
      <c r="AA156" s="150">
        <f t="shared" si="31"/>
        <v>226.03782419350011</v>
      </c>
      <c r="AB156" s="148">
        <f t="shared" si="19"/>
        <v>56</v>
      </c>
      <c r="AC156" s="147">
        <f t="shared" si="20"/>
        <v>4.0363897177410735</v>
      </c>
      <c r="AI156" s="297">
        <v>800</v>
      </c>
      <c r="AJ156" s="151">
        <f t="shared" si="32"/>
        <v>8</v>
      </c>
      <c r="AK156" s="147">
        <f t="shared" si="21"/>
        <v>10.676677135960997</v>
      </c>
      <c r="AL156" s="152">
        <v>221.57717149296178</v>
      </c>
      <c r="AM156" s="148">
        <f t="shared" si="22"/>
        <v>26.729385982407564</v>
      </c>
      <c r="AN156" s="1540">
        <v>278</v>
      </c>
      <c r="AO156" s="1541">
        <f t="shared" si="33"/>
        <v>88</v>
      </c>
      <c r="AP156" s="147">
        <f t="shared" si="42"/>
        <v>208.60260491643146</v>
      </c>
      <c r="AQ156" s="150">
        <f t="shared" si="23"/>
        <v>598.60260491643146</v>
      </c>
      <c r="AR156" s="150">
        <f t="shared" si="34"/>
        <v>320.60260491643146</v>
      </c>
      <c r="AS156" s="148">
        <f t="shared" si="24"/>
        <v>112</v>
      </c>
      <c r="AT156" s="147">
        <f t="shared" si="35"/>
        <v>2.8625232581824238</v>
      </c>
      <c r="BA156" s="1376">
        <v>102</v>
      </c>
      <c r="BB156" s="1377">
        <v>11.487</v>
      </c>
    </row>
    <row r="157" spans="2:54">
      <c r="B157" s="297">
        <v>850</v>
      </c>
      <c r="C157" s="151">
        <f t="shared" si="36"/>
        <v>8.5</v>
      </c>
      <c r="D157" s="147">
        <f t="shared" si="25"/>
        <v>11.815086970980897</v>
      </c>
      <c r="E157" s="325">
        <v>152.25518773947036</v>
      </c>
      <c r="F157" s="148">
        <f t="shared" si="26"/>
        <v>18.366908709462884</v>
      </c>
      <c r="G157" s="1540">
        <v>212</v>
      </c>
      <c r="H157" s="1541">
        <f t="shared" si="37"/>
        <v>22</v>
      </c>
      <c r="I157" s="147">
        <f t="shared" si="38"/>
        <v>144.19128984696351</v>
      </c>
      <c r="J157" s="150">
        <f t="shared" si="39"/>
        <v>384.19128984696351</v>
      </c>
      <c r="K157" s="150">
        <f t="shared" si="27"/>
        <v>172.19128984696351</v>
      </c>
      <c r="L157" s="148">
        <f t="shared" si="28"/>
        <v>28</v>
      </c>
      <c r="M157" s="147">
        <f t="shared" si="16"/>
        <v>6.14968892310584</v>
      </c>
      <c r="N157" s="137"/>
      <c r="R157" s="297">
        <v>850</v>
      </c>
      <c r="S157" s="151">
        <f t="shared" si="40"/>
        <v>8.5</v>
      </c>
      <c r="T157" s="147">
        <f t="shared" si="17"/>
        <v>11.451832895781394</v>
      </c>
      <c r="U157" s="129">
        <v>179.97404335953109</v>
      </c>
      <c r="V157" s="148">
        <f t="shared" si="29"/>
        <v>21.710700788164299</v>
      </c>
      <c r="W157" s="1546">
        <v>234</v>
      </c>
      <c r="X157" s="1541">
        <f t="shared" si="30"/>
        <v>44</v>
      </c>
      <c r="Y157" s="147">
        <f t="shared" si="41"/>
        <v>168.79151852528267</v>
      </c>
      <c r="Z157" s="150">
        <f t="shared" si="18"/>
        <v>458.79151852528264</v>
      </c>
      <c r="AA157" s="150">
        <f t="shared" si="31"/>
        <v>224.79151852528264</v>
      </c>
      <c r="AB157" s="148">
        <f t="shared" si="19"/>
        <v>56</v>
      </c>
      <c r="AC157" s="147">
        <f t="shared" si="20"/>
        <v>4.0141342593800475</v>
      </c>
      <c r="AI157" s="297">
        <v>850</v>
      </c>
      <c r="AJ157" s="151">
        <f t="shared" si="32"/>
        <v>8.5</v>
      </c>
      <c r="AK157" s="147">
        <f t="shared" si="21"/>
        <v>11.343969456958559</v>
      </c>
      <c r="AL157" s="152">
        <v>221.25196816379525</v>
      </c>
      <c r="AM157" s="148">
        <f t="shared" si="22"/>
        <v>26.690155924322216</v>
      </c>
      <c r="AN157" s="1540">
        <v>278</v>
      </c>
      <c r="AO157" s="1541">
        <f t="shared" si="33"/>
        <v>88</v>
      </c>
      <c r="AP157" s="147">
        <f t="shared" si="42"/>
        <v>206.74035976804919</v>
      </c>
      <c r="AQ157" s="150">
        <f t="shared" si="23"/>
        <v>596.74035976804919</v>
      </c>
      <c r="AR157" s="150">
        <f t="shared" si="34"/>
        <v>318.74035976804919</v>
      </c>
      <c r="AS157" s="148">
        <f t="shared" si="24"/>
        <v>112</v>
      </c>
      <c r="AT157" s="147">
        <f t="shared" si="35"/>
        <v>2.8458960693575821</v>
      </c>
      <c r="BA157" s="1376">
        <v>103</v>
      </c>
      <c r="BB157" s="1377">
        <v>11.670999999999999</v>
      </c>
    </row>
    <row r="158" spans="2:54">
      <c r="B158" s="297">
        <v>900</v>
      </c>
      <c r="C158" s="151">
        <f t="shared" si="36"/>
        <v>9</v>
      </c>
      <c r="D158" s="147">
        <f t="shared" si="25"/>
        <v>12.510092086920949</v>
      </c>
      <c r="E158" s="325">
        <v>151.07148556469011</v>
      </c>
      <c r="F158" s="148">
        <f t="shared" si="26"/>
        <v>18.224115875233924</v>
      </c>
      <c r="G158" s="1540">
        <v>212</v>
      </c>
      <c r="H158" s="1541">
        <f t="shared" si="37"/>
        <v>22</v>
      </c>
      <c r="I158" s="147">
        <f t="shared" si="38"/>
        <v>141.94271111246377</v>
      </c>
      <c r="J158" s="150">
        <f t="shared" si="39"/>
        <v>381.94271111246377</v>
      </c>
      <c r="K158" s="150">
        <f t="shared" si="27"/>
        <v>169.94271111246377</v>
      </c>
      <c r="L158" s="148">
        <f t="shared" si="28"/>
        <v>28</v>
      </c>
      <c r="M158" s="147">
        <f t="shared" si="16"/>
        <v>6.0693825397308485</v>
      </c>
      <c r="N158" s="137"/>
      <c r="R158" s="297">
        <v>900</v>
      </c>
      <c r="S158" s="151">
        <f t="shared" si="40"/>
        <v>9</v>
      </c>
      <c r="T158" s="147">
        <f t="shared" si="17"/>
        <v>12.125470124945007</v>
      </c>
      <c r="U158" s="129">
        <v>178.93813518800391</v>
      </c>
      <c r="V158" s="148">
        <f t="shared" si="29"/>
        <v>21.585736699253363</v>
      </c>
      <c r="W158" s="1546">
        <v>234</v>
      </c>
      <c r="X158" s="1541">
        <f t="shared" si="30"/>
        <v>44</v>
      </c>
      <c r="Y158" s="147">
        <f t="shared" si="41"/>
        <v>166.54327175185958</v>
      </c>
      <c r="Z158" s="150">
        <f t="shared" si="18"/>
        <v>456.54327175185961</v>
      </c>
      <c r="AA158" s="150">
        <f t="shared" si="31"/>
        <v>222.54327175185961</v>
      </c>
      <c r="AB158" s="148">
        <f t="shared" si="19"/>
        <v>56</v>
      </c>
      <c r="AC158" s="147">
        <f t="shared" si="20"/>
        <v>3.9739869955689215</v>
      </c>
      <c r="AI158" s="297">
        <v>900</v>
      </c>
      <c r="AJ158" s="151">
        <f t="shared" si="32"/>
        <v>9</v>
      </c>
      <c r="AK158" s="147">
        <f t="shared" si="21"/>
        <v>12.011261777956122</v>
      </c>
      <c r="AL158" s="152">
        <v>220.92183136106772</v>
      </c>
      <c r="AM158" s="148">
        <f t="shared" si="22"/>
        <v>26.650330729480867</v>
      </c>
      <c r="AN158" s="1540">
        <v>278</v>
      </c>
      <c r="AO158" s="1541">
        <f t="shared" si="33"/>
        <v>88</v>
      </c>
      <c r="AP158" s="147">
        <f t="shared" si="42"/>
        <v>204.87811378971466</v>
      </c>
      <c r="AQ158" s="150">
        <f t="shared" si="23"/>
        <v>594.87811378971469</v>
      </c>
      <c r="AR158" s="150">
        <f t="shared" si="34"/>
        <v>316.87811378971469</v>
      </c>
      <c r="AS158" s="148">
        <f t="shared" si="24"/>
        <v>112</v>
      </c>
      <c r="AT158" s="147">
        <f t="shared" si="35"/>
        <v>2.8292688731224525</v>
      </c>
      <c r="BA158" s="1376">
        <v>104</v>
      </c>
      <c r="BB158" s="1377">
        <v>11.765000000000001</v>
      </c>
    </row>
    <row r="159" spans="2:54">
      <c r="B159" s="297">
        <v>950</v>
      </c>
      <c r="C159" s="151">
        <f t="shared" si="36"/>
        <v>9.5</v>
      </c>
      <c r="D159" s="147">
        <f t="shared" si="25"/>
        <v>13.205097202861001</v>
      </c>
      <c r="E159" s="325">
        <v>149.53427915690617</v>
      </c>
      <c r="F159" s="148">
        <f t="shared" si="26"/>
        <v>18.038678976967567</v>
      </c>
      <c r="G159" s="1540">
        <v>212</v>
      </c>
      <c r="H159" s="1541">
        <f t="shared" si="37"/>
        <v>22</v>
      </c>
      <c r="I159" s="147">
        <f t="shared" si="38"/>
        <v>139.3822976409092</v>
      </c>
      <c r="J159" s="150">
        <f t="shared" si="39"/>
        <v>379.3822976409092</v>
      </c>
      <c r="K159" s="150">
        <f t="shared" si="27"/>
        <v>167.3822976409092</v>
      </c>
      <c r="L159" s="148">
        <f t="shared" si="28"/>
        <v>28</v>
      </c>
      <c r="M159" s="147">
        <f t="shared" si="16"/>
        <v>5.9779392014610426</v>
      </c>
      <c r="N159" s="137"/>
      <c r="R159" s="297">
        <v>950</v>
      </c>
      <c r="S159" s="151">
        <f t="shared" si="40"/>
        <v>9.5</v>
      </c>
      <c r="T159" s="147">
        <f t="shared" si="17"/>
        <v>12.799107354108619</v>
      </c>
      <c r="U159" s="129">
        <v>178.60961075392098</v>
      </c>
      <c r="V159" s="148">
        <f t="shared" si="29"/>
        <v>21.546106008311298</v>
      </c>
      <c r="W159" s="1546">
        <v>234</v>
      </c>
      <c r="X159" s="1541">
        <f t="shared" si="30"/>
        <v>44</v>
      </c>
      <c r="Y159" s="147">
        <f t="shared" si="41"/>
        <v>164.96314403653659</v>
      </c>
      <c r="Z159" s="150">
        <f t="shared" si="18"/>
        <v>454.96314403653662</v>
      </c>
      <c r="AA159" s="150">
        <f t="shared" si="31"/>
        <v>220.96314403653662</v>
      </c>
      <c r="AB159" s="148">
        <f t="shared" si="19"/>
        <v>56</v>
      </c>
      <c r="AC159" s="147">
        <f t="shared" si="20"/>
        <v>3.945770429223868</v>
      </c>
      <c r="AI159" s="145"/>
      <c r="AJ159" s="151"/>
      <c r="AK159" s="147"/>
      <c r="AL159" s="152"/>
      <c r="AM159" s="148"/>
      <c r="AN159" s="1540"/>
      <c r="AO159" s="1541"/>
      <c r="AP159" s="147"/>
      <c r="AQ159" s="150"/>
      <c r="AR159" s="150"/>
      <c r="AS159" s="148"/>
      <c r="AT159" s="147"/>
      <c r="BA159" s="1376">
        <v>105</v>
      </c>
      <c r="BB159" s="1377">
        <v>11.739000000000001</v>
      </c>
    </row>
    <row r="160" spans="2:54">
      <c r="B160" s="145"/>
      <c r="C160" s="151"/>
      <c r="D160" s="147"/>
      <c r="E160" s="325"/>
      <c r="F160" s="148"/>
      <c r="G160" s="1540"/>
      <c r="H160" s="1541"/>
      <c r="I160" s="147"/>
      <c r="J160" s="150"/>
      <c r="K160" s="150"/>
      <c r="L160" s="148"/>
      <c r="M160" s="147"/>
      <c r="N160" s="137"/>
      <c r="R160" s="297">
        <v>1000</v>
      </c>
      <c r="S160" s="151">
        <f t="shared" si="40"/>
        <v>10</v>
      </c>
      <c r="T160" s="147">
        <f t="shared" si="17"/>
        <v>13.472744583272227</v>
      </c>
      <c r="U160" s="129">
        <v>177.91173454989359</v>
      </c>
      <c r="V160" s="148">
        <f t="shared" si="29"/>
        <v>21.461919526916585</v>
      </c>
      <c r="W160" s="1546">
        <v>234</v>
      </c>
      <c r="X160" s="1541">
        <f t="shared" si="30"/>
        <v>44</v>
      </c>
      <c r="Y160" s="147">
        <f t="shared" si="41"/>
        <v>163.04920771357575</v>
      </c>
      <c r="Z160" s="150">
        <f t="shared" si="18"/>
        <v>453.04920771357575</v>
      </c>
      <c r="AA160" s="150">
        <f t="shared" si="31"/>
        <v>219.04920771357575</v>
      </c>
      <c r="AB160" s="148">
        <f t="shared" si="19"/>
        <v>56</v>
      </c>
      <c r="AC160" s="147">
        <f t="shared" si="20"/>
        <v>3.9115929948852814</v>
      </c>
      <c r="AI160" s="145"/>
      <c r="AJ160" s="151"/>
      <c r="AK160" s="147"/>
      <c r="AL160" s="152"/>
      <c r="AM160" s="148"/>
      <c r="AN160" s="1540"/>
      <c r="AO160" s="1541"/>
      <c r="AP160" s="147"/>
      <c r="AQ160" s="150"/>
      <c r="AR160" s="150"/>
      <c r="AS160" s="148"/>
      <c r="AT160" s="147"/>
      <c r="BA160" s="1376">
        <v>106</v>
      </c>
      <c r="BB160" s="1377">
        <v>11.691000000000001</v>
      </c>
    </row>
    <row r="161" spans="2:54">
      <c r="B161" s="145"/>
      <c r="C161" s="151"/>
      <c r="D161" s="147"/>
      <c r="E161" s="325"/>
      <c r="F161" s="148"/>
      <c r="G161" s="1540"/>
      <c r="H161" s="1541"/>
      <c r="I161" s="147"/>
      <c r="J161" s="150"/>
      <c r="K161" s="150"/>
      <c r="L161" s="148"/>
      <c r="M161" s="147"/>
      <c r="N161" s="137"/>
      <c r="R161" s="145"/>
      <c r="S161" s="151"/>
      <c r="T161" s="147"/>
      <c r="U161" s="129"/>
      <c r="V161" s="148"/>
      <c r="W161" s="1546"/>
      <c r="X161" s="1541"/>
      <c r="Y161" s="147"/>
      <c r="Z161" s="150"/>
      <c r="AA161" s="150"/>
      <c r="AB161" s="148"/>
      <c r="AC161" s="147"/>
      <c r="AI161" s="145"/>
      <c r="AJ161" s="151"/>
      <c r="AK161" s="147"/>
      <c r="AL161" s="152"/>
      <c r="AM161" s="148"/>
      <c r="AN161" s="1540"/>
      <c r="AO161" s="1541"/>
      <c r="AP161" s="147"/>
      <c r="AQ161" s="150"/>
      <c r="AR161" s="150"/>
      <c r="AS161" s="148"/>
      <c r="AT161" s="147"/>
      <c r="BA161" s="1376">
        <v>107</v>
      </c>
      <c r="BB161" s="1377">
        <v>11.662000000000001</v>
      </c>
    </row>
    <row r="162" spans="2:54">
      <c r="B162" s="145"/>
      <c r="C162" s="151"/>
      <c r="D162" s="147"/>
      <c r="E162" s="325"/>
      <c r="F162" s="148"/>
      <c r="G162" s="1540"/>
      <c r="H162" s="1541"/>
      <c r="I162" s="147"/>
      <c r="J162" s="150"/>
      <c r="K162" s="150"/>
      <c r="L162" s="148"/>
      <c r="M162" s="147"/>
      <c r="N162" s="137"/>
      <c r="R162" s="145"/>
      <c r="S162" s="151"/>
      <c r="T162" s="147"/>
      <c r="U162" s="129"/>
      <c r="V162" s="148"/>
      <c r="W162" s="1546"/>
      <c r="X162" s="1541"/>
      <c r="Y162" s="147"/>
      <c r="Z162" s="150"/>
      <c r="AA162" s="150"/>
      <c r="AB162" s="148"/>
      <c r="AC162" s="147"/>
      <c r="AI162" s="145"/>
      <c r="AJ162" s="151"/>
      <c r="AK162" s="147"/>
      <c r="AL162" s="152"/>
      <c r="AM162" s="148"/>
      <c r="AN162" s="1540"/>
      <c r="AO162" s="1541"/>
      <c r="AP162" s="147"/>
      <c r="AQ162" s="150"/>
      <c r="AR162" s="150"/>
      <c r="AS162" s="148"/>
      <c r="AT162" s="147"/>
      <c r="BA162" s="1376">
        <v>108</v>
      </c>
      <c r="BB162" s="1377">
        <v>11.763999999999999</v>
      </c>
    </row>
    <row r="163" spans="2:54">
      <c r="B163" s="145"/>
      <c r="C163" s="151"/>
      <c r="D163" s="147"/>
      <c r="E163" s="325"/>
      <c r="F163" s="148"/>
      <c r="G163" s="1540"/>
      <c r="H163" s="1541"/>
      <c r="I163" s="147"/>
      <c r="J163" s="150"/>
      <c r="K163" s="150"/>
      <c r="L163" s="148"/>
      <c r="M163" s="147"/>
      <c r="N163" s="137"/>
      <c r="R163" s="145"/>
      <c r="S163" s="151"/>
      <c r="T163" s="147"/>
      <c r="U163" s="129"/>
      <c r="V163" s="148"/>
      <c r="W163" s="1546"/>
      <c r="X163" s="1541"/>
      <c r="Y163" s="147"/>
      <c r="Z163" s="150"/>
      <c r="AA163" s="150"/>
      <c r="AB163" s="148"/>
      <c r="AC163" s="147"/>
      <c r="AI163" s="145"/>
      <c r="AJ163" s="151"/>
      <c r="AK163" s="147"/>
      <c r="AL163" s="152"/>
      <c r="AM163" s="148"/>
      <c r="AN163" s="1540"/>
      <c r="AO163" s="1541"/>
      <c r="AP163" s="147"/>
      <c r="AQ163" s="150"/>
      <c r="AR163" s="150"/>
      <c r="AS163" s="148"/>
      <c r="AT163" s="147"/>
      <c r="BA163" s="1376">
        <v>109</v>
      </c>
      <c r="BB163" s="1377">
        <v>11.73</v>
      </c>
    </row>
    <row r="164" spans="2:54">
      <c r="B164" s="145"/>
      <c r="C164" s="151"/>
      <c r="D164" s="147"/>
      <c r="E164" s="325"/>
      <c r="F164" s="148"/>
      <c r="G164" s="1540"/>
      <c r="H164" s="1541"/>
      <c r="I164" s="147"/>
      <c r="J164" s="150"/>
      <c r="K164" s="150"/>
      <c r="L164" s="148"/>
      <c r="M164" s="147"/>
      <c r="N164" s="137"/>
      <c r="R164" s="319"/>
      <c r="S164" s="320"/>
      <c r="T164" s="321"/>
      <c r="U164" s="322"/>
      <c r="V164" s="323"/>
      <c r="W164" s="1547"/>
      <c r="X164" s="1548"/>
      <c r="Y164" s="321"/>
      <c r="Z164" s="324"/>
      <c r="AA164" s="324"/>
      <c r="AB164" s="323"/>
      <c r="AC164" s="321"/>
      <c r="AI164" s="145"/>
      <c r="AJ164" s="151"/>
      <c r="AK164" s="147"/>
      <c r="AL164" s="152"/>
      <c r="AM164" s="148"/>
      <c r="AN164" s="1540"/>
      <c r="AO164" s="1541"/>
      <c r="AP164" s="147"/>
      <c r="AQ164" s="150"/>
      <c r="AR164" s="150"/>
      <c r="AS164" s="148"/>
      <c r="AT164" s="147"/>
      <c r="BA164" s="1376">
        <v>110</v>
      </c>
      <c r="BB164" s="1377">
        <v>11.663</v>
      </c>
    </row>
    <row r="165" spans="2:54">
      <c r="B165" s="145"/>
      <c r="C165" s="151"/>
      <c r="D165" s="147"/>
      <c r="E165" s="325"/>
      <c r="F165" s="148"/>
      <c r="G165" s="1540"/>
      <c r="H165" s="1541"/>
      <c r="I165" s="147"/>
      <c r="J165" s="150"/>
      <c r="K165" s="150"/>
      <c r="L165" s="148"/>
      <c r="M165" s="147"/>
      <c r="N165" s="137"/>
      <c r="R165" s="787"/>
      <c r="S165" s="788"/>
      <c r="T165" s="789"/>
      <c r="U165" s="790"/>
      <c r="V165" s="791"/>
      <c r="W165" s="790"/>
      <c r="X165" s="791"/>
      <c r="Y165" s="789"/>
      <c r="Z165" s="792"/>
      <c r="AA165" s="792"/>
      <c r="AB165" s="791"/>
      <c r="AC165" s="789"/>
      <c r="AI165" s="134"/>
      <c r="AJ165" s="138"/>
      <c r="AK165" s="135"/>
      <c r="AL165" s="139"/>
      <c r="AM165" s="136"/>
      <c r="AN165" s="139"/>
      <c r="AO165" s="136"/>
      <c r="AP165" s="135"/>
      <c r="AQ165" s="137"/>
      <c r="AR165" s="137"/>
      <c r="AS165" s="136"/>
      <c r="AT165" s="135"/>
      <c r="BA165" s="1376">
        <v>111</v>
      </c>
      <c r="BB165" s="1377">
        <v>11.741</v>
      </c>
    </row>
    <row r="166" spans="2:54">
      <c r="B166" s="134"/>
      <c r="C166" s="138"/>
      <c r="D166" s="135"/>
      <c r="E166" s="139"/>
      <c r="F166" s="136"/>
      <c r="G166" s="139"/>
      <c r="H166" s="136"/>
      <c r="I166" s="135"/>
      <c r="J166" s="137"/>
      <c r="K166" s="137"/>
      <c r="L166" s="136"/>
      <c r="M166" s="135"/>
      <c r="N166" s="137"/>
      <c r="O166" s="134"/>
      <c r="P166" s="138"/>
      <c r="Q166" s="135"/>
      <c r="R166" s="139"/>
      <c r="S166" s="136"/>
      <c r="T166" s="139"/>
      <c r="U166" s="136"/>
      <c r="V166" s="135"/>
      <c r="W166" s="137"/>
      <c r="X166" s="137"/>
      <c r="Y166" s="136"/>
      <c r="Z166" s="135"/>
      <c r="AN166" s="139"/>
      <c r="AO166" s="136"/>
      <c r="AP166" s="135"/>
      <c r="AQ166" s="137"/>
      <c r="AR166" s="137"/>
      <c r="AS166" s="136"/>
      <c r="AT166" s="135"/>
      <c r="BA166" s="1376">
        <v>112</v>
      </c>
      <c r="BB166" s="1377">
        <v>11.68</v>
      </c>
    </row>
    <row r="167" spans="2:54">
      <c r="B167" s="134"/>
      <c r="C167" s="138"/>
      <c r="D167" s="135"/>
      <c r="E167" s="139"/>
      <c r="F167" s="136"/>
      <c r="G167" s="139"/>
      <c r="H167" s="136"/>
      <c r="I167" s="135"/>
      <c r="J167" s="137"/>
      <c r="K167" s="137"/>
      <c r="L167" s="136"/>
      <c r="M167" s="135"/>
      <c r="N167" s="137"/>
      <c r="O167" s="134"/>
      <c r="P167" s="138"/>
      <c r="Q167" s="135"/>
      <c r="R167" s="139"/>
      <c r="S167" s="136"/>
      <c r="T167" s="139"/>
      <c r="U167" s="136"/>
      <c r="V167" s="135"/>
      <c r="W167" s="137"/>
      <c r="X167" s="137"/>
      <c r="AN167" s="139"/>
      <c r="AO167" s="136"/>
      <c r="AP167" s="135"/>
      <c r="AQ167" s="137"/>
      <c r="AR167" s="137"/>
      <c r="AS167" s="136"/>
      <c r="AT167" s="135"/>
      <c r="BA167" s="1376">
        <v>113</v>
      </c>
      <c r="BB167" s="1377">
        <v>8.9589999999999996</v>
      </c>
    </row>
    <row r="168" spans="2:54">
      <c r="B168" s="134"/>
      <c r="C168" s="138"/>
      <c r="D168" s="135"/>
      <c r="E168" s="139"/>
      <c r="F168" s="136"/>
      <c r="G168" s="139"/>
      <c r="H168" s="136"/>
      <c r="I168" s="135"/>
      <c r="J168" s="137"/>
      <c r="K168" s="137"/>
      <c r="L168" s="136"/>
      <c r="M168" s="135"/>
      <c r="N168" s="137"/>
      <c r="O168" s="134"/>
      <c r="P168" s="138"/>
      <c r="Q168" s="135"/>
      <c r="R168" s="139"/>
      <c r="S168" s="136"/>
      <c r="T168" s="139"/>
      <c r="U168" s="136"/>
      <c r="V168" s="135"/>
      <c r="W168" s="137"/>
      <c r="X168" s="137"/>
      <c r="Y168" s="136"/>
      <c r="Z168" s="135"/>
      <c r="AN168" s="139"/>
      <c r="AO168" s="136"/>
      <c r="AP168" s="135"/>
      <c r="AQ168" s="137"/>
      <c r="AR168" s="137"/>
      <c r="AS168" s="136"/>
      <c r="AT168" s="135"/>
      <c r="BA168" s="1376">
        <v>114</v>
      </c>
      <c r="BB168" s="1377">
        <v>8.8190000000000008</v>
      </c>
    </row>
    <row r="169" spans="2:54" s="831" customFormat="1" ht="18.75">
      <c r="B169" s="840"/>
      <c r="C169" s="841"/>
      <c r="D169" s="842">
        <f>INDEX(D130:D165,MATCH($I$169,$I130:$I165))</f>
        <v>13.205097202861001</v>
      </c>
      <c r="E169" s="842"/>
      <c r="F169" s="843"/>
      <c r="G169" s="842">
        <f>INDEX(G130:G165,MATCH($I$169,$I130:$I165))</f>
        <v>212</v>
      </c>
      <c r="H169" s="843"/>
      <c r="I169" s="844">
        <f>MAX(I130:I165)</f>
        <v>149.48858522438621</v>
      </c>
      <c r="J169" s="842">
        <f>INDEX(J130:J165,MATCH($I$169,$I130:$I165))</f>
        <v>379.3822976409092</v>
      </c>
      <c r="K169" s="842">
        <f t="shared" ref="K169:M169" si="44">INDEX(K130:K165,MATCH($I$169,$I130:$I165))</f>
        <v>167.3822976409092</v>
      </c>
      <c r="L169" s="842">
        <f t="shared" si="44"/>
        <v>28</v>
      </c>
      <c r="M169" s="842">
        <f t="shared" si="44"/>
        <v>5.9779392014610426</v>
      </c>
      <c r="N169" s="845"/>
      <c r="O169" s="840"/>
      <c r="P169" s="841"/>
      <c r="Q169" s="846"/>
      <c r="R169" s="847"/>
      <c r="S169" s="843"/>
      <c r="T169" s="842">
        <f>INDEX(T130:T164,MATCH($Y$169,$Y130:$Y164))</f>
        <v>13.472744583272227</v>
      </c>
      <c r="U169" s="843"/>
      <c r="V169" s="846"/>
      <c r="W169" s="842">
        <f>INDEX(W130:W164,MATCH($Y$169,$Y130:$Y164))</f>
        <v>234</v>
      </c>
      <c r="X169" s="845"/>
      <c r="Y169" s="848">
        <f>MAX(Y130:Y164)</f>
        <v>170.39317570814612</v>
      </c>
      <c r="Z169" s="842">
        <f>INDEX(Z130:Z164,MATCH($Y$169,$Y130:$Y164))</f>
        <v>453.04920771357575</v>
      </c>
      <c r="AA169" s="842">
        <f t="shared" ref="AA169:AC169" si="45">INDEX(AA130:AA164,MATCH($Y$169,$Y130:$Y164))</f>
        <v>219.04920771357575</v>
      </c>
      <c r="AB169" s="842">
        <f t="shared" si="45"/>
        <v>56</v>
      </c>
      <c r="AC169" s="842">
        <f t="shared" si="45"/>
        <v>3.9115929948852814</v>
      </c>
      <c r="AK169" s="842">
        <f>INDEX(AK130:AK164,MATCH($AP$169,$AP130:$AP164))</f>
        <v>12.011261777956122</v>
      </c>
      <c r="AN169" s="842">
        <f>INDEX(AN130:AN164,MATCH($AP$169,$AP130:$AP164))</f>
        <v>278</v>
      </c>
      <c r="AO169" s="843"/>
      <c r="AP169" s="848">
        <f>MAX(AP130:AP164)</f>
        <v>217.2929817460421</v>
      </c>
      <c r="AQ169" s="842">
        <f>INDEX(AQ130:AQ164,MATCH($AP$169,$AP130:$AP164))</f>
        <v>594.87811378971469</v>
      </c>
      <c r="AR169" s="842">
        <f t="shared" ref="AR169:AT169" si="46">INDEX(AR130:AR164,MATCH($AP$169,$AP130:$AP164))</f>
        <v>316.87811378971469</v>
      </c>
      <c r="AS169" s="842">
        <f t="shared" si="46"/>
        <v>112</v>
      </c>
      <c r="AT169" s="842">
        <f t="shared" si="46"/>
        <v>2.8292688731224525</v>
      </c>
      <c r="BA169" s="1382">
        <v>115</v>
      </c>
      <c r="BB169" s="1383">
        <v>11.619</v>
      </c>
    </row>
    <row r="170" spans="2:54">
      <c r="B170" s="134"/>
      <c r="C170" s="138"/>
      <c r="D170" s="135"/>
      <c r="E170" s="139"/>
      <c r="F170" s="136"/>
      <c r="G170" s="139"/>
      <c r="H170" s="136"/>
      <c r="I170" s="135"/>
      <c r="J170" s="137"/>
      <c r="K170" s="137"/>
      <c r="L170" s="136"/>
      <c r="M170" s="135"/>
      <c r="N170" s="137"/>
      <c r="O170" s="134"/>
      <c r="P170" s="138"/>
      <c r="Q170" s="135"/>
      <c r="R170" s="139"/>
      <c r="S170" s="136"/>
      <c r="T170" s="139"/>
      <c r="U170" s="136"/>
      <c r="V170" s="135"/>
      <c r="W170" s="137"/>
      <c r="X170" s="137"/>
      <c r="Y170" s="136"/>
      <c r="Z170" s="135"/>
      <c r="AN170" s="139"/>
      <c r="AO170" s="136"/>
      <c r="AP170" s="135"/>
      <c r="AQ170" s="137"/>
      <c r="AR170" s="137"/>
      <c r="AS170" s="136"/>
      <c r="AT170" s="135"/>
      <c r="BA170" s="1382">
        <v>116</v>
      </c>
      <c r="BB170" s="1383">
        <v>8.8699999999999992</v>
      </c>
    </row>
    <row r="171" spans="2:54">
      <c r="B171" s="134"/>
      <c r="C171" s="138"/>
      <c r="D171" s="135"/>
      <c r="E171" s="139"/>
      <c r="F171" s="136"/>
      <c r="G171" s="139"/>
      <c r="H171" s="136"/>
      <c r="I171" s="135"/>
      <c r="J171" s="137"/>
      <c r="K171" s="137"/>
      <c r="L171" s="136"/>
      <c r="M171" s="135"/>
      <c r="N171" s="137"/>
      <c r="O171" s="134"/>
      <c r="P171" s="138"/>
      <c r="Q171" s="135"/>
      <c r="R171" s="139"/>
      <c r="S171" s="136"/>
      <c r="T171" s="139"/>
      <c r="U171" s="136"/>
      <c r="V171" s="135"/>
      <c r="W171" s="137"/>
      <c r="X171" s="137"/>
      <c r="Y171" s="136"/>
      <c r="Z171" s="135"/>
      <c r="AN171" s="139"/>
      <c r="AO171" s="136"/>
      <c r="AP171" s="135"/>
      <c r="AQ171" s="137"/>
      <c r="AR171" s="137"/>
      <c r="AS171" s="136"/>
      <c r="AT171" s="135"/>
      <c r="BA171" s="1382">
        <v>117</v>
      </c>
      <c r="BB171" s="1383">
        <v>9</v>
      </c>
    </row>
    <row r="172" spans="2:54">
      <c r="B172" s="134"/>
      <c r="C172" s="138"/>
      <c r="D172" s="135"/>
      <c r="E172" s="139"/>
      <c r="F172" s="136"/>
      <c r="G172" s="139"/>
      <c r="H172" s="136"/>
      <c r="I172" s="135"/>
      <c r="J172" s="137"/>
      <c r="K172" s="137"/>
      <c r="L172" s="136"/>
      <c r="M172" s="135"/>
      <c r="N172" s="137"/>
      <c r="O172" s="134"/>
      <c r="P172" s="138"/>
      <c r="Q172" s="135"/>
      <c r="R172" s="139"/>
      <c r="S172" s="136"/>
      <c r="T172" s="139"/>
      <c r="U172" s="136"/>
      <c r="V172" s="135"/>
      <c r="W172" s="137"/>
      <c r="X172" s="137"/>
      <c r="Y172" s="136"/>
      <c r="Z172" s="135"/>
      <c r="AN172" s="139"/>
      <c r="AO172" s="136"/>
      <c r="AP172" s="135"/>
      <c r="AQ172" s="137"/>
      <c r="AR172" s="137"/>
      <c r="AS172" s="136"/>
      <c r="AT172" s="135"/>
      <c r="BA172" s="1382">
        <v>118</v>
      </c>
      <c r="BB172" s="1383">
        <v>8.8339999999999996</v>
      </c>
    </row>
    <row r="173" spans="2:54">
      <c r="B173" s="134"/>
      <c r="C173" s="138"/>
      <c r="D173" s="135"/>
      <c r="E173" s="139"/>
      <c r="F173" s="136"/>
      <c r="G173" s="139"/>
      <c r="H173" s="136"/>
      <c r="I173" s="135"/>
      <c r="J173" s="137"/>
      <c r="K173" s="137"/>
      <c r="L173" s="136"/>
      <c r="M173" s="135"/>
      <c r="N173" s="137"/>
      <c r="O173" s="134"/>
      <c r="P173" s="138"/>
      <c r="Q173" s="135"/>
      <c r="R173" s="139"/>
      <c r="S173" s="136"/>
      <c r="T173" s="139"/>
      <c r="U173" s="136"/>
      <c r="V173" s="135"/>
      <c r="W173" s="137"/>
      <c r="X173" s="137"/>
      <c r="Y173" s="136"/>
      <c r="Z173" s="135"/>
      <c r="AN173" s="139"/>
      <c r="AO173" s="136"/>
      <c r="AP173" s="135"/>
      <c r="AQ173" s="137"/>
      <c r="AR173" s="137"/>
      <c r="AS173" s="136"/>
      <c r="AT173" s="135"/>
      <c r="BA173" s="1382">
        <v>119</v>
      </c>
      <c r="BB173" s="1383">
        <v>8.9469999999999992</v>
      </c>
    </row>
    <row r="174" spans="2:54">
      <c r="B174" s="134"/>
      <c r="C174" s="138"/>
      <c r="D174" s="135"/>
      <c r="E174" s="139"/>
      <c r="F174" s="136"/>
      <c r="G174" s="139"/>
      <c r="H174" s="136"/>
      <c r="I174" s="135"/>
      <c r="J174" s="137"/>
      <c r="K174" s="137"/>
      <c r="L174" s="136"/>
      <c r="M174" s="135"/>
      <c r="N174" s="137"/>
      <c r="O174" s="134"/>
      <c r="P174" s="138"/>
      <c r="R174" s="139"/>
      <c r="S174" s="136"/>
      <c r="T174" s="139"/>
      <c r="U174" s="136"/>
      <c r="V174" s="135"/>
      <c r="W174" s="137"/>
      <c r="X174" s="137"/>
      <c r="Y174" s="136"/>
      <c r="Z174" s="135"/>
      <c r="AN174" s="139"/>
      <c r="AO174" s="136"/>
      <c r="AP174" s="135"/>
      <c r="AQ174" s="137"/>
      <c r="AR174" s="137"/>
      <c r="AS174" s="136"/>
      <c r="AT174" s="135"/>
      <c r="BA174" s="1382">
        <v>120</v>
      </c>
      <c r="BB174" s="1383">
        <v>11.666</v>
      </c>
    </row>
    <row r="175" spans="2:54">
      <c r="B175" s="134"/>
      <c r="C175" s="138"/>
      <c r="D175" s="135"/>
      <c r="E175" s="139"/>
      <c r="F175" s="136"/>
      <c r="G175" s="139"/>
      <c r="H175" s="136"/>
      <c r="I175" s="135"/>
      <c r="J175" s="137"/>
      <c r="K175" s="137"/>
      <c r="L175" s="136"/>
      <c r="M175" s="135"/>
      <c r="N175" s="137"/>
      <c r="O175" s="134"/>
      <c r="P175" s="138"/>
      <c r="R175" s="139"/>
      <c r="S175" s="136"/>
      <c r="T175" s="139"/>
      <c r="U175" s="136"/>
      <c r="V175" s="135"/>
      <c r="W175" s="137"/>
      <c r="X175" s="137"/>
      <c r="Y175" s="136"/>
      <c r="Z175" s="135"/>
      <c r="AN175" s="139"/>
      <c r="AO175" s="136"/>
      <c r="AP175" s="135"/>
      <c r="AQ175" s="137"/>
      <c r="AR175" s="137"/>
      <c r="AS175" s="136"/>
      <c r="AT175" s="135"/>
      <c r="BA175" s="1382">
        <v>121</v>
      </c>
      <c r="BB175" s="1383">
        <v>8.7379999999999995</v>
      </c>
    </row>
    <row r="176" spans="2:54">
      <c r="B176" s="134"/>
      <c r="C176" s="138"/>
      <c r="D176" s="135"/>
      <c r="E176" s="139"/>
      <c r="F176" s="136"/>
      <c r="G176" s="139"/>
      <c r="H176" s="136"/>
      <c r="I176" s="135"/>
      <c r="J176" s="137"/>
      <c r="K176" s="137"/>
      <c r="L176" s="136"/>
      <c r="M176" s="135"/>
      <c r="N176" s="137"/>
      <c r="O176" s="134"/>
      <c r="P176" s="138"/>
      <c r="R176" s="139"/>
      <c r="S176" s="136"/>
      <c r="T176" s="139"/>
      <c r="U176" s="136"/>
      <c r="V176" s="135"/>
      <c r="W176" s="137"/>
      <c r="X176" s="137"/>
      <c r="Y176" s="136"/>
      <c r="Z176" s="135"/>
      <c r="AN176" s="139"/>
      <c r="AO176" s="136"/>
      <c r="AP176" s="135"/>
      <c r="AQ176" s="137"/>
      <c r="AR176" s="137"/>
      <c r="AS176" s="136"/>
      <c r="AT176" s="135"/>
      <c r="BA176" s="1382">
        <v>122</v>
      </c>
      <c r="BB176" s="1383">
        <v>8.9849999999999994</v>
      </c>
    </row>
    <row r="177" spans="2:54">
      <c r="B177" s="134"/>
      <c r="C177" s="138"/>
      <c r="D177" s="140"/>
      <c r="F177" s="136"/>
      <c r="G177" s="139"/>
      <c r="H177" s="96"/>
      <c r="I177" s="135"/>
      <c r="J177" s="137"/>
      <c r="K177" s="137"/>
      <c r="N177" s="137"/>
      <c r="O177" s="134"/>
      <c r="P177" s="138"/>
      <c r="R177" s="139"/>
      <c r="S177" s="136"/>
      <c r="T177" s="139"/>
      <c r="U177" s="136"/>
      <c r="V177" s="135"/>
      <c r="W177" s="137"/>
      <c r="X177" s="137"/>
      <c r="Y177" s="136"/>
      <c r="Z177" s="135"/>
      <c r="AN177" s="139"/>
      <c r="AO177" s="136"/>
      <c r="AP177" s="135"/>
      <c r="AQ177" s="137"/>
      <c r="AR177" s="137"/>
      <c r="AS177" s="136"/>
      <c r="AT177" s="135"/>
      <c r="BA177" s="1375">
        <v>123</v>
      </c>
      <c r="BB177" s="1375">
        <v>8.86</v>
      </c>
    </row>
    <row r="178" spans="2:54">
      <c r="B178" s="134"/>
      <c r="C178" s="138"/>
      <c r="D178" s="96"/>
      <c r="E178" s="135"/>
      <c r="F178" s="96"/>
      <c r="G178" s="139"/>
      <c r="H178" s="136"/>
      <c r="I178" s="139"/>
      <c r="J178" s="96"/>
      <c r="K178" s="135"/>
      <c r="L178" s="137"/>
      <c r="M178" s="137"/>
      <c r="N178" s="137"/>
      <c r="O178" s="134"/>
      <c r="P178" s="138"/>
      <c r="R178" s="139"/>
      <c r="S178" s="136"/>
      <c r="T178" s="139"/>
      <c r="U178" s="136"/>
      <c r="V178" s="135"/>
      <c r="W178" s="137"/>
      <c r="X178" s="137"/>
      <c r="Y178" s="136"/>
      <c r="Z178" s="135"/>
      <c r="AB178" s="134"/>
      <c r="AC178" s="138"/>
      <c r="AD178" s="135"/>
      <c r="AE178" s="139"/>
      <c r="AF178" s="136"/>
      <c r="AG178" s="139"/>
      <c r="AH178" s="136"/>
      <c r="BA178" s="1375">
        <v>124</v>
      </c>
      <c r="BB178" s="1375">
        <v>8.984</v>
      </c>
    </row>
    <row r="179" spans="2:54">
      <c r="B179" s="134"/>
      <c r="C179" s="138"/>
      <c r="D179" s="96"/>
      <c r="E179" s="135"/>
      <c r="F179" s="96"/>
      <c r="G179" s="139"/>
      <c r="H179" s="136"/>
      <c r="I179" s="139"/>
      <c r="J179" s="96"/>
      <c r="K179" s="135"/>
      <c r="L179" s="137"/>
      <c r="M179" s="137"/>
      <c r="N179" s="137"/>
      <c r="O179" s="134"/>
      <c r="P179" s="138"/>
      <c r="Q179" s="135"/>
      <c r="R179" s="139"/>
      <c r="S179" s="136"/>
      <c r="T179" s="139"/>
      <c r="U179" s="136"/>
      <c r="V179" s="135"/>
      <c r="W179" s="137"/>
      <c r="X179" s="137"/>
      <c r="Y179" s="136"/>
      <c r="Z179" s="135"/>
      <c r="AB179" s="134"/>
      <c r="AC179" s="138"/>
      <c r="AD179" s="135"/>
      <c r="AE179" s="139"/>
      <c r="AF179" s="136"/>
      <c r="AG179" s="139"/>
      <c r="AH179" s="136"/>
      <c r="BA179" s="1375">
        <v>125</v>
      </c>
      <c r="BB179" s="1375">
        <v>8.9109999999999996</v>
      </c>
    </row>
    <row r="180" spans="2:54">
      <c r="B180" s="134"/>
      <c r="C180" s="138"/>
      <c r="D180" s="96"/>
      <c r="E180" s="135"/>
      <c r="F180" s="96"/>
      <c r="G180" s="139"/>
      <c r="H180" s="136"/>
      <c r="I180" s="139"/>
      <c r="J180" s="96"/>
      <c r="K180" s="135"/>
      <c r="L180" s="137"/>
      <c r="M180" s="137"/>
      <c r="N180" s="137"/>
      <c r="O180" s="134"/>
      <c r="P180" s="138"/>
      <c r="Q180" s="135"/>
      <c r="R180" s="139"/>
      <c r="S180" s="136"/>
      <c r="T180" s="139"/>
      <c r="U180" s="136"/>
      <c r="V180" s="135"/>
      <c r="W180" s="137"/>
      <c r="X180" s="137"/>
      <c r="Y180" s="136"/>
      <c r="Z180" s="135"/>
      <c r="AB180" s="134"/>
      <c r="AC180" s="138"/>
      <c r="AD180" s="135"/>
      <c r="AE180" s="139"/>
      <c r="AF180" s="136"/>
      <c r="AG180" s="139"/>
      <c r="AH180" s="136"/>
      <c r="BA180" s="1375">
        <v>126</v>
      </c>
      <c r="BB180" s="1375">
        <v>8.859</v>
      </c>
    </row>
    <row r="181" spans="2:54">
      <c r="B181" s="134"/>
      <c r="C181" s="138"/>
      <c r="D181" s="96"/>
      <c r="E181" s="135"/>
      <c r="F181" s="96"/>
      <c r="G181" s="139"/>
      <c r="H181" s="136"/>
      <c r="I181" s="139"/>
      <c r="J181" s="96"/>
      <c r="K181" s="135"/>
      <c r="L181" s="137"/>
      <c r="M181" s="137"/>
      <c r="N181" s="137"/>
      <c r="O181" s="134"/>
      <c r="P181" s="135"/>
      <c r="AB181" s="134"/>
      <c r="AC181" s="138"/>
      <c r="AD181" s="135"/>
      <c r="AE181" s="139"/>
      <c r="AF181" s="136"/>
      <c r="AG181" s="139"/>
      <c r="AH181" s="136"/>
      <c r="BA181" s="1375">
        <v>127</v>
      </c>
      <c r="BB181" s="1375">
        <v>8.9060000000000006</v>
      </c>
    </row>
    <row r="182" spans="2:54">
      <c r="B182" s="134"/>
      <c r="C182" s="138"/>
      <c r="D182" s="96"/>
      <c r="E182" s="135"/>
      <c r="F182" s="96"/>
      <c r="G182" s="139"/>
      <c r="H182" s="136"/>
      <c r="I182" s="139"/>
      <c r="J182" s="96"/>
      <c r="K182" s="135"/>
      <c r="L182" s="137"/>
      <c r="M182" s="137"/>
      <c r="N182" s="137"/>
      <c r="O182" s="134"/>
      <c r="P182" s="135"/>
      <c r="AB182" s="134"/>
      <c r="AC182" s="138"/>
      <c r="AD182" s="135"/>
      <c r="AE182" s="139"/>
      <c r="AF182" s="136"/>
      <c r="AG182" s="139"/>
      <c r="AH182" s="136"/>
      <c r="BA182" s="1375">
        <v>128</v>
      </c>
      <c r="BB182" s="1375">
        <v>8.9429999999999996</v>
      </c>
    </row>
    <row r="183" spans="2:54">
      <c r="B183" s="134"/>
      <c r="C183" s="138"/>
      <c r="D183" s="96"/>
      <c r="E183" s="135"/>
      <c r="F183" s="96"/>
      <c r="G183" s="139"/>
      <c r="H183" s="136"/>
      <c r="I183" s="139"/>
      <c r="J183" s="96"/>
      <c r="K183" s="135"/>
      <c r="L183" s="137"/>
      <c r="M183" s="137"/>
      <c r="N183" s="137"/>
      <c r="O183" s="134"/>
      <c r="P183" s="135"/>
      <c r="AB183" s="134"/>
      <c r="AC183" s="138"/>
      <c r="AD183" s="135"/>
      <c r="AE183" s="139"/>
      <c r="AF183" s="136"/>
      <c r="AG183" s="139"/>
      <c r="AH183" s="136"/>
      <c r="BA183" s="1375">
        <v>129</v>
      </c>
      <c r="BB183" s="1375">
        <v>8.8569999999999993</v>
      </c>
    </row>
    <row r="184" spans="2:54">
      <c r="B184" s="134"/>
      <c r="C184" s="138"/>
      <c r="D184" s="140"/>
      <c r="E184" s="135"/>
      <c r="F184" s="96"/>
      <c r="G184" s="139"/>
      <c r="H184" s="136"/>
      <c r="I184" s="139"/>
      <c r="J184" s="96"/>
      <c r="K184" s="135"/>
      <c r="L184" s="137"/>
      <c r="M184" s="137"/>
      <c r="N184" s="137"/>
      <c r="O184" s="134"/>
      <c r="P184" s="135"/>
      <c r="AB184" s="134"/>
      <c r="AC184" s="138"/>
      <c r="AD184" s="135"/>
      <c r="AE184" s="139"/>
      <c r="AF184" s="136"/>
      <c r="AG184" s="139"/>
      <c r="AH184" s="136"/>
      <c r="BA184" s="1375">
        <v>130</v>
      </c>
      <c r="BB184" s="1375">
        <v>8.891</v>
      </c>
    </row>
    <row r="185" spans="2:54">
      <c r="B185" s="134"/>
      <c r="C185" s="138"/>
      <c r="D185" s="140"/>
      <c r="E185" s="135"/>
      <c r="F185" s="96"/>
      <c r="G185" s="139"/>
      <c r="H185" s="136"/>
      <c r="I185" s="139"/>
      <c r="J185" s="96"/>
      <c r="K185" s="135"/>
      <c r="L185" s="137"/>
      <c r="M185" s="137"/>
      <c r="N185" s="137"/>
      <c r="O185" s="96"/>
      <c r="P185" s="135"/>
      <c r="AB185" s="134"/>
      <c r="AC185" s="138"/>
      <c r="AD185" s="135"/>
      <c r="AE185" s="139"/>
      <c r="AF185" s="136"/>
      <c r="AG185" s="139"/>
      <c r="AH185" s="136"/>
      <c r="BA185" s="1375">
        <v>131</v>
      </c>
      <c r="BB185" s="1375">
        <v>9.0549999999999997</v>
      </c>
    </row>
    <row r="186" spans="2:54">
      <c r="B186" s="134"/>
      <c r="C186" s="138"/>
      <c r="D186" s="96"/>
      <c r="E186" s="135"/>
      <c r="F186" s="96"/>
      <c r="G186" s="139"/>
      <c r="H186" s="136"/>
      <c r="I186" s="139"/>
      <c r="J186" s="96"/>
      <c r="K186" s="135"/>
      <c r="L186" s="137"/>
      <c r="M186" s="137"/>
      <c r="N186" s="137"/>
      <c r="O186" s="96"/>
      <c r="P186" s="135"/>
      <c r="BA186" s="1375">
        <v>132</v>
      </c>
      <c r="BB186" s="1375">
        <v>8.9480000000000004</v>
      </c>
    </row>
    <row r="187" spans="2:54">
      <c r="B187" s="134"/>
      <c r="C187" s="138"/>
      <c r="D187" s="96"/>
      <c r="E187" s="135"/>
      <c r="F187" s="96"/>
      <c r="G187" s="139"/>
      <c r="H187" s="136"/>
      <c r="I187" s="139"/>
      <c r="J187" s="96"/>
      <c r="K187" s="135"/>
      <c r="L187" s="137"/>
      <c r="M187" s="137"/>
      <c r="N187" s="137"/>
      <c r="O187" s="96"/>
      <c r="P187" s="135"/>
      <c r="BA187" s="1375">
        <v>133</v>
      </c>
      <c r="BB187" s="1375">
        <v>8.9860000000000007</v>
      </c>
    </row>
    <row r="188" spans="2:54">
      <c r="B188" s="154" t="s">
        <v>160</v>
      </c>
      <c r="C188" s="96"/>
      <c r="D188" s="96"/>
      <c r="E188" s="96"/>
      <c r="F188" s="96"/>
      <c r="G188" s="134"/>
      <c r="H188" s="96"/>
      <c r="I188" s="134"/>
      <c r="J188" s="96"/>
      <c r="K188" s="96"/>
      <c r="L188" s="137"/>
      <c r="M188" s="137"/>
      <c r="N188" s="96"/>
      <c r="R188" s="154" t="s">
        <v>160</v>
      </c>
      <c r="S188" s="96"/>
      <c r="T188" s="96"/>
      <c r="U188" s="96"/>
      <c r="V188" s="96"/>
      <c r="BA188" s="1375">
        <v>134</v>
      </c>
      <c r="BB188" s="1375">
        <v>8.8170000000000002</v>
      </c>
    </row>
    <row r="189" spans="2:54">
      <c r="D189" s="96"/>
      <c r="E189" s="96"/>
      <c r="F189" s="96"/>
      <c r="G189" s="134"/>
      <c r="H189" s="96"/>
      <c r="I189" s="134"/>
      <c r="J189" s="96"/>
      <c r="K189" s="96"/>
      <c r="L189" s="137"/>
      <c r="M189" s="137"/>
      <c r="N189" s="96"/>
      <c r="T189" s="96"/>
      <c r="U189" s="96"/>
      <c r="V189" s="96"/>
      <c r="BA189" s="1375">
        <v>135</v>
      </c>
      <c r="BB189" s="1375">
        <v>8.8819999999999997</v>
      </c>
    </row>
    <row r="190" spans="2:54">
      <c r="B190" t="s">
        <v>166</v>
      </c>
      <c r="C190" s="135">
        <f>INDEX(D130:D165,MATCH(MAX(I130:I165),I130:I165,0))</f>
        <v>8.3400613912806332</v>
      </c>
      <c r="D190" s="157"/>
      <c r="E190" s="157"/>
      <c r="F190" s="157"/>
      <c r="G190" s="157"/>
      <c r="H190" s="157"/>
      <c r="I190" s="134"/>
      <c r="J190" s="96"/>
      <c r="K190" s="96"/>
      <c r="L190" s="137"/>
      <c r="M190" s="137"/>
      <c r="N190" s="96"/>
      <c r="R190" t="s">
        <v>166</v>
      </c>
      <c r="S190" s="135">
        <f>INDEX(T130:T165,MATCH(MAX(Y130:Y165),Y130:Y165,0))</f>
        <v>10.104558437454171</v>
      </c>
      <c r="T190" s="157"/>
      <c r="U190" s="157"/>
      <c r="V190" s="157"/>
      <c r="AI190" t="s">
        <v>166</v>
      </c>
      <c r="AJ190" s="135">
        <f>INDEX(AK130:AK165,MATCH(MAX(AP130:AP165),AP130:AP165,0))</f>
        <v>7.3402155309731851</v>
      </c>
      <c r="AK190" s="157"/>
      <c r="AL190" s="157"/>
      <c r="AM190" s="157"/>
      <c r="BA190" s="1375">
        <v>136</v>
      </c>
      <c r="BB190" s="1375">
        <v>8.9169999999999998</v>
      </c>
    </row>
    <row r="191" spans="2:54" ht="18">
      <c r="B191" s="155" t="s">
        <v>161</v>
      </c>
      <c r="C191" s="42">
        <f>INDEX(I130:I165,MATCH(MAX(I130:I165),I130:I165,0))</f>
        <v>149.48858522438621</v>
      </c>
      <c r="D191" s="158"/>
      <c r="E191" s="158"/>
      <c r="F191" s="80"/>
      <c r="G191" s="80"/>
      <c r="H191" s="80"/>
      <c r="R191" s="155" t="s">
        <v>161</v>
      </c>
      <c r="S191" s="42">
        <f>INDEX(Y130:Y165,MATCH(MAX(Y130:Y165),Y130:Y165,0))</f>
        <v>170.39317570814612</v>
      </c>
      <c r="T191" s="158"/>
      <c r="U191" s="158"/>
      <c r="V191" s="80"/>
      <c r="AI191" s="155" t="s">
        <v>161</v>
      </c>
      <c r="AJ191" s="42">
        <f>INDEX(AP130:AP165,MATCH(MAX(AP130:AP165),AP130:AP165,0))</f>
        <v>217.2929817460421</v>
      </c>
      <c r="AK191" s="158"/>
      <c r="AL191" s="158"/>
      <c r="AM191" s="80"/>
      <c r="BA191" s="1375">
        <v>137</v>
      </c>
      <c r="BB191" s="1375">
        <v>11.711</v>
      </c>
    </row>
    <row r="192" spans="2:54">
      <c r="B192" s="156" t="s">
        <v>152</v>
      </c>
      <c r="C192" s="42">
        <f>INDEX(G130:G165,MATCH(MAX(I130:I165),I130:I165,0))</f>
        <v>212</v>
      </c>
      <c r="D192" s="158"/>
      <c r="E192" s="158"/>
      <c r="F192" s="158"/>
      <c r="G192" s="158"/>
      <c r="H192" s="158"/>
      <c r="R192" s="156" t="s">
        <v>152</v>
      </c>
      <c r="S192" s="42">
        <f>INDEX(W130:W159,MATCH(MAX(Y130:Y159),Y130:Y159,0))</f>
        <v>234</v>
      </c>
      <c r="T192" s="158"/>
      <c r="U192" s="158"/>
      <c r="V192" s="158"/>
      <c r="AI192" s="156" t="s">
        <v>152</v>
      </c>
      <c r="AJ192" s="42">
        <f>INDEX(AN130:AN165,MATCH(MAX(AP130:AP165),AP130:AP165,0))</f>
        <v>278</v>
      </c>
      <c r="AK192" s="158"/>
      <c r="AL192" s="158"/>
      <c r="AM192" s="158"/>
      <c r="BA192" s="1375">
        <v>138</v>
      </c>
      <c r="BB192" s="1375">
        <v>11.858000000000001</v>
      </c>
    </row>
    <row r="193" spans="2:54" ht="18">
      <c r="B193" s="155" t="s">
        <v>162</v>
      </c>
      <c r="C193" s="42">
        <f>INDEX(L130:L165,MATCH(MAX(I130:I165),I130:I165,0))</f>
        <v>28</v>
      </c>
      <c r="D193" s="158"/>
      <c r="E193" s="158"/>
      <c r="F193" s="158"/>
      <c r="G193" s="158"/>
      <c r="H193" s="158"/>
      <c r="R193" s="155" t="s">
        <v>162</v>
      </c>
      <c r="S193" s="42">
        <f>INDEX(AB130:AB165,MATCH(MAX(Y130:Y165),Y130:Y165,0))</f>
        <v>56</v>
      </c>
      <c r="T193" s="158"/>
      <c r="U193" s="158"/>
      <c r="V193" s="158"/>
      <c r="AI193" s="155" t="s">
        <v>162</v>
      </c>
      <c r="AJ193" s="42">
        <f>INDEX(AS130:AS165,MATCH(MAX(AP130:AP165),AP130:AP165,0))</f>
        <v>112</v>
      </c>
      <c r="AK193" s="158"/>
      <c r="AL193" s="158"/>
      <c r="AM193" s="158"/>
      <c r="BA193" s="1375">
        <v>139</v>
      </c>
      <c r="BB193" s="1375">
        <v>8.8810000000000002</v>
      </c>
    </row>
    <row r="194" spans="2:54" ht="18">
      <c r="B194" s="155" t="s">
        <v>163</v>
      </c>
      <c r="C194" s="42">
        <f>INDEX(K130:K165,MATCH(MAX(I130:I165),I130:I165,0))</f>
        <v>177.48858522438621</v>
      </c>
      <c r="D194" s="158"/>
      <c r="E194" s="158"/>
      <c r="F194" s="158"/>
      <c r="G194" s="158"/>
      <c r="H194" s="158"/>
      <c r="R194" s="155" t="s">
        <v>163</v>
      </c>
      <c r="S194" s="42">
        <f>INDEX(AA130:AA165,MATCH(MAX(Y130:Y165),Y130:Y165,0))</f>
        <v>226.39317570814615</v>
      </c>
      <c r="T194" s="158"/>
      <c r="U194" s="158"/>
      <c r="V194" s="158"/>
      <c r="AI194" s="155" t="s">
        <v>163</v>
      </c>
      <c r="AJ194" s="42">
        <f>INDEX(AR130:AR165,MATCH(MAX(AP130:AP165),AP130:AP165,0))</f>
        <v>329.29298174604207</v>
      </c>
      <c r="AK194" s="158"/>
      <c r="AL194" s="158"/>
      <c r="AM194" s="158"/>
      <c r="BA194" s="1375">
        <v>140</v>
      </c>
      <c r="BB194" s="1375">
        <v>8.8369999999999997</v>
      </c>
    </row>
    <row r="195" spans="2:54" ht="18">
      <c r="B195" s="155" t="s">
        <v>164</v>
      </c>
      <c r="C195" s="42">
        <f>INDEX(J130:J165,MATCH(MAX(I130:I165),I130:I165,0))</f>
        <v>389.48858522438621</v>
      </c>
      <c r="D195" s="158"/>
      <c r="E195" s="158"/>
      <c r="F195" s="158"/>
      <c r="G195" s="158"/>
      <c r="H195" s="158"/>
      <c r="R195" s="155" t="s">
        <v>164</v>
      </c>
      <c r="S195" s="42">
        <f>INDEX(Z130:Z165,MATCH(MAX(Y130:Y165),Y130:Y165,0))</f>
        <v>460.39317570814615</v>
      </c>
      <c r="T195" s="158"/>
      <c r="U195" s="158"/>
      <c r="V195" s="158"/>
      <c r="AI195" s="155" t="s">
        <v>164</v>
      </c>
      <c r="AJ195" s="42">
        <f>INDEX(AQ130:AQ165,MATCH(MAX(AP130:AP165),AP130:AP165,0))</f>
        <v>607.29298174604207</v>
      </c>
      <c r="AK195" s="158"/>
      <c r="AL195" s="158"/>
      <c r="AM195" s="158"/>
      <c r="BA195" s="1375">
        <v>141</v>
      </c>
      <c r="BB195" s="1375">
        <v>8.8870000000000005</v>
      </c>
    </row>
    <row r="196" spans="2:54" ht="18">
      <c r="B196" s="155" t="s">
        <v>165</v>
      </c>
      <c r="C196" s="42">
        <f>INDEX(J130:J165,MATCH(MAX(I130:I165),I130:I165,0))- INDEX(I130:I165,MATCH(MAX(I130:I165),I130:I165,0))</f>
        <v>240</v>
      </c>
      <c r="R196" s="155" t="s">
        <v>165</v>
      </c>
      <c r="S196" s="42">
        <f>INDEX(Z130:Z165,MATCH(MAX(Y130:Y165),Y130:Y165,0))- INDEX(Y130:Y165,MATCH(MAX(Y130:Y165),Y130:Y165,0))</f>
        <v>290</v>
      </c>
      <c r="AI196" s="155" t="s">
        <v>165</v>
      </c>
      <c r="AJ196" s="42">
        <f>INDEX(AQ130:AQ165,MATCH(MAX(AP130:AP165),AP130:AP165,0))- INDEX(AP130:AP165,MATCH(MAX(AP130:AP165),AP130:AP165,0))</f>
        <v>390</v>
      </c>
      <c r="BA196" s="1375">
        <v>142</v>
      </c>
      <c r="BB196" s="1375">
        <v>8.8949999999999996</v>
      </c>
    </row>
    <row r="200" spans="2:54">
      <c r="B200" t="s">
        <v>167</v>
      </c>
      <c r="R200" s="1542" t="s">
        <v>167</v>
      </c>
      <c r="S200" s="1542"/>
      <c r="AI200" s="1542" t="s">
        <v>167</v>
      </c>
      <c r="AJ200" s="1542"/>
    </row>
    <row r="201" spans="2:54" ht="18">
      <c r="B201" s="1549" t="s">
        <v>168</v>
      </c>
      <c r="C201" s="1550">
        <f>C191+C202</f>
        <v>199.48858522438621</v>
      </c>
      <c r="R201" s="1549" t="s">
        <v>168</v>
      </c>
      <c r="S201" s="1550">
        <f>S191+S202</f>
        <v>270.39317570814615</v>
      </c>
      <c r="AI201" s="1549" t="s">
        <v>168</v>
      </c>
      <c r="AJ201" s="1550">
        <f>AJ191+AJ202</f>
        <v>417.29298174604207</v>
      </c>
    </row>
    <row r="202" spans="2:54" ht="18">
      <c r="B202" s="1549" t="s">
        <v>169</v>
      </c>
      <c r="C202" s="1542">
        <f>$D$121</f>
        <v>50</v>
      </c>
      <c r="R202" s="1549" t="s">
        <v>169</v>
      </c>
      <c r="S202" s="1542">
        <f>T121</f>
        <v>100</v>
      </c>
      <c r="AI202" s="1549" t="s">
        <v>169</v>
      </c>
      <c r="AJ202" s="1542">
        <f>$AK$121</f>
        <v>200</v>
      </c>
    </row>
    <row r="203" spans="2:54" ht="18">
      <c r="B203" s="155" t="s">
        <v>163</v>
      </c>
      <c r="C203" s="42">
        <f>C194</f>
        <v>177.48858522438621</v>
      </c>
      <c r="R203" s="155" t="s">
        <v>163</v>
      </c>
      <c r="S203" s="42">
        <f>S194</f>
        <v>226.39317570814615</v>
      </c>
      <c r="AI203" s="155" t="s">
        <v>163</v>
      </c>
      <c r="AJ203" s="42">
        <f>AJ194</f>
        <v>329.29298174604207</v>
      </c>
    </row>
    <row r="204" spans="2:54" ht="18">
      <c r="B204" s="155" t="s">
        <v>162</v>
      </c>
      <c r="C204" s="42">
        <f>C193</f>
        <v>28</v>
      </c>
      <c r="R204" s="155" t="s">
        <v>162</v>
      </c>
      <c r="S204" s="42">
        <f>S193</f>
        <v>56</v>
      </c>
      <c r="AI204" s="155" t="s">
        <v>162</v>
      </c>
      <c r="AJ204" s="42">
        <f>AJ193</f>
        <v>112</v>
      </c>
    </row>
    <row r="206" spans="2:54">
      <c r="C206" s="1542" t="s">
        <v>167</v>
      </c>
      <c r="D206" s="1542"/>
      <c r="E206" s="1542"/>
      <c r="S206" t="s">
        <v>167</v>
      </c>
      <c r="AJ206" s="1542" t="s">
        <v>167</v>
      </c>
      <c r="AK206" s="1542"/>
      <c r="AL206" s="1542"/>
    </row>
    <row r="207" spans="2:54" ht="16.5">
      <c r="C207" s="1542" t="s">
        <v>170</v>
      </c>
      <c r="D207" s="1551" t="s">
        <v>172</v>
      </c>
      <c r="E207" s="1550">
        <f>(C201+C202)/2</f>
        <v>124.74429261219311</v>
      </c>
      <c r="S207" t="s">
        <v>170</v>
      </c>
      <c r="T207" s="159" t="s">
        <v>172</v>
      </c>
      <c r="U207" s="42">
        <f>(S201+S202)/2</f>
        <v>185.19658785407307</v>
      </c>
      <c r="AJ207" s="1542" t="s">
        <v>170</v>
      </c>
      <c r="AK207" s="1551" t="s">
        <v>172</v>
      </c>
      <c r="AL207" s="1550">
        <f>(AJ201+AJ202)/2</f>
        <v>308.64649087302104</v>
      </c>
    </row>
    <row r="208" spans="2:54" ht="16.5">
      <c r="C208" s="1542" t="s">
        <v>173</v>
      </c>
      <c r="D208" s="1551" t="s">
        <v>171</v>
      </c>
      <c r="E208" s="1550">
        <f>(C201-C202)/2</f>
        <v>74.744292612193107</v>
      </c>
      <c r="S208" t="s">
        <v>173</v>
      </c>
      <c r="T208" s="159" t="s">
        <v>171</v>
      </c>
      <c r="U208" s="42">
        <f>(S201-S202)/2</f>
        <v>85.196587854073073</v>
      </c>
      <c r="AJ208" s="1542" t="s">
        <v>173</v>
      </c>
      <c r="AK208" s="1551" t="s">
        <v>171</v>
      </c>
      <c r="AL208" s="1550">
        <f>(AJ201-AJ202)/2</f>
        <v>108.64649087302104</v>
      </c>
    </row>
    <row r="210" spans="2:42">
      <c r="C210" t="s">
        <v>174</v>
      </c>
      <c r="S210" t="s">
        <v>174</v>
      </c>
      <c r="AJ210" t="s">
        <v>174</v>
      </c>
    </row>
    <row r="211" spans="2:42">
      <c r="C211" t="s">
        <v>170</v>
      </c>
      <c r="E211" s="42">
        <f>(C203+C204)/2</f>
        <v>102.74429261219311</v>
      </c>
      <c r="S211" t="s">
        <v>170</v>
      </c>
      <c r="U211" s="42">
        <f>(S203+S204)/2</f>
        <v>141.19658785407307</v>
      </c>
      <c r="AJ211" t="s">
        <v>170</v>
      </c>
      <c r="AL211" s="42">
        <f>(AJ203+AJ204)/2</f>
        <v>220.64649087302104</v>
      </c>
    </row>
    <row r="212" spans="2:42">
      <c r="C212" t="s">
        <v>175</v>
      </c>
      <c r="E212" s="42">
        <f>(C203-C204)/2</f>
        <v>74.744292612193107</v>
      </c>
      <c r="S212" t="s">
        <v>175</v>
      </c>
      <c r="U212" s="42">
        <f>(S203-S204)/2</f>
        <v>85.196587854073073</v>
      </c>
      <c r="AJ212" t="s">
        <v>175</v>
      </c>
      <c r="AL212" s="42">
        <f>(AJ203-AJ204)/2</f>
        <v>108.64649087302104</v>
      </c>
    </row>
    <row r="215" spans="2:42">
      <c r="B215" s="1542"/>
      <c r="C215" s="2101" t="s">
        <v>167</v>
      </c>
      <c r="D215" s="2101"/>
      <c r="G215" s="1956" t="s">
        <v>174</v>
      </c>
      <c r="H215" s="1956"/>
      <c r="R215" s="1542"/>
      <c r="S215" s="1542" t="s">
        <v>167</v>
      </c>
      <c r="T215" s="1542"/>
      <c r="U215" s="1542"/>
      <c r="W215" t="s">
        <v>174</v>
      </c>
      <c r="AI215" s="1542"/>
      <c r="AJ215" s="1542" t="s">
        <v>167</v>
      </c>
      <c r="AK215" s="1542"/>
      <c r="AN215" t="s">
        <v>174</v>
      </c>
    </row>
    <row r="216" spans="2:42">
      <c r="B216" s="1542" t="s">
        <v>176</v>
      </c>
      <c r="C216" s="1552" t="s">
        <v>177</v>
      </c>
      <c r="D216" s="1552" t="s">
        <v>98</v>
      </c>
      <c r="E216" s="800"/>
      <c r="G216" s="160" t="s">
        <v>178</v>
      </c>
      <c r="H216" s="160" t="s">
        <v>179</v>
      </c>
      <c r="I216" s="801"/>
      <c r="R216" s="1542" t="s">
        <v>176</v>
      </c>
      <c r="S216" s="1552" t="s">
        <v>177</v>
      </c>
      <c r="T216" s="1552" t="s">
        <v>98</v>
      </c>
      <c r="U216" s="1552" t="s">
        <v>98</v>
      </c>
      <c r="W216" s="160" t="s">
        <v>178</v>
      </c>
      <c r="X216" s="160" t="s">
        <v>179</v>
      </c>
      <c r="Y216" s="801"/>
      <c r="AI216" s="1542" t="s">
        <v>176</v>
      </c>
      <c r="AJ216" s="1552" t="s">
        <v>177</v>
      </c>
      <c r="AK216" s="1552" t="s">
        <v>98</v>
      </c>
      <c r="AL216" s="801"/>
      <c r="AN216" s="160" t="s">
        <v>178</v>
      </c>
      <c r="AO216" s="160" t="s">
        <v>179</v>
      </c>
      <c r="AP216" s="801"/>
    </row>
    <row r="217" spans="2:42">
      <c r="B217" s="1542">
        <v>0</v>
      </c>
      <c r="C217" s="1550">
        <f>$E$207+E$208*COS(RADIANS(B217))</f>
        <v>199.48858522438621</v>
      </c>
      <c r="D217" s="1542">
        <f t="shared" ref="D217:D253" si="47">IF($D$7="",NA(),$E$208*SIN(RADIANS(B217)))</f>
        <v>0</v>
      </c>
      <c r="G217" s="42">
        <f t="shared" ref="G217:G253" si="48">$E$211+E$212*COS(RADIANS(B217))</f>
        <v>177.48858522438621</v>
      </c>
      <c r="H217">
        <f t="shared" ref="H217:H253" si="49">IF($D$7="",NA(),$E$212*SIN(RADIANS(B217)))</f>
        <v>0</v>
      </c>
      <c r="R217" s="1542">
        <v>0</v>
      </c>
      <c r="S217" s="1550">
        <f t="shared" ref="S217:S253" si="50">$U$207+$U$208*COS(RADIANS(R217))</f>
        <v>270.39317570814615</v>
      </c>
      <c r="T217" s="1553">
        <f t="shared" ref="T217:T253" si="51">IF($D$7="",NA(),$U$208*SIN(RADIANS(R217)))</f>
        <v>0</v>
      </c>
      <c r="U217" s="1542">
        <f t="shared" ref="U217:U253" si="52">IF($D$7="",NA(),T217)</f>
        <v>0</v>
      </c>
      <c r="W217" s="42">
        <f t="shared" ref="W217:W253" si="53">$U$211+$U$212*COS(RADIANS(R217))</f>
        <v>226.39317570814615</v>
      </c>
      <c r="X217">
        <f t="shared" ref="X217:X253" si="54">IF($D$7="",NA(),$U$212*SIN(RADIANS(R217)))</f>
        <v>0</v>
      </c>
      <c r="AI217" s="1542">
        <v>0</v>
      </c>
      <c r="AJ217" s="1550">
        <f t="shared" ref="AJ217:AJ253" si="55">$AL$207+$AL$208*COS(RADIANS(AI217))</f>
        <v>417.29298174604207</v>
      </c>
      <c r="AK217" s="1553">
        <f t="shared" ref="AK217:AK253" si="56">IF($D$7="",NA(),$AL$208*SIN(RADIANS(AI217)))</f>
        <v>0</v>
      </c>
      <c r="AN217" s="42">
        <f t="shared" ref="AN217:AN253" si="57">$AL$211+$AL$212*COS(RADIANS(AI217))</f>
        <v>329.29298174604207</v>
      </c>
      <c r="AO217">
        <f t="shared" ref="AO217:AO253" si="58">IF($D$7="",NA(),$AL$212*SIN(RADIANS(AI217)))</f>
        <v>0</v>
      </c>
    </row>
    <row r="218" spans="2:42">
      <c r="B218" s="1542">
        <f>B217+5</f>
        <v>5</v>
      </c>
      <c r="C218" s="1555">
        <f t="shared" ref="C218:C253" si="59">$E$207+E$208*COS(RADIANS(B218))</f>
        <v>199.20416062507792</v>
      </c>
      <c r="D218" s="1550">
        <f t="shared" si="47"/>
        <v>6.5143943387639895</v>
      </c>
      <c r="G218" s="111">
        <f>$E$211+E$212*COS(RADIANS(B218))</f>
        <v>177.20416062507792</v>
      </c>
      <c r="H218">
        <f t="shared" si="49"/>
        <v>6.5143943387639895</v>
      </c>
      <c r="R218" s="1542">
        <f>R217+5</f>
        <v>5</v>
      </c>
      <c r="S218" s="1550">
        <f t="shared" si="50"/>
        <v>270.06897696980826</v>
      </c>
      <c r="T218" s="1554">
        <f t="shared" si="51"/>
        <v>7.425371893987851</v>
      </c>
      <c r="U218" s="1542">
        <f t="shared" si="52"/>
        <v>7.425371893987851</v>
      </c>
      <c r="W218" s="42">
        <f t="shared" si="53"/>
        <v>226.06897696980826</v>
      </c>
      <c r="X218" s="42">
        <f t="shared" si="54"/>
        <v>7.425371893987851</v>
      </c>
      <c r="AI218" s="1542">
        <f>AI217+5</f>
        <v>5</v>
      </c>
      <c r="AJ218" s="1550">
        <f t="shared" si="55"/>
        <v>416.87954904699779</v>
      </c>
      <c r="AK218" s="1554">
        <f t="shared" si="56"/>
        <v>9.4691656089648131</v>
      </c>
      <c r="AN218" s="42">
        <f t="shared" si="57"/>
        <v>328.87954904699779</v>
      </c>
      <c r="AO218">
        <f t="shared" si="58"/>
        <v>9.4691656089648131</v>
      </c>
    </row>
    <row r="219" spans="2:42">
      <c r="B219" s="1542">
        <f t="shared" ref="B219:B253" si="60">B218+5</f>
        <v>10</v>
      </c>
      <c r="C219" s="1555">
        <f t="shared" si="59"/>
        <v>198.35305147009399</v>
      </c>
      <c r="D219" s="1550">
        <f t="shared" si="47"/>
        <v>12.979210203111137</v>
      </c>
      <c r="G219" s="111">
        <f t="shared" si="48"/>
        <v>176.35305147009399</v>
      </c>
      <c r="H219">
        <f t="shared" si="49"/>
        <v>12.979210203111137</v>
      </c>
      <c r="R219" s="1542">
        <f t="shared" ref="R219:R253" si="61">R218+5</f>
        <v>10</v>
      </c>
      <c r="S219" s="1550">
        <f t="shared" si="50"/>
        <v>269.09884810294994</v>
      </c>
      <c r="T219" s="1554">
        <f t="shared" si="51"/>
        <v>14.79423222430032</v>
      </c>
      <c r="U219" s="1542">
        <f t="shared" si="52"/>
        <v>14.79423222430032</v>
      </c>
      <c r="W219" s="42">
        <f t="shared" si="53"/>
        <v>225.09884810294994</v>
      </c>
      <c r="X219" s="42">
        <f t="shared" si="54"/>
        <v>14.79423222430032</v>
      </c>
      <c r="AI219" s="1542">
        <f t="shared" ref="AI219:AI253" si="62">AI218+5</f>
        <v>10</v>
      </c>
      <c r="AJ219" s="1550">
        <f t="shared" si="55"/>
        <v>415.64239742234224</v>
      </c>
      <c r="AK219" s="1554">
        <f t="shared" si="56"/>
        <v>18.866265150006882</v>
      </c>
      <c r="AN219" s="42">
        <f t="shared" si="57"/>
        <v>327.64239742234224</v>
      </c>
      <c r="AO219">
        <f t="shared" si="58"/>
        <v>18.866265150006882</v>
      </c>
    </row>
    <row r="220" spans="2:42">
      <c r="B220" s="1542">
        <f t="shared" si="60"/>
        <v>15</v>
      </c>
      <c r="C220" s="1555">
        <f t="shared" si="59"/>
        <v>196.94173521401763</v>
      </c>
      <c r="D220" s="1550">
        <f t="shared" si="47"/>
        <v>19.345246440751215</v>
      </c>
      <c r="G220" s="111">
        <f t="shared" si="48"/>
        <v>174.94173521401763</v>
      </c>
      <c r="H220">
        <f t="shared" si="49"/>
        <v>19.345246440751215</v>
      </c>
      <c r="R220" s="1542">
        <f t="shared" si="61"/>
        <v>15</v>
      </c>
      <c r="S220" s="1550">
        <f t="shared" si="50"/>
        <v>267.49017237402779</v>
      </c>
      <c r="T220" s="1554">
        <f t="shared" si="51"/>
        <v>22.05049951438421</v>
      </c>
      <c r="U220" s="1542">
        <f t="shared" si="52"/>
        <v>22.05049951438421</v>
      </c>
      <c r="W220" s="42">
        <f t="shared" si="53"/>
        <v>223.49017237402779</v>
      </c>
      <c r="X220" s="42">
        <f t="shared" si="54"/>
        <v>22.05049951438421</v>
      </c>
      <c r="AI220" s="1542">
        <f t="shared" si="62"/>
        <v>15</v>
      </c>
      <c r="AJ220" s="1550">
        <f t="shared" si="55"/>
        <v>413.59094234295162</v>
      </c>
      <c r="AK220" s="1554">
        <f t="shared" si="56"/>
        <v>28.11978102149504</v>
      </c>
      <c r="AN220" s="42">
        <f t="shared" si="57"/>
        <v>325.59094234295162</v>
      </c>
      <c r="AO220">
        <f t="shared" si="58"/>
        <v>28.11978102149504</v>
      </c>
    </row>
    <row r="221" spans="2:42">
      <c r="B221" s="1542">
        <f t="shared" si="60"/>
        <v>20</v>
      </c>
      <c r="C221" s="1555">
        <f t="shared" si="59"/>
        <v>194.98095282573365</v>
      </c>
      <c r="D221" s="1550">
        <f t="shared" si="47"/>
        <v>25.564053671998007</v>
      </c>
      <c r="G221" s="111">
        <f t="shared" si="48"/>
        <v>172.98095282573365</v>
      </c>
      <c r="H221">
        <f t="shared" si="49"/>
        <v>25.564053671998007</v>
      </c>
      <c r="R221" s="1542">
        <f t="shared" si="61"/>
        <v>20</v>
      </c>
      <c r="S221" s="1550">
        <f t="shared" si="50"/>
        <v>265.25519277668388</v>
      </c>
      <c r="T221" s="1554">
        <f t="shared" si="51"/>
        <v>29.138949188707997</v>
      </c>
      <c r="U221" s="1542">
        <f t="shared" si="52"/>
        <v>29.138949188707997</v>
      </c>
      <c r="W221" s="42">
        <f t="shared" si="53"/>
        <v>221.25519277668388</v>
      </c>
      <c r="X221" s="42">
        <f t="shared" si="54"/>
        <v>29.138949188707997</v>
      </c>
      <c r="AI221" s="1542">
        <f t="shared" si="62"/>
        <v>20</v>
      </c>
      <c r="AJ221" s="1550">
        <f t="shared" si="55"/>
        <v>410.74079662068243</v>
      </c>
      <c r="AK221" s="1554">
        <f t="shared" si="56"/>
        <v>37.159288380221611</v>
      </c>
      <c r="AN221" s="42">
        <f t="shared" si="57"/>
        <v>322.74079662068243</v>
      </c>
      <c r="AO221">
        <f t="shared" si="58"/>
        <v>37.159288380221611</v>
      </c>
    </row>
    <row r="222" spans="2:42">
      <c r="B222" s="1542">
        <f t="shared" si="60"/>
        <v>25</v>
      </c>
      <c r="C222" s="1555">
        <f t="shared" si="59"/>
        <v>192.48562704316964</v>
      </c>
      <c r="D222" s="1550">
        <f t="shared" si="47"/>
        <v>31.588303018803256</v>
      </c>
      <c r="G222" s="111">
        <f t="shared" si="48"/>
        <v>170.48562704316964</v>
      </c>
      <c r="H222">
        <f t="shared" si="49"/>
        <v>31.588303018803256</v>
      </c>
      <c r="R222" s="1542">
        <f t="shared" si="61"/>
        <v>25</v>
      </c>
      <c r="S222" s="1550">
        <f t="shared" si="50"/>
        <v>262.41091885517159</v>
      </c>
      <c r="T222" s="1554">
        <f t="shared" si="51"/>
        <v>36.005633865127152</v>
      </c>
      <c r="U222" s="1542">
        <f t="shared" si="52"/>
        <v>36.005633865127152</v>
      </c>
      <c r="W222" s="42">
        <f t="shared" si="53"/>
        <v>218.41091885517159</v>
      </c>
      <c r="X222" s="42">
        <f t="shared" si="54"/>
        <v>36.005633865127152</v>
      </c>
      <c r="AI222" s="1542">
        <f t="shared" si="62"/>
        <v>25</v>
      </c>
      <c r="AJ222" s="1550">
        <f t="shared" si="55"/>
        <v>407.11365158544629</v>
      </c>
      <c r="AK222" s="1554">
        <f t="shared" si="56"/>
        <v>45.915991116982916</v>
      </c>
      <c r="AN222" s="42">
        <f t="shared" si="57"/>
        <v>319.11365158544629</v>
      </c>
      <c r="AO222">
        <f t="shared" si="58"/>
        <v>45.915991116982916</v>
      </c>
    </row>
    <row r="223" spans="2:42">
      <c r="B223" s="1542">
        <f t="shared" si="60"/>
        <v>30</v>
      </c>
      <c r="C223" s="1555">
        <f t="shared" si="59"/>
        <v>189.47474880224988</v>
      </c>
      <c r="D223" s="1550">
        <f t="shared" si="47"/>
        <v>37.372146306096546</v>
      </c>
      <c r="G223" s="111">
        <f t="shared" si="48"/>
        <v>167.47474880224988</v>
      </c>
      <c r="H223">
        <f t="shared" si="49"/>
        <v>37.372146306096546</v>
      </c>
      <c r="R223" s="1542">
        <f t="shared" si="61"/>
        <v>30</v>
      </c>
      <c r="S223" s="1550">
        <f t="shared" si="50"/>
        <v>258.97899725145311</v>
      </c>
      <c r="T223" s="1554">
        <f t="shared" si="51"/>
        <v>42.598293927036529</v>
      </c>
      <c r="U223" s="1542">
        <f t="shared" si="52"/>
        <v>42.598293927036529</v>
      </c>
      <c r="W223" s="42">
        <f t="shared" si="53"/>
        <v>214.97899725145311</v>
      </c>
      <c r="X223" s="42">
        <f t="shared" si="54"/>
        <v>42.598293927036529</v>
      </c>
      <c r="AI223" s="1542">
        <f t="shared" si="62"/>
        <v>30</v>
      </c>
      <c r="AJ223" s="1550">
        <f t="shared" si="55"/>
        <v>402.73711200109142</v>
      </c>
      <c r="AK223" s="1554">
        <f t="shared" si="56"/>
        <v>54.323245436510511</v>
      </c>
      <c r="AN223" s="42">
        <f t="shared" si="57"/>
        <v>314.73711200109142</v>
      </c>
      <c r="AO223">
        <f t="shared" si="58"/>
        <v>54.323245436510511</v>
      </c>
    </row>
    <row r="224" spans="2:42">
      <c r="B224" s="1542">
        <f t="shared" si="60"/>
        <v>35</v>
      </c>
      <c r="C224" s="1555">
        <f t="shared" si="59"/>
        <v>185.97123270440568</v>
      </c>
      <c r="D224" s="1550">
        <f t="shared" si="47"/>
        <v>42.871564994081538</v>
      </c>
      <c r="G224" s="111">
        <f t="shared" si="48"/>
        <v>163.97123270440568</v>
      </c>
      <c r="H224">
        <f t="shared" si="49"/>
        <v>42.871564994081538</v>
      </c>
      <c r="R224" s="1542">
        <f t="shared" si="61"/>
        <v>35</v>
      </c>
      <c r="S224" s="1550">
        <f t="shared" si="50"/>
        <v>254.98554696118373</v>
      </c>
      <c r="T224" s="1554">
        <f t="shared" si="51"/>
        <v>48.866755250608044</v>
      </c>
      <c r="U224" s="1542">
        <f t="shared" si="52"/>
        <v>48.866755250608044</v>
      </c>
      <c r="W224" s="42">
        <f t="shared" si="53"/>
        <v>210.98554696118373</v>
      </c>
      <c r="X224" s="42">
        <f t="shared" si="54"/>
        <v>48.866755250608044</v>
      </c>
      <c r="AI224" s="1542">
        <f t="shared" si="62"/>
        <v>35</v>
      </c>
      <c r="AJ224" s="1550">
        <f t="shared" si="55"/>
        <v>397.64448597648152</v>
      </c>
      <c r="AK224" s="1554">
        <f t="shared" si="56"/>
        <v>62.317067056993857</v>
      </c>
      <c r="AN224" s="42">
        <f t="shared" si="57"/>
        <v>309.64448597648152</v>
      </c>
      <c r="AO224">
        <f t="shared" si="58"/>
        <v>62.317067056993857</v>
      </c>
    </row>
    <row r="225" spans="2:41">
      <c r="B225" s="1542">
        <f t="shared" si="60"/>
        <v>40</v>
      </c>
      <c r="C225" s="1555">
        <f t="shared" si="59"/>
        <v>182.00174262262252</v>
      </c>
      <c r="D225" s="1550">
        <f t="shared" si="47"/>
        <v>48.044705185902863</v>
      </c>
      <c r="G225" s="111">
        <f t="shared" si="48"/>
        <v>160.00174262262252</v>
      </c>
      <c r="H225">
        <f t="shared" si="49"/>
        <v>48.044705185902863</v>
      </c>
      <c r="R225" s="1542">
        <f t="shared" si="61"/>
        <v>40</v>
      </c>
      <c r="S225" s="1550">
        <f t="shared" si="50"/>
        <v>250.46096055238357</v>
      </c>
      <c r="T225" s="1554">
        <f t="shared" si="51"/>
        <v>54.763311060168874</v>
      </c>
      <c r="U225" s="1542">
        <f t="shared" si="52"/>
        <v>54.763311060168874</v>
      </c>
      <c r="W225" s="42">
        <f t="shared" si="53"/>
        <v>206.46096055238357</v>
      </c>
      <c r="X225" s="42">
        <f t="shared" si="54"/>
        <v>54.763311060168874</v>
      </c>
      <c r="AI225" s="1542">
        <f t="shared" si="62"/>
        <v>40</v>
      </c>
      <c r="AJ225" s="1550">
        <f t="shared" si="55"/>
        <v>391.87453147067555</v>
      </c>
      <c r="AK225" s="1554">
        <f t="shared" si="56"/>
        <v>69.836618169099594</v>
      </c>
      <c r="AN225" s="42">
        <f t="shared" si="57"/>
        <v>303.87453147067555</v>
      </c>
      <c r="AO225">
        <f t="shared" si="58"/>
        <v>69.836618169099594</v>
      </c>
    </row>
    <row r="226" spans="2:41">
      <c r="B226" s="1542">
        <f t="shared" si="60"/>
        <v>45</v>
      </c>
      <c r="C226" s="1555">
        <f t="shared" si="59"/>
        <v>177.59648877326643</v>
      </c>
      <c r="D226" s="1550">
        <f t="shared" si="47"/>
        <v>52.852196161073309</v>
      </c>
      <c r="G226" s="111">
        <f t="shared" si="48"/>
        <v>155.59648877326643</v>
      </c>
      <c r="H226">
        <f t="shared" si="49"/>
        <v>52.852196161073309</v>
      </c>
      <c r="R226" s="1542">
        <f t="shared" si="61"/>
        <v>45</v>
      </c>
      <c r="S226" s="1550">
        <f t="shared" si="50"/>
        <v>245.43967285964359</v>
      </c>
      <c r="T226" s="1554">
        <f t="shared" si="51"/>
        <v>60.243085005570514</v>
      </c>
      <c r="U226" s="1542">
        <f t="shared" si="52"/>
        <v>60.243085005570514</v>
      </c>
      <c r="W226" s="42">
        <f t="shared" si="53"/>
        <v>201.43967285964359</v>
      </c>
      <c r="X226" s="42">
        <f t="shared" si="54"/>
        <v>60.243085005570514</v>
      </c>
      <c r="AI226" s="1542">
        <f t="shared" si="62"/>
        <v>45</v>
      </c>
      <c r="AJ226" s="1550">
        <f t="shared" si="55"/>
        <v>385.47116132145658</v>
      </c>
      <c r="AK226" s="1554">
        <f t="shared" si="56"/>
        <v>76.824670448435512</v>
      </c>
      <c r="AN226" s="42">
        <f t="shared" si="57"/>
        <v>297.47116132145658</v>
      </c>
      <c r="AO226">
        <f t="shared" si="58"/>
        <v>76.824670448435512</v>
      </c>
    </row>
    <row r="227" spans="2:41">
      <c r="B227" s="1542">
        <f t="shared" si="60"/>
        <v>50</v>
      </c>
      <c r="C227" s="1555">
        <f t="shared" si="59"/>
        <v>172.78899779809598</v>
      </c>
      <c r="D227" s="1550">
        <f t="shared" si="47"/>
        <v>57.257450010429409</v>
      </c>
      <c r="G227" s="111">
        <f t="shared" si="48"/>
        <v>150.78899779809598</v>
      </c>
      <c r="H227">
        <f t="shared" si="49"/>
        <v>57.257450010429409</v>
      </c>
      <c r="R227" s="1542">
        <f t="shared" si="61"/>
        <v>50</v>
      </c>
      <c r="S227" s="1550">
        <f t="shared" si="50"/>
        <v>239.95989891424196</v>
      </c>
      <c r="T227" s="1554">
        <f t="shared" si="51"/>
        <v>65.264372698310495</v>
      </c>
      <c r="U227" s="1542">
        <f t="shared" si="52"/>
        <v>65.264372698310495</v>
      </c>
      <c r="W227" s="42">
        <f t="shared" si="53"/>
        <v>195.95989891424196</v>
      </c>
      <c r="X227" s="42">
        <f t="shared" si="54"/>
        <v>65.264372698310495</v>
      </c>
      <c r="AI227" s="1542">
        <f t="shared" si="62"/>
        <v>50</v>
      </c>
      <c r="AJ227" s="1550">
        <f t="shared" si="55"/>
        <v>378.48310904212065</v>
      </c>
      <c r="AK227" s="1554">
        <f t="shared" si="56"/>
        <v>83.228040597654527</v>
      </c>
      <c r="AN227" s="42">
        <f t="shared" si="57"/>
        <v>290.48310904212065</v>
      </c>
      <c r="AO227">
        <f t="shared" si="58"/>
        <v>83.228040597654527</v>
      </c>
    </row>
    <row r="228" spans="2:41">
      <c r="B228" s="1542">
        <f t="shared" si="60"/>
        <v>55</v>
      </c>
      <c r="C228" s="1555">
        <f t="shared" si="59"/>
        <v>167.61585760627466</v>
      </c>
      <c r="D228" s="1550">
        <f t="shared" si="47"/>
        <v>61.226940092212573</v>
      </c>
      <c r="G228" s="111">
        <f t="shared" si="48"/>
        <v>145.61585760627466</v>
      </c>
      <c r="H228">
        <f t="shared" si="49"/>
        <v>61.226940092212573</v>
      </c>
      <c r="R228" s="1542">
        <f t="shared" si="61"/>
        <v>55</v>
      </c>
      <c r="S228" s="1550">
        <f t="shared" si="50"/>
        <v>234.06334310468114</v>
      </c>
      <c r="T228" s="1554">
        <f t="shared" si="51"/>
        <v>69.788959107110642</v>
      </c>
      <c r="U228" s="1542">
        <f t="shared" si="52"/>
        <v>69.788959107110642</v>
      </c>
      <c r="W228" s="42">
        <f t="shared" si="53"/>
        <v>190.06334310468114</v>
      </c>
      <c r="X228" s="42">
        <f t="shared" si="54"/>
        <v>69.788959107110642</v>
      </c>
      <c r="AI228" s="1542">
        <f t="shared" si="62"/>
        <v>55</v>
      </c>
      <c r="AJ228" s="1550">
        <f t="shared" si="55"/>
        <v>370.96355793001493</v>
      </c>
      <c r="AK228" s="1554">
        <f t="shared" si="56"/>
        <v>88.997995103460468</v>
      </c>
      <c r="AN228" s="42">
        <f t="shared" si="57"/>
        <v>282.96355793001493</v>
      </c>
      <c r="AO228">
        <f t="shared" si="58"/>
        <v>88.997995103460468</v>
      </c>
    </row>
    <row r="229" spans="2:41">
      <c r="B229" s="1542">
        <f t="shared" si="60"/>
        <v>60</v>
      </c>
      <c r="C229" s="1555">
        <f t="shared" si="59"/>
        <v>162.11643891828967</v>
      </c>
      <c r="D229" s="1550">
        <f t="shared" si="47"/>
        <v>64.730456190056771</v>
      </c>
      <c r="G229" s="111">
        <f t="shared" si="48"/>
        <v>140.11643891828967</v>
      </c>
      <c r="H229">
        <f t="shared" si="49"/>
        <v>64.730456190056771</v>
      </c>
      <c r="R229" s="1542">
        <f t="shared" si="61"/>
        <v>60</v>
      </c>
      <c r="S229" s="1550">
        <f t="shared" si="50"/>
        <v>227.79488178110961</v>
      </c>
      <c r="T229" s="1554">
        <f t="shared" si="51"/>
        <v>73.782409397380036</v>
      </c>
      <c r="U229" s="1542">
        <f t="shared" si="52"/>
        <v>73.782409397380036</v>
      </c>
      <c r="W229" s="42">
        <f t="shared" si="53"/>
        <v>183.79488178110961</v>
      </c>
      <c r="X229" s="42">
        <f t="shared" si="54"/>
        <v>73.782409397380036</v>
      </c>
      <c r="AI229" s="1542">
        <f t="shared" si="62"/>
        <v>60</v>
      </c>
      <c r="AJ229" s="1550">
        <f t="shared" si="55"/>
        <v>362.96973630953158</v>
      </c>
      <c r="AK229" s="1554">
        <f t="shared" si="56"/>
        <v>94.090621128070367</v>
      </c>
      <c r="AN229" s="42">
        <f t="shared" si="57"/>
        <v>274.96973630953158</v>
      </c>
      <c r="AO229">
        <f t="shared" si="58"/>
        <v>94.090621128070367</v>
      </c>
    </row>
    <row r="230" spans="2:41">
      <c r="B230" s="1542">
        <f t="shared" si="60"/>
        <v>65</v>
      </c>
      <c r="C230" s="1555">
        <f t="shared" si="59"/>
        <v>156.33259563099637</v>
      </c>
      <c r="D230" s="1550">
        <f t="shared" si="47"/>
        <v>67.741334430976551</v>
      </c>
      <c r="G230" s="111">
        <f t="shared" si="48"/>
        <v>134.33259563099637</v>
      </c>
      <c r="H230">
        <f t="shared" si="49"/>
        <v>67.741334430976551</v>
      </c>
      <c r="R230" s="1542">
        <f t="shared" si="61"/>
        <v>65</v>
      </c>
      <c r="S230" s="1550">
        <f t="shared" si="50"/>
        <v>221.20222171920022</v>
      </c>
      <c r="T230" s="1554">
        <f t="shared" si="51"/>
        <v>77.2143310010985</v>
      </c>
      <c r="U230" s="1542">
        <f t="shared" si="52"/>
        <v>77.2143310010985</v>
      </c>
      <c r="W230" s="42">
        <f t="shared" si="53"/>
        <v>177.20222171920022</v>
      </c>
      <c r="X230" s="42">
        <f t="shared" si="54"/>
        <v>77.2143310010985</v>
      </c>
      <c r="AI230" s="1542">
        <f t="shared" si="62"/>
        <v>65</v>
      </c>
      <c r="AJ230" s="1550">
        <f t="shared" si="55"/>
        <v>354.56248199000396</v>
      </c>
      <c r="AK230" s="1554">
        <f t="shared" si="56"/>
        <v>98.467160712425283</v>
      </c>
      <c r="AN230" s="42">
        <f t="shared" si="57"/>
        <v>266.56248199000396</v>
      </c>
      <c r="AO230">
        <f t="shared" si="58"/>
        <v>98.467160712425283</v>
      </c>
    </row>
    <row r="231" spans="2:41">
      <c r="B231" s="1542">
        <f t="shared" si="60"/>
        <v>70</v>
      </c>
      <c r="C231" s="1555">
        <f t="shared" si="59"/>
        <v>150.30834628419112</v>
      </c>
      <c r="D231" s="1550">
        <f t="shared" si="47"/>
        <v>70.236660213540546</v>
      </c>
      <c r="G231" s="111">
        <f t="shared" si="48"/>
        <v>128.30834628419112</v>
      </c>
      <c r="H231">
        <f t="shared" si="49"/>
        <v>70.236660213540546</v>
      </c>
      <c r="R231" s="1542">
        <f t="shared" si="61"/>
        <v>70</v>
      </c>
      <c r="S231" s="1550">
        <f t="shared" si="50"/>
        <v>214.33553704278108</v>
      </c>
      <c r="T231" s="1554">
        <f t="shared" si="51"/>
        <v>80.058604922610812</v>
      </c>
      <c r="U231" s="1542">
        <f t="shared" si="52"/>
        <v>80.058604922610812</v>
      </c>
      <c r="W231" s="42">
        <f t="shared" si="53"/>
        <v>170.33553704278108</v>
      </c>
      <c r="X231" s="42">
        <f t="shared" si="54"/>
        <v>80.058604922610812</v>
      </c>
      <c r="AI231" s="1542">
        <f t="shared" si="62"/>
        <v>70</v>
      </c>
      <c r="AJ231" s="1550">
        <f t="shared" si="55"/>
        <v>345.80577925324269</v>
      </c>
      <c r="AK231" s="1554">
        <f t="shared" si="56"/>
        <v>102.09430574766141</v>
      </c>
      <c r="AN231" s="42">
        <f t="shared" si="57"/>
        <v>257.80577925324269</v>
      </c>
      <c r="AO231">
        <f t="shared" si="58"/>
        <v>102.09430574766141</v>
      </c>
    </row>
    <row r="232" spans="2:41">
      <c r="B232" s="1542">
        <f t="shared" si="60"/>
        <v>75</v>
      </c>
      <c r="C232" s="1555">
        <f t="shared" si="59"/>
        <v>144.08953905294433</v>
      </c>
      <c r="D232" s="1550">
        <f t="shared" si="47"/>
        <v>72.197442601824534</v>
      </c>
      <c r="G232" s="111">
        <f t="shared" si="48"/>
        <v>122.08953905294432</v>
      </c>
      <c r="H232">
        <f t="shared" si="49"/>
        <v>72.197442601824534</v>
      </c>
      <c r="R232" s="1542">
        <f t="shared" si="61"/>
        <v>75</v>
      </c>
      <c r="S232" s="1550">
        <f t="shared" si="50"/>
        <v>207.24708736845727</v>
      </c>
      <c r="T232" s="1554">
        <f t="shared" si="51"/>
        <v>82.293584519954734</v>
      </c>
      <c r="U232" s="1542">
        <f t="shared" si="52"/>
        <v>82.293584519954734</v>
      </c>
      <c r="W232" s="42">
        <f t="shared" si="53"/>
        <v>163.24708736845727</v>
      </c>
      <c r="X232" s="42">
        <f t="shared" si="54"/>
        <v>82.293584519954734</v>
      </c>
      <c r="AI232" s="1542">
        <f t="shared" si="62"/>
        <v>75</v>
      </c>
      <c r="AJ232" s="1550">
        <f t="shared" si="55"/>
        <v>336.76627189451608</v>
      </c>
      <c r="AK232" s="1554">
        <f t="shared" si="56"/>
        <v>104.94445146993057</v>
      </c>
      <c r="AN232" s="42">
        <f t="shared" si="57"/>
        <v>248.76627189451608</v>
      </c>
      <c r="AO232">
        <f t="shared" si="58"/>
        <v>104.94445146993057</v>
      </c>
    </row>
    <row r="233" spans="2:41">
      <c r="B233" s="1542">
        <f t="shared" si="60"/>
        <v>80</v>
      </c>
      <c r="C233" s="1555">
        <f t="shared" si="59"/>
        <v>137.72350281530424</v>
      </c>
      <c r="D233" s="1550">
        <f t="shared" si="47"/>
        <v>73.608758857900867</v>
      </c>
      <c r="G233" s="111">
        <f t="shared" si="48"/>
        <v>115.72350281530424</v>
      </c>
      <c r="H233">
        <f t="shared" si="49"/>
        <v>73.608758857900867</v>
      </c>
      <c r="R233" s="1542">
        <f t="shared" si="61"/>
        <v>80</v>
      </c>
      <c r="S233" s="1550">
        <f t="shared" si="50"/>
        <v>199.99082007837339</v>
      </c>
      <c r="T233" s="1554">
        <f t="shared" si="51"/>
        <v>83.902260248876871</v>
      </c>
      <c r="U233" s="1542">
        <f t="shared" si="52"/>
        <v>83.902260248876871</v>
      </c>
      <c r="W233" s="42">
        <f t="shared" si="53"/>
        <v>155.99082007837339</v>
      </c>
      <c r="X233" s="42">
        <f t="shared" si="54"/>
        <v>83.902260248876871</v>
      </c>
      <c r="AI233" s="1542">
        <f t="shared" si="62"/>
        <v>80</v>
      </c>
      <c r="AJ233" s="1550">
        <f t="shared" si="55"/>
        <v>327.51275602302792</v>
      </c>
      <c r="AK233" s="1554">
        <f t="shared" si="56"/>
        <v>106.99590654932122</v>
      </c>
      <c r="AN233" s="42">
        <f t="shared" si="57"/>
        <v>239.51275602302792</v>
      </c>
      <c r="AO233">
        <f t="shared" si="58"/>
        <v>106.99590654932122</v>
      </c>
    </row>
    <row r="234" spans="2:41">
      <c r="B234" s="1542">
        <f t="shared" si="60"/>
        <v>85</v>
      </c>
      <c r="C234" s="1555">
        <f t="shared" si="59"/>
        <v>131.2586869509571</v>
      </c>
      <c r="D234" s="1550">
        <f t="shared" si="47"/>
        <v>74.459868012884797</v>
      </c>
      <c r="G234" s="111">
        <f t="shared" si="48"/>
        <v>109.2586869509571</v>
      </c>
      <c r="H234">
        <f t="shared" si="49"/>
        <v>74.459868012884797</v>
      </c>
      <c r="R234" s="1542">
        <f t="shared" si="61"/>
        <v>85</v>
      </c>
      <c r="S234" s="1550">
        <f t="shared" si="50"/>
        <v>192.62195974806093</v>
      </c>
      <c r="T234" s="1554">
        <f t="shared" si="51"/>
        <v>84.872389115735203</v>
      </c>
      <c r="U234" s="1542">
        <f t="shared" si="52"/>
        <v>84.872389115735203</v>
      </c>
      <c r="W234" s="42">
        <f t="shared" si="53"/>
        <v>148.62195974806093</v>
      </c>
      <c r="X234" s="42">
        <f t="shared" si="54"/>
        <v>84.872389115735203</v>
      </c>
      <c r="AI234" s="1542">
        <f t="shared" si="62"/>
        <v>85</v>
      </c>
      <c r="AJ234" s="1550">
        <f t="shared" si="55"/>
        <v>318.11565648198587</v>
      </c>
      <c r="AK234" s="1554">
        <f t="shared" si="56"/>
        <v>108.23305817397679</v>
      </c>
      <c r="AN234" s="42">
        <f t="shared" si="57"/>
        <v>230.11565648198584</v>
      </c>
      <c r="AO234">
        <f t="shared" si="58"/>
        <v>108.23305817397679</v>
      </c>
    </row>
    <row r="235" spans="2:41">
      <c r="B235" s="1542">
        <f t="shared" si="60"/>
        <v>90</v>
      </c>
      <c r="C235" s="1555">
        <f t="shared" si="59"/>
        <v>124.74429261219311</v>
      </c>
      <c r="D235" s="1550">
        <f t="shared" si="47"/>
        <v>74.744292612193107</v>
      </c>
      <c r="G235" s="111">
        <f t="shared" si="48"/>
        <v>102.74429261219311</v>
      </c>
      <c r="H235">
        <f t="shared" si="49"/>
        <v>74.744292612193107</v>
      </c>
      <c r="R235" s="1542">
        <f t="shared" si="61"/>
        <v>90</v>
      </c>
      <c r="S235" s="1550">
        <f t="shared" si="50"/>
        <v>185.19658785407307</v>
      </c>
      <c r="T235" s="1554">
        <f t="shared" si="51"/>
        <v>85.196587854073073</v>
      </c>
      <c r="U235" s="1542">
        <f t="shared" si="52"/>
        <v>85.196587854073073</v>
      </c>
      <c r="W235" s="42">
        <f t="shared" si="53"/>
        <v>141.19658785407307</v>
      </c>
      <c r="X235" s="42">
        <f t="shared" si="54"/>
        <v>85.196587854073073</v>
      </c>
      <c r="AI235" s="1542">
        <f t="shared" si="62"/>
        <v>90</v>
      </c>
      <c r="AJ235" s="1550">
        <f t="shared" si="55"/>
        <v>308.64649087302104</v>
      </c>
      <c r="AK235" s="1554">
        <f t="shared" si="56"/>
        <v>108.64649087302104</v>
      </c>
      <c r="AN235" s="42">
        <f t="shared" si="57"/>
        <v>220.64649087302104</v>
      </c>
      <c r="AO235">
        <f t="shared" si="58"/>
        <v>108.64649087302104</v>
      </c>
    </row>
    <row r="236" spans="2:41">
      <c r="B236" s="1542">
        <f t="shared" si="60"/>
        <v>95</v>
      </c>
      <c r="C236" s="1555">
        <f t="shared" si="59"/>
        <v>118.22989827342911</v>
      </c>
      <c r="D236" s="1550">
        <f t="shared" si="47"/>
        <v>74.459868012884797</v>
      </c>
      <c r="G236" s="111">
        <f t="shared" si="48"/>
        <v>96.229898273429114</v>
      </c>
      <c r="H236">
        <f t="shared" si="49"/>
        <v>74.459868012884797</v>
      </c>
      <c r="R236" s="1542">
        <f t="shared" si="61"/>
        <v>95</v>
      </c>
      <c r="S236" s="1550">
        <f t="shared" si="50"/>
        <v>177.77121596008521</v>
      </c>
      <c r="T236" s="1554">
        <f t="shared" si="51"/>
        <v>84.872389115735203</v>
      </c>
      <c r="U236" s="1542">
        <f t="shared" si="52"/>
        <v>84.872389115735203</v>
      </c>
      <c r="W236" s="42">
        <f t="shared" si="53"/>
        <v>133.77121596008521</v>
      </c>
      <c r="X236" s="42">
        <f t="shared" si="54"/>
        <v>84.872389115735203</v>
      </c>
      <c r="AI236" s="1542">
        <f t="shared" si="62"/>
        <v>95</v>
      </c>
      <c r="AJ236" s="1550">
        <f t="shared" si="55"/>
        <v>299.17732526405621</v>
      </c>
      <c r="AK236" s="1554">
        <f t="shared" si="56"/>
        <v>108.23305817397679</v>
      </c>
      <c r="AN236" s="42">
        <f t="shared" si="57"/>
        <v>211.17732526405621</v>
      </c>
      <c r="AO236">
        <f t="shared" si="58"/>
        <v>108.23305817397679</v>
      </c>
    </row>
    <row r="237" spans="2:41">
      <c r="B237" s="1542">
        <f t="shared" si="60"/>
        <v>100</v>
      </c>
      <c r="C237" s="1555">
        <f t="shared" si="59"/>
        <v>111.76508240908197</v>
      </c>
      <c r="D237" s="1550">
        <f t="shared" si="47"/>
        <v>73.608758857900867</v>
      </c>
      <c r="G237" s="111">
        <f t="shared" si="48"/>
        <v>89.76508240908197</v>
      </c>
      <c r="H237">
        <f t="shared" si="49"/>
        <v>73.608758857900867</v>
      </c>
      <c r="R237" s="1542">
        <f t="shared" si="61"/>
        <v>100</v>
      </c>
      <c r="S237" s="1550">
        <f t="shared" si="50"/>
        <v>170.40235562977276</v>
      </c>
      <c r="T237" s="1554">
        <f t="shared" si="51"/>
        <v>83.902260248876871</v>
      </c>
      <c r="U237" s="1542">
        <f t="shared" si="52"/>
        <v>83.902260248876871</v>
      </c>
      <c r="W237" s="42">
        <f t="shared" si="53"/>
        <v>126.40235562977276</v>
      </c>
      <c r="X237" s="42">
        <f t="shared" si="54"/>
        <v>83.902260248876871</v>
      </c>
      <c r="AI237" s="1542">
        <f t="shared" si="62"/>
        <v>100</v>
      </c>
      <c r="AJ237" s="1550">
        <f t="shared" si="55"/>
        <v>289.78022572301415</v>
      </c>
      <c r="AK237" s="1554">
        <f t="shared" si="56"/>
        <v>106.99590654932122</v>
      </c>
      <c r="AN237" s="42">
        <f t="shared" si="57"/>
        <v>201.78022572301415</v>
      </c>
      <c r="AO237">
        <f t="shared" si="58"/>
        <v>106.99590654932122</v>
      </c>
    </row>
    <row r="238" spans="2:41">
      <c r="B238" s="1542">
        <f t="shared" si="60"/>
        <v>105</v>
      </c>
      <c r="C238" s="1555">
        <f t="shared" si="59"/>
        <v>105.39904617144188</v>
      </c>
      <c r="D238" s="1550">
        <f t="shared" si="47"/>
        <v>72.197442601824534</v>
      </c>
      <c r="G238" s="111">
        <f t="shared" si="48"/>
        <v>83.399046171441881</v>
      </c>
      <c r="H238">
        <f t="shared" si="49"/>
        <v>72.197442601824534</v>
      </c>
      <c r="R238" s="1542">
        <f t="shared" si="61"/>
        <v>105</v>
      </c>
      <c r="S238" s="1550">
        <f t="shared" si="50"/>
        <v>163.14608833968884</v>
      </c>
      <c r="T238" s="1554">
        <f t="shared" si="51"/>
        <v>82.293584519954734</v>
      </c>
      <c r="U238" s="1542">
        <f t="shared" si="52"/>
        <v>82.293584519954734</v>
      </c>
      <c r="W238" s="42">
        <f t="shared" si="53"/>
        <v>119.14608833968886</v>
      </c>
      <c r="X238" s="42">
        <f t="shared" si="54"/>
        <v>82.293584519954734</v>
      </c>
      <c r="AI238" s="1542">
        <f t="shared" si="62"/>
        <v>105</v>
      </c>
      <c r="AJ238" s="1550">
        <f t="shared" si="55"/>
        <v>280.52670985152599</v>
      </c>
      <c r="AK238" s="1554">
        <f t="shared" si="56"/>
        <v>104.94445146993057</v>
      </c>
      <c r="AN238" s="42">
        <f t="shared" si="57"/>
        <v>192.52670985152599</v>
      </c>
      <c r="AO238">
        <f t="shared" si="58"/>
        <v>104.94445146993057</v>
      </c>
    </row>
    <row r="239" spans="2:41">
      <c r="B239" s="1542">
        <f t="shared" si="60"/>
        <v>110</v>
      </c>
      <c r="C239" s="1555">
        <f t="shared" si="59"/>
        <v>99.180238940195096</v>
      </c>
      <c r="D239" s="1550">
        <f t="shared" si="47"/>
        <v>70.23666021354056</v>
      </c>
      <c r="G239" s="111">
        <f t="shared" si="48"/>
        <v>77.180238940195096</v>
      </c>
      <c r="H239">
        <f t="shared" si="49"/>
        <v>70.23666021354056</v>
      </c>
      <c r="R239" s="1542">
        <f t="shared" si="61"/>
        <v>110</v>
      </c>
      <c r="S239" s="1550">
        <f t="shared" si="50"/>
        <v>156.05763866536506</v>
      </c>
      <c r="T239" s="1554">
        <f t="shared" si="51"/>
        <v>80.058604922610826</v>
      </c>
      <c r="U239" s="1542">
        <f t="shared" si="52"/>
        <v>80.058604922610826</v>
      </c>
      <c r="W239" s="42">
        <f t="shared" si="53"/>
        <v>112.05763866536508</v>
      </c>
      <c r="X239" s="42">
        <f t="shared" si="54"/>
        <v>80.058604922610826</v>
      </c>
      <c r="AI239" s="1542">
        <f t="shared" si="62"/>
        <v>110</v>
      </c>
      <c r="AJ239" s="1550">
        <f t="shared" si="55"/>
        <v>271.48720249279944</v>
      </c>
      <c r="AK239" s="1554">
        <f t="shared" si="56"/>
        <v>102.09430574766142</v>
      </c>
      <c r="AN239" s="42">
        <f t="shared" si="57"/>
        <v>183.48720249279944</v>
      </c>
      <c r="AO239">
        <f t="shared" si="58"/>
        <v>102.09430574766142</v>
      </c>
    </row>
    <row r="240" spans="2:41">
      <c r="B240" s="1542">
        <f t="shared" si="60"/>
        <v>115</v>
      </c>
      <c r="C240" s="1555">
        <f t="shared" si="59"/>
        <v>93.155989593389862</v>
      </c>
      <c r="D240" s="1550">
        <f t="shared" si="47"/>
        <v>67.741334430976565</v>
      </c>
      <c r="G240" s="111">
        <f t="shared" si="48"/>
        <v>71.155989593389862</v>
      </c>
      <c r="H240">
        <f t="shared" si="49"/>
        <v>67.741334430976565</v>
      </c>
      <c r="R240" s="1542">
        <f t="shared" si="61"/>
        <v>115</v>
      </c>
      <c r="S240" s="1550">
        <f t="shared" si="50"/>
        <v>149.19095398894592</v>
      </c>
      <c r="T240" s="1554">
        <f t="shared" si="51"/>
        <v>77.2143310010985</v>
      </c>
      <c r="U240" s="1542">
        <f t="shared" si="52"/>
        <v>77.2143310010985</v>
      </c>
      <c r="W240" s="42">
        <f t="shared" si="53"/>
        <v>105.19095398894594</v>
      </c>
      <c r="X240" s="42">
        <f t="shared" si="54"/>
        <v>77.2143310010985</v>
      </c>
      <c r="AI240" s="1542">
        <f t="shared" si="62"/>
        <v>115</v>
      </c>
      <c r="AJ240" s="1550">
        <f t="shared" si="55"/>
        <v>262.73049975603811</v>
      </c>
      <c r="AK240" s="1554">
        <f t="shared" si="56"/>
        <v>98.467160712425297</v>
      </c>
      <c r="AN240" s="42">
        <f t="shared" si="57"/>
        <v>174.73049975603811</v>
      </c>
      <c r="AO240">
        <f t="shared" si="58"/>
        <v>98.467160712425297</v>
      </c>
    </row>
    <row r="241" spans="2:41">
      <c r="B241" s="1542">
        <f t="shared" si="60"/>
        <v>120</v>
      </c>
      <c r="C241" s="1555">
        <f t="shared" si="59"/>
        <v>87.372146306096568</v>
      </c>
      <c r="D241" s="1550">
        <f t="shared" si="47"/>
        <v>64.730456190056771</v>
      </c>
      <c r="G241" s="111">
        <f t="shared" si="48"/>
        <v>65.372146306096568</v>
      </c>
      <c r="H241">
        <f t="shared" si="49"/>
        <v>64.730456190056771</v>
      </c>
      <c r="R241" s="1542">
        <f t="shared" si="61"/>
        <v>120</v>
      </c>
      <c r="S241" s="1550">
        <f t="shared" si="50"/>
        <v>142.59829392703656</v>
      </c>
      <c r="T241" s="1554">
        <f t="shared" si="51"/>
        <v>73.782409397380036</v>
      </c>
      <c r="U241" s="1542">
        <f t="shared" si="52"/>
        <v>73.782409397380036</v>
      </c>
      <c r="W241" s="42">
        <f t="shared" si="53"/>
        <v>98.598293927036565</v>
      </c>
      <c r="X241" s="42">
        <f t="shared" si="54"/>
        <v>73.782409397380036</v>
      </c>
      <c r="AI241" s="1542">
        <f t="shared" si="62"/>
        <v>120</v>
      </c>
      <c r="AJ241" s="1550">
        <f t="shared" si="55"/>
        <v>254.32324543651055</v>
      </c>
      <c r="AK241" s="1554">
        <f t="shared" si="56"/>
        <v>94.090621128070381</v>
      </c>
      <c r="AN241" s="42">
        <f t="shared" si="57"/>
        <v>166.32324543651055</v>
      </c>
      <c r="AO241">
        <f t="shared" si="58"/>
        <v>94.090621128070381</v>
      </c>
    </row>
    <row r="242" spans="2:41">
      <c r="B242" s="1542">
        <f t="shared" si="60"/>
        <v>125</v>
      </c>
      <c r="C242" s="1555">
        <f t="shared" si="59"/>
        <v>81.872727618111554</v>
      </c>
      <c r="D242" s="1550">
        <f t="shared" si="47"/>
        <v>61.226940092212558</v>
      </c>
      <c r="G242" s="111">
        <f t="shared" si="48"/>
        <v>59.872727618111554</v>
      </c>
      <c r="H242">
        <f t="shared" si="49"/>
        <v>61.226940092212558</v>
      </c>
      <c r="R242" s="1542">
        <f t="shared" si="61"/>
        <v>125</v>
      </c>
      <c r="S242" s="1550">
        <f t="shared" si="50"/>
        <v>136.32983260346501</v>
      </c>
      <c r="T242" s="1554">
        <f t="shared" si="51"/>
        <v>69.788959107110642</v>
      </c>
      <c r="U242" s="1542">
        <f t="shared" si="52"/>
        <v>69.788959107110642</v>
      </c>
      <c r="W242" s="42">
        <f t="shared" si="53"/>
        <v>92.329832603465007</v>
      </c>
      <c r="X242" s="42">
        <f t="shared" si="54"/>
        <v>69.788959107110642</v>
      </c>
      <c r="AI242" s="1542">
        <f t="shared" si="62"/>
        <v>125</v>
      </c>
      <c r="AJ242" s="1550">
        <f t="shared" si="55"/>
        <v>246.32942381602717</v>
      </c>
      <c r="AK242" s="1554">
        <f t="shared" si="56"/>
        <v>88.997995103460454</v>
      </c>
      <c r="AN242" s="42">
        <f t="shared" si="57"/>
        <v>158.32942381602717</v>
      </c>
      <c r="AO242">
        <f t="shared" si="58"/>
        <v>88.997995103460454</v>
      </c>
    </row>
    <row r="243" spans="2:41">
      <c r="B243" s="1542">
        <f t="shared" si="60"/>
        <v>130</v>
      </c>
      <c r="C243" s="1555">
        <f t="shared" si="59"/>
        <v>76.699587426290236</v>
      </c>
      <c r="D243" s="1550">
        <f t="shared" si="47"/>
        <v>57.257450010429409</v>
      </c>
      <c r="G243" s="111">
        <f t="shared" si="48"/>
        <v>54.699587426290236</v>
      </c>
      <c r="H243">
        <f t="shared" si="49"/>
        <v>57.257450010429409</v>
      </c>
      <c r="R243" s="1542">
        <f t="shared" si="61"/>
        <v>130</v>
      </c>
      <c r="S243" s="1550">
        <f t="shared" si="50"/>
        <v>130.43327679390418</v>
      </c>
      <c r="T243" s="1554">
        <f t="shared" si="51"/>
        <v>65.264372698310495</v>
      </c>
      <c r="U243" s="1542">
        <f t="shared" si="52"/>
        <v>65.264372698310495</v>
      </c>
      <c r="W243" s="42">
        <f t="shared" si="53"/>
        <v>86.433276793904184</v>
      </c>
      <c r="X243" s="42">
        <f t="shared" si="54"/>
        <v>65.264372698310495</v>
      </c>
      <c r="AI243" s="1542">
        <f t="shared" si="62"/>
        <v>130</v>
      </c>
      <c r="AJ243" s="1550">
        <f t="shared" si="55"/>
        <v>238.80987270392143</v>
      </c>
      <c r="AK243" s="1554">
        <f t="shared" si="56"/>
        <v>83.228040597654527</v>
      </c>
      <c r="AN243" s="42">
        <f t="shared" si="57"/>
        <v>150.80987270392143</v>
      </c>
      <c r="AO243">
        <f t="shared" si="58"/>
        <v>83.228040597654527</v>
      </c>
    </row>
    <row r="244" spans="2:41">
      <c r="B244" s="1542">
        <f t="shared" si="60"/>
        <v>135</v>
      </c>
      <c r="C244" s="1555">
        <f t="shared" si="59"/>
        <v>71.892096451119798</v>
      </c>
      <c r="D244" s="1550">
        <f t="shared" si="47"/>
        <v>52.852196161073316</v>
      </c>
      <c r="G244" s="111">
        <f t="shared" si="48"/>
        <v>49.892096451119798</v>
      </c>
      <c r="H244">
        <f t="shared" si="49"/>
        <v>52.852196161073316</v>
      </c>
      <c r="R244" s="1542">
        <f t="shared" si="61"/>
        <v>135</v>
      </c>
      <c r="S244" s="1550">
        <f t="shared" si="50"/>
        <v>124.95350284850255</v>
      </c>
      <c r="T244" s="1554">
        <f t="shared" si="51"/>
        <v>60.243085005570528</v>
      </c>
      <c r="U244" s="1542">
        <f t="shared" si="52"/>
        <v>60.243085005570528</v>
      </c>
      <c r="W244" s="42">
        <f t="shared" si="53"/>
        <v>80.953502848502552</v>
      </c>
      <c r="X244" s="42">
        <f t="shared" si="54"/>
        <v>60.243085005570528</v>
      </c>
      <c r="AI244" s="1542">
        <f t="shared" si="62"/>
        <v>135</v>
      </c>
      <c r="AJ244" s="1550">
        <f t="shared" si="55"/>
        <v>231.82182042458552</v>
      </c>
      <c r="AK244" s="1554">
        <f t="shared" si="56"/>
        <v>76.824670448435526</v>
      </c>
      <c r="AN244" s="42">
        <f t="shared" si="57"/>
        <v>143.82182042458552</v>
      </c>
      <c r="AO244">
        <f t="shared" si="58"/>
        <v>76.824670448435526</v>
      </c>
    </row>
    <row r="245" spans="2:41">
      <c r="B245" s="1542">
        <f t="shared" si="60"/>
        <v>140</v>
      </c>
      <c r="C245" s="1555">
        <f t="shared" si="59"/>
        <v>67.486842601763698</v>
      </c>
      <c r="D245" s="1550">
        <f t="shared" si="47"/>
        <v>48.044705185902878</v>
      </c>
      <c r="G245" s="111">
        <f t="shared" si="48"/>
        <v>45.486842601763705</v>
      </c>
      <c r="H245">
        <f t="shared" si="49"/>
        <v>48.044705185902878</v>
      </c>
      <c r="R245" s="1542">
        <f t="shared" si="61"/>
        <v>140</v>
      </c>
      <c r="S245" s="1550">
        <f t="shared" si="50"/>
        <v>119.93221515576259</v>
      </c>
      <c r="T245" s="1554">
        <f t="shared" si="51"/>
        <v>54.763311060168895</v>
      </c>
      <c r="U245" s="1542">
        <f t="shared" si="52"/>
        <v>54.763311060168895</v>
      </c>
      <c r="W245" s="42">
        <f t="shared" si="53"/>
        <v>75.932215155762592</v>
      </c>
      <c r="X245" s="42">
        <f t="shared" si="54"/>
        <v>54.763311060168895</v>
      </c>
      <c r="AI245" s="1542">
        <f t="shared" si="62"/>
        <v>140</v>
      </c>
      <c r="AJ245" s="1550">
        <f t="shared" si="55"/>
        <v>225.41845027536652</v>
      </c>
      <c r="AK245" s="1554">
        <f t="shared" si="56"/>
        <v>69.836618169099623</v>
      </c>
      <c r="AN245" s="42">
        <f t="shared" si="57"/>
        <v>137.41845027536652</v>
      </c>
      <c r="AO245">
        <f t="shared" si="58"/>
        <v>69.836618169099623</v>
      </c>
    </row>
    <row r="246" spans="2:41">
      <c r="B246" s="1542">
        <f t="shared" si="60"/>
        <v>145</v>
      </c>
      <c r="C246" s="1555">
        <f t="shared" si="59"/>
        <v>63.517352519980527</v>
      </c>
      <c r="D246" s="1550">
        <f t="shared" si="47"/>
        <v>42.871564994081531</v>
      </c>
      <c r="G246" s="111">
        <f t="shared" si="48"/>
        <v>41.517352519980527</v>
      </c>
      <c r="H246">
        <f t="shared" si="49"/>
        <v>42.871564994081531</v>
      </c>
      <c r="R246" s="1542">
        <f t="shared" si="61"/>
        <v>145</v>
      </c>
      <c r="S246" s="1550">
        <f t="shared" si="50"/>
        <v>115.40762874696242</v>
      </c>
      <c r="T246" s="1554">
        <f t="shared" si="51"/>
        <v>48.866755250608037</v>
      </c>
      <c r="U246" s="1542">
        <f t="shared" si="52"/>
        <v>48.866755250608037</v>
      </c>
      <c r="W246" s="42">
        <f t="shared" si="53"/>
        <v>71.407628746962416</v>
      </c>
      <c r="X246" s="42">
        <f t="shared" si="54"/>
        <v>48.866755250608037</v>
      </c>
      <c r="AI246" s="1542">
        <f t="shared" si="62"/>
        <v>145</v>
      </c>
      <c r="AJ246" s="1550">
        <f t="shared" si="55"/>
        <v>219.64849576956055</v>
      </c>
      <c r="AK246" s="1554">
        <f t="shared" si="56"/>
        <v>62.317067056993842</v>
      </c>
      <c r="AN246" s="42">
        <f t="shared" si="57"/>
        <v>131.64849576956055</v>
      </c>
      <c r="AO246">
        <f t="shared" si="58"/>
        <v>62.317067056993842</v>
      </c>
    </row>
    <row r="247" spans="2:41">
      <c r="B247" s="1542">
        <f t="shared" si="60"/>
        <v>150</v>
      </c>
      <c r="C247" s="1555">
        <f t="shared" si="59"/>
        <v>60.013836422136336</v>
      </c>
      <c r="D247" s="1550">
        <f t="shared" si="47"/>
        <v>37.372146306096546</v>
      </c>
      <c r="G247" s="111">
        <f t="shared" si="48"/>
        <v>38.013836422136336</v>
      </c>
      <c r="H247">
        <f t="shared" si="49"/>
        <v>37.372146306096546</v>
      </c>
      <c r="R247" s="1542">
        <f t="shared" si="61"/>
        <v>150</v>
      </c>
      <c r="S247" s="1550">
        <f t="shared" si="50"/>
        <v>111.41417845669304</v>
      </c>
      <c r="T247" s="1554">
        <f t="shared" si="51"/>
        <v>42.598293927036529</v>
      </c>
      <c r="U247" s="1542">
        <f t="shared" si="52"/>
        <v>42.598293927036529</v>
      </c>
      <c r="W247" s="42">
        <f t="shared" si="53"/>
        <v>67.414178456693037</v>
      </c>
      <c r="X247" s="42">
        <f t="shared" si="54"/>
        <v>42.598293927036529</v>
      </c>
      <c r="AI247" s="1542">
        <f t="shared" si="62"/>
        <v>150</v>
      </c>
      <c r="AJ247" s="1550">
        <f t="shared" si="55"/>
        <v>214.55586974495066</v>
      </c>
      <c r="AK247" s="1554">
        <f t="shared" si="56"/>
        <v>54.323245436510511</v>
      </c>
      <c r="AN247" s="42">
        <f t="shared" si="57"/>
        <v>126.55586974495066</v>
      </c>
      <c r="AO247">
        <f t="shared" si="58"/>
        <v>54.323245436510511</v>
      </c>
    </row>
    <row r="248" spans="2:41">
      <c r="B248" s="1542">
        <f t="shared" si="60"/>
        <v>155</v>
      </c>
      <c r="C248" s="1555">
        <f t="shared" si="59"/>
        <v>57.002958181216556</v>
      </c>
      <c r="D248" s="1550">
        <f t="shared" si="47"/>
        <v>31.588303018803259</v>
      </c>
      <c r="G248" s="111">
        <f t="shared" si="48"/>
        <v>35.002958181216556</v>
      </c>
      <c r="H248">
        <f t="shared" si="49"/>
        <v>31.588303018803259</v>
      </c>
      <c r="R248" s="1542">
        <f t="shared" si="61"/>
        <v>155</v>
      </c>
      <c r="S248" s="1550">
        <f t="shared" si="50"/>
        <v>107.98225685297457</v>
      </c>
      <c r="T248" s="1554">
        <f t="shared" si="51"/>
        <v>36.005633865127152</v>
      </c>
      <c r="U248" s="1542">
        <f t="shared" si="52"/>
        <v>36.005633865127152</v>
      </c>
      <c r="W248" s="42">
        <f t="shared" si="53"/>
        <v>63.982256852974572</v>
      </c>
      <c r="X248" s="42">
        <f t="shared" si="54"/>
        <v>36.005633865127152</v>
      </c>
      <c r="AI248" s="1542">
        <f t="shared" si="62"/>
        <v>155</v>
      </c>
      <c r="AJ248" s="1550">
        <f t="shared" si="55"/>
        <v>210.17933016059575</v>
      </c>
      <c r="AK248" s="1554">
        <f t="shared" si="56"/>
        <v>45.915991116982923</v>
      </c>
      <c r="AN248" s="42">
        <f t="shared" si="57"/>
        <v>122.17933016059575</v>
      </c>
      <c r="AO248">
        <f t="shared" si="58"/>
        <v>45.915991116982923</v>
      </c>
    </row>
    <row r="249" spans="2:41">
      <c r="B249" s="1542">
        <f t="shared" si="60"/>
        <v>160</v>
      </c>
      <c r="C249" s="1555">
        <f t="shared" si="59"/>
        <v>54.507632398652561</v>
      </c>
      <c r="D249" s="1550">
        <f t="shared" si="47"/>
        <v>25.564053671998021</v>
      </c>
      <c r="G249" s="111">
        <f t="shared" si="48"/>
        <v>32.507632398652561</v>
      </c>
      <c r="H249">
        <f t="shared" si="49"/>
        <v>25.564053671998021</v>
      </c>
      <c r="R249" s="1542">
        <f t="shared" si="61"/>
        <v>160</v>
      </c>
      <c r="S249" s="1550">
        <f t="shared" si="50"/>
        <v>105.13798293146226</v>
      </c>
      <c r="T249" s="1554">
        <f t="shared" si="51"/>
        <v>29.138949188708011</v>
      </c>
      <c r="U249" s="1542">
        <f t="shared" si="52"/>
        <v>29.138949188708011</v>
      </c>
      <c r="W249" s="42">
        <f t="shared" si="53"/>
        <v>61.137982931462261</v>
      </c>
      <c r="X249" s="42">
        <f t="shared" si="54"/>
        <v>29.138949188708011</v>
      </c>
      <c r="AI249" s="1542">
        <f t="shared" si="62"/>
        <v>160</v>
      </c>
      <c r="AJ249" s="1550">
        <f t="shared" si="55"/>
        <v>206.55218512535964</v>
      </c>
      <c r="AK249" s="1554">
        <f t="shared" si="56"/>
        <v>37.159288380221632</v>
      </c>
      <c r="AN249" s="42">
        <f t="shared" si="57"/>
        <v>118.55218512535963</v>
      </c>
      <c r="AO249">
        <f t="shared" si="58"/>
        <v>37.159288380221632</v>
      </c>
    </row>
    <row r="250" spans="2:41">
      <c r="B250" s="1542">
        <f t="shared" si="60"/>
        <v>165</v>
      </c>
      <c r="C250" s="1555">
        <f t="shared" si="59"/>
        <v>52.546850010368587</v>
      </c>
      <c r="D250" s="1550">
        <f t="shared" si="47"/>
        <v>19.345246440751236</v>
      </c>
      <c r="G250" s="111">
        <f t="shared" si="48"/>
        <v>30.546850010368587</v>
      </c>
      <c r="H250">
        <f t="shared" si="49"/>
        <v>19.345246440751236</v>
      </c>
      <c r="R250" s="1542">
        <f t="shared" si="61"/>
        <v>165</v>
      </c>
      <c r="S250" s="1550">
        <f t="shared" si="50"/>
        <v>102.90300333411835</v>
      </c>
      <c r="T250" s="1554">
        <f t="shared" si="51"/>
        <v>22.050499514384232</v>
      </c>
      <c r="U250" s="1542">
        <f t="shared" si="52"/>
        <v>22.050499514384232</v>
      </c>
      <c r="W250" s="42">
        <f t="shared" si="53"/>
        <v>58.903003334118353</v>
      </c>
      <c r="X250" s="42">
        <f t="shared" si="54"/>
        <v>22.050499514384232</v>
      </c>
      <c r="AI250" s="1542">
        <f t="shared" si="62"/>
        <v>165</v>
      </c>
      <c r="AJ250" s="1550">
        <f t="shared" si="55"/>
        <v>203.70203940309048</v>
      </c>
      <c r="AK250" s="1554">
        <f t="shared" si="56"/>
        <v>28.119781021495069</v>
      </c>
      <c r="AN250" s="42">
        <f t="shared" si="57"/>
        <v>115.70203940309048</v>
      </c>
      <c r="AO250">
        <f t="shared" si="58"/>
        <v>28.119781021495069</v>
      </c>
    </row>
    <row r="251" spans="2:41">
      <c r="B251" s="1542">
        <f t="shared" si="60"/>
        <v>170</v>
      </c>
      <c r="C251" s="1555">
        <f t="shared" si="59"/>
        <v>51.13553375429224</v>
      </c>
      <c r="D251" s="1550">
        <f t="shared" si="47"/>
        <v>12.979210203111133</v>
      </c>
      <c r="G251" s="111">
        <f t="shared" si="48"/>
        <v>29.13553375429224</v>
      </c>
      <c r="H251">
        <f t="shared" si="49"/>
        <v>12.979210203111133</v>
      </c>
      <c r="R251" s="1542">
        <f t="shared" si="61"/>
        <v>170</v>
      </c>
      <c r="S251" s="1550">
        <f t="shared" si="50"/>
        <v>101.2943276051962</v>
      </c>
      <c r="T251" s="1554">
        <f t="shared" si="51"/>
        <v>14.794232224300314</v>
      </c>
      <c r="U251" s="1542">
        <f t="shared" si="52"/>
        <v>14.794232224300314</v>
      </c>
      <c r="W251" s="42">
        <f t="shared" si="53"/>
        <v>57.294327605196202</v>
      </c>
      <c r="X251" s="42">
        <f t="shared" si="54"/>
        <v>14.794232224300314</v>
      </c>
      <c r="AI251" s="1542">
        <f t="shared" si="62"/>
        <v>170</v>
      </c>
      <c r="AJ251" s="1550">
        <f t="shared" si="55"/>
        <v>201.65058432369983</v>
      </c>
      <c r="AK251" s="1554">
        <f t="shared" si="56"/>
        <v>18.866265150006875</v>
      </c>
      <c r="AN251" s="42">
        <f t="shared" si="57"/>
        <v>113.65058432369982</v>
      </c>
      <c r="AO251">
        <f t="shared" si="58"/>
        <v>18.866265150006875</v>
      </c>
    </row>
    <row r="252" spans="2:41">
      <c r="B252" s="1542">
        <f t="shared" si="60"/>
        <v>175</v>
      </c>
      <c r="C252" s="1555">
        <f t="shared" si="59"/>
        <v>50.284424599308309</v>
      </c>
      <c r="D252" s="1550">
        <f t="shared" si="47"/>
        <v>6.5143943387639913</v>
      </c>
      <c r="G252" s="111">
        <f t="shared" si="48"/>
        <v>28.284424599308309</v>
      </c>
      <c r="H252">
        <f t="shared" si="49"/>
        <v>6.5143943387639913</v>
      </c>
      <c r="R252" s="1542">
        <f t="shared" si="61"/>
        <v>175</v>
      </c>
      <c r="S252" s="1550">
        <f t="shared" si="50"/>
        <v>100.32419873833787</v>
      </c>
      <c r="T252" s="1554">
        <f t="shared" si="51"/>
        <v>7.4253718939878537</v>
      </c>
      <c r="U252" s="1542">
        <f t="shared" si="52"/>
        <v>7.4253718939878537</v>
      </c>
      <c r="W252" s="42">
        <f t="shared" si="53"/>
        <v>56.32419873833787</v>
      </c>
      <c r="X252" s="42">
        <f t="shared" si="54"/>
        <v>7.4253718939878537</v>
      </c>
      <c r="AI252" s="1542">
        <f t="shared" si="62"/>
        <v>175</v>
      </c>
      <c r="AJ252" s="1550">
        <f t="shared" si="55"/>
        <v>200.41343269904425</v>
      </c>
      <c r="AK252" s="1554">
        <f t="shared" si="56"/>
        <v>9.4691656089648149</v>
      </c>
      <c r="AN252" s="42">
        <f t="shared" si="57"/>
        <v>112.41343269904425</v>
      </c>
      <c r="AO252">
        <f t="shared" si="58"/>
        <v>9.4691656089648149</v>
      </c>
    </row>
    <row r="253" spans="2:41">
      <c r="B253" s="1542">
        <f t="shared" si="60"/>
        <v>180</v>
      </c>
      <c r="C253" s="1555">
        <f t="shared" si="59"/>
        <v>50</v>
      </c>
      <c r="D253" s="1550">
        <f t="shared" si="47"/>
        <v>9.157285460706616E-15</v>
      </c>
      <c r="G253" s="111">
        <f t="shared" si="48"/>
        <v>28</v>
      </c>
      <c r="H253">
        <f t="shared" si="49"/>
        <v>9.157285460706616E-15</v>
      </c>
      <c r="R253" s="1542">
        <f t="shared" si="61"/>
        <v>180</v>
      </c>
      <c r="S253" s="1550">
        <f t="shared" si="50"/>
        <v>100</v>
      </c>
      <c r="T253" s="1554">
        <f t="shared" si="51"/>
        <v>1.0437846797290413E-14</v>
      </c>
      <c r="U253" s="1542">
        <f t="shared" si="52"/>
        <v>1.0437846797290413E-14</v>
      </c>
      <c r="W253" s="42">
        <f t="shared" si="53"/>
        <v>56</v>
      </c>
      <c r="X253" s="42">
        <f t="shared" si="54"/>
        <v>1.0437846797290413E-14</v>
      </c>
      <c r="AI253" s="1542">
        <f t="shared" si="62"/>
        <v>180</v>
      </c>
      <c r="AJ253" s="1550">
        <f t="shared" si="55"/>
        <v>200</v>
      </c>
      <c r="AK253" s="1554">
        <f t="shared" si="56"/>
        <v>1.3310808042432521E-14</v>
      </c>
      <c r="AN253" s="42">
        <f t="shared" si="57"/>
        <v>112</v>
      </c>
      <c r="AO253">
        <f t="shared" si="58"/>
        <v>1.3310808042432521E-14</v>
      </c>
    </row>
    <row r="254" spans="2:41">
      <c r="C254" s="42"/>
      <c r="D254" s="42"/>
      <c r="E254" s="42"/>
    </row>
    <row r="255" spans="2:41">
      <c r="C255" s="42"/>
      <c r="D255" s="42"/>
      <c r="E255" s="42"/>
    </row>
    <row r="256" spans="2:41">
      <c r="C256" s="42"/>
      <c r="D256" s="42"/>
      <c r="E256" s="42"/>
    </row>
    <row r="257" spans="1:48">
      <c r="A257" t="s">
        <v>184</v>
      </c>
      <c r="C257" s="42"/>
      <c r="D257" s="42"/>
      <c r="E257" s="42"/>
    </row>
    <row r="258" spans="1:48">
      <c r="C258" s="42"/>
      <c r="D258" s="42"/>
      <c r="E258" s="42"/>
    </row>
    <row r="259" spans="1:48" ht="18">
      <c r="C259" s="42"/>
      <c r="D259" s="42"/>
      <c r="E259" s="42"/>
      <c r="O259" s="155"/>
    </row>
    <row r="260" spans="1:48">
      <c r="C260" s="42"/>
      <c r="D260" s="42"/>
      <c r="E260" s="42"/>
      <c r="L260" s="1556" t="s">
        <v>167</v>
      </c>
      <c r="M260" s="1553"/>
      <c r="N260" s="1553"/>
      <c r="P260" s="42"/>
    </row>
    <row r="261" spans="1:48">
      <c r="C261" s="42"/>
      <c r="D261" s="42"/>
      <c r="E261" s="42"/>
      <c r="L261" s="1553"/>
      <c r="M261" s="1553"/>
      <c r="N261" s="1553"/>
      <c r="P261" s="42"/>
    </row>
    <row r="262" spans="1:48">
      <c r="C262" s="42"/>
      <c r="D262" s="42"/>
      <c r="E262" s="42"/>
      <c r="L262" s="1553"/>
      <c r="M262" s="1557" t="s">
        <v>277</v>
      </c>
      <c r="N262" s="1557" t="s">
        <v>278</v>
      </c>
    </row>
    <row r="263" spans="1:48">
      <c r="C263" s="42"/>
      <c r="D263" s="42"/>
      <c r="E263" s="42"/>
      <c r="L263" s="1553"/>
      <c r="M263" s="1558">
        <f>C202</f>
        <v>50</v>
      </c>
      <c r="N263" s="1558">
        <f>$C$201</f>
        <v>199.48858522438621</v>
      </c>
      <c r="AF263" s="21"/>
      <c r="AG263" s="21"/>
      <c r="AH263" s="21"/>
      <c r="AI263" s="21"/>
      <c r="AJ263" s="21"/>
      <c r="AL263" s="21"/>
      <c r="AM263" s="21"/>
      <c r="AN263" s="21"/>
      <c r="AO263" s="21"/>
      <c r="AP263" s="21"/>
      <c r="AS263" s="21"/>
      <c r="AT263" s="21"/>
      <c r="AU263" s="21"/>
      <c r="AV263" s="849"/>
    </row>
    <row r="264" spans="1:48">
      <c r="C264" s="42"/>
      <c r="D264" s="42"/>
      <c r="E264" s="42"/>
      <c r="L264" s="1553"/>
      <c r="M264" s="1553">
        <f>S202</f>
        <v>100</v>
      </c>
      <c r="N264" s="1554">
        <f>$S$201</f>
        <v>270.39317570814615</v>
      </c>
      <c r="AF264" s="43"/>
      <c r="AG264" s="111"/>
      <c r="AI264" s="42"/>
      <c r="AL264" s="42"/>
      <c r="AM264" s="111"/>
      <c r="AO264" s="42"/>
      <c r="AP264" s="42"/>
      <c r="AS264" s="111"/>
      <c r="AT264" s="42"/>
      <c r="AU264" s="42"/>
      <c r="AV264" s="42"/>
    </row>
    <row r="265" spans="1:48">
      <c r="C265" s="42"/>
      <c r="D265" s="42"/>
      <c r="E265" s="42"/>
      <c r="L265" s="1553"/>
      <c r="M265" s="1553">
        <f>AJ202</f>
        <v>200</v>
      </c>
      <c r="N265" s="1554">
        <f>$AJ$201</f>
        <v>417.29298174604207</v>
      </c>
      <c r="AF265" s="43"/>
      <c r="AG265" s="111"/>
      <c r="AI265" s="42"/>
      <c r="AJ265" s="42"/>
      <c r="AL265" s="42"/>
      <c r="AM265" s="111"/>
      <c r="AO265" s="42"/>
      <c r="AP265" s="42"/>
      <c r="AS265" s="111"/>
      <c r="AT265" s="42"/>
      <c r="AU265" s="42"/>
      <c r="AV265" s="42"/>
    </row>
    <row r="266" spans="1:48">
      <c r="C266" s="42"/>
      <c r="D266" s="42"/>
      <c r="E266" s="42"/>
      <c r="L266" s="1542"/>
      <c r="M266" s="1542"/>
      <c r="N266" s="1542"/>
      <c r="O266" s="42"/>
      <c r="AF266" s="43"/>
      <c r="AG266" s="111"/>
      <c r="AI266" s="42"/>
      <c r="AJ266" s="42"/>
      <c r="AL266" s="42"/>
      <c r="AM266" s="111"/>
      <c r="AO266" s="42"/>
      <c r="AP266" s="42"/>
      <c r="AS266" s="111"/>
      <c r="AT266" s="42"/>
      <c r="AU266" s="42"/>
      <c r="AV266" s="42"/>
    </row>
    <row r="267" spans="1:48">
      <c r="C267" s="42"/>
      <c r="D267" s="42"/>
      <c r="E267" s="42"/>
      <c r="L267" s="1542" t="s">
        <v>259</v>
      </c>
      <c r="M267" s="1550">
        <f>SLOPE(N263:N265,M263:M265)</f>
        <v>1.4544534173207417</v>
      </c>
      <c r="N267" s="1542"/>
      <c r="O267" s="42"/>
      <c r="AF267" s="43"/>
      <c r="AG267" s="111"/>
      <c r="AI267" s="42"/>
      <c r="AJ267" s="42"/>
      <c r="AL267" s="42"/>
      <c r="AM267" s="111"/>
      <c r="AO267" s="42"/>
      <c r="AP267" s="42"/>
      <c r="AS267" s="111"/>
      <c r="AT267" s="42"/>
      <c r="AU267" s="42"/>
      <c r="AV267" s="42"/>
    </row>
    <row r="268" spans="1:48">
      <c r="C268" s="42"/>
      <c r="D268" s="42"/>
      <c r="E268" s="42"/>
      <c r="L268" s="1542" t="s">
        <v>260</v>
      </c>
      <c r="M268" s="1550">
        <f>INTERCEPT(N263:N265,M263:M265)</f>
        <v>126.03868220543825</v>
      </c>
      <c r="N268" s="1542"/>
      <c r="O268" s="42"/>
      <c r="S268" t="s">
        <v>823</v>
      </c>
      <c r="AF268" s="43"/>
      <c r="AG268" s="111"/>
      <c r="AI268" s="42"/>
      <c r="AJ268" s="42"/>
      <c r="AL268" s="42"/>
      <c r="AM268" s="111"/>
      <c r="AO268" s="42"/>
      <c r="AP268" s="42"/>
      <c r="AS268" s="111"/>
      <c r="AT268" s="42"/>
      <c r="AU268" s="42"/>
      <c r="AV268" s="42"/>
    </row>
    <row r="269" spans="1:48">
      <c r="C269" s="42"/>
      <c r="D269" s="42"/>
      <c r="E269" s="42"/>
      <c r="L269" s="1542" t="s">
        <v>262</v>
      </c>
      <c r="M269" s="1550">
        <f>IF($D$7="","",DEGREES(ASIN(($M$267-1)/($M$267+1))))</f>
        <v>10.670147865319105</v>
      </c>
      <c r="N269" s="1542"/>
      <c r="AF269" s="43"/>
      <c r="AG269" s="111"/>
      <c r="AI269" s="42"/>
      <c r="AJ269" s="42"/>
      <c r="AL269" s="42"/>
      <c r="AM269" s="111"/>
      <c r="AO269" s="42"/>
      <c r="AP269" s="42"/>
      <c r="AS269" s="111"/>
      <c r="AT269" s="42"/>
      <c r="AU269" s="42"/>
      <c r="AV269" s="42"/>
    </row>
    <row r="270" spans="1:48">
      <c r="C270" s="42"/>
      <c r="D270" s="42"/>
      <c r="E270" s="42"/>
      <c r="L270" s="1542" t="s">
        <v>261</v>
      </c>
      <c r="M270" s="1550">
        <f>IF(D7="","",($M$268*(1-SIN(RADIANS($M$269))))/(2*COS(RADIANS($M$269))))</f>
        <v>52.254530487613614</v>
      </c>
      <c r="N270" s="1542"/>
      <c r="S270" t="str">
        <f>"σ₃="&amp;M263&amp;" kPa"</f>
        <v>σ₃=50 kPa</v>
      </c>
      <c r="AF270" s="43"/>
      <c r="AG270" s="111"/>
      <c r="AI270" s="42"/>
      <c r="AJ270" s="42"/>
      <c r="AL270" s="42"/>
      <c r="AM270" s="111"/>
      <c r="AO270" s="42"/>
      <c r="AP270" s="42"/>
      <c r="AS270" s="111"/>
      <c r="AT270" s="42"/>
      <c r="AU270" s="42"/>
      <c r="AV270" s="42"/>
    </row>
    <row r="271" spans="1:48">
      <c r="C271" s="42"/>
      <c r="D271" s="42"/>
      <c r="E271" s="42"/>
      <c r="N271" s="42"/>
      <c r="S271" t="str">
        <f>"σ₃="&amp;M264&amp;" kPa"</f>
        <v>σ₃=100 kPa</v>
      </c>
      <c r="AF271" s="43"/>
      <c r="AG271" s="111"/>
      <c r="AI271" s="42"/>
      <c r="AJ271" s="42"/>
      <c r="AL271" s="42"/>
      <c r="AM271" s="111"/>
      <c r="AO271" s="42"/>
      <c r="AP271" s="42"/>
      <c r="AS271" s="111"/>
      <c r="AT271" s="42"/>
      <c r="AU271" s="42"/>
      <c r="AV271" s="42"/>
    </row>
    <row r="272" spans="1:48">
      <c r="C272" s="42"/>
      <c r="D272" s="42"/>
      <c r="E272" s="42"/>
      <c r="N272" s="42"/>
      <c r="S272" t="str">
        <f>"σ₃​="&amp;M265&amp;" kPa"</f>
        <v>σ₃​=200 kPa</v>
      </c>
      <c r="AF272" s="43"/>
      <c r="AG272" s="111"/>
      <c r="AI272" s="42"/>
      <c r="AJ272" s="42"/>
      <c r="AL272" s="42"/>
      <c r="AM272" s="111"/>
      <c r="AO272" s="42"/>
      <c r="AP272" s="42"/>
      <c r="AS272" s="111"/>
      <c r="AT272" s="42"/>
      <c r="AU272" s="42"/>
      <c r="AV272" s="42"/>
    </row>
    <row r="273" spans="3:49">
      <c r="C273" s="42"/>
      <c r="D273" s="42"/>
      <c r="E273" s="42"/>
      <c r="AF273" s="43"/>
      <c r="AG273" s="111"/>
      <c r="AI273" s="42"/>
      <c r="AJ273" s="42"/>
      <c r="AL273" s="42"/>
      <c r="AM273" s="111"/>
      <c r="AO273" s="42"/>
      <c r="AP273" s="42"/>
      <c r="AS273" s="111"/>
      <c r="AT273" s="42"/>
      <c r="AU273" s="42"/>
      <c r="AV273" s="42"/>
    </row>
    <row r="274" spans="3:49">
      <c r="C274" s="42"/>
      <c r="D274" s="42"/>
      <c r="E274" s="42"/>
      <c r="S274" t="str">
        <f>"σ₃′ ="&amp;M292&amp;" kPa"</f>
        <v>σ₃′ =28 kPa</v>
      </c>
      <c r="AF274" s="43"/>
      <c r="AG274" s="111"/>
      <c r="AI274" s="42"/>
      <c r="AJ274" s="42"/>
      <c r="AL274" s="42"/>
      <c r="AM274" s="111"/>
      <c r="AO274" s="42"/>
      <c r="AP274" s="42"/>
      <c r="AS274" s="111"/>
      <c r="AT274" s="42"/>
      <c r="AU274" s="42"/>
      <c r="AV274" s="42"/>
    </row>
    <row r="275" spans="3:49">
      <c r="C275" s="42"/>
      <c r="D275" s="42"/>
      <c r="E275" s="42"/>
      <c r="S275" t="str">
        <f>"σ₃′ ="&amp;M293&amp;" kPa"</f>
        <v>σ₃′ =56 kPa</v>
      </c>
      <c r="AF275" s="43"/>
      <c r="AG275" s="111"/>
      <c r="AI275" s="42"/>
      <c r="AJ275" s="42"/>
      <c r="AL275" s="42"/>
      <c r="AM275" s="111"/>
      <c r="AO275" s="42"/>
      <c r="AP275" s="42"/>
      <c r="AS275" s="111"/>
      <c r="AT275" s="42"/>
      <c r="AU275" s="42"/>
      <c r="AV275" s="42"/>
    </row>
    <row r="276" spans="3:49">
      <c r="C276" s="42"/>
      <c r="D276" s="42"/>
      <c r="E276" s="42"/>
      <c r="S276" s="785" t="str">
        <f>"σ₃′ ="&amp;M294&amp;" kPa"</f>
        <v>σ₃′ =112 kPa</v>
      </c>
      <c r="AF276" s="43"/>
      <c r="AG276" s="111"/>
      <c r="AI276" s="42"/>
      <c r="AJ276" s="42"/>
      <c r="AL276" s="42"/>
      <c r="AM276" s="111"/>
      <c r="AO276" s="42"/>
      <c r="AP276" s="42"/>
      <c r="AS276" s="111"/>
      <c r="AT276" s="42"/>
      <c r="AU276" s="42"/>
      <c r="AV276" s="42"/>
    </row>
    <row r="277" spans="3:49">
      <c r="C277" s="42"/>
      <c r="D277" s="42"/>
      <c r="E277" s="42"/>
      <c r="AF277" s="43"/>
      <c r="AG277" s="111"/>
      <c r="AI277" s="42"/>
      <c r="AJ277" s="42"/>
      <c r="AL277" s="42"/>
      <c r="AM277" s="111"/>
      <c r="AO277" s="42"/>
      <c r="AP277" s="42"/>
      <c r="AS277" s="111"/>
      <c r="AT277" s="42"/>
      <c r="AU277" s="42"/>
      <c r="AV277" s="42"/>
    </row>
    <row r="278" spans="3:49">
      <c r="C278" s="42"/>
      <c r="D278" s="42"/>
      <c r="E278" s="42"/>
      <c r="L278" s="1542" t="s">
        <v>263</v>
      </c>
      <c r="M278" s="1550">
        <f>M270</f>
        <v>52.254530487613614</v>
      </c>
      <c r="AF278" s="43"/>
      <c r="AG278" s="111"/>
      <c r="AI278" s="42"/>
      <c r="AJ278" s="42"/>
      <c r="AL278" s="42"/>
      <c r="AM278" s="111"/>
      <c r="AO278" s="42"/>
      <c r="AP278" s="42"/>
      <c r="AS278" s="111"/>
      <c r="AT278" s="42"/>
      <c r="AU278" s="42"/>
      <c r="AV278" s="42"/>
    </row>
    <row r="279" spans="3:49">
      <c r="C279" s="42"/>
      <c r="D279" s="42"/>
      <c r="E279" s="42"/>
      <c r="L279" s="1542" t="s">
        <v>262</v>
      </c>
      <c r="M279" s="1550">
        <f>M269</f>
        <v>10.670147865319105</v>
      </c>
      <c r="S279" t="s">
        <v>824</v>
      </c>
      <c r="AF279" s="43"/>
      <c r="AG279" s="111"/>
      <c r="AI279" s="42"/>
      <c r="AJ279" s="42"/>
      <c r="AL279" s="42"/>
      <c r="AM279" s="111"/>
      <c r="AO279" s="42"/>
      <c r="AP279" s="42"/>
      <c r="AS279" s="111"/>
      <c r="AT279" s="42"/>
      <c r="AU279" s="42"/>
      <c r="AV279" s="42"/>
    </row>
    <row r="280" spans="3:49">
      <c r="C280" s="42"/>
      <c r="D280" s="42"/>
      <c r="E280" s="42"/>
      <c r="L280" s="1542"/>
      <c r="M280" s="1542"/>
      <c r="S280" t="s">
        <v>831</v>
      </c>
      <c r="AF280" s="43"/>
      <c r="AG280" s="111"/>
      <c r="AI280" s="42"/>
      <c r="AJ280" s="42"/>
      <c r="AL280" s="42"/>
      <c r="AM280" s="111"/>
      <c r="AO280" s="42"/>
      <c r="AP280" s="42"/>
      <c r="AS280" s="111"/>
      <c r="AT280" s="42"/>
      <c r="AU280" s="42"/>
      <c r="AV280" s="42"/>
    </row>
    <row r="281" spans="3:49">
      <c r="C281" s="42"/>
      <c r="D281" s="42"/>
      <c r="E281" s="42"/>
      <c r="L281" s="1553" t="s">
        <v>132</v>
      </c>
      <c r="M281" s="1553" t="s">
        <v>133</v>
      </c>
      <c r="N281" s="801"/>
      <c r="AF281" s="43"/>
      <c r="AG281" s="111"/>
      <c r="AI281" s="42"/>
      <c r="AJ281" s="42"/>
      <c r="AL281" s="42"/>
      <c r="AM281" s="111"/>
      <c r="AO281" s="42"/>
      <c r="AP281" s="42"/>
      <c r="AS281" s="111"/>
      <c r="AT281" s="42"/>
      <c r="AU281" s="42"/>
      <c r="AV281" s="42"/>
    </row>
    <row r="282" spans="3:49">
      <c r="C282" s="42"/>
      <c r="D282" s="42"/>
      <c r="E282" s="42"/>
      <c r="L282" s="1542">
        <v>0</v>
      </c>
      <c r="M282" s="1550">
        <f t="shared" ref="M282:M288" si="63">IF($D$7="","",$M$278+(L282*TAN(RADIANS($M$279))))</f>
        <v>52.254530487613614</v>
      </c>
      <c r="AF282" s="43"/>
      <c r="AG282" s="111"/>
      <c r="AI282" s="42"/>
      <c r="AJ282" s="42"/>
      <c r="AL282" s="42"/>
      <c r="AM282" s="111"/>
      <c r="AO282" s="42"/>
      <c r="AP282" s="42"/>
      <c r="AS282" s="111"/>
      <c r="AT282" s="42"/>
      <c r="AU282" s="42"/>
      <c r="AV282" s="42"/>
    </row>
    <row r="283" spans="3:49">
      <c r="C283" s="42"/>
      <c r="D283" s="42"/>
      <c r="E283" s="42"/>
      <c r="L283" s="1542">
        <v>50</v>
      </c>
      <c r="M283" s="1550">
        <f t="shared" si="63"/>
        <v>61.675150227147142</v>
      </c>
      <c r="S283" t="s">
        <v>601</v>
      </c>
      <c r="T283" s="19" t="s">
        <v>835</v>
      </c>
      <c r="AF283" s="43"/>
      <c r="AG283" s="111"/>
      <c r="AI283" s="42"/>
      <c r="AJ283" s="42"/>
      <c r="AL283" s="42"/>
      <c r="AM283" s="111"/>
      <c r="AO283" s="42"/>
      <c r="AP283" s="42"/>
      <c r="AS283" s="111"/>
      <c r="AT283" s="42"/>
      <c r="AU283" s="42"/>
      <c r="AV283" s="42"/>
    </row>
    <row r="284" spans="3:49">
      <c r="C284" s="42"/>
      <c r="D284" s="42"/>
      <c r="E284" s="42"/>
      <c r="L284" s="1542">
        <v>100</v>
      </c>
      <c r="M284" s="1550">
        <f t="shared" si="63"/>
        <v>71.095769966680663</v>
      </c>
      <c r="S284" s="19" t="s">
        <v>833</v>
      </c>
      <c r="T284" s="19" t="s">
        <v>834</v>
      </c>
      <c r="AF284" s="43"/>
      <c r="AG284" s="111"/>
      <c r="AI284" s="42"/>
      <c r="AJ284" s="42"/>
      <c r="AL284" s="42"/>
      <c r="AM284" s="111"/>
      <c r="AO284" s="42"/>
      <c r="AP284" s="42"/>
      <c r="AS284" s="111"/>
      <c r="AT284" s="42"/>
      <c r="AU284" s="42"/>
      <c r="AV284" s="42"/>
    </row>
    <row r="285" spans="3:49">
      <c r="C285" s="42"/>
      <c r="D285" s="42"/>
      <c r="E285" s="42"/>
      <c r="L285" s="1542">
        <v>200</v>
      </c>
      <c r="M285" s="1550">
        <f t="shared" si="63"/>
        <v>89.937009445747719</v>
      </c>
      <c r="AF285" s="43"/>
      <c r="AG285" s="111"/>
      <c r="AI285" s="851"/>
      <c r="AJ285" s="851"/>
      <c r="AK285" s="822"/>
      <c r="AL285" s="851"/>
      <c r="AM285" s="852"/>
      <c r="AN285" s="853"/>
      <c r="AO285" s="854"/>
      <c r="AP285" s="854"/>
      <c r="AQ285" s="853"/>
      <c r="AR285" s="853"/>
      <c r="AS285" s="111"/>
      <c r="AT285" s="42"/>
      <c r="AU285" s="42"/>
      <c r="AV285" s="42"/>
    </row>
    <row r="286" spans="3:49">
      <c r="C286" s="42"/>
      <c r="D286" s="42"/>
      <c r="E286" s="42"/>
      <c r="L286" s="1542">
        <v>300</v>
      </c>
      <c r="M286" s="1550">
        <f t="shared" si="63"/>
        <v>108.77824892481478</v>
      </c>
      <c r="AF286" s="43"/>
      <c r="AG286" s="111"/>
      <c r="AI286" s="42"/>
      <c r="AJ286" s="42"/>
      <c r="AL286" s="42"/>
      <c r="AM286" s="111"/>
      <c r="AO286" s="42"/>
      <c r="AP286" s="42"/>
      <c r="AS286" s="111"/>
      <c r="AT286" s="42"/>
      <c r="AU286" s="42"/>
      <c r="AV286" s="42"/>
    </row>
    <row r="287" spans="3:49">
      <c r="C287" s="42"/>
      <c r="D287" s="42"/>
      <c r="E287" s="42"/>
      <c r="L287" s="1542">
        <v>400</v>
      </c>
      <c r="M287" s="1550">
        <f t="shared" si="63"/>
        <v>127.61948840388183</v>
      </c>
      <c r="S287" s="793" t="s">
        <v>836</v>
      </c>
      <c r="AF287" s="43"/>
      <c r="AG287" s="111"/>
      <c r="AI287" s="42"/>
      <c r="AJ287" s="42"/>
      <c r="AL287" s="42"/>
      <c r="AM287" s="111"/>
      <c r="AO287" s="42"/>
      <c r="AP287" s="42"/>
      <c r="AS287" s="111"/>
      <c r="AT287" s="42"/>
      <c r="AU287" s="42"/>
      <c r="AV287" s="42"/>
    </row>
    <row r="288" spans="3:49">
      <c r="C288" s="42"/>
      <c r="D288" s="42"/>
      <c r="E288" s="42"/>
      <c r="L288" s="1542">
        <v>500</v>
      </c>
      <c r="M288" s="1550">
        <f t="shared" si="63"/>
        <v>146.46072788294887</v>
      </c>
      <c r="AF288" s="43"/>
      <c r="AG288" s="111"/>
      <c r="AI288" s="42">
        <f t="shared" ref="AI288:AI317" si="64">D130</f>
        <v>0</v>
      </c>
      <c r="AJ288" s="42">
        <f t="shared" ref="AJ288:AJ317" si="65">G130</f>
        <v>190</v>
      </c>
      <c r="AK288">
        <f>IF($D$7="",NA(),AJ288)</f>
        <v>190</v>
      </c>
      <c r="AL288" s="42">
        <f t="shared" ref="AL288:AL317" si="66">I130</f>
        <v>0</v>
      </c>
      <c r="AM288" s="853">
        <f t="shared" ref="AM288:AM317" si="67">IF($D$7="",NA(),AL288)</f>
        <v>0</v>
      </c>
      <c r="AN288" s="42">
        <f t="shared" ref="AN288:AN318" si="68">T130</f>
        <v>0</v>
      </c>
      <c r="AO288" s="42">
        <f t="shared" ref="AO288:AO318" si="69">W130</f>
        <v>190</v>
      </c>
      <c r="AP288">
        <f t="shared" ref="AP288:AP318" si="70">IF($D$7="",NA(),AO288)</f>
        <v>190</v>
      </c>
      <c r="AQ288">
        <f t="shared" ref="AQ288:AQ318" si="71">Y130</f>
        <v>0</v>
      </c>
      <c r="AR288" s="853">
        <f t="shared" ref="AR288:AR318" si="72">IF($D$7="",NA(),AQ288)</f>
        <v>0</v>
      </c>
      <c r="AS288" s="111">
        <f t="shared" ref="AS288:AS316" si="73">AK130</f>
        <v>0</v>
      </c>
      <c r="AT288" s="42">
        <f t="shared" ref="AT288:AT316" si="74">AN130</f>
        <v>190</v>
      </c>
      <c r="AU288">
        <f t="shared" ref="AU288:AU316" si="75">IF($D$7="",NA(),AT288)</f>
        <v>190</v>
      </c>
      <c r="AV288" s="42">
        <f t="shared" ref="AV288:AV316" si="76">AP130</f>
        <v>0</v>
      </c>
      <c r="AW288" s="853">
        <f t="shared" ref="AW288:AW316" si="77">IF($D$7="",NA(),AV288)</f>
        <v>0</v>
      </c>
    </row>
    <row r="289" spans="3:49">
      <c r="C289" s="42"/>
      <c r="D289" s="42"/>
      <c r="E289" s="42"/>
      <c r="AF289" s="43"/>
      <c r="AG289" s="111"/>
      <c r="AI289" s="42">
        <f t="shared" si="64"/>
        <v>0.13900102318801055</v>
      </c>
      <c r="AJ289" s="42">
        <f t="shared" si="65"/>
        <v>192.5</v>
      </c>
      <c r="AK289">
        <f t="shared" ref="AK289:AK317" si="78">IF($D$7="",NA(),AJ289)</f>
        <v>192.5</v>
      </c>
      <c r="AL289" s="42">
        <f t="shared" si="66"/>
        <v>32.172869525735706</v>
      </c>
      <c r="AM289" s="853">
        <f t="shared" si="67"/>
        <v>32.172869525735706</v>
      </c>
      <c r="AN289" s="42">
        <f t="shared" si="68"/>
        <v>0.13472744583272231</v>
      </c>
      <c r="AO289" s="42">
        <f t="shared" si="69"/>
        <v>194</v>
      </c>
      <c r="AP289">
        <f t="shared" si="70"/>
        <v>194</v>
      </c>
      <c r="AQ289">
        <f t="shared" si="71"/>
        <v>22.756689802609941</v>
      </c>
      <c r="AR289" s="853">
        <f t="shared" si="72"/>
        <v>22.756689802609941</v>
      </c>
      <c r="AS289" s="111">
        <f t="shared" si="73"/>
        <v>0.13345846419951249</v>
      </c>
      <c r="AT289" s="42">
        <f t="shared" si="74"/>
        <v>194.8</v>
      </c>
      <c r="AU289">
        <f t="shared" si="75"/>
        <v>194.8</v>
      </c>
      <c r="AV289" s="42">
        <f t="shared" si="76"/>
        <v>39.112250434018655</v>
      </c>
      <c r="AW289" s="853">
        <f t="shared" si="77"/>
        <v>39.112250434018655</v>
      </c>
    </row>
    <row r="290" spans="3:49">
      <c r="L290" s="116" t="s">
        <v>279</v>
      </c>
      <c r="AF290" s="43"/>
      <c r="AG290" s="111"/>
      <c r="AI290" s="42">
        <f t="shared" si="64"/>
        <v>0.27800204637602111</v>
      </c>
      <c r="AJ290" s="42">
        <f t="shared" si="65"/>
        <v>193.3</v>
      </c>
      <c r="AK290">
        <f t="shared" si="78"/>
        <v>193.3</v>
      </c>
      <c r="AL290" s="42">
        <f t="shared" si="66"/>
        <v>28.02294549951068</v>
      </c>
      <c r="AM290" s="853">
        <f t="shared" si="67"/>
        <v>28.02294549951068</v>
      </c>
      <c r="AN290" s="42">
        <f t="shared" si="68"/>
        <v>0.26945489166544462</v>
      </c>
      <c r="AO290" s="42">
        <f t="shared" si="69"/>
        <v>195.5</v>
      </c>
      <c r="AP290">
        <f t="shared" si="70"/>
        <v>195.5</v>
      </c>
      <c r="AQ290">
        <f t="shared" si="71"/>
        <v>51.536170335660479</v>
      </c>
      <c r="AR290" s="853">
        <f t="shared" si="72"/>
        <v>51.536170335660479</v>
      </c>
      <c r="AS290" s="111">
        <f t="shared" si="73"/>
        <v>0.26691692839902498</v>
      </c>
      <c r="AT290" s="42">
        <f t="shared" si="74"/>
        <v>198.6</v>
      </c>
      <c r="AU290">
        <f t="shared" si="75"/>
        <v>198.6</v>
      </c>
      <c r="AV290" s="42">
        <f t="shared" si="76"/>
        <v>81.701162827581356</v>
      </c>
      <c r="AW290" s="853">
        <f t="shared" si="77"/>
        <v>81.701162827581356</v>
      </c>
    </row>
    <row r="291" spans="3:49">
      <c r="M291" s="300" t="s">
        <v>264</v>
      </c>
      <c r="N291" s="300" t="s">
        <v>264</v>
      </c>
      <c r="AF291" s="43"/>
      <c r="AG291" s="111"/>
      <c r="AI291" s="42">
        <f t="shared" si="64"/>
        <v>0.55600409275204221</v>
      </c>
      <c r="AJ291" s="42">
        <f t="shared" si="65"/>
        <v>194.6</v>
      </c>
      <c r="AK291">
        <f t="shared" si="78"/>
        <v>194.6</v>
      </c>
      <c r="AL291" s="42">
        <f t="shared" si="66"/>
        <v>50.896644450853614</v>
      </c>
      <c r="AM291" s="853">
        <f t="shared" si="67"/>
        <v>50.896644450853614</v>
      </c>
      <c r="AN291" s="42">
        <f t="shared" si="68"/>
        <v>0.53890978333088924</v>
      </c>
      <c r="AO291" s="42">
        <f t="shared" si="69"/>
        <v>199.1</v>
      </c>
      <c r="AP291">
        <f t="shared" si="70"/>
        <v>199.1</v>
      </c>
      <c r="AQ291">
        <f t="shared" si="71"/>
        <v>84.551592645823021</v>
      </c>
      <c r="AR291" s="853">
        <f t="shared" si="72"/>
        <v>84.551592645823021</v>
      </c>
      <c r="AS291" s="111">
        <f t="shared" si="73"/>
        <v>0.53383385679804995</v>
      </c>
      <c r="AT291" s="42">
        <f t="shared" si="74"/>
        <v>204.6</v>
      </c>
      <c r="AU291">
        <f t="shared" si="75"/>
        <v>204.6</v>
      </c>
      <c r="AV291" s="42">
        <f t="shared" si="76"/>
        <v>118.33015443622463</v>
      </c>
      <c r="AW291" s="853">
        <f t="shared" si="77"/>
        <v>118.33015443622463</v>
      </c>
    </row>
    <row r="292" spans="3:49">
      <c r="M292" s="42">
        <f>C204</f>
        <v>28</v>
      </c>
      <c r="N292" s="42">
        <f>C203</f>
        <v>177.48858522438621</v>
      </c>
      <c r="AF292" s="43"/>
      <c r="AG292" s="111"/>
      <c r="AI292" s="42">
        <f t="shared" si="64"/>
        <v>0.83400613912806321</v>
      </c>
      <c r="AJ292" s="42">
        <f t="shared" si="65"/>
        <v>196</v>
      </c>
      <c r="AK292">
        <f t="shared" si="78"/>
        <v>196</v>
      </c>
      <c r="AL292" s="42">
        <f t="shared" si="66"/>
        <v>76.492618859333604</v>
      </c>
      <c r="AM292" s="853">
        <f t="shared" si="67"/>
        <v>76.492618859333604</v>
      </c>
      <c r="AN292" s="42">
        <f t="shared" si="68"/>
        <v>0.80836467499633358</v>
      </c>
      <c r="AO292" s="42">
        <f t="shared" si="69"/>
        <v>201.8</v>
      </c>
      <c r="AP292">
        <f t="shared" si="70"/>
        <v>201.8</v>
      </c>
      <c r="AQ292">
        <f t="shared" si="71"/>
        <v>105.62941892137292</v>
      </c>
      <c r="AR292" s="853">
        <f t="shared" si="72"/>
        <v>105.62941892137292</v>
      </c>
      <c r="AS292" s="111">
        <f t="shared" si="73"/>
        <v>0.80075078519707477</v>
      </c>
      <c r="AT292" s="42">
        <f t="shared" si="74"/>
        <v>213.2</v>
      </c>
      <c r="AU292">
        <f t="shared" si="75"/>
        <v>213.2</v>
      </c>
      <c r="AV292" s="42">
        <f t="shared" si="76"/>
        <v>143.66007115046528</v>
      </c>
      <c r="AW292" s="853">
        <f t="shared" si="77"/>
        <v>143.66007115046528</v>
      </c>
    </row>
    <row r="293" spans="3:49">
      <c r="M293" s="42">
        <f>S204</f>
        <v>56</v>
      </c>
      <c r="N293" s="42">
        <f>S203</f>
        <v>226.39317570814615</v>
      </c>
      <c r="AF293" s="43"/>
      <c r="AG293" s="111"/>
      <c r="AI293" s="42">
        <f t="shared" si="64"/>
        <v>1.1120081855040844</v>
      </c>
      <c r="AJ293" s="42">
        <f t="shared" si="65"/>
        <v>197.5</v>
      </c>
      <c r="AK293">
        <f t="shared" si="78"/>
        <v>197.5</v>
      </c>
      <c r="AL293" s="42">
        <f t="shared" si="66"/>
        <v>84.980895971290664</v>
      </c>
      <c r="AM293" s="853">
        <f t="shared" si="67"/>
        <v>84.980895971290664</v>
      </c>
      <c r="AN293" s="42">
        <f t="shared" si="68"/>
        <v>1.0778195666617785</v>
      </c>
      <c r="AO293" s="111">
        <f t="shared" si="69"/>
        <v>205.7</v>
      </c>
      <c r="AP293">
        <f t="shared" si="70"/>
        <v>205.7</v>
      </c>
      <c r="AQ293">
        <f t="shared" si="71"/>
        <v>125.25552660060487</v>
      </c>
      <c r="AR293" s="853">
        <f t="shared" si="72"/>
        <v>125.25552660060487</v>
      </c>
      <c r="AS293" s="42">
        <f t="shared" si="73"/>
        <v>1.0676677135960999</v>
      </c>
      <c r="AT293" s="111">
        <f t="shared" si="74"/>
        <v>218</v>
      </c>
      <c r="AU293">
        <f t="shared" si="75"/>
        <v>218</v>
      </c>
      <c r="AV293">
        <f t="shared" si="76"/>
        <v>170.72833500140825</v>
      </c>
      <c r="AW293" s="853">
        <f t="shared" si="77"/>
        <v>170.72833500140825</v>
      </c>
    </row>
    <row r="294" spans="3:49">
      <c r="M294" s="42">
        <f>AJ204</f>
        <v>112</v>
      </c>
      <c r="N294" s="42">
        <f>AJ203</f>
        <v>329.29298174604207</v>
      </c>
      <c r="AF294" s="43"/>
      <c r="AG294" s="111"/>
      <c r="AI294" s="42">
        <f t="shared" si="64"/>
        <v>1.3900102318801055</v>
      </c>
      <c r="AJ294" s="42">
        <f t="shared" si="65"/>
        <v>198.4</v>
      </c>
      <c r="AK294">
        <f t="shared" si="78"/>
        <v>198.4</v>
      </c>
      <c r="AL294" s="42">
        <f t="shared" si="66"/>
        <v>91.998311859045145</v>
      </c>
      <c r="AM294" s="853">
        <f t="shared" si="67"/>
        <v>91.998311859045145</v>
      </c>
      <c r="AN294" s="42">
        <f t="shared" si="68"/>
        <v>1.3472744583272229</v>
      </c>
      <c r="AO294" s="111">
        <f t="shared" si="69"/>
        <v>210</v>
      </c>
      <c r="AP294">
        <f t="shared" si="70"/>
        <v>210</v>
      </c>
      <c r="AQ294">
        <f t="shared" si="71"/>
        <v>132.72301389893315</v>
      </c>
      <c r="AR294" s="853">
        <f t="shared" si="72"/>
        <v>132.72301389893315</v>
      </c>
      <c r="AS294" s="42">
        <f t="shared" si="73"/>
        <v>1.3345846419951246</v>
      </c>
      <c r="AT294" s="111">
        <f t="shared" si="74"/>
        <v>224.8</v>
      </c>
      <c r="AU294">
        <f t="shared" si="75"/>
        <v>224.8</v>
      </c>
      <c r="AV294">
        <f t="shared" si="76"/>
        <v>182.64835666741789</v>
      </c>
      <c r="AW294" s="853">
        <f t="shared" si="77"/>
        <v>182.64835666741789</v>
      </c>
    </row>
    <row r="295" spans="3:49">
      <c r="AF295" s="43"/>
      <c r="AI295" s="42">
        <f t="shared" si="64"/>
        <v>1.6680122782561264</v>
      </c>
      <c r="AJ295" s="111">
        <f t="shared" si="65"/>
        <v>200</v>
      </c>
      <c r="AK295">
        <f t="shared" si="78"/>
        <v>200</v>
      </c>
      <c r="AL295">
        <f t="shared" si="66"/>
        <v>99.957833400324461</v>
      </c>
      <c r="AM295" s="853">
        <f t="shared" si="67"/>
        <v>99.957833400324461</v>
      </c>
      <c r="AN295" s="42">
        <f t="shared" si="68"/>
        <v>1.6167293499926672</v>
      </c>
      <c r="AO295" s="111">
        <f t="shared" si="69"/>
        <v>215</v>
      </c>
      <c r="AP295">
        <f t="shared" si="70"/>
        <v>215</v>
      </c>
      <c r="AQ295">
        <f t="shared" si="71"/>
        <v>140.18985521114206</v>
      </c>
      <c r="AR295" s="853">
        <f t="shared" si="72"/>
        <v>140.18985521114206</v>
      </c>
      <c r="AS295" s="42">
        <f t="shared" si="73"/>
        <v>1.6015015703941495</v>
      </c>
      <c r="AT295" s="111">
        <f t="shared" si="74"/>
        <v>227.8</v>
      </c>
      <c r="AU295">
        <f t="shared" si="75"/>
        <v>227.8</v>
      </c>
      <c r="AV295">
        <f t="shared" si="76"/>
        <v>190.22257323298905</v>
      </c>
      <c r="AW295" s="853">
        <f t="shared" si="77"/>
        <v>190.22257323298905</v>
      </c>
    </row>
    <row r="296" spans="3:49">
      <c r="L296" t="s">
        <v>259</v>
      </c>
      <c r="M296">
        <f>SLOPE(N292:N294,M292:M294)</f>
        <v>1.8115239595013248</v>
      </c>
      <c r="AF296" s="43"/>
      <c r="AI296" s="42">
        <f t="shared" si="64"/>
        <v>1.9460143246321477</v>
      </c>
      <c r="AJ296" s="111">
        <f t="shared" si="65"/>
        <v>201.2</v>
      </c>
      <c r="AK296">
        <f t="shared" si="78"/>
        <v>201.2</v>
      </c>
      <c r="AL296">
        <f t="shared" si="66"/>
        <v>108.02008503368103</v>
      </c>
      <c r="AM296" s="853">
        <f t="shared" si="67"/>
        <v>108.02008503368103</v>
      </c>
      <c r="AN296" s="42">
        <f t="shared" si="68"/>
        <v>1.886184241658112</v>
      </c>
      <c r="AO296" s="111">
        <f t="shared" si="69"/>
        <v>219</v>
      </c>
      <c r="AP296">
        <f t="shared" si="70"/>
        <v>219</v>
      </c>
      <c r="AQ296">
        <f t="shared" si="71"/>
        <v>146.54081836752269</v>
      </c>
      <c r="AR296" s="853">
        <f t="shared" si="72"/>
        <v>146.54081836752269</v>
      </c>
      <c r="AS296" s="42">
        <f t="shared" si="73"/>
        <v>1.8684184987931742</v>
      </c>
      <c r="AT296" s="111">
        <f t="shared" si="74"/>
        <v>231</v>
      </c>
      <c r="AU296">
        <f t="shared" si="75"/>
        <v>231</v>
      </c>
      <c r="AV296">
        <f t="shared" si="76"/>
        <v>195.81013731447291</v>
      </c>
      <c r="AW296" s="853">
        <f t="shared" si="77"/>
        <v>195.81013731447291</v>
      </c>
    </row>
    <row r="297" spans="3:49">
      <c r="L297" t="s">
        <v>260</v>
      </c>
      <c r="M297">
        <f>INTERCEPT(N292:N294,M292:M294)</f>
        <v>126.03868220543823</v>
      </c>
      <c r="AF297" s="43"/>
      <c r="AI297" s="42">
        <f t="shared" si="64"/>
        <v>2.2240163710081688</v>
      </c>
      <c r="AJ297" s="111">
        <f t="shared" si="65"/>
        <v>202.3</v>
      </c>
      <c r="AK297">
        <f t="shared" si="78"/>
        <v>202.3</v>
      </c>
      <c r="AL297">
        <f t="shared" si="66"/>
        <v>114.29752597847606</v>
      </c>
      <c r="AM297" s="853">
        <f t="shared" si="67"/>
        <v>114.29752597847606</v>
      </c>
      <c r="AN297" s="42">
        <f t="shared" si="68"/>
        <v>2.1556391333235569</v>
      </c>
      <c r="AO297" s="111">
        <f t="shared" si="69"/>
        <v>223</v>
      </c>
      <c r="AP297">
        <f t="shared" si="70"/>
        <v>223</v>
      </c>
      <c r="AQ297">
        <f t="shared" si="71"/>
        <v>150.54933965017838</v>
      </c>
      <c r="AR297" s="853">
        <f t="shared" si="72"/>
        <v>150.54933965017838</v>
      </c>
      <c r="AS297" s="42">
        <f t="shared" si="73"/>
        <v>2.1353354271921998</v>
      </c>
      <c r="AT297" s="111">
        <f t="shared" si="74"/>
        <v>234.4</v>
      </c>
      <c r="AU297">
        <f t="shared" si="75"/>
        <v>234.4</v>
      </c>
      <c r="AV297">
        <f t="shared" si="76"/>
        <v>198.91438120413395</v>
      </c>
      <c r="AW297" s="853">
        <f t="shared" si="77"/>
        <v>198.91438120413395</v>
      </c>
    </row>
    <row r="298" spans="3:49">
      <c r="L298" t="s">
        <v>262</v>
      </c>
      <c r="M298">
        <f>IF($D$7="","",DEGREES(ASIN((M296-1)/(M296+1))))</f>
        <v>16.776673295269003</v>
      </c>
      <c r="N298" s="850"/>
      <c r="AF298" s="43"/>
      <c r="AI298" s="42">
        <f t="shared" si="64"/>
        <v>2.5020184173841895</v>
      </c>
      <c r="AJ298" s="111">
        <f t="shared" si="65"/>
        <v>202.8</v>
      </c>
      <c r="AK298">
        <f t="shared" si="78"/>
        <v>202.8</v>
      </c>
      <c r="AL298">
        <f t="shared" si="66"/>
        <v>122.25077110185219</v>
      </c>
      <c r="AM298" s="853">
        <f t="shared" si="67"/>
        <v>122.25077110185219</v>
      </c>
      <c r="AN298" s="42">
        <f t="shared" si="68"/>
        <v>2.4250940249890012</v>
      </c>
      <c r="AO298" s="111">
        <f t="shared" si="69"/>
        <v>226.9</v>
      </c>
      <c r="AP298">
        <f t="shared" si="70"/>
        <v>226.9</v>
      </c>
      <c r="AQ298">
        <f t="shared" si="71"/>
        <v>153.21932992432195</v>
      </c>
      <c r="AR298" s="853">
        <f t="shared" si="72"/>
        <v>153.21932992432195</v>
      </c>
      <c r="AS298" s="42">
        <f t="shared" si="73"/>
        <v>2.4022523555912243</v>
      </c>
      <c r="AT298" s="111">
        <f t="shared" si="74"/>
        <v>237.8</v>
      </c>
      <c r="AU298">
        <f t="shared" si="75"/>
        <v>237.8</v>
      </c>
      <c r="AV298">
        <f t="shared" si="76"/>
        <v>201.6461293313499</v>
      </c>
      <c r="AW298" s="853">
        <f t="shared" si="77"/>
        <v>201.6461293313499</v>
      </c>
    </row>
    <row r="299" spans="3:49">
      <c r="L299" t="s">
        <v>261</v>
      </c>
      <c r="M299" s="42">
        <f>IF($D$7="","",(M297*(1-SIN(RADIANS(M298))))/(2*COS(RADIANS(M298))))</f>
        <v>46.822200125591863</v>
      </c>
      <c r="N299" s="850"/>
      <c r="AI299" s="42">
        <f t="shared" si="64"/>
        <v>2.7800204637602111</v>
      </c>
      <c r="AJ299" s="111">
        <f t="shared" si="65"/>
        <v>203.7</v>
      </c>
      <c r="AK299">
        <f t="shared" si="78"/>
        <v>203.7</v>
      </c>
      <c r="AL299">
        <f t="shared" si="66"/>
        <v>127.68584347614329</v>
      </c>
      <c r="AM299" s="853">
        <f t="shared" si="67"/>
        <v>127.68584347614329</v>
      </c>
      <c r="AN299" s="42">
        <f t="shared" si="68"/>
        <v>2.6945489166544458</v>
      </c>
      <c r="AO299" s="111">
        <f t="shared" si="69"/>
        <v>229</v>
      </c>
      <c r="AP299">
        <f t="shared" si="70"/>
        <v>229</v>
      </c>
      <c r="AQ299">
        <f t="shared" si="71"/>
        <v>155.88905938760806</v>
      </c>
      <c r="AR299" s="853">
        <f t="shared" si="72"/>
        <v>155.88905938760806</v>
      </c>
      <c r="AS299" s="42">
        <f t="shared" si="73"/>
        <v>2.6691692839902492</v>
      </c>
      <c r="AT299" s="111">
        <f t="shared" si="74"/>
        <v>242</v>
      </c>
      <c r="AU299">
        <f t="shared" si="75"/>
        <v>242</v>
      </c>
      <c r="AV299">
        <f t="shared" si="76"/>
        <v>203.75704843856482</v>
      </c>
      <c r="AW299" s="853">
        <f t="shared" si="77"/>
        <v>203.75704843856482</v>
      </c>
    </row>
    <row r="300" spans="3:49">
      <c r="AI300" s="42">
        <f t="shared" si="64"/>
        <v>3.0580225101362322</v>
      </c>
      <c r="AJ300" s="111">
        <f t="shared" si="65"/>
        <v>204.3</v>
      </c>
      <c r="AK300">
        <f t="shared" si="78"/>
        <v>204.3</v>
      </c>
      <c r="AL300">
        <f t="shared" si="66"/>
        <v>132.70009970963969</v>
      </c>
      <c r="AM300" s="853">
        <f t="shared" si="67"/>
        <v>132.70009970963969</v>
      </c>
      <c r="AN300" s="42">
        <f t="shared" si="68"/>
        <v>2.9640038083198905</v>
      </c>
      <c r="AO300" s="111">
        <f t="shared" si="69"/>
        <v>230</v>
      </c>
      <c r="AP300">
        <f t="shared" si="70"/>
        <v>230</v>
      </c>
      <c r="AQ300">
        <f t="shared" si="71"/>
        <v>157.66649481263909</v>
      </c>
      <c r="AR300" s="853">
        <f t="shared" si="72"/>
        <v>157.66649481263909</v>
      </c>
      <c r="AS300" s="42">
        <f t="shared" si="73"/>
        <v>2.9360862123892746</v>
      </c>
      <c r="AT300" s="111">
        <f t="shared" si="74"/>
        <v>245.3</v>
      </c>
      <c r="AU300">
        <f t="shared" si="75"/>
        <v>245.3</v>
      </c>
      <c r="AV300">
        <f t="shared" si="76"/>
        <v>205.49547060495698</v>
      </c>
      <c r="AW300" s="853">
        <f t="shared" si="77"/>
        <v>205.49547060495698</v>
      </c>
    </row>
    <row r="301" spans="3:49">
      <c r="AI301" s="42">
        <f t="shared" si="64"/>
        <v>3.3360245565122528</v>
      </c>
      <c r="AJ301" s="111">
        <f t="shared" si="65"/>
        <v>205.7</v>
      </c>
      <c r="AK301">
        <f t="shared" si="78"/>
        <v>205.7</v>
      </c>
      <c r="AL301">
        <f t="shared" si="66"/>
        <v>136.87447839937516</v>
      </c>
      <c r="AM301" s="853">
        <f t="shared" si="67"/>
        <v>136.87447839937516</v>
      </c>
      <c r="AN301" s="42">
        <f t="shared" si="68"/>
        <v>3.2334586999853343</v>
      </c>
      <c r="AO301" s="111">
        <f t="shared" si="69"/>
        <v>231</v>
      </c>
      <c r="AP301">
        <f t="shared" si="70"/>
        <v>231</v>
      </c>
      <c r="AQ301">
        <f t="shared" si="71"/>
        <v>159.8897378625706</v>
      </c>
      <c r="AR301" s="853">
        <f t="shared" si="72"/>
        <v>159.8897378625706</v>
      </c>
      <c r="AS301" s="42">
        <f t="shared" si="73"/>
        <v>3.2030031407882991</v>
      </c>
      <c r="AT301" s="111">
        <f t="shared" si="74"/>
        <v>249</v>
      </c>
      <c r="AU301">
        <f t="shared" si="75"/>
        <v>249</v>
      </c>
      <c r="AV301">
        <f t="shared" si="76"/>
        <v>207.23389485501033</v>
      </c>
      <c r="AW301" s="853">
        <f t="shared" si="77"/>
        <v>207.23389485501033</v>
      </c>
    </row>
    <row r="302" spans="3:49">
      <c r="L302" t="s">
        <v>263</v>
      </c>
      <c r="M302" s="42">
        <f>M299</f>
        <v>46.822200125591863</v>
      </c>
      <c r="AI302" s="42">
        <f t="shared" si="64"/>
        <v>3.6140266028882739</v>
      </c>
      <c r="AJ302" s="111">
        <f t="shared" si="65"/>
        <v>207.5</v>
      </c>
      <c r="AK302">
        <f t="shared" si="78"/>
        <v>207.5</v>
      </c>
      <c r="AL302">
        <f t="shared" si="66"/>
        <v>140.62846770944972</v>
      </c>
      <c r="AM302" s="853">
        <f t="shared" si="67"/>
        <v>140.62846770944972</v>
      </c>
      <c r="AN302" s="42">
        <f t="shared" si="68"/>
        <v>3.5029135916507794</v>
      </c>
      <c r="AO302" s="111">
        <f t="shared" si="69"/>
        <v>232</v>
      </c>
      <c r="AP302">
        <f t="shared" si="70"/>
        <v>232</v>
      </c>
      <c r="AQ302">
        <f t="shared" si="71"/>
        <v>161.88976350649349</v>
      </c>
      <c r="AR302" s="853">
        <f t="shared" si="72"/>
        <v>161.88976350649349</v>
      </c>
      <c r="AS302" s="42">
        <f t="shared" si="73"/>
        <v>3.469920069187324</v>
      </c>
      <c r="AT302" s="111">
        <f t="shared" si="74"/>
        <v>256</v>
      </c>
      <c r="AU302">
        <f t="shared" si="75"/>
        <v>256</v>
      </c>
      <c r="AV302">
        <f t="shared" si="76"/>
        <v>208.35148840385537</v>
      </c>
      <c r="AW302" s="853">
        <f t="shared" si="77"/>
        <v>208.35148840385537</v>
      </c>
    </row>
    <row r="303" spans="3:49">
      <c r="L303" t="s">
        <v>262</v>
      </c>
      <c r="M303">
        <f>M298</f>
        <v>16.776673295269003</v>
      </c>
      <c r="AI303" s="42">
        <f t="shared" si="64"/>
        <v>3.8920286492642955</v>
      </c>
      <c r="AJ303" s="111">
        <f t="shared" si="65"/>
        <v>209</v>
      </c>
      <c r="AK303">
        <f t="shared" si="78"/>
        <v>209</v>
      </c>
      <c r="AL303">
        <f t="shared" si="66"/>
        <v>143.96222801783767</v>
      </c>
      <c r="AM303" s="853">
        <f t="shared" si="67"/>
        <v>143.96222801783767</v>
      </c>
      <c r="AN303" s="42">
        <f t="shared" si="68"/>
        <v>3.7723684833162241</v>
      </c>
      <c r="AO303" s="111">
        <f t="shared" si="69"/>
        <v>233</v>
      </c>
      <c r="AP303">
        <f t="shared" si="70"/>
        <v>233</v>
      </c>
      <c r="AQ303">
        <f t="shared" si="71"/>
        <v>162.99766171307186</v>
      </c>
      <c r="AR303" s="853">
        <f t="shared" si="72"/>
        <v>162.99766171307186</v>
      </c>
      <c r="AS303" s="42">
        <f t="shared" si="73"/>
        <v>3.7368369975863485</v>
      </c>
      <c r="AT303" s="111">
        <f t="shared" si="74"/>
        <v>262</v>
      </c>
      <c r="AU303">
        <f t="shared" si="75"/>
        <v>262</v>
      </c>
      <c r="AV303">
        <f t="shared" si="76"/>
        <v>209.71741673648916</v>
      </c>
      <c r="AW303" s="853">
        <f t="shared" si="77"/>
        <v>209.71741673648916</v>
      </c>
    </row>
    <row r="304" spans="3:49">
      <c r="L304" t="s">
        <v>132</v>
      </c>
      <c r="M304" t="s">
        <v>133</v>
      </c>
      <c r="N304" s="801"/>
      <c r="X304" t="s">
        <v>821</v>
      </c>
      <c r="AI304" s="42">
        <f t="shared" si="64"/>
        <v>4.1700306956403166</v>
      </c>
      <c r="AJ304" s="111">
        <f t="shared" si="65"/>
        <v>210</v>
      </c>
      <c r="AK304">
        <f t="shared" si="78"/>
        <v>210</v>
      </c>
      <c r="AL304">
        <f t="shared" si="66"/>
        <v>145.51401920818006</v>
      </c>
      <c r="AM304" s="853">
        <f t="shared" si="67"/>
        <v>145.51401920818006</v>
      </c>
      <c r="AN304" s="42">
        <f t="shared" si="68"/>
        <v>4.0418233749816688</v>
      </c>
      <c r="AO304" s="111">
        <f t="shared" si="69"/>
        <v>234</v>
      </c>
      <c r="AP304">
        <f t="shared" si="70"/>
        <v>234</v>
      </c>
      <c r="AQ304">
        <f t="shared" si="71"/>
        <v>163.43651634622117</v>
      </c>
      <c r="AR304" s="853">
        <f t="shared" si="72"/>
        <v>163.43651634622117</v>
      </c>
      <c r="AS304" s="42">
        <f t="shared" si="73"/>
        <v>4.0037539259853743</v>
      </c>
      <c r="AT304" s="111">
        <f t="shared" si="74"/>
        <v>268</v>
      </c>
      <c r="AU304">
        <f t="shared" si="75"/>
        <v>268</v>
      </c>
      <c r="AV304">
        <f t="shared" si="76"/>
        <v>210.71084683624375</v>
      </c>
      <c r="AW304" s="853">
        <f t="shared" si="77"/>
        <v>210.71084683624375</v>
      </c>
    </row>
    <row r="305" spans="2:49">
      <c r="L305">
        <v>0</v>
      </c>
      <c r="M305" s="42">
        <f t="shared" ref="M305:M311" si="79">IF($D$7="","",$M$302+(L305*TAN(RADIANS($M$303))))</f>
        <v>46.822200125591863</v>
      </c>
      <c r="AI305" s="42">
        <f t="shared" si="64"/>
        <v>4.8650358115803689</v>
      </c>
      <c r="AJ305" s="111">
        <f t="shared" si="65"/>
        <v>211</v>
      </c>
      <c r="AK305">
        <f t="shared" si="78"/>
        <v>211</v>
      </c>
      <c r="AL305">
        <f t="shared" si="66"/>
        <v>148.08205464704676</v>
      </c>
      <c r="AM305" s="853">
        <f t="shared" si="67"/>
        <v>148.08205464704676</v>
      </c>
      <c r="AN305" s="42">
        <f t="shared" si="68"/>
        <v>4.7154606041452798</v>
      </c>
      <c r="AO305" s="111">
        <f t="shared" si="69"/>
        <v>234</v>
      </c>
      <c r="AP305">
        <f t="shared" si="70"/>
        <v>234</v>
      </c>
      <c r="AQ305">
        <f t="shared" si="71"/>
        <v>163.86447454853183</v>
      </c>
      <c r="AR305" s="853">
        <f t="shared" si="72"/>
        <v>163.86447454853183</v>
      </c>
      <c r="AS305" s="42">
        <f t="shared" si="73"/>
        <v>4.6710462469829368</v>
      </c>
      <c r="AT305" s="111">
        <f t="shared" si="74"/>
        <v>272</v>
      </c>
      <c r="AU305">
        <f t="shared" si="75"/>
        <v>272</v>
      </c>
      <c r="AV305">
        <f t="shared" si="76"/>
        <v>210.95942575737416</v>
      </c>
      <c r="AW305" s="853">
        <f t="shared" si="77"/>
        <v>210.95942575737416</v>
      </c>
    </row>
    <row r="306" spans="2:49">
      <c r="L306">
        <v>50</v>
      </c>
      <c r="M306" s="42">
        <f t="shared" si="79"/>
        <v>61.895880908984026</v>
      </c>
      <c r="X306" t="s">
        <v>1392</v>
      </c>
      <c r="AI306" s="42">
        <f t="shared" si="64"/>
        <v>5.5600409275204221</v>
      </c>
      <c r="AJ306" s="111">
        <f t="shared" si="65"/>
        <v>212</v>
      </c>
      <c r="AK306">
        <f t="shared" si="78"/>
        <v>212</v>
      </c>
      <c r="AL306">
        <f t="shared" si="66"/>
        <v>149.28660114108547</v>
      </c>
      <c r="AM306" s="853">
        <f t="shared" si="67"/>
        <v>149.28660114108547</v>
      </c>
      <c r="AN306" s="42">
        <f t="shared" si="68"/>
        <v>5.3890978333088917</v>
      </c>
      <c r="AO306" s="111">
        <f t="shared" si="69"/>
        <v>234</v>
      </c>
      <c r="AP306">
        <f t="shared" si="70"/>
        <v>234</v>
      </c>
      <c r="AQ306">
        <f t="shared" si="71"/>
        <v>164.62646228336601</v>
      </c>
      <c r="AR306" s="853">
        <f t="shared" si="72"/>
        <v>164.62646228336601</v>
      </c>
      <c r="AS306" s="42">
        <f t="shared" si="73"/>
        <v>5.3383385679804984</v>
      </c>
      <c r="AT306" s="111">
        <f t="shared" si="74"/>
        <v>274</v>
      </c>
      <c r="AU306">
        <f t="shared" si="75"/>
        <v>274</v>
      </c>
      <c r="AV306">
        <f t="shared" si="76"/>
        <v>212.4496783809075</v>
      </c>
      <c r="AW306" s="853">
        <f t="shared" si="77"/>
        <v>212.4496783809075</v>
      </c>
    </row>
    <row r="307" spans="2:49">
      <c r="L307">
        <v>100</v>
      </c>
      <c r="M307" s="42">
        <f t="shared" si="79"/>
        <v>76.969561692376189</v>
      </c>
      <c r="X307" s="300" t="s">
        <v>1394</v>
      </c>
      <c r="AI307" s="42">
        <f t="shared" si="64"/>
        <v>6.2550460434604744</v>
      </c>
      <c r="AJ307" s="111">
        <f t="shared" si="65"/>
        <v>212</v>
      </c>
      <c r="AK307">
        <f t="shared" si="78"/>
        <v>212</v>
      </c>
      <c r="AL307">
        <f t="shared" si="66"/>
        <v>149.23370377302703</v>
      </c>
      <c r="AM307" s="853">
        <f t="shared" si="67"/>
        <v>149.23370377302703</v>
      </c>
      <c r="AN307" s="42">
        <f t="shared" si="68"/>
        <v>6.0627350624725036</v>
      </c>
      <c r="AO307" s="111">
        <f t="shared" si="69"/>
        <v>234</v>
      </c>
      <c r="AP307">
        <f t="shared" si="70"/>
        <v>234</v>
      </c>
      <c r="AQ307">
        <f t="shared" si="71"/>
        <v>165.38801657413111</v>
      </c>
      <c r="AR307" s="853">
        <f t="shared" si="72"/>
        <v>165.38801657413111</v>
      </c>
      <c r="AS307" s="42">
        <f t="shared" si="73"/>
        <v>6.005630888978061</v>
      </c>
      <c r="AT307" s="111">
        <f t="shared" si="74"/>
        <v>276</v>
      </c>
      <c r="AU307">
        <f t="shared" si="75"/>
        <v>276</v>
      </c>
      <c r="AV307">
        <f t="shared" si="76"/>
        <v>213.81577099438576</v>
      </c>
      <c r="AW307" s="853">
        <f t="shared" si="77"/>
        <v>213.81577099438576</v>
      </c>
    </row>
    <row r="308" spans="2:49">
      <c r="L308">
        <v>200</v>
      </c>
      <c r="M308" s="42">
        <f t="shared" si="79"/>
        <v>107.11692325916053</v>
      </c>
      <c r="X308" s="300" t="s">
        <v>1393</v>
      </c>
      <c r="AI308" s="42">
        <f t="shared" si="64"/>
        <v>6.9500511594005276</v>
      </c>
      <c r="AJ308" s="111">
        <f t="shared" si="65"/>
        <v>212</v>
      </c>
      <c r="AK308">
        <f t="shared" si="78"/>
        <v>212</v>
      </c>
      <c r="AL308">
        <f t="shared" si="66"/>
        <v>149.18005452406811</v>
      </c>
      <c r="AM308" s="853">
        <f t="shared" si="67"/>
        <v>149.18005452406811</v>
      </c>
      <c r="AN308" s="42">
        <f t="shared" si="68"/>
        <v>6.7363722916361137</v>
      </c>
      <c r="AO308" s="111">
        <f t="shared" si="69"/>
        <v>234</v>
      </c>
      <c r="AP308">
        <f t="shared" si="70"/>
        <v>234</v>
      </c>
      <c r="AQ308">
        <f t="shared" si="71"/>
        <v>166.14912817852897</v>
      </c>
      <c r="AR308" s="853">
        <f t="shared" si="72"/>
        <v>166.14912817852897</v>
      </c>
      <c r="AS308" s="42">
        <f t="shared" si="73"/>
        <v>6.6729232099756235</v>
      </c>
      <c r="AT308" s="111">
        <f t="shared" si="74"/>
        <v>277</v>
      </c>
      <c r="AU308">
        <f t="shared" si="75"/>
        <v>277</v>
      </c>
      <c r="AV308">
        <f t="shared" si="76"/>
        <v>216.5477104800716</v>
      </c>
      <c r="AW308" s="853">
        <f t="shared" si="77"/>
        <v>216.5477104800716</v>
      </c>
    </row>
    <row r="309" spans="2:49">
      <c r="L309">
        <v>300</v>
      </c>
      <c r="M309" s="42">
        <f t="shared" si="79"/>
        <v>137.26428482594486</v>
      </c>
      <c r="AI309" s="42">
        <f t="shared" si="64"/>
        <v>7.64505627534058</v>
      </c>
      <c r="AJ309" s="111">
        <f t="shared" si="65"/>
        <v>212</v>
      </c>
      <c r="AK309">
        <f t="shared" si="78"/>
        <v>212</v>
      </c>
      <c r="AL309">
        <f t="shared" si="66"/>
        <v>149.12563724865871</v>
      </c>
      <c r="AM309" s="853">
        <f t="shared" si="67"/>
        <v>149.12563724865871</v>
      </c>
      <c r="AN309" s="42">
        <f t="shared" si="68"/>
        <v>7.4100095207997265</v>
      </c>
      <c r="AO309" s="111">
        <f t="shared" si="69"/>
        <v>234</v>
      </c>
      <c r="AP309">
        <f t="shared" si="70"/>
        <v>234</v>
      </c>
      <c r="AQ309">
        <f t="shared" si="71"/>
        <v>167.35547460587753</v>
      </c>
      <c r="AR309" s="853">
        <f t="shared" si="72"/>
        <v>167.35547460587753</v>
      </c>
      <c r="AS309" s="42">
        <f t="shared" si="73"/>
        <v>7.3402155309731851</v>
      </c>
      <c r="AT309" s="111">
        <f t="shared" si="74"/>
        <v>278</v>
      </c>
      <c r="AU309">
        <f t="shared" si="75"/>
        <v>278</v>
      </c>
      <c r="AV309">
        <f t="shared" si="76"/>
        <v>217.2929817460421</v>
      </c>
      <c r="AW309" s="853">
        <f t="shared" si="77"/>
        <v>217.2929817460421</v>
      </c>
    </row>
    <row r="310" spans="2:49">
      <c r="L310">
        <v>400</v>
      </c>
      <c r="M310" s="42">
        <f t="shared" si="79"/>
        <v>167.41164639272918</v>
      </c>
      <c r="Z310" s="4"/>
      <c r="AA310" s="856" t="s">
        <v>853</v>
      </c>
      <c r="AI310" s="42">
        <f t="shared" si="64"/>
        <v>8.3400613912806332</v>
      </c>
      <c r="AJ310" s="111">
        <f t="shared" si="65"/>
        <v>212</v>
      </c>
      <c r="AK310">
        <f t="shared" si="78"/>
        <v>212</v>
      </c>
      <c r="AL310">
        <f t="shared" si="66"/>
        <v>149.48858522438621</v>
      </c>
      <c r="AM310" s="853">
        <f t="shared" si="67"/>
        <v>149.48858522438621</v>
      </c>
      <c r="AN310" s="42">
        <f t="shared" si="68"/>
        <v>8.0836467499633375</v>
      </c>
      <c r="AO310" s="111">
        <f t="shared" si="69"/>
        <v>234</v>
      </c>
      <c r="AP310">
        <f t="shared" si="70"/>
        <v>234</v>
      </c>
      <c r="AQ310">
        <f t="shared" si="71"/>
        <v>167.6699850262664</v>
      </c>
      <c r="AR310" s="853">
        <f t="shared" si="72"/>
        <v>167.6699850262664</v>
      </c>
      <c r="AS310" s="42">
        <f t="shared" si="73"/>
        <v>8.0075078519707485</v>
      </c>
      <c r="AT310" s="111">
        <f t="shared" si="74"/>
        <v>278</v>
      </c>
      <c r="AU310">
        <f t="shared" si="75"/>
        <v>278</v>
      </c>
      <c r="AV310">
        <f t="shared" si="76"/>
        <v>216.29991271835215</v>
      </c>
      <c r="AW310" s="853">
        <f t="shared" si="77"/>
        <v>216.29991271835215</v>
      </c>
    </row>
    <row r="311" spans="2:49">
      <c r="L311">
        <v>500</v>
      </c>
      <c r="M311" s="42">
        <f t="shared" si="79"/>
        <v>197.55900795951351</v>
      </c>
      <c r="X311" s="856" t="s">
        <v>851</v>
      </c>
      <c r="AA311" s="855" t="s">
        <v>854</v>
      </c>
      <c r="AI311" s="42">
        <f t="shared" si="64"/>
        <v>9.0350665072206855</v>
      </c>
      <c r="AJ311" s="111">
        <f t="shared" si="65"/>
        <v>212</v>
      </c>
      <c r="AK311">
        <f t="shared" si="78"/>
        <v>212</v>
      </c>
      <c r="AL311">
        <f t="shared" si="66"/>
        <v>149.43242448713994</v>
      </c>
      <c r="AM311" s="853">
        <f t="shared" si="67"/>
        <v>149.43242448713994</v>
      </c>
      <c r="AN311" s="42">
        <f t="shared" si="68"/>
        <v>8.7572839791269477</v>
      </c>
      <c r="AO311" s="111">
        <f t="shared" si="69"/>
        <v>234</v>
      </c>
      <c r="AP311">
        <f t="shared" si="70"/>
        <v>234</v>
      </c>
      <c r="AQ311">
        <f t="shared" si="71"/>
        <v>168.87529166771313</v>
      </c>
      <c r="AR311" s="853">
        <f t="shared" si="72"/>
        <v>168.87529166771313</v>
      </c>
      <c r="AS311" s="42">
        <f t="shared" si="73"/>
        <v>8.6748001729683093</v>
      </c>
      <c r="AT311" s="111">
        <f t="shared" si="74"/>
        <v>278</v>
      </c>
      <c r="AU311">
        <f t="shared" si="75"/>
        <v>278</v>
      </c>
      <c r="AV311">
        <f t="shared" si="76"/>
        <v>215.18267740991806</v>
      </c>
      <c r="AW311" s="853">
        <f t="shared" si="77"/>
        <v>215.18267740991806</v>
      </c>
    </row>
    <row r="312" spans="2:49">
      <c r="X312" s="855" t="s">
        <v>852</v>
      </c>
      <c r="AI312" s="42">
        <f t="shared" si="64"/>
        <v>9.7300716231607378</v>
      </c>
      <c r="AJ312" s="111">
        <f t="shared" si="65"/>
        <v>212</v>
      </c>
      <c r="AK312">
        <f t="shared" si="78"/>
        <v>212</v>
      </c>
      <c r="AL312">
        <f t="shared" si="66"/>
        <v>148.53977531746816</v>
      </c>
      <c r="AM312" s="853">
        <f t="shared" si="67"/>
        <v>148.53977531746816</v>
      </c>
      <c r="AN312" s="42">
        <f t="shared" si="68"/>
        <v>9.4309212082905596</v>
      </c>
      <c r="AO312" s="111">
        <f t="shared" si="69"/>
        <v>234</v>
      </c>
      <c r="AP312">
        <f t="shared" si="70"/>
        <v>234</v>
      </c>
      <c r="AQ312">
        <f t="shared" si="71"/>
        <v>169.63448061858188</v>
      </c>
      <c r="AR312" s="853">
        <f t="shared" si="72"/>
        <v>169.63448061858188</v>
      </c>
      <c r="AS312" s="42">
        <f t="shared" si="73"/>
        <v>9.3420924939658736</v>
      </c>
      <c r="AT312" s="111">
        <f t="shared" si="74"/>
        <v>278</v>
      </c>
      <c r="AU312">
        <f t="shared" si="75"/>
        <v>278</v>
      </c>
      <c r="AV312">
        <f t="shared" si="76"/>
        <v>213.32043592085404</v>
      </c>
      <c r="AW312" s="853">
        <f t="shared" si="77"/>
        <v>213.32043592085404</v>
      </c>
    </row>
    <row r="313" spans="2:49">
      <c r="AI313" s="42">
        <f t="shared" si="64"/>
        <v>10.42507673910079</v>
      </c>
      <c r="AJ313" s="111">
        <f t="shared" si="65"/>
        <v>212</v>
      </c>
      <c r="AK313">
        <f t="shared" si="78"/>
        <v>212</v>
      </c>
      <c r="AL313">
        <f t="shared" si="66"/>
        <v>148.06460498663046</v>
      </c>
      <c r="AM313" s="853">
        <f t="shared" si="67"/>
        <v>148.06460498663046</v>
      </c>
      <c r="AN313" s="42">
        <f t="shared" si="68"/>
        <v>10.104558437454171</v>
      </c>
      <c r="AO313" s="111">
        <f t="shared" si="69"/>
        <v>234</v>
      </c>
      <c r="AP313">
        <f t="shared" si="70"/>
        <v>234</v>
      </c>
      <c r="AQ313">
        <f t="shared" si="71"/>
        <v>170.39317570814612</v>
      </c>
      <c r="AR313" s="853">
        <f t="shared" si="72"/>
        <v>170.39317570814612</v>
      </c>
      <c r="AS313" s="42">
        <f t="shared" si="73"/>
        <v>10.009384814963434</v>
      </c>
      <c r="AT313" s="111">
        <f t="shared" si="74"/>
        <v>278</v>
      </c>
      <c r="AU313">
        <f t="shared" si="75"/>
        <v>278</v>
      </c>
      <c r="AV313">
        <f t="shared" si="76"/>
        <v>210.8373534112979</v>
      </c>
      <c r="AW313" s="853">
        <f t="shared" si="77"/>
        <v>210.8373534112979</v>
      </c>
    </row>
    <row r="314" spans="2:49">
      <c r="AI314" s="42">
        <f t="shared" si="64"/>
        <v>11.120081855040844</v>
      </c>
      <c r="AJ314" s="111">
        <f t="shared" si="65"/>
        <v>212</v>
      </c>
      <c r="AK314">
        <f t="shared" si="78"/>
        <v>212</v>
      </c>
      <c r="AL314">
        <f t="shared" si="66"/>
        <v>146.33638668481598</v>
      </c>
      <c r="AM314" s="853">
        <f t="shared" si="67"/>
        <v>146.33638668481598</v>
      </c>
      <c r="AN314" s="42">
        <f t="shared" si="68"/>
        <v>10.778195666617783</v>
      </c>
      <c r="AO314" s="111">
        <f t="shared" si="69"/>
        <v>234</v>
      </c>
      <c r="AP314">
        <f t="shared" si="70"/>
        <v>234</v>
      </c>
      <c r="AQ314">
        <f t="shared" si="71"/>
        <v>170.03782419350014</v>
      </c>
      <c r="AR314" s="853">
        <f t="shared" si="72"/>
        <v>170.03782419350014</v>
      </c>
      <c r="AS314" s="42">
        <f t="shared" si="73"/>
        <v>10.676677135960997</v>
      </c>
      <c r="AT314" s="111">
        <f t="shared" si="74"/>
        <v>278</v>
      </c>
      <c r="AU314">
        <f t="shared" si="75"/>
        <v>278</v>
      </c>
      <c r="AV314">
        <f t="shared" si="76"/>
        <v>208.60260491643146</v>
      </c>
      <c r="AW314" s="853">
        <f t="shared" si="77"/>
        <v>208.60260491643146</v>
      </c>
    </row>
    <row r="315" spans="2:49">
      <c r="AI315" s="42">
        <f t="shared" si="64"/>
        <v>11.815086970980897</v>
      </c>
      <c r="AJ315" s="111">
        <f t="shared" si="65"/>
        <v>212</v>
      </c>
      <c r="AK315">
        <f t="shared" si="78"/>
        <v>212</v>
      </c>
      <c r="AL315">
        <f t="shared" si="66"/>
        <v>144.19128984696351</v>
      </c>
      <c r="AM315" s="853">
        <f t="shared" si="67"/>
        <v>144.19128984696351</v>
      </c>
      <c r="AN315" s="42">
        <f t="shared" si="68"/>
        <v>11.451832895781394</v>
      </c>
      <c r="AO315" s="111">
        <f t="shared" si="69"/>
        <v>234</v>
      </c>
      <c r="AP315">
        <f t="shared" si="70"/>
        <v>234</v>
      </c>
      <c r="AQ315">
        <f t="shared" si="71"/>
        <v>168.79151852528267</v>
      </c>
      <c r="AR315" s="853">
        <f t="shared" si="72"/>
        <v>168.79151852528267</v>
      </c>
      <c r="AS315" s="42">
        <f t="shared" si="73"/>
        <v>11.343969456958559</v>
      </c>
      <c r="AT315" s="111">
        <f t="shared" si="74"/>
        <v>278</v>
      </c>
      <c r="AU315">
        <f t="shared" si="75"/>
        <v>278</v>
      </c>
      <c r="AV315">
        <f t="shared" si="76"/>
        <v>206.74035976804919</v>
      </c>
      <c r="AW315" s="853">
        <f t="shared" si="77"/>
        <v>206.74035976804919</v>
      </c>
    </row>
    <row r="316" spans="2:49">
      <c r="AI316" s="42">
        <f t="shared" si="64"/>
        <v>12.510092086920949</v>
      </c>
      <c r="AJ316" s="111">
        <f t="shared" si="65"/>
        <v>212</v>
      </c>
      <c r="AK316">
        <f t="shared" si="78"/>
        <v>212</v>
      </c>
      <c r="AL316">
        <f t="shared" si="66"/>
        <v>141.94271111246377</v>
      </c>
      <c r="AM316" s="853">
        <f t="shared" si="67"/>
        <v>141.94271111246377</v>
      </c>
      <c r="AN316" s="42">
        <f t="shared" si="68"/>
        <v>12.125470124945007</v>
      </c>
      <c r="AO316" s="111">
        <f t="shared" si="69"/>
        <v>234</v>
      </c>
      <c r="AP316">
        <f t="shared" si="70"/>
        <v>234</v>
      </c>
      <c r="AQ316">
        <f t="shared" si="71"/>
        <v>166.54327175185958</v>
      </c>
      <c r="AR316" s="853">
        <f t="shared" si="72"/>
        <v>166.54327175185958</v>
      </c>
      <c r="AS316" s="42">
        <f t="shared" si="73"/>
        <v>12.011261777956122</v>
      </c>
      <c r="AT316" s="111">
        <f t="shared" si="74"/>
        <v>278</v>
      </c>
      <c r="AU316">
        <f t="shared" si="75"/>
        <v>278</v>
      </c>
      <c r="AV316">
        <f t="shared" si="76"/>
        <v>204.87811378971466</v>
      </c>
      <c r="AW316" s="853">
        <f t="shared" si="77"/>
        <v>204.87811378971466</v>
      </c>
    </row>
    <row r="317" spans="2:49">
      <c r="B317" t="s">
        <v>845</v>
      </c>
      <c r="AI317" s="42">
        <f t="shared" si="64"/>
        <v>13.205097202861001</v>
      </c>
      <c r="AJ317" s="111">
        <f t="shared" si="65"/>
        <v>212</v>
      </c>
      <c r="AK317">
        <f t="shared" si="78"/>
        <v>212</v>
      </c>
      <c r="AL317">
        <f t="shared" si="66"/>
        <v>139.3822976409092</v>
      </c>
      <c r="AM317" s="853">
        <f t="shared" si="67"/>
        <v>139.3822976409092</v>
      </c>
      <c r="AN317" s="42">
        <f t="shared" si="68"/>
        <v>12.799107354108619</v>
      </c>
      <c r="AO317" s="111">
        <f t="shared" si="69"/>
        <v>234</v>
      </c>
      <c r="AP317">
        <f t="shared" si="70"/>
        <v>234</v>
      </c>
      <c r="AQ317">
        <f t="shared" si="71"/>
        <v>164.96314403653659</v>
      </c>
      <c r="AR317" s="853">
        <f t="shared" si="72"/>
        <v>164.96314403653659</v>
      </c>
    </row>
    <row r="318" spans="2:49">
      <c r="AN318" s="42">
        <f t="shared" si="68"/>
        <v>13.472744583272227</v>
      </c>
      <c r="AO318" s="111">
        <f t="shared" si="69"/>
        <v>234</v>
      </c>
      <c r="AP318">
        <f t="shared" si="70"/>
        <v>234</v>
      </c>
      <c r="AQ318">
        <f t="shared" si="71"/>
        <v>163.04920771357575</v>
      </c>
      <c r="AR318" s="853">
        <f t="shared" si="72"/>
        <v>163.04920771357575</v>
      </c>
    </row>
    <row r="319" spans="2:49">
      <c r="B319" s="541" t="s">
        <v>715</v>
      </c>
      <c r="C319" s="673"/>
      <c r="D319" s="673"/>
      <c r="E319" s="673"/>
      <c r="F319" s="673"/>
      <c r="G319" s="576"/>
      <c r="H319" s="576"/>
    </row>
    <row r="320" spans="2:49">
      <c r="B320" s="796" t="s">
        <v>479</v>
      </c>
      <c r="C320" s="796"/>
      <c r="D320" s="796">
        <v>1</v>
      </c>
      <c r="E320" s="798">
        <v>2</v>
      </c>
      <c r="F320" s="802">
        <v>3</v>
      </c>
      <c r="G320" s="804"/>
    </row>
    <row r="321" spans="2:8">
      <c r="B321" s="796" t="s">
        <v>791</v>
      </c>
      <c r="C321" s="796"/>
      <c r="D321" s="797">
        <f>IF($D$7="","",F40)</f>
        <v>3.8</v>
      </c>
      <c r="E321" s="797">
        <f>IF($D$7="","",V40)</f>
        <v>3.8</v>
      </c>
      <c r="F321" s="799">
        <f>IF($D$7="","",AM40)</f>
        <v>3.8</v>
      </c>
      <c r="G321" s="803"/>
    </row>
    <row r="322" spans="2:8">
      <c r="B322" s="796" t="s">
        <v>727</v>
      </c>
      <c r="C322" s="796"/>
      <c r="D322" s="797">
        <f>IF($D$7="","",F39)</f>
        <v>7.6</v>
      </c>
      <c r="E322" s="797">
        <f>IF($D$7="","",V39)</f>
        <v>7.6400000000000006</v>
      </c>
      <c r="F322" s="799">
        <f>IF($D$7="","",AM39)</f>
        <v>7.6400000000000006</v>
      </c>
      <c r="G322" s="803"/>
    </row>
    <row r="323" spans="2:8">
      <c r="B323" s="796" t="s">
        <v>842</v>
      </c>
      <c r="C323" s="796"/>
      <c r="D323" s="797">
        <f>IF($D$7="","",F41)</f>
        <v>11.3354</v>
      </c>
      <c r="E323" s="797">
        <f>IF($D$7="","",V41)</f>
        <v>11.3354</v>
      </c>
      <c r="F323" s="799">
        <f>IF($D$7="","",AM41)</f>
        <v>11.3354</v>
      </c>
      <c r="G323" s="803"/>
    </row>
    <row r="324" spans="2:8">
      <c r="B324" s="796" t="s">
        <v>729</v>
      </c>
      <c r="C324" s="796"/>
      <c r="D324" s="797">
        <f>IF($D$7="","",F42)</f>
        <v>86.149039999999999</v>
      </c>
      <c r="E324" s="797">
        <f>IF($D$7="","",V42)</f>
        <v>86.602456000000004</v>
      </c>
      <c r="F324" s="799">
        <f>IF($D$7="","",AM42)</f>
        <v>86.602456000000004</v>
      </c>
      <c r="G324" s="803"/>
    </row>
    <row r="325" spans="2:8">
      <c r="B325" s="796" t="s">
        <v>786</v>
      </c>
      <c r="C325" s="796"/>
      <c r="D325" s="797">
        <f>IF($D$7="","",D44)</f>
        <v>43.145354981266209</v>
      </c>
      <c r="E325" s="797">
        <f>IF($D$7="","",T44)</f>
        <v>43.18333811025127</v>
      </c>
      <c r="F325" s="799">
        <f>IF($D$7="","",AK44)</f>
        <v>43.243501529051976</v>
      </c>
      <c r="G325" s="803"/>
    </row>
    <row r="326" spans="2:8">
      <c r="B326" s="796" t="s">
        <v>787</v>
      </c>
      <c r="C326" s="796"/>
      <c r="D326" s="797">
        <f>IF($D$7="","",D43)</f>
        <v>1.7295607704972684</v>
      </c>
      <c r="E326" s="797">
        <f>IF($D$7="","",T43)</f>
        <v>1.7305513829769446</v>
      </c>
      <c r="F326" s="799">
        <f>IF($D$7="","",T43)</f>
        <v>1.7305513829769446</v>
      </c>
      <c r="G326" s="803"/>
    </row>
    <row r="327" spans="2:8">
      <c r="B327" s="796" t="s">
        <v>795</v>
      </c>
      <c r="C327" s="796"/>
      <c r="D327" s="797">
        <f>IF($D$7="","",D45)</f>
        <v>1.2082549033628232</v>
      </c>
      <c r="E327" s="797">
        <f>IF($D$7="","",T45)</f>
        <v>1.2086262311082723</v>
      </c>
      <c r="F327" s="799">
        <f>IF($D$7="","",AK45)</f>
        <v>1.2082798206092444</v>
      </c>
      <c r="G327" s="803"/>
    </row>
    <row r="330" spans="2:8">
      <c r="B330" s="540" t="s">
        <v>575</v>
      </c>
      <c r="C330" s="540"/>
      <c r="D330" s="540"/>
      <c r="E330" s="540" t="s">
        <v>760</v>
      </c>
      <c r="F330" s="540"/>
      <c r="G330" s="540"/>
      <c r="H330" s="540"/>
    </row>
    <row r="331" spans="2:8">
      <c r="B331" s="13" t="s">
        <v>479</v>
      </c>
      <c r="C331" s="13"/>
      <c r="D331" s="13"/>
      <c r="E331" s="13">
        <v>1</v>
      </c>
      <c r="F331" s="13">
        <v>2</v>
      </c>
      <c r="G331" s="786">
        <v>3</v>
      </c>
      <c r="H331" s="13"/>
    </row>
    <row r="332" spans="2:8">
      <c r="B332" s="13" t="s">
        <v>840</v>
      </c>
      <c r="C332" s="13"/>
      <c r="D332" s="13"/>
      <c r="E332" s="797">
        <f>IF($D$7="","",D122)</f>
        <v>240</v>
      </c>
      <c r="F332" s="797">
        <f>IF($D$7="","",T122)</f>
        <v>290</v>
      </c>
      <c r="G332" s="797">
        <f>IF($D$7="","",AK122)</f>
        <v>390</v>
      </c>
      <c r="H332" s="13"/>
    </row>
    <row r="333" spans="2:8">
      <c r="B333" s="13" t="s">
        <v>818</v>
      </c>
      <c r="C333" s="13"/>
      <c r="D333" s="13"/>
      <c r="E333" s="797">
        <f>IF($D$7="","",D123)</f>
        <v>190</v>
      </c>
      <c r="F333" s="797">
        <f>IF($D$7="","",T123)</f>
        <v>190</v>
      </c>
      <c r="G333" s="797">
        <f>IF($D$7="","",AK123)</f>
        <v>190</v>
      </c>
      <c r="H333" s="13"/>
    </row>
    <row r="334" spans="2:8">
      <c r="B334" s="13" t="s">
        <v>820</v>
      </c>
      <c r="C334" s="13"/>
      <c r="D334" s="13"/>
      <c r="E334" s="797">
        <f>IF($D$7="","",D121)</f>
        <v>50</v>
      </c>
      <c r="F334" s="797">
        <f>IF($D$7="","",T121)</f>
        <v>100</v>
      </c>
      <c r="G334" s="797">
        <f>IF($D$7="","",AK121)</f>
        <v>200</v>
      </c>
      <c r="H334" s="13"/>
    </row>
    <row r="335" spans="2:8" ht="49.5">
      <c r="B335" s="782" t="s">
        <v>819</v>
      </c>
      <c r="C335" s="13"/>
      <c r="D335" s="13"/>
      <c r="E335" s="797">
        <f>IF($D$7="","",D124)</f>
        <v>229</v>
      </c>
      <c r="F335" s="797">
        <f>IF($D$7="","",T124)</f>
        <v>275</v>
      </c>
      <c r="G335" s="797">
        <f>IF($D$7="","",AK124)</f>
        <v>376</v>
      </c>
      <c r="H335" s="13"/>
    </row>
    <row r="336" spans="2:8">
      <c r="B336" s="13" t="s">
        <v>811</v>
      </c>
      <c r="C336" s="13"/>
      <c r="D336" s="13"/>
      <c r="E336" s="797">
        <f>IF($D$7="","",F68)</f>
        <v>0.97499999999999998</v>
      </c>
      <c r="F336" s="797">
        <f>IF($D$7="","",W68)</f>
        <v>0.94444444444444442</v>
      </c>
      <c r="G336" s="797">
        <f>IF($D$7="","",AN68)</f>
        <v>0.97894736842105268</v>
      </c>
      <c r="H336" s="13"/>
    </row>
    <row r="337" spans="2:8">
      <c r="B337" s="13" t="s">
        <v>813</v>
      </c>
      <c r="C337" s="13"/>
      <c r="D337" s="13"/>
      <c r="E337" s="797">
        <f>IF($D$7="","",L121)</f>
        <v>1101.5697646667575</v>
      </c>
      <c r="F337" s="797">
        <f>IF($D$7="","",AB121)</f>
        <v>1116.9236150139643</v>
      </c>
      <c r="G337" s="797">
        <f>IF($D$7="","",AS121)</f>
        <v>1122.4184613167072</v>
      </c>
      <c r="H337" s="13"/>
    </row>
    <row r="338" spans="2:8">
      <c r="B338" s="13" t="s">
        <v>814</v>
      </c>
      <c r="C338" s="13"/>
      <c r="D338" s="13"/>
      <c r="E338" s="797">
        <f>IF($D$7="","",L122)</f>
        <v>71.941916474054736</v>
      </c>
      <c r="F338" s="797">
        <f>IF($D$7="","",AB122)</f>
        <v>74.223926225217753</v>
      </c>
      <c r="G338" s="797">
        <f>IF($D$7="","",AS122)</f>
        <v>74.929679881903894</v>
      </c>
      <c r="H338" s="13"/>
    </row>
    <row r="339" spans="2:8">
      <c r="B339" s="13" t="s">
        <v>815</v>
      </c>
      <c r="C339" s="13"/>
      <c r="D339" s="13"/>
      <c r="E339" s="797">
        <f>IF($D$7="","",L123)</f>
        <v>79249.039999999994</v>
      </c>
      <c r="F339" s="797">
        <f>IF($D$7="","",AB123)</f>
        <v>82902.456000000006</v>
      </c>
      <c r="G339" s="797">
        <f>IF($D$7="","",AS123)</f>
        <v>84102.456000000006</v>
      </c>
      <c r="H339" s="13"/>
    </row>
    <row r="340" spans="2:8">
      <c r="B340" s="13" t="s">
        <v>841</v>
      </c>
      <c r="C340" s="13"/>
      <c r="D340" s="13"/>
      <c r="E340" s="805">
        <f>IF($D$7="","",L125*9.80665)</f>
        <v>1.18299972546</v>
      </c>
      <c r="F340" s="805">
        <f>IF($D$7="","",AB125*9.80665)</f>
        <v>1.18299972546</v>
      </c>
      <c r="G340" s="805">
        <f>IF($D$7="","",AS125*9.80665)</f>
        <v>1.18299972546</v>
      </c>
      <c r="H340" s="13"/>
    </row>
    <row r="343" spans="2:8">
      <c r="B343" s="541" t="s">
        <v>812</v>
      </c>
      <c r="C343" s="541"/>
      <c r="D343" s="541"/>
      <c r="E343" s="541"/>
      <c r="F343" s="541"/>
      <c r="G343" s="710"/>
      <c r="H343" s="710"/>
    </row>
    <row r="344" spans="2:8">
      <c r="B344" s="819" t="s">
        <v>575</v>
      </c>
      <c r="C344" s="819"/>
      <c r="D344" s="819" t="s">
        <v>760</v>
      </c>
      <c r="E344" s="819"/>
      <c r="F344" s="820"/>
      <c r="H344" s="819"/>
    </row>
    <row r="345" spans="2:8">
      <c r="B345" s="817" t="s">
        <v>479</v>
      </c>
      <c r="C345" s="806"/>
      <c r="D345" s="817">
        <v>1</v>
      </c>
      <c r="E345" s="817">
        <v>2</v>
      </c>
      <c r="F345" s="817">
        <v>3</v>
      </c>
      <c r="H345" s="807"/>
    </row>
    <row r="346" spans="2:8" ht="51">
      <c r="B346" s="818" t="s">
        <v>832</v>
      </c>
      <c r="C346" s="782"/>
      <c r="D346" s="797">
        <f>IF($D$7="","",I169)</f>
        <v>149.48858522438621</v>
      </c>
      <c r="E346" s="797">
        <f>IF($D$7="","",Y169)</f>
        <v>170.39317570814612</v>
      </c>
      <c r="F346" s="797">
        <f>IF($D$7="","",AP169)</f>
        <v>217.2929817460421</v>
      </c>
      <c r="H346" s="812"/>
    </row>
    <row r="347" spans="2:8" ht="61.5">
      <c r="B347" s="814" t="s">
        <v>809</v>
      </c>
      <c r="C347" s="815"/>
      <c r="D347" s="797">
        <f>IF($D$7="","",J169)</f>
        <v>379.3822976409092</v>
      </c>
      <c r="E347" s="797">
        <f>IF($D$7="","",Z169)</f>
        <v>453.04920771357575</v>
      </c>
      <c r="F347" s="797">
        <f>IF($D$7="","",AQ169)</f>
        <v>594.87811378971469</v>
      </c>
      <c r="H347" s="810"/>
    </row>
    <row r="348" spans="2:8" ht="61.5">
      <c r="B348" s="814" t="s">
        <v>808</v>
      </c>
      <c r="C348" s="815"/>
      <c r="D348" s="797">
        <f>IF($D$7="","",K169)</f>
        <v>167.3822976409092</v>
      </c>
      <c r="E348" s="797">
        <f>IF($D$7="","",AA169)</f>
        <v>219.04920771357575</v>
      </c>
      <c r="F348" s="797">
        <f>IF($D$7="","",AR169)</f>
        <v>316.87811378971469</v>
      </c>
      <c r="H348" s="816"/>
    </row>
    <row r="349" spans="2:8" ht="61.5">
      <c r="B349" s="782" t="s">
        <v>810</v>
      </c>
      <c r="C349" s="782"/>
      <c r="D349" s="797">
        <f>IF($D$7="","",L169)</f>
        <v>28</v>
      </c>
      <c r="E349" s="797">
        <f>IF($D$7="","",AB169)</f>
        <v>56</v>
      </c>
      <c r="F349" s="797">
        <f>IF($D$7="","",AS169)</f>
        <v>112</v>
      </c>
      <c r="H349" s="810"/>
    </row>
    <row r="350" spans="2:8" ht="50.25">
      <c r="B350" s="795" t="s">
        <v>843</v>
      </c>
      <c r="C350" s="813"/>
      <c r="D350" s="797">
        <f>IF($D$7="","",G169)</f>
        <v>212</v>
      </c>
      <c r="E350" s="797">
        <f>IF($D$7="","",W169)</f>
        <v>234</v>
      </c>
      <c r="F350" s="797">
        <f>IF($D$7="","",AN169)</f>
        <v>278</v>
      </c>
      <c r="H350" s="816"/>
    </row>
    <row r="351" spans="2:8">
      <c r="B351" s="806" t="s">
        <v>816</v>
      </c>
      <c r="C351" s="806"/>
      <c r="D351" s="797">
        <f>IF($D$7="","",D169)</f>
        <v>13.205097202861001</v>
      </c>
      <c r="E351" s="797">
        <f>IF($D$7="","",T169)</f>
        <v>13.472744583272227</v>
      </c>
      <c r="F351" s="797">
        <f>IF($D$7="","",AK169)</f>
        <v>12.011261777956122</v>
      </c>
      <c r="H351" s="810"/>
    </row>
    <row r="352" spans="2:8">
      <c r="B352" s="809" t="s">
        <v>830</v>
      </c>
      <c r="C352" s="809"/>
      <c r="D352" s="797">
        <f>IF($D$7="","",M169)</f>
        <v>5.9779392014610426</v>
      </c>
      <c r="E352" s="797">
        <f>IF($D$7="","",AC169)</f>
        <v>3.9115929948852814</v>
      </c>
      <c r="F352" s="797">
        <f>IF($D$7="","",AT169)</f>
        <v>2.8292688731224525</v>
      </c>
      <c r="H352" s="812"/>
    </row>
  </sheetData>
  <mergeCells count="39">
    <mergeCell ref="B127:C127"/>
    <mergeCell ref="E127:F127"/>
    <mergeCell ref="G127:H127"/>
    <mergeCell ref="J127:M127"/>
    <mergeCell ref="C215:D215"/>
    <mergeCell ref="G215:H215"/>
    <mergeCell ref="AA52:AE52"/>
    <mergeCell ref="AN52:AN53"/>
    <mergeCell ref="AO52:AQ52"/>
    <mergeCell ref="AR52:AV52"/>
    <mergeCell ref="B96:B97"/>
    <mergeCell ref="C96:C97"/>
    <mergeCell ref="D96:E96"/>
    <mergeCell ref="F96:G96"/>
    <mergeCell ref="H96:J96"/>
    <mergeCell ref="X52:Z52"/>
    <mergeCell ref="B45:C45"/>
    <mergeCell ref="F52:F53"/>
    <mergeCell ref="G52:I52"/>
    <mergeCell ref="J52:N52"/>
    <mergeCell ref="W52:W53"/>
    <mergeCell ref="B44:C44"/>
    <mergeCell ref="A12:C12"/>
    <mergeCell ref="L12:N12"/>
    <mergeCell ref="A13:C13"/>
    <mergeCell ref="B34:N34"/>
    <mergeCell ref="B39:C39"/>
    <mergeCell ref="B40:C40"/>
    <mergeCell ref="B41:C41"/>
    <mergeCell ref="B42:C42"/>
    <mergeCell ref="B43:C43"/>
    <mergeCell ref="R34:AD34"/>
    <mergeCell ref="AI34:AU34"/>
    <mergeCell ref="A7:C7"/>
    <mergeCell ref="A9:C9"/>
    <mergeCell ref="L9:N9"/>
    <mergeCell ref="A10:C10"/>
    <mergeCell ref="L10:N10"/>
    <mergeCell ref="A11:C11"/>
  </mergeCells>
  <dataValidations count="3">
    <dataValidation type="list" allowBlank="1" showInputMessage="1" showErrorMessage="1" sqref="P9" xr:uid="{98602552-F4E5-432A-9AFE-ECB1937E29C2}">
      <formula1>"RAFLY,RIZKI,NOUFAL"</formula1>
    </dataValidation>
    <dataValidation type="list" allowBlank="1" showInputMessage="1" showErrorMessage="1" sqref="E19:E20" xr:uid="{A7BB7C37-A94B-4F87-B78D-6379A3476F07}">
      <formula1>$G$18:$G$19</formula1>
    </dataValidation>
    <dataValidation type="list" allowBlank="1" showInputMessage="1" showErrorMessage="1" sqref="E21" xr:uid="{75BF1A3A-2B01-4A57-A10D-18967E474912}">
      <formula1>$G$21:$G$22</formula1>
    </dataValidation>
  </dataValidations>
  <pageMargins left="0.7" right="0.7" top="0.75" bottom="0.75" header="0.3" footer="0.3"/>
  <pageSetup paperSize="14" orientation="portrait" horizontalDpi="0" verticalDpi="0"/>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AB46-AFE4-41B4-90E6-AC8FF115B94B}">
  <sheetPr>
    <tabColor rgb="FFFFC000"/>
  </sheetPr>
  <dimension ref="A1:AD221"/>
  <sheetViews>
    <sheetView view="pageBreakPreview" topLeftCell="A161" zoomScaleNormal="100" zoomScaleSheetLayoutView="100" zoomScalePageLayoutView="108" workbookViewId="0">
      <selection activeCell="A88" sqref="A88"/>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0" width="4.875" customWidth="1"/>
    <col min="21" max="21" width="5.5" customWidth="1"/>
    <col min="22"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2"</f>
        <v>:  1 dari 2</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339"/>
    </row>
    <row r="9" spans="1:25">
      <c r="A9" s="1654"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IF('WS-TRX-CU Normal'!D7="","",'WS-TRX-CU Normal'!D7)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"&amp;IF('WS-TRX-CU Normal'!D9="","",'WS-TRX-CU Normal'!D9)</f>
        <v xml:space="preserve">:  </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"&amp;IF('WS-TRX-CU Normal'!D10="","",'WS-TRX-CU Normal'!D10)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"&amp;IF('WS-TRX-CU Normal'!D11="","",'WS-TRX-CU Normal'!D11)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"&amp;IF('WS-TRX-CU Normal'!D12="","",'WS-TRX-CU Normal'!D12)</f>
        <v>:  Lempung Lanauan / Silty Clay</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"&amp;IF('WS-TRX-CU Normal'!D13="","",'WS-TRX-CU Normal'!D13)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"&amp;IF('WS-TRX-CU Normal'!O12="","",TEXT('WS-TRX-CU Normal'!O12,"dd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'WS-TRX-CU Normal'!A2</f>
        <v>UJI TRIAKSIAL - TERKONSOLIDASI TIDAK TERDRAINASE (CU)</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INDUK'!$BS$38</f>
        <v>2455 : 2015</v>
      </c>
      <c r="W26" s="1704"/>
      <c r="X26" s="1704"/>
    </row>
    <row r="27" spans="1:24">
      <c r="A27" s="1650" t="str">
        <f>'WS-TRX-CU Normal'!A3</f>
        <v>TRIAXIAL TEST- CONSOLIDATED UNDRAINED ((CU)</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41" t="s">
        <v>1362</v>
      </c>
      <c r="B29" s="673"/>
      <c r="C29" s="673"/>
      <c r="D29" s="673"/>
      <c r="E29" s="673"/>
      <c r="F29" s="673"/>
      <c r="G29" s="673"/>
      <c r="H29" s="673"/>
      <c r="I29" s="674"/>
      <c r="J29" s="673"/>
      <c r="K29" s="829"/>
      <c r="L29" s="879"/>
      <c r="M29" s="784"/>
      <c r="N29" s="541" t="s">
        <v>1363</v>
      </c>
      <c r="O29" s="541"/>
      <c r="P29" s="541"/>
      <c r="Q29" s="541"/>
      <c r="R29" s="541"/>
      <c r="S29" s="541"/>
      <c r="T29" s="541"/>
      <c r="U29" s="541"/>
      <c r="V29" s="541"/>
      <c r="W29" s="541"/>
      <c r="X29" s="541"/>
    </row>
    <row r="30" spans="1:24">
      <c r="A30" s="1871" t="s">
        <v>575</v>
      </c>
      <c r="B30" s="1871"/>
      <c r="C30" s="1871"/>
      <c r="D30" s="1871"/>
      <c r="E30" s="1871"/>
      <c r="F30" s="1871"/>
      <c r="G30" s="1871"/>
      <c r="H30" s="2096" t="s">
        <v>1104</v>
      </c>
      <c r="I30" s="2096"/>
      <c r="J30" s="2096"/>
      <c r="K30" s="2096"/>
      <c r="L30" s="2096"/>
      <c r="N30" s="2081" t="s">
        <v>1364</v>
      </c>
      <c r="O30" s="2081"/>
      <c r="P30" s="2081"/>
      <c r="Q30" s="2081"/>
      <c r="R30" s="2081"/>
      <c r="S30" s="2081"/>
      <c r="T30" s="2081"/>
      <c r="U30" s="2081"/>
      <c r="V30" s="2097" t="s">
        <v>1365</v>
      </c>
      <c r="W30" s="2097"/>
      <c r="X30" s="2097"/>
    </row>
    <row r="31" spans="1:24">
      <c r="A31" s="1871" t="s">
        <v>1516</v>
      </c>
      <c r="B31" s="1871"/>
      <c r="C31" s="1871"/>
      <c r="D31" s="1871"/>
      <c r="E31" s="1871"/>
      <c r="F31" s="1871"/>
      <c r="G31" s="1871"/>
      <c r="H31" s="1869">
        <v>1</v>
      </c>
      <c r="I31" s="1869"/>
      <c r="J31" s="1876">
        <v>2</v>
      </c>
      <c r="K31" s="1876"/>
      <c r="L31" s="1457">
        <v>3</v>
      </c>
      <c r="N31" s="2075"/>
      <c r="O31" s="2075"/>
      <c r="P31" s="2075"/>
      <c r="Q31" s="2075"/>
      <c r="R31" s="2075"/>
      <c r="S31" s="2075"/>
      <c r="T31" s="2075"/>
      <c r="U31" s="2075"/>
      <c r="V31" s="2098"/>
      <c r="W31" s="2098"/>
      <c r="X31" s="2098"/>
    </row>
    <row r="32" spans="1:24" ht="15.95" customHeight="1">
      <c r="A32" s="1871" t="s">
        <v>1534</v>
      </c>
      <c r="B32" s="1871"/>
      <c r="C32" s="1871"/>
      <c r="D32" s="1871"/>
      <c r="E32" s="1871"/>
      <c r="F32" s="1871"/>
      <c r="G32" s="1871"/>
      <c r="H32" s="1876">
        <f>'WS-TRX-CU Normal'!D321</f>
        <v>3.8</v>
      </c>
      <c r="I32" s="1876"/>
      <c r="J32" s="1876">
        <f>'WS-TRX-CU Normal'!E321</f>
        <v>3.8</v>
      </c>
      <c r="K32" s="1876"/>
      <c r="L32" s="1323">
        <f>'WS-TRX-CU Normal'!F321</f>
        <v>3.8</v>
      </c>
      <c r="N32" s="2095" t="s">
        <v>1366</v>
      </c>
      <c r="O32" s="2095"/>
      <c r="P32" s="2095"/>
      <c r="Q32" s="2095"/>
      <c r="R32" s="2095"/>
      <c r="S32" s="2095"/>
      <c r="T32" s="2095"/>
      <c r="U32" s="2095"/>
      <c r="V32" s="15" t="str">
        <f>'WS-TRX-CU Normal'!D18</f>
        <v>Normal Stage</v>
      </c>
      <c r="W32" s="15"/>
      <c r="X32" s="15"/>
    </row>
    <row r="33" spans="1:30">
      <c r="A33" s="1871" t="s">
        <v>1106</v>
      </c>
      <c r="B33" s="1871"/>
      <c r="C33" s="1871"/>
      <c r="D33" s="1871"/>
      <c r="E33" s="1871"/>
      <c r="F33" s="1871"/>
      <c r="G33" s="1871"/>
      <c r="H33" s="1876">
        <f>'WS-TRX-CU Normal'!D322</f>
        <v>7.6</v>
      </c>
      <c r="I33" s="1876"/>
      <c r="J33" s="1876">
        <f>'WS-TRX-CU Normal'!E322</f>
        <v>7.6400000000000006</v>
      </c>
      <c r="K33" s="1876"/>
      <c r="L33" s="1323">
        <f>'WS-TRX-CU Normal'!F322</f>
        <v>7.6400000000000006</v>
      </c>
      <c r="M33" s="13"/>
      <c r="N33" s="1993" t="s">
        <v>1539</v>
      </c>
      <c r="O33" s="1993"/>
      <c r="P33" s="1993"/>
      <c r="Q33" s="1993"/>
      <c r="R33" s="1993"/>
      <c r="S33" s="1993"/>
      <c r="T33" s="1993"/>
      <c r="U33" s="1993"/>
      <c r="V33" s="15" t="str">
        <f>'WS-TRX-CU Normal'!D19</f>
        <v>No</v>
      </c>
      <c r="W33" s="803"/>
      <c r="X33" s="803"/>
      <c r="Z33" s="13"/>
      <c r="AA33" s="13"/>
      <c r="AB33" s="804"/>
      <c r="AC33" s="804"/>
      <c r="AD33" s="804"/>
    </row>
    <row r="34" spans="1:30" ht="15.95" customHeight="1">
      <c r="A34" s="1871" t="s">
        <v>1536</v>
      </c>
      <c r="B34" s="1871"/>
      <c r="C34" s="1871"/>
      <c r="D34" s="1871"/>
      <c r="E34" s="1871"/>
      <c r="F34" s="1871"/>
      <c r="G34" s="1871"/>
      <c r="H34" s="1876">
        <f>'WS-TRX-CU Normal'!D323</f>
        <v>11.3354</v>
      </c>
      <c r="I34" s="1876"/>
      <c r="J34" s="1876">
        <f>'WS-TRX-CU Normal'!E323</f>
        <v>11.3354</v>
      </c>
      <c r="K34" s="1876"/>
      <c r="L34" s="1323">
        <f>'WS-TRX-CU Normal'!F323</f>
        <v>11.3354</v>
      </c>
      <c r="N34" s="2095" t="s">
        <v>1367</v>
      </c>
      <c r="O34" s="2095"/>
      <c r="P34" s="2095"/>
      <c r="Q34" s="2095"/>
      <c r="R34" s="2095"/>
      <c r="S34" s="2095"/>
      <c r="T34" s="2095"/>
      <c r="U34" s="2095"/>
      <c r="V34" s="15" t="str">
        <f>'WS-TRX-CU Normal'!D20</f>
        <v>No</v>
      </c>
      <c r="W34" s="803"/>
      <c r="X34" s="803"/>
      <c r="AA34" s="803"/>
      <c r="AC34" s="803"/>
    </row>
    <row r="35" spans="1:30">
      <c r="A35" s="1871" t="s">
        <v>1535</v>
      </c>
      <c r="B35" s="1871"/>
      <c r="C35" s="1871"/>
      <c r="D35" s="1871"/>
      <c r="E35" s="1871"/>
      <c r="F35" s="1871"/>
      <c r="G35" s="1871"/>
      <c r="H35" s="1876">
        <f>'WS-TRX-CU Normal'!D324</f>
        <v>86.149039999999999</v>
      </c>
      <c r="I35" s="1876"/>
      <c r="J35" s="1876">
        <f>'WS-TRX-CU Normal'!E324</f>
        <v>86.602456000000004</v>
      </c>
      <c r="K35" s="1876"/>
      <c r="L35" s="1323">
        <f>'WS-TRX-CU Normal'!F324</f>
        <v>86.602456000000004</v>
      </c>
      <c r="M35" s="13"/>
      <c r="N35" s="2095" t="s">
        <v>1368</v>
      </c>
      <c r="O35" s="2095"/>
      <c r="P35" s="2095"/>
      <c r="Q35" s="2095"/>
      <c r="R35" s="2095"/>
      <c r="S35" s="2095"/>
      <c r="T35" s="2095"/>
      <c r="U35" s="2095"/>
      <c r="V35" s="15" t="str">
        <f>'WS-TRX-CU Normal'!D21</f>
        <v>With Side drain</v>
      </c>
      <c r="W35" s="803"/>
      <c r="X35" s="803"/>
      <c r="AA35" s="803"/>
      <c r="AC35" s="803"/>
    </row>
    <row r="36" spans="1:30" ht="15.95" customHeight="1">
      <c r="A36" s="1871" t="s">
        <v>1408</v>
      </c>
      <c r="B36" s="1871"/>
      <c r="C36" s="1871"/>
      <c r="D36" s="1871"/>
      <c r="E36" s="1871"/>
      <c r="F36" s="1871"/>
      <c r="G36" s="1871"/>
      <c r="H36" s="1876">
        <f>'WS-TRX-CU Normal'!D325</f>
        <v>43.145354981266209</v>
      </c>
      <c r="I36" s="1876"/>
      <c r="J36" s="1876">
        <f>'WS-TRX-CU Normal'!E325</f>
        <v>43.18333811025127</v>
      </c>
      <c r="K36" s="1876"/>
      <c r="L36" s="1323">
        <f>'WS-TRX-CU Normal'!F325</f>
        <v>43.243501529051976</v>
      </c>
      <c r="N36" s="2092" t="s">
        <v>1369</v>
      </c>
      <c r="O36" s="2092"/>
      <c r="P36" s="2092"/>
      <c r="Q36" s="2092"/>
      <c r="R36" s="2092"/>
      <c r="S36" s="2092"/>
      <c r="T36" s="2092"/>
      <c r="U36" s="2092"/>
      <c r="V36" s="2093" t="s">
        <v>805</v>
      </c>
      <c r="W36" s="2093"/>
      <c r="X36" s="2093"/>
      <c r="AA36" s="803"/>
      <c r="AC36" s="803"/>
    </row>
    <row r="37" spans="1:30">
      <c r="A37" s="1871" t="s">
        <v>1109</v>
      </c>
      <c r="B37" s="1871"/>
      <c r="C37" s="1871"/>
      <c r="D37" s="1871"/>
      <c r="E37" s="1871"/>
      <c r="F37" s="1871"/>
      <c r="G37" s="1871"/>
      <c r="H37" s="1876">
        <f>'WS-TRX-CU Normal'!D326</f>
        <v>1.7295607704972684</v>
      </c>
      <c r="I37" s="1876"/>
      <c r="J37" s="1876">
        <f>'WS-TRX-CU Normal'!E326</f>
        <v>1.7305513829769446</v>
      </c>
      <c r="K37" s="1876"/>
      <c r="L37" s="1323">
        <f>'WS-TRX-CU Normal'!F326</f>
        <v>1.7305513829769446</v>
      </c>
      <c r="M37" s="782"/>
      <c r="N37" s="2092"/>
      <c r="O37" s="2092"/>
      <c r="P37" s="2092"/>
      <c r="Q37" s="2092"/>
      <c r="R37" s="2092"/>
      <c r="S37" s="2092"/>
      <c r="T37" s="2092"/>
      <c r="U37" s="2092"/>
      <c r="V37" s="2094"/>
      <c r="W37" s="2094"/>
      <c r="X37" s="2094"/>
      <c r="AA37" s="803"/>
      <c r="AC37" s="803"/>
    </row>
    <row r="38" spans="1:30" ht="15.95" customHeight="1">
      <c r="A38" s="1871" t="s">
        <v>1110</v>
      </c>
      <c r="B38" s="1871"/>
      <c r="C38" s="1871"/>
      <c r="D38" s="1871"/>
      <c r="E38" s="1871"/>
      <c r="F38" s="1871"/>
      <c r="G38" s="1871"/>
      <c r="H38" s="1876">
        <f>'WS-TRX-CU Normal'!D327</f>
        <v>1.2082549033628232</v>
      </c>
      <c r="I38" s="1876"/>
      <c r="J38" s="1876">
        <f>'WS-TRX-CU Normal'!E327</f>
        <v>1.2086262311082723</v>
      </c>
      <c r="K38" s="1876"/>
      <c r="L38" s="1323">
        <f>'WS-TRX-CU Normal'!F327</f>
        <v>1.2082798206092444</v>
      </c>
      <c r="N38" s="2081" t="s">
        <v>1370</v>
      </c>
      <c r="O38" s="2081"/>
      <c r="P38" s="2081"/>
      <c r="Q38" s="2081"/>
      <c r="R38" s="2081"/>
      <c r="S38" s="2089" t="s">
        <v>1371</v>
      </c>
      <c r="T38" s="2089"/>
      <c r="U38" s="2089"/>
      <c r="V38" s="2089"/>
      <c r="W38" s="2089"/>
      <c r="X38" s="2089"/>
      <c r="AA38" s="803"/>
      <c r="AC38" s="803"/>
    </row>
    <row r="39" spans="1:30" ht="15.95" customHeight="1">
      <c r="M39" s="13"/>
      <c r="N39" s="2090" t="s">
        <v>1373</v>
      </c>
      <c r="O39" s="2090"/>
      <c r="P39" s="2090"/>
      <c r="Q39" s="2090"/>
      <c r="R39" s="2090"/>
      <c r="S39" s="2091">
        <v>1</v>
      </c>
      <c r="T39" s="2091"/>
      <c r="U39" s="2091">
        <v>2</v>
      </c>
      <c r="V39" s="2091"/>
      <c r="W39" s="2091">
        <v>3</v>
      </c>
      <c r="X39" s="2091"/>
      <c r="AA39" s="803"/>
      <c r="AC39" s="803"/>
    </row>
    <row r="40" spans="1:30" ht="24.95" customHeight="1">
      <c r="A40" s="541" t="s">
        <v>1372</v>
      </c>
      <c r="B40" s="877"/>
      <c r="C40" s="877"/>
      <c r="D40" s="877"/>
      <c r="E40" s="877"/>
      <c r="F40" s="877"/>
      <c r="G40" s="877"/>
      <c r="H40" s="877"/>
      <c r="I40" s="878"/>
      <c r="J40" s="877"/>
      <c r="K40" s="877"/>
      <c r="L40" s="877"/>
      <c r="N40" s="1872" t="s">
        <v>1409</v>
      </c>
      <c r="O40" s="1872"/>
      <c r="P40" s="1872"/>
      <c r="Q40" s="1872"/>
      <c r="R40" s="1872"/>
      <c r="S40" s="1876">
        <f>'WS-TRX-CU Normal'!E332</f>
        <v>240</v>
      </c>
      <c r="T40" s="1876"/>
      <c r="U40" s="1876">
        <f>'WS-TRX-CU Normal'!F332</f>
        <v>290</v>
      </c>
      <c r="V40" s="1876"/>
      <c r="W40" s="1876">
        <f>'WS-TRX-CU Normal'!G332</f>
        <v>390</v>
      </c>
      <c r="X40" s="1876"/>
      <c r="AA40" s="803"/>
      <c r="AC40" s="803"/>
    </row>
    <row r="41" spans="1:30" ht="5.0999999999999996" customHeight="1">
      <c r="B41" s="710"/>
      <c r="C41" s="710"/>
      <c r="D41" s="710"/>
      <c r="E41" s="710"/>
      <c r="F41" s="710"/>
      <c r="G41" s="710"/>
      <c r="H41" s="710"/>
      <c r="I41" s="710"/>
      <c r="J41" s="710"/>
      <c r="K41" s="710"/>
      <c r="N41" s="1872"/>
      <c r="O41" s="1872"/>
      <c r="P41" s="1872"/>
      <c r="Q41" s="1872"/>
      <c r="R41" s="1872"/>
      <c r="S41" s="1876"/>
      <c r="T41" s="1876"/>
      <c r="U41" s="1876"/>
      <c r="V41" s="1876"/>
      <c r="W41" s="1876"/>
      <c r="X41" s="1876"/>
    </row>
    <row r="42" spans="1:30" ht="15.95" customHeight="1">
      <c r="A42" s="1872" t="s">
        <v>1373</v>
      </c>
      <c r="B42" s="1872"/>
      <c r="C42" s="1872"/>
      <c r="D42" s="1872"/>
      <c r="E42" s="1872"/>
      <c r="F42" s="1872"/>
      <c r="G42" s="1872"/>
      <c r="H42" s="2020">
        <v>1</v>
      </c>
      <c r="I42" s="2020"/>
      <c r="J42" s="2020">
        <v>2</v>
      </c>
      <c r="K42" s="2020"/>
      <c r="L42" s="2020">
        <v>3</v>
      </c>
      <c r="N42" s="1872" t="s">
        <v>1518</v>
      </c>
      <c r="O42" s="1872"/>
      <c r="P42" s="1872"/>
      <c r="Q42" s="1872"/>
      <c r="R42" s="1872"/>
      <c r="S42" s="1876">
        <f>'WS-TRX-CU Normal'!E333</f>
        <v>190</v>
      </c>
      <c r="T42" s="1876"/>
      <c r="U42" s="1876">
        <f>'WS-TRX-CU Normal'!F333</f>
        <v>190</v>
      </c>
      <c r="V42" s="1876"/>
      <c r="W42" s="1876">
        <f>'WS-TRX-CU Normal'!G333</f>
        <v>190</v>
      </c>
      <c r="X42" s="1876"/>
    </row>
    <row r="43" spans="1:30" ht="15.95" customHeight="1">
      <c r="A43" s="1872"/>
      <c r="B43" s="1872"/>
      <c r="C43" s="1872"/>
      <c r="D43" s="1872"/>
      <c r="E43" s="1872"/>
      <c r="F43" s="1872"/>
      <c r="G43" s="1872"/>
      <c r="H43" s="2020"/>
      <c r="I43" s="2020"/>
      <c r="J43" s="2020"/>
      <c r="K43" s="2020"/>
      <c r="L43" s="2020"/>
      <c r="N43" s="1872"/>
      <c r="O43" s="1872"/>
      <c r="P43" s="1872"/>
      <c r="Q43" s="1872"/>
      <c r="R43" s="1872"/>
      <c r="S43" s="1876"/>
      <c r="T43" s="1876"/>
      <c r="U43" s="1876"/>
      <c r="V43" s="1876"/>
      <c r="W43" s="1876"/>
      <c r="X43" s="1876"/>
    </row>
    <row r="44" spans="1:30" ht="15.75" customHeight="1">
      <c r="A44" s="1872" t="s">
        <v>1527</v>
      </c>
      <c r="B44" s="1872"/>
      <c r="C44" s="1872"/>
      <c r="D44" s="1872"/>
      <c r="E44" s="1872"/>
      <c r="F44" s="1872"/>
      <c r="G44" s="1872"/>
      <c r="H44" s="1876">
        <f>'WS-TRX-CU Normal'!D346</f>
        <v>149.48858522438621</v>
      </c>
      <c r="I44" s="1876"/>
      <c r="J44" s="1876">
        <f>'WS-TRX-CU Normal'!E346</f>
        <v>170.39317570814612</v>
      </c>
      <c r="K44" s="1876"/>
      <c r="L44" s="1876">
        <f>'WS-TRX-CU Normal'!F346</f>
        <v>217.2929817460421</v>
      </c>
      <c r="N44" s="1872" t="s">
        <v>1519</v>
      </c>
      <c r="O44" s="1872"/>
      <c r="P44" s="1872"/>
      <c r="Q44" s="1872"/>
      <c r="R44" s="1872"/>
      <c r="S44" s="1876">
        <f>'WS-TRX-CU Normal'!E334</f>
        <v>50</v>
      </c>
      <c r="T44" s="1876"/>
      <c r="U44" s="1876">
        <f>'WS-TRX-CU Normal'!F334</f>
        <v>100</v>
      </c>
      <c r="V44" s="1876"/>
      <c r="W44" s="1876">
        <f>'WS-TRX-CU Normal'!G334</f>
        <v>200</v>
      </c>
      <c r="X44" s="1876"/>
    </row>
    <row r="45" spans="1:30" ht="33.950000000000003" customHeight="1">
      <c r="A45" s="1872"/>
      <c r="B45" s="1872"/>
      <c r="C45" s="1872"/>
      <c r="D45" s="1872"/>
      <c r="E45" s="1872"/>
      <c r="F45" s="1872"/>
      <c r="G45" s="1872"/>
      <c r="H45" s="1876"/>
      <c r="I45" s="1876"/>
      <c r="J45" s="1876"/>
      <c r="K45" s="1876"/>
      <c r="L45" s="1876"/>
      <c r="M45" s="540"/>
      <c r="N45" s="1872"/>
      <c r="O45" s="1872"/>
      <c r="P45" s="1872"/>
      <c r="Q45" s="1872"/>
      <c r="R45" s="1872"/>
      <c r="S45" s="1876"/>
      <c r="T45" s="1876"/>
      <c r="U45" s="1876"/>
      <c r="V45" s="1876"/>
      <c r="W45" s="1876"/>
      <c r="X45" s="1876"/>
    </row>
    <row r="46" spans="1:30" ht="15.75" customHeight="1">
      <c r="A46" s="1872" t="s">
        <v>1528</v>
      </c>
      <c r="B46" s="1872"/>
      <c r="C46" s="1872"/>
      <c r="D46" s="1872"/>
      <c r="E46" s="1872"/>
      <c r="F46" s="1872"/>
      <c r="G46" s="1872"/>
      <c r="H46" s="1876">
        <f>'WS-TRX-CU Normal'!D347</f>
        <v>379.3822976409092</v>
      </c>
      <c r="I46" s="1876"/>
      <c r="J46" s="1876">
        <f>'WS-TRX-CU Normal'!E347</f>
        <v>453.04920771357575</v>
      </c>
      <c r="K46" s="1876"/>
      <c r="L46" s="1876">
        <f>'WS-TRX-CU Normal'!F347</f>
        <v>594.87811378971469</v>
      </c>
      <c r="N46" s="2103" t="s">
        <v>1520</v>
      </c>
      <c r="O46" s="2103"/>
      <c r="P46" s="2103"/>
      <c r="Q46" s="2103"/>
      <c r="R46" s="2103"/>
      <c r="S46" s="2102">
        <f>'WS-TRX-CU Normal'!E335</f>
        <v>229</v>
      </c>
      <c r="T46" s="2102"/>
      <c r="U46" s="2102">
        <f>'WS-TRX-CU Normal'!F335</f>
        <v>275</v>
      </c>
      <c r="V46" s="2102"/>
      <c r="W46" s="2102">
        <f>'WS-TRX-CU Normal'!G335</f>
        <v>376</v>
      </c>
      <c r="X46" s="2102"/>
    </row>
    <row r="47" spans="1:30">
      <c r="A47" s="1872"/>
      <c r="B47" s="1872"/>
      <c r="C47" s="1872"/>
      <c r="D47" s="1872"/>
      <c r="E47" s="1872"/>
      <c r="F47" s="1872"/>
      <c r="G47" s="1872"/>
      <c r="H47" s="1876"/>
      <c r="I47" s="1876"/>
      <c r="J47" s="1876"/>
      <c r="K47" s="1876"/>
      <c r="L47" s="1876"/>
      <c r="N47" s="2103"/>
      <c r="O47" s="2103"/>
      <c r="P47" s="2103"/>
      <c r="Q47" s="2103"/>
      <c r="R47" s="2103"/>
      <c r="S47" s="2102"/>
      <c r="T47" s="2102"/>
      <c r="U47" s="2102"/>
      <c r="V47" s="2102"/>
      <c r="W47" s="2102"/>
      <c r="X47" s="2102"/>
      <c r="Z47" s="335"/>
      <c r="AA47" s="1312" t="str">
        <f>"LHU No.            : "&amp; IF('DATA INDUK'!$H$17="","",'DATA INDUK'!$H$17)</f>
        <v>LHU No.            : 23/MGS/53/II/2026</v>
      </c>
      <c r="AB47" s="335"/>
      <c r="AC47" s="335"/>
    </row>
    <row r="48" spans="1:30" ht="15.75" customHeight="1">
      <c r="A48" s="1872" t="s">
        <v>1529</v>
      </c>
      <c r="B48" s="1872"/>
      <c r="C48" s="1872"/>
      <c r="D48" s="1872"/>
      <c r="E48" s="1872"/>
      <c r="F48" s="1872"/>
      <c r="G48" s="1872"/>
      <c r="H48" s="1876">
        <f>'WS-TRX-CU Normal'!D348</f>
        <v>167.3822976409092</v>
      </c>
      <c r="I48" s="1876"/>
      <c r="J48" s="1876">
        <f>'WS-TRX-CU Normal'!E348</f>
        <v>219.04920771357575</v>
      </c>
      <c r="K48" s="1876"/>
      <c r="L48" s="1876">
        <f>'WS-TRX-CU Normal'!F348</f>
        <v>316.87811378971469</v>
      </c>
      <c r="M48" s="326"/>
      <c r="N48" s="1872" t="s">
        <v>1374</v>
      </c>
      <c r="O48" s="1872"/>
      <c r="P48" s="1872"/>
      <c r="Q48" s="1872"/>
      <c r="R48" s="1872"/>
      <c r="S48" s="1876">
        <f>'WS-TRX-CU Normal'!E336</f>
        <v>0.97499999999999998</v>
      </c>
      <c r="T48" s="1876"/>
      <c r="U48" s="1876">
        <f>'WS-TRX-CU Normal'!F336</f>
        <v>0.94444444444444442</v>
      </c>
      <c r="V48" s="1876"/>
      <c r="W48" s="1876">
        <f>'WS-TRX-CU Normal'!G336</f>
        <v>0.97894736842105268</v>
      </c>
      <c r="X48" s="1876"/>
      <c r="Z48" s="335"/>
      <c r="AA48" s="338" t="str">
        <f>"LAB ID.         : "&amp;'Template LHU_CBRsoaked'!$N$13&amp;""</f>
        <v>LAB ID.         : 26-001-DS-001</v>
      </c>
      <c r="AB48" s="335"/>
      <c r="AC48" s="335"/>
    </row>
    <row r="49" spans="1:30">
      <c r="A49" s="1872"/>
      <c r="B49" s="1872"/>
      <c r="C49" s="1872"/>
      <c r="D49" s="1872"/>
      <c r="E49" s="1872"/>
      <c r="F49" s="1872"/>
      <c r="G49" s="1872"/>
      <c r="H49" s="1876"/>
      <c r="I49" s="1876"/>
      <c r="J49" s="1876"/>
      <c r="K49" s="1876"/>
      <c r="L49" s="1876"/>
      <c r="M49" s="326"/>
      <c r="N49" s="1872"/>
      <c r="O49" s="1872"/>
      <c r="P49" s="1872"/>
      <c r="Q49" s="1872"/>
      <c r="R49" s="1872"/>
      <c r="S49" s="1876"/>
      <c r="T49" s="1876"/>
      <c r="U49" s="1876"/>
      <c r="V49" s="1876"/>
      <c r="W49" s="1876"/>
      <c r="X49" s="1876"/>
      <c r="Z49" s="335" t="s">
        <v>1375</v>
      </c>
      <c r="AA49" s="338" t="str">
        <f>"TEST TYPE   : "&amp;Z49&amp;""</f>
        <v>TEST TYPE   : Triaxial (CU)</v>
      </c>
      <c r="AB49" s="335"/>
      <c r="AC49" s="335"/>
    </row>
    <row r="50" spans="1:30" ht="15.75" customHeight="1">
      <c r="A50" s="1872" t="s">
        <v>1530</v>
      </c>
      <c r="B50" s="1872"/>
      <c r="C50" s="1872"/>
      <c r="D50" s="1872"/>
      <c r="E50" s="1872"/>
      <c r="F50" s="1872"/>
      <c r="G50" s="1872"/>
      <c r="H50" s="1876">
        <f>'WS-TRX-CU Normal'!D349</f>
        <v>28</v>
      </c>
      <c r="I50" s="1876"/>
      <c r="J50" s="1876">
        <f>'WS-TRX-CU Normal'!E349</f>
        <v>56</v>
      </c>
      <c r="K50" s="1876"/>
      <c r="L50" s="1876">
        <f>'WS-TRX-CU Normal'!F349</f>
        <v>112</v>
      </c>
      <c r="M50" s="326"/>
      <c r="N50" s="1872" t="s">
        <v>1523</v>
      </c>
      <c r="O50" s="1872"/>
      <c r="P50" s="1872"/>
      <c r="Q50" s="1872"/>
      <c r="R50" s="1872"/>
      <c r="S50" s="1876">
        <f>'WS-TRX-CU Normal'!E337</f>
        <v>1101.5697646667575</v>
      </c>
      <c r="T50" s="1876"/>
      <c r="U50" s="1876">
        <f>'WS-TRX-CU Normal'!F337</f>
        <v>1116.9236150139643</v>
      </c>
      <c r="V50" s="1876"/>
      <c r="W50" s="1876">
        <f>'WS-TRX-CU Normal'!G337</f>
        <v>1122.4184613167072</v>
      </c>
      <c r="X50" s="1876"/>
      <c r="Z50" s="1310"/>
      <c r="AA50" s="338" t="str">
        <f>"DATE            : "&amp;TEXT('DATA INDUK'!$H$19,"yyyy-mm-dd")</f>
        <v>DATE            : 2026-01-29</v>
      </c>
      <c r="AB50" s="335"/>
      <c r="AC50" s="335"/>
    </row>
    <row r="51" spans="1:30" ht="15.95" customHeight="1">
      <c r="A51" s="1872"/>
      <c r="B51" s="1872"/>
      <c r="C51" s="1872"/>
      <c r="D51" s="1872"/>
      <c r="E51" s="1872"/>
      <c r="F51" s="1872"/>
      <c r="G51" s="1872"/>
      <c r="H51" s="1876"/>
      <c r="I51" s="1876"/>
      <c r="J51" s="1876"/>
      <c r="K51" s="1876"/>
      <c r="L51" s="1876"/>
      <c r="M51" s="326"/>
      <c r="N51" s="1872"/>
      <c r="O51" s="1872"/>
      <c r="P51" s="1872"/>
      <c r="Q51" s="1872"/>
      <c r="R51" s="1872"/>
      <c r="S51" s="1876"/>
      <c r="T51" s="1876"/>
      <c r="U51" s="1876"/>
      <c r="V51" s="1876"/>
      <c r="W51" s="1876"/>
      <c r="X51" s="1876"/>
      <c r="Z51" s="1012"/>
      <c r="AA51" s="1012"/>
      <c r="AB51" s="1012"/>
      <c r="AC51" s="1012"/>
    </row>
    <row r="52" spans="1:30" ht="15.95" customHeight="1">
      <c r="A52" s="2103" t="s">
        <v>1531</v>
      </c>
      <c r="B52" s="2103"/>
      <c r="C52" s="2103"/>
      <c r="D52" s="2103"/>
      <c r="E52" s="2103"/>
      <c r="F52" s="2103"/>
      <c r="G52" s="2103"/>
      <c r="H52" s="2102">
        <f>'WS-TRX-CU Normal'!D350</f>
        <v>212</v>
      </c>
      <c r="I52" s="2102"/>
      <c r="J52" s="2102">
        <f>'WS-TRX-CU Normal'!E350</f>
        <v>234</v>
      </c>
      <c r="K52" s="2102"/>
      <c r="L52" s="2102">
        <f>'WS-TRX-CU Normal'!F350</f>
        <v>278</v>
      </c>
      <c r="M52" s="326"/>
      <c r="N52" s="1872" t="s">
        <v>1524</v>
      </c>
      <c r="O52" s="1872"/>
      <c r="P52" s="1872"/>
      <c r="Q52" s="1872"/>
      <c r="R52" s="1872"/>
      <c r="S52" s="1876">
        <f>'WS-TRX-CU Normal'!E338</f>
        <v>71.941916474054736</v>
      </c>
      <c r="T52" s="1876"/>
      <c r="U52" s="1876">
        <f>'WS-TRX-CU Normal'!F338</f>
        <v>74.223926225217753</v>
      </c>
      <c r="V52" s="1876"/>
      <c r="W52" s="1876">
        <f>'WS-TRX-CU Normal'!G338</f>
        <v>74.929679881903894</v>
      </c>
      <c r="X52" s="1876"/>
    </row>
    <row r="53" spans="1:30">
      <c r="A53" s="2103"/>
      <c r="B53" s="2103"/>
      <c r="C53" s="2103"/>
      <c r="D53" s="2103"/>
      <c r="E53" s="2103"/>
      <c r="F53" s="2103"/>
      <c r="G53" s="2103"/>
      <c r="H53" s="2102"/>
      <c r="I53" s="2102"/>
      <c r="J53" s="2102"/>
      <c r="K53" s="2102"/>
      <c r="L53" s="2102"/>
      <c r="M53" s="326"/>
      <c r="N53" s="1872"/>
      <c r="O53" s="1872"/>
      <c r="P53" s="1872"/>
      <c r="Q53" s="1872"/>
      <c r="R53" s="1872"/>
      <c r="S53" s="1876"/>
      <c r="T53" s="1876"/>
      <c r="U53" s="1876"/>
      <c r="V53" s="1876"/>
      <c r="W53" s="1876"/>
      <c r="X53" s="1876"/>
    </row>
    <row r="54" spans="1:30" ht="15.75" customHeight="1">
      <c r="A54" s="1872" t="s">
        <v>1532</v>
      </c>
      <c r="B54" s="1872"/>
      <c r="C54" s="1872"/>
      <c r="D54" s="1872"/>
      <c r="E54" s="1872"/>
      <c r="F54" s="1872"/>
      <c r="G54" s="1872"/>
      <c r="H54" s="1876">
        <f>'WS-TRX-CU Normal'!D351</f>
        <v>13.205097202861001</v>
      </c>
      <c r="I54" s="1876"/>
      <c r="J54" s="1876">
        <f>'WS-TRX-CU Normal'!E351</f>
        <v>13.472744583272227</v>
      </c>
      <c r="K54" s="1876"/>
      <c r="L54" s="1876">
        <f>'WS-TRX-CU Normal'!F351</f>
        <v>12.011261777956122</v>
      </c>
      <c r="M54" s="326"/>
      <c r="N54" s="1872" t="s">
        <v>1525</v>
      </c>
      <c r="O54" s="1872"/>
      <c r="P54" s="1872"/>
      <c r="Q54" s="1872"/>
      <c r="R54" s="1872"/>
      <c r="S54" s="1876">
        <f>'WS-TRX-CU Normal'!E339</f>
        <v>79249.039999999994</v>
      </c>
      <c r="T54" s="1876"/>
      <c r="U54" s="1876">
        <f>'WS-TRX-CU Normal'!F339</f>
        <v>82902.456000000006</v>
      </c>
      <c r="V54" s="1876"/>
      <c r="W54" s="1876">
        <f>'WS-TRX-CU Normal'!G339</f>
        <v>84102.456000000006</v>
      </c>
      <c r="X54" s="1876"/>
    </row>
    <row r="55" spans="1:30" ht="20.100000000000001" customHeight="1">
      <c r="A55" s="1872"/>
      <c r="B55" s="1872"/>
      <c r="C55" s="1872"/>
      <c r="D55" s="1872"/>
      <c r="E55" s="1872"/>
      <c r="F55" s="1872"/>
      <c r="G55" s="1872"/>
      <c r="H55" s="1876"/>
      <c r="I55" s="1876"/>
      <c r="J55" s="1876"/>
      <c r="K55" s="1876"/>
      <c r="L55" s="1876"/>
      <c r="M55" s="326"/>
      <c r="N55" s="1872"/>
      <c r="O55" s="1872"/>
      <c r="P55" s="1872"/>
      <c r="Q55" s="1872"/>
      <c r="R55" s="1872"/>
      <c r="S55" s="1876"/>
      <c r="T55" s="1876"/>
      <c r="U55" s="1876"/>
      <c r="V55" s="1876"/>
      <c r="W55" s="1876"/>
      <c r="X55" s="1876"/>
    </row>
    <row r="56" spans="1:30" ht="15.75" customHeight="1">
      <c r="A56" s="1872" t="s">
        <v>1533</v>
      </c>
      <c r="B56" s="1872"/>
      <c r="C56" s="1872"/>
      <c r="D56" s="1872"/>
      <c r="E56" s="1872"/>
      <c r="F56" s="1872"/>
      <c r="G56" s="1872"/>
      <c r="H56" s="1876">
        <f>'WS-TRX-CU Normal'!D352</f>
        <v>5.9779392014610426</v>
      </c>
      <c r="I56" s="1876"/>
      <c r="J56" s="1876">
        <f>'WS-TRX-CU Normal'!E352</f>
        <v>3.9115929948852814</v>
      </c>
      <c r="K56" s="1876"/>
      <c r="L56" s="1876">
        <f>'WS-TRX-CU Normal'!F352</f>
        <v>2.8292688731224525</v>
      </c>
      <c r="M56" s="326"/>
      <c r="N56" s="1872" t="s">
        <v>1526</v>
      </c>
      <c r="O56" s="1872"/>
      <c r="P56" s="1872"/>
      <c r="Q56" s="1872"/>
      <c r="R56" s="1872"/>
      <c r="S56" s="1876">
        <f>'WS-TRX-CU Normal'!E340</f>
        <v>1.18299972546</v>
      </c>
      <c r="T56" s="1876"/>
      <c r="U56" s="1876">
        <f>'WS-TRX-CU Normal'!F340</f>
        <v>1.18299972546</v>
      </c>
      <c r="V56" s="1876"/>
      <c r="W56" s="1876">
        <f>'WS-TRX-CU Normal'!G340</f>
        <v>1.18299972546</v>
      </c>
      <c r="X56" s="1876"/>
    </row>
    <row r="57" spans="1:30" ht="20.100000000000001" customHeight="1">
      <c r="A57" s="1872"/>
      <c r="B57" s="1872"/>
      <c r="C57" s="1872"/>
      <c r="D57" s="1872"/>
      <c r="E57" s="1872"/>
      <c r="F57" s="1872"/>
      <c r="G57" s="1872"/>
      <c r="H57" s="1876"/>
      <c r="I57" s="1876"/>
      <c r="J57" s="1876"/>
      <c r="K57" s="1876"/>
      <c r="L57" s="1876"/>
      <c r="M57" s="13"/>
      <c r="N57" s="1872"/>
      <c r="O57" s="1872"/>
      <c r="P57" s="1872"/>
      <c r="Q57" s="1872"/>
      <c r="R57" s="1872"/>
      <c r="S57" s="1876"/>
      <c r="T57" s="1876"/>
      <c r="U57" s="1876"/>
      <c r="V57" s="1876"/>
      <c r="W57" s="1876"/>
      <c r="X57" s="1876"/>
    </row>
    <row r="58" spans="1:30">
      <c r="T58" s="20" t="s">
        <v>1537</v>
      </c>
    </row>
    <row r="59" spans="1:30">
      <c r="C59" s="1768" t="s">
        <v>623</v>
      </c>
      <c r="D59" s="1769"/>
      <c r="E59" s="1769"/>
      <c r="F59" s="1769"/>
      <c r="G59" s="1770"/>
      <c r="H59" s="1768" t="s">
        <v>292</v>
      </c>
      <c r="I59" s="1769"/>
      <c r="J59" s="1769"/>
      <c r="K59" s="1769"/>
      <c r="L59" s="1769"/>
      <c r="M59" s="1768" t="s">
        <v>294</v>
      </c>
      <c r="N59" s="1769"/>
      <c r="O59" s="1769"/>
      <c r="P59" s="1769"/>
      <c r="Q59" s="1769"/>
      <c r="R59" s="1770"/>
      <c r="T59" s="328"/>
      <c r="U59" s="329"/>
      <c r="V59" s="329"/>
      <c r="W59" s="330"/>
    </row>
    <row r="60" spans="1:30" ht="15.95" customHeight="1">
      <c r="C60" s="1771" t="s">
        <v>624</v>
      </c>
      <c r="D60" s="1646"/>
      <c r="E60" s="1646"/>
      <c r="F60" s="1646"/>
      <c r="G60" s="1772"/>
      <c r="H60" s="1773" t="s">
        <v>293</v>
      </c>
      <c r="I60" s="1652"/>
      <c r="J60" s="1652"/>
      <c r="K60" s="1652"/>
      <c r="L60" s="1652"/>
      <c r="M60" s="1773" t="s">
        <v>295</v>
      </c>
      <c r="N60" s="1652"/>
      <c r="O60" s="1652"/>
      <c r="P60" s="1652"/>
      <c r="Q60" s="1652"/>
      <c r="R60" s="1774"/>
      <c r="T60" s="357"/>
      <c r="W60" s="331"/>
    </row>
    <row r="61" spans="1:30" ht="15.95" customHeight="1">
      <c r="C61" s="357"/>
      <c r="D61" s="359"/>
      <c r="E61" s="359"/>
      <c r="F61" s="359"/>
      <c r="G61" s="360"/>
      <c r="H61" s="357"/>
      <c r="I61"/>
      <c r="K61" s="4"/>
      <c r="M61" s="357"/>
      <c r="R61" s="331"/>
      <c r="T61" s="357"/>
      <c r="W61" s="331"/>
    </row>
    <row r="62" spans="1:30">
      <c r="C62" s="357"/>
      <c r="G62" s="331"/>
      <c r="H62" s="357"/>
      <c r="I62"/>
      <c r="K62" s="4"/>
      <c r="M62" s="357"/>
      <c r="R62" s="331"/>
      <c r="T62" s="357"/>
      <c r="W62" s="331"/>
      <c r="Z62" s="1632"/>
      <c r="AA62" s="1632"/>
      <c r="AB62" s="1632"/>
      <c r="AC62" s="1632"/>
      <c r="AD62" s="783"/>
    </row>
    <row r="63" spans="1:30">
      <c r="C63" s="357"/>
      <c r="G63" s="331"/>
      <c r="H63" s="357"/>
      <c r="I63"/>
      <c r="K63" s="4"/>
      <c r="M63" s="357"/>
      <c r="R63" s="331"/>
      <c r="T63" s="357"/>
      <c r="W63" s="331"/>
      <c r="Z63" s="803"/>
      <c r="AA63" s="13"/>
      <c r="AB63" s="803"/>
      <c r="AC63" s="13"/>
      <c r="AD63" s="1278"/>
    </row>
    <row r="64" spans="1:30">
      <c r="C64" s="1777" t="str">
        <f>'WS-TRX-CU Normal'!O9</f>
        <v>RAFLY</v>
      </c>
      <c r="D64" s="1632"/>
      <c r="E64" s="1632"/>
      <c r="F64" s="1632"/>
      <c r="G64" s="1778"/>
      <c r="H64" s="1777" t="str">
        <f>IF(C64='WS-TRX-CU Normal'!O10," - ",'WS-TRX-CU Normal'!O10)</f>
        <v>NOUFAL</v>
      </c>
      <c r="I64" s="1632"/>
      <c r="J64" s="1632"/>
      <c r="K64" s="1632"/>
      <c r="L64" s="1632"/>
      <c r="M64" s="1777" t="str">
        <f>'WS-TRX-CU Normal'!O11</f>
        <v>A.SUMARTADJI</v>
      </c>
      <c r="N64" s="1632"/>
      <c r="O64" s="1632"/>
      <c r="P64" s="1632"/>
      <c r="Q64" s="1632"/>
      <c r="R64" s="1778"/>
      <c r="T64" s="357"/>
      <c r="W64" s="331"/>
      <c r="Z64" s="803"/>
      <c r="AA64" s="13"/>
      <c r="AB64" s="803"/>
      <c r="AC64" s="13"/>
      <c r="AD64" s="1277"/>
    </row>
    <row r="65" spans="1:30" s="15" customFormat="1" ht="12">
      <c r="C65" s="1779" t="s">
        <v>299</v>
      </c>
      <c r="D65" s="1685"/>
      <c r="E65" s="1685"/>
      <c r="F65" s="1685"/>
      <c r="G65" s="1780"/>
      <c r="H65" s="1779" t="s">
        <v>305</v>
      </c>
      <c r="I65" s="1685"/>
      <c r="J65" s="1685"/>
      <c r="K65" s="1685"/>
      <c r="L65" s="1685"/>
      <c r="M65" s="1779" t="s">
        <v>298</v>
      </c>
      <c r="N65" s="1685"/>
      <c r="O65" s="1685"/>
      <c r="P65" s="1685"/>
      <c r="Q65" s="1685"/>
      <c r="R65" s="1780"/>
      <c r="S65" s="364"/>
      <c r="T65" s="366"/>
      <c r="U65" s="364"/>
      <c r="V65" s="364"/>
      <c r="W65" s="365"/>
      <c r="X65" s="364"/>
      <c r="Z65" s="803"/>
      <c r="AA65" s="13"/>
      <c r="AB65" s="803"/>
      <c r="AC65" s="13"/>
      <c r="AD65" s="1277"/>
    </row>
    <row r="66" spans="1:30" ht="15.95" customHeight="1">
      <c r="C66" s="1783" t="s">
        <v>291</v>
      </c>
      <c r="D66" s="1784"/>
      <c r="E66" s="1775">
        <f>IF('DATA INDUK'!$H$19="","",'DATA INDUK'!$H$19-1)</f>
        <v>46050</v>
      </c>
      <c r="F66" s="1775"/>
      <c r="G66" s="1776"/>
      <c r="H66" s="1783" t="s">
        <v>291</v>
      </c>
      <c r="I66" s="1784"/>
      <c r="J66" s="1775">
        <f>IF('DATA INDUK'!$H$19="","",'DATA INDUK'!$H$19-1)</f>
        <v>46050</v>
      </c>
      <c r="K66" s="1775"/>
      <c r="L66" s="1776"/>
      <c r="M66" s="1783" t="s">
        <v>291</v>
      </c>
      <c r="N66" s="1784"/>
      <c r="O66" s="1784"/>
      <c r="P66" s="1775">
        <f>IF('DATA INDUK'!$H$19="","",'DATA INDUK'!$H$19-1)</f>
        <v>46050</v>
      </c>
      <c r="Q66" s="1775"/>
      <c r="R66" s="1776"/>
      <c r="T66" s="332"/>
      <c r="U66" s="333"/>
      <c r="V66" s="333"/>
      <c r="W66" s="334"/>
      <c r="Z66" s="803"/>
      <c r="AA66" s="13"/>
      <c r="AB66" s="803"/>
      <c r="AC66" s="13"/>
      <c r="AD66" s="1277"/>
    </row>
    <row r="67" spans="1:30" ht="8.1" customHeight="1">
      <c r="B67" s="353"/>
      <c r="C67" s="353"/>
      <c r="D67" s="353"/>
      <c r="E67" s="353"/>
      <c r="F67" s="353"/>
      <c r="G67" s="353"/>
      <c r="J67" s="353"/>
      <c r="K67" s="353"/>
      <c r="L67" s="353"/>
      <c r="M67" s="353"/>
      <c r="N67" s="353"/>
      <c r="O67" s="353"/>
      <c r="P67" s="19"/>
      <c r="Z67" s="803"/>
      <c r="AA67" s="13"/>
      <c r="AB67" s="803"/>
      <c r="AC67" s="13"/>
      <c r="AD67" s="1277"/>
    </row>
    <row r="68" spans="1:30" ht="15.95" customHeight="1">
      <c r="A68" s="1691" t="s">
        <v>899</v>
      </c>
      <c r="B68" s="1692"/>
      <c r="C68" s="1693"/>
      <c r="D68" s="965" t="s">
        <v>895</v>
      </c>
      <c r="E68" s="915"/>
      <c r="F68" s="916"/>
      <c r="G68" s="916"/>
      <c r="H68" s="916"/>
      <c r="I68" s="917"/>
      <c r="J68" s="916"/>
      <c r="K68" s="916"/>
      <c r="L68" s="918"/>
      <c r="M68" s="951" t="s">
        <v>90</v>
      </c>
      <c r="N68" s="916" t="s">
        <v>891</v>
      </c>
      <c r="O68" s="920"/>
      <c r="P68" s="920"/>
      <c r="Q68" s="920"/>
      <c r="R68" s="921"/>
      <c r="S68" s="921"/>
      <c r="T68" s="921"/>
      <c r="U68" s="921"/>
      <c r="V68" s="921"/>
      <c r="W68" s="921"/>
      <c r="X68" s="922"/>
      <c r="Z68" s="803"/>
      <c r="AA68" s="803"/>
      <c r="AB68" s="803"/>
      <c r="AC68" s="803"/>
      <c r="AD68" s="1277"/>
    </row>
    <row r="69" spans="1:30">
      <c r="A69" s="1694"/>
      <c r="B69" s="1695"/>
      <c r="C69" s="1696"/>
      <c r="D69" s="966" t="s">
        <v>904</v>
      </c>
      <c r="E69" s="923"/>
      <c r="F69" s="923"/>
      <c r="G69" s="923"/>
      <c r="H69" s="923"/>
      <c r="I69" s="923"/>
      <c r="J69" s="923"/>
      <c r="K69" s="923"/>
      <c r="L69" s="924"/>
      <c r="M69" s="952" t="s">
        <v>90</v>
      </c>
      <c r="N69" s="926" t="s">
        <v>912</v>
      </c>
      <c r="O69" s="927"/>
      <c r="P69" s="927"/>
      <c r="Q69" s="927"/>
      <c r="R69" s="928"/>
      <c r="S69" s="928"/>
      <c r="T69" s="928"/>
      <c r="U69" s="928"/>
      <c r="V69" s="928"/>
      <c r="W69" s="928"/>
      <c r="X69" s="929"/>
      <c r="Z69" s="803"/>
      <c r="AA69" s="803"/>
      <c r="AB69" s="803"/>
      <c r="AC69" s="803"/>
      <c r="AD69" s="1277"/>
    </row>
    <row r="70" spans="1:30">
      <c r="A70" s="1694"/>
      <c r="B70" s="1695"/>
      <c r="C70" s="1696"/>
      <c r="D70" s="966" t="s">
        <v>1580</v>
      </c>
      <c r="E70" s="923"/>
      <c r="F70" s="923"/>
      <c r="G70" s="923"/>
      <c r="H70" s="923"/>
      <c r="I70" s="923"/>
      <c r="J70" s="923"/>
      <c r="K70" s="923"/>
      <c r="L70" s="924"/>
      <c r="M70" s="953"/>
      <c r="N70" s="926" t="s">
        <v>1581</v>
      </c>
      <c r="O70" s="927"/>
      <c r="P70" s="927"/>
      <c r="Q70" s="927"/>
      <c r="R70" s="928"/>
      <c r="S70" s="928"/>
      <c r="T70" s="928"/>
      <c r="U70" s="928"/>
      <c r="V70" s="928"/>
      <c r="W70" s="928"/>
      <c r="X70" s="929"/>
      <c r="Z70" s="803"/>
      <c r="AA70" s="803"/>
      <c r="AB70" s="803"/>
      <c r="AC70" s="803"/>
      <c r="AD70" s="1277"/>
    </row>
    <row r="71" spans="1:30" ht="15" customHeight="1">
      <c r="A71" s="1694"/>
      <c r="B71" s="1695"/>
      <c r="C71" s="1696"/>
      <c r="D71" s="966" t="s">
        <v>1322</v>
      </c>
      <c r="E71" s="923"/>
      <c r="F71" s="923"/>
      <c r="G71" s="923"/>
      <c r="H71" s="923"/>
      <c r="I71" s="923"/>
      <c r="J71" s="923"/>
      <c r="K71" s="923"/>
      <c r="L71" s="924"/>
      <c r="M71" s="952" t="s">
        <v>90</v>
      </c>
      <c r="N71" s="926" t="s">
        <v>898</v>
      </c>
      <c r="O71" s="931"/>
      <c r="P71" s="932"/>
      <c r="Q71" s="933"/>
      <c r="R71" s="934"/>
      <c r="S71" s="934"/>
      <c r="T71" s="934"/>
      <c r="U71" s="934"/>
      <c r="V71" s="934"/>
      <c r="W71" s="934"/>
      <c r="X71" s="935"/>
      <c r="Z71" s="803"/>
      <c r="AA71" s="13"/>
      <c r="AB71" s="803"/>
      <c r="AC71" s="13"/>
      <c r="AD71" s="1277"/>
    </row>
    <row r="72" spans="1:30">
      <c r="A72" s="1697"/>
      <c r="B72" s="1698"/>
      <c r="C72" s="1699"/>
      <c r="D72" s="967" t="s">
        <v>897</v>
      </c>
      <c r="E72" s="936"/>
      <c r="F72" s="936"/>
      <c r="G72" s="936"/>
      <c r="H72" s="936"/>
      <c r="I72" s="936"/>
      <c r="J72" s="936"/>
      <c r="K72" s="936"/>
      <c r="L72" s="937"/>
      <c r="M72" s="954"/>
      <c r="N72" s="939" t="s">
        <v>894</v>
      </c>
      <c r="O72" s="940"/>
      <c r="P72" s="940"/>
      <c r="Q72" s="940"/>
      <c r="R72" s="940"/>
      <c r="S72" s="941"/>
      <c r="T72" s="940"/>
      <c r="U72" s="940"/>
      <c r="V72" s="941"/>
      <c r="W72" s="941"/>
      <c r="X72" s="942"/>
    </row>
    <row r="73" spans="1:30" ht="12" customHeight="1">
      <c r="B73" s="353"/>
      <c r="C73" s="353"/>
      <c r="D73" s="353"/>
      <c r="E73" s="353"/>
      <c r="F73" s="353"/>
      <c r="G73" s="353"/>
      <c r="J73" s="353"/>
      <c r="K73" s="353"/>
      <c r="L73" s="353"/>
      <c r="M73" s="353"/>
      <c r="N73" s="353"/>
      <c r="O73" s="353"/>
      <c r="P73" s="19"/>
      <c r="T73" s="912" t="str">
        <f>'DATA INDUK'!$BT$38</f>
        <v>23-MINEARTH-RM-LHU-TRX-CU-R0</v>
      </c>
    </row>
    <row r="74" spans="1:30">
      <c r="A74" s="361" t="s">
        <v>892</v>
      </c>
      <c r="B74" s="893"/>
      <c r="C74" s="893"/>
      <c r="D74" s="893"/>
      <c r="E74" s="893"/>
      <c r="F74" s="893"/>
      <c r="G74" s="893"/>
      <c r="H74" s="893"/>
      <c r="I74" s="894"/>
      <c r="J74" s="893"/>
      <c r="K74" s="361" t="s">
        <v>1330</v>
      </c>
      <c r="L74" s="893"/>
      <c r="M74" s="893"/>
      <c r="N74" s="893"/>
      <c r="O74" s="893"/>
      <c r="P74" s="893"/>
      <c r="Q74" s="893"/>
      <c r="R74" s="893"/>
      <c r="S74" s="361" t="s">
        <v>285</v>
      </c>
      <c r="T74" s="893"/>
      <c r="U74" s="895"/>
      <c r="V74" s="893"/>
      <c r="W74" s="893"/>
      <c r="X74" s="893"/>
    </row>
    <row r="75" spans="1:30">
      <c r="A75" s="361" t="s">
        <v>283</v>
      </c>
      <c r="B75" s="892"/>
      <c r="C75" s="892"/>
      <c r="D75" s="892"/>
      <c r="E75" s="892"/>
      <c r="F75" s="892"/>
      <c r="G75" s="892"/>
      <c r="H75" s="892"/>
      <c r="I75" s="891"/>
      <c r="J75" s="892"/>
      <c r="K75" s="361" t="s">
        <v>296</v>
      </c>
      <c r="L75" s="892"/>
      <c r="M75" s="892"/>
      <c r="N75" s="892"/>
      <c r="O75" s="892"/>
      <c r="P75" s="892"/>
      <c r="Q75" s="892"/>
      <c r="R75" s="892"/>
      <c r="S75" s="361" t="s">
        <v>289</v>
      </c>
      <c r="T75" s="892"/>
      <c r="U75" s="892"/>
      <c r="V75" s="892"/>
      <c r="W75" s="892"/>
      <c r="X75" s="892"/>
    </row>
    <row r="76" spans="1:30">
      <c r="A76" s="892"/>
      <c r="B76" s="361"/>
      <c r="C76" s="361"/>
      <c r="D76" s="361"/>
      <c r="E76" s="361"/>
      <c r="F76" s="361"/>
      <c r="G76" s="361"/>
      <c r="H76" s="336"/>
      <c r="I76" s="891"/>
      <c r="J76" s="336"/>
      <c r="K76" s="892"/>
      <c r="L76" s="336"/>
      <c r="M76" s="336"/>
      <c r="N76" s="336"/>
      <c r="O76" s="336"/>
      <c r="P76" s="892"/>
      <c r="Q76" s="336"/>
      <c r="R76" s="892"/>
      <c r="S76" s="892"/>
      <c r="T76" s="336"/>
      <c r="U76" s="336"/>
      <c r="V76" s="336"/>
      <c r="W76" s="336"/>
      <c r="X76" s="336"/>
    </row>
    <row r="77" spans="1:30">
      <c r="A77" s="353"/>
    </row>
    <row r="78" spans="1:30" ht="23.25">
      <c r="F78" s="1681" t="s">
        <v>302</v>
      </c>
      <c r="G78" s="1681"/>
      <c r="H78" s="1681"/>
      <c r="I78" s="1681"/>
      <c r="J78" s="1681"/>
      <c r="K78" s="1681"/>
      <c r="L78" s="1681"/>
      <c r="M78" s="1681"/>
      <c r="N78" s="1681"/>
      <c r="O78" s="1681"/>
      <c r="P78" s="1681"/>
      <c r="Q78" s="1681"/>
      <c r="R78" s="1681"/>
      <c r="S78" s="1681"/>
      <c r="T78" s="1681"/>
    </row>
    <row r="79" spans="1:30" ht="20.25">
      <c r="F79" s="1682" t="s">
        <v>1582</v>
      </c>
      <c r="G79" s="1682"/>
      <c r="H79" s="1682"/>
      <c r="I79" s="1682"/>
      <c r="J79" s="1682"/>
      <c r="K79" s="1682"/>
      <c r="L79" s="1682"/>
      <c r="M79" s="1682"/>
      <c r="N79" s="1682"/>
      <c r="O79" s="1682"/>
      <c r="P79" s="1682"/>
      <c r="Q79" s="1682"/>
      <c r="R79" s="1682"/>
      <c r="S79" s="1682"/>
      <c r="T79" s="1682"/>
    </row>
    <row r="80" spans="1:30">
      <c r="A80" s="333"/>
      <c r="B80" s="333"/>
      <c r="C80" s="333"/>
      <c r="D80" s="333"/>
      <c r="E80" s="333"/>
      <c r="F80" s="1745" t="s">
        <v>304</v>
      </c>
      <c r="G80" s="1745"/>
      <c r="H80" s="1745"/>
      <c r="I80" s="1745"/>
      <c r="J80" s="1745"/>
      <c r="K80" s="1745"/>
      <c r="L80" s="1745"/>
      <c r="M80" s="1745"/>
      <c r="N80" s="1745"/>
      <c r="O80" s="1745"/>
      <c r="P80" s="1745"/>
      <c r="Q80" s="1745"/>
      <c r="R80" s="1745"/>
      <c r="S80" s="1745"/>
      <c r="T80" s="1745"/>
      <c r="U80" s="333"/>
      <c r="V80" s="333"/>
      <c r="W80" s="333"/>
      <c r="X80" s="333"/>
    </row>
    <row r="81" spans="1:24" ht="8.1" customHeight="1"/>
    <row r="82" spans="1:24" ht="8.1" customHeight="1"/>
    <row r="83" spans="1:24">
      <c r="A83" s="1680" t="s">
        <v>1346</v>
      </c>
      <c r="B83" s="1680"/>
      <c r="C83" s="1680"/>
      <c r="D83" s="1680"/>
      <c r="E83" s="656"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5" t="s">
        <v>1347</v>
      </c>
      <c r="B84" s="1635"/>
      <c r="C84" s="1635"/>
      <c r="D84" s="1635"/>
      <c r="E84" s="794" t="str">
        <f>":  "&amp;IF('DATA INDUK'!$H$18="","",'DATA INDUK'!$H$18)</f>
        <v>:  R0</v>
      </c>
      <c r="G84" s="672"/>
      <c r="H84" s="672"/>
      <c r="I84" s="1127"/>
      <c r="J84" s="672" t="s">
        <v>1348</v>
      </c>
      <c r="K84" s="672"/>
      <c r="L84" s="672"/>
      <c r="M84" s="1636" t="str">
        <f>":  "&amp;IF('DATA INDUK'!$H$19="","",TEXT('DATA INDUK'!$H$19,"dd mmmm yyyy"))</f>
        <v>:  29 January 2026</v>
      </c>
      <c r="N84" s="1636"/>
      <c r="O84" s="1636"/>
      <c r="P84" s="1636"/>
      <c r="Q84" s="1636"/>
      <c r="R84" s="1194"/>
      <c r="S84" s="1127"/>
      <c r="T84" s="1649" t="s">
        <v>1540</v>
      </c>
      <c r="U84" s="1649"/>
      <c r="V84" s="1649"/>
      <c r="W84" s="1635" t="str">
        <f>":  2 dari 3"</f>
        <v>:  2 dari 3</v>
      </c>
      <c r="X84" s="1635"/>
    </row>
    <row r="85" spans="1:24" ht="8.1" customHeight="1">
      <c r="A85" s="353"/>
    </row>
    <row r="86" spans="1:24">
      <c r="A86" s="1706" t="str">
        <f>'WS-TRX-CD'!A2</f>
        <v>UJI TRIAKSIAL - TERKONSOLIDASI  TERDRAINASE (CD)</v>
      </c>
      <c r="B86" s="1706"/>
      <c r="C86" s="1706"/>
      <c r="D86" s="1706"/>
      <c r="E86" s="1706"/>
      <c r="F86" s="1706"/>
      <c r="G86" s="1706"/>
      <c r="H86" s="1706"/>
      <c r="I86" s="1706"/>
      <c r="J86" s="1706"/>
      <c r="K86" s="1706"/>
      <c r="L86" s="1706"/>
      <c r="M86" s="1706"/>
      <c r="N86" s="1706"/>
      <c r="O86" s="1706"/>
      <c r="P86" s="1706"/>
      <c r="Q86" s="1706"/>
      <c r="R86" s="1706"/>
      <c r="S86" s="1706"/>
      <c r="T86" s="1706"/>
      <c r="U86" s="1705" t="s">
        <v>2</v>
      </c>
      <c r="V86" s="1704" t="str">
        <f>'DATA INDUK'!$BS$38</f>
        <v>2455 : 2015</v>
      </c>
      <c r="W86" s="1704"/>
      <c r="X86" s="1704"/>
    </row>
    <row r="87" spans="1:24">
      <c r="A87" s="1650" t="str">
        <f>'WS-TRX-CD'!A3</f>
        <v>TRIAXIAL TEST- CONSOLIDATED DRAINED (CD)</v>
      </c>
      <c r="B87" s="1650"/>
      <c r="C87" s="1650"/>
      <c r="D87" s="1650"/>
      <c r="E87" s="1650"/>
      <c r="F87" s="1650"/>
      <c r="G87" s="1650"/>
      <c r="H87" s="1650"/>
      <c r="I87" s="1650"/>
      <c r="J87" s="1650"/>
      <c r="K87" s="1650"/>
      <c r="L87" s="1650"/>
      <c r="M87" s="1650"/>
      <c r="N87" s="1650"/>
      <c r="O87" s="1650"/>
      <c r="P87" s="1650"/>
      <c r="Q87" s="1650"/>
      <c r="R87" s="1650"/>
      <c r="S87" s="1650"/>
      <c r="T87" s="1650"/>
      <c r="U87" s="1705"/>
      <c r="V87" s="1704"/>
      <c r="W87" s="1704"/>
      <c r="X87" s="1704"/>
    </row>
    <row r="88" spans="1:24" ht="8.1" customHeight="1">
      <c r="A88" s="353"/>
    </row>
    <row r="89" spans="1:24">
      <c r="A89" s="541" t="s">
        <v>184</v>
      </c>
      <c r="B89" s="877"/>
      <c r="C89" s="877"/>
      <c r="D89" s="877"/>
      <c r="E89" s="877"/>
      <c r="F89" s="877"/>
      <c r="G89" s="877"/>
      <c r="H89" s="877"/>
      <c r="I89" s="878"/>
      <c r="J89" s="877"/>
      <c r="K89" s="877"/>
      <c r="L89" s="877"/>
      <c r="M89" s="877"/>
      <c r="N89" s="877"/>
      <c r="O89" s="877"/>
      <c r="P89" s="877"/>
      <c r="Q89" s="877"/>
      <c r="R89" s="877"/>
      <c r="S89" s="877"/>
      <c r="T89" s="877"/>
      <c r="U89" s="877"/>
      <c r="V89" s="877"/>
      <c r="W89" s="877"/>
      <c r="X89" s="877"/>
    </row>
    <row r="90" spans="1:24">
      <c r="A90" s="540" t="s">
        <v>1376</v>
      </c>
      <c r="B90" s="15"/>
      <c r="C90" s="15"/>
      <c r="D90" s="15"/>
      <c r="E90" s="15"/>
      <c r="F90" s="15"/>
      <c r="G90" s="15"/>
      <c r="H90" s="15"/>
      <c r="I90" s="1176"/>
      <c r="J90" s="15"/>
      <c r="K90" s="15"/>
      <c r="L90" s="15"/>
      <c r="M90" s="540"/>
      <c r="N90" s="1533" t="s">
        <v>1377</v>
      </c>
      <c r="O90" s="588"/>
      <c r="P90" s="588"/>
      <c r="Q90" s="588"/>
      <c r="R90" s="588"/>
      <c r="S90" s="588"/>
      <c r="T90" s="588"/>
      <c r="U90" s="1534"/>
      <c r="V90" s="588"/>
      <c r="W90" s="15"/>
      <c r="X90" s="15"/>
    </row>
    <row r="91" spans="1:24">
      <c r="A91" s="1248" t="s">
        <v>1378</v>
      </c>
      <c r="B91" s="15"/>
      <c r="C91" s="15"/>
      <c r="D91" s="15"/>
      <c r="E91" s="15"/>
      <c r="F91" s="15"/>
      <c r="G91" s="15"/>
      <c r="H91" s="15"/>
      <c r="I91" s="1176"/>
      <c r="J91" s="15"/>
      <c r="K91" s="15"/>
      <c r="L91" s="15"/>
      <c r="M91" s="1248"/>
      <c r="N91" s="588" t="s">
        <v>1379</v>
      </c>
      <c r="O91" s="588"/>
      <c r="P91" s="588"/>
      <c r="Q91" s="588"/>
      <c r="R91" s="588"/>
      <c r="S91" s="588"/>
      <c r="T91" s="588"/>
      <c r="U91" s="1534"/>
      <c r="V91" s="588"/>
      <c r="W91" s="15"/>
      <c r="X91" s="15"/>
    </row>
    <row r="92" spans="1:24">
      <c r="A92" s="353"/>
    </row>
    <row r="93" spans="1:24">
      <c r="A93" s="353"/>
    </row>
    <row r="94" spans="1:24">
      <c r="A94" s="353"/>
    </row>
    <row r="95" spans="1:24">
      <c r="A95" s="353"/>
    </row>
    <row r="96" spans="1:24">
      <c r="A96" s="353"/>
    </row>
    <row r="97" spans="1:27">
      <c r="A97" s="353"/>
    </row>
    <row r="98" spans="1:27">
      <c r="A98" s="353"/>
    </row>
    <row r="99" spans="1:27">
      <c r="A99" s="353"/>
    </row>
    <row r="100" spans="1:27">
      <c r="A100" s="353"/>
    </row>
    <row r="101" spans="1:27">
      <c r="A101" s="353"/>
    </row>
    <row r="102" spans="1:27">
      <c r="A102" s="353"/>
    </row>
    <row r="103" spans="1:27">
      <c r="A103" s="353"/>
    </row>
    <row r="104" spans="1:27">
      <c r="A104" s="540" t="s">
        <v>1380</v>
      </c>
      <c r="B104" s="15"/>
      <c r="C104" s="15"/>
      <c r="D104" s="15"/>
      <c r="E104" s="15"/>
      <c r="F104" s="15"/>
      <c r="G104" s="15"/>
      <c r="H104" s="15"/>
      <c r="I104" s="1176"/>
    </row>
    <row r="105" spans="1:27">
      <c r="A105" s="1248" t="s">
        <v>1381</v>
      </c>
      <c r="B105" s="15"/>
      <c r="C105" s="15"/>
      <c r="D105" s="15"/>
      <c r="E105" s="15"/>
      <c r="F105" s="15"/>
      <c r="G105" s="15"/>
      <c r="H105" s="15"/>
      <c r="I105" s="1176"/>
    </row>
    <row r="106" spans="1:27">
      <c r="A106" s="353"/>
    </row>
    <row r="107" spans="1:27">
      <c r="A107" s="353"/>
      <c r="AA107" s="4"/>
    </row>
    <row r="108" spans="1:27">
      <c r="A108" s="353"/>
      <c r="AA108" s="4"/>
    </row>
    <row r="109" spans="1:27">
      <c r="A109" s="353"/>
      <c r="AA109" s="4"/>
    </row>
    <row r="110" spans="1:27">
      <c r="A110" s="353"/>
      <c r="Z110" s="1210"/>
      <c r="AA110" s="4"/>
    </row>
    <row r="111" spans="1:27">
      <c r="A111" s="353"/>
    </row>
    <row r="112" spans="1:27">
      <c r="M112" s="710"/>
      <c r="N112" s="710"/>
      <c r="O112" s="710"/>
      <c r="P112" s="710"/>
      <c r="Q112" s="710"/>
      <c r="R112" s="710"/>
    </row>
    <row r="114" spans="1:23">
      <c r="M114" s="775"/>
    </row>
    <row r="115" spans="1:23" ht="8.1" customHeight="1">
      <c r="M115" s="775"/>
    </row>
    <row r="116" spans="1:23">
      <c r="M116" s="775"/>
    </row>
    <row r="117" spans="1:23">
      <c r="M117" s="775"/>
    </row>
    <row r="118" spans="1:23" ht="8.1" customHeight="1">
      <c r="M118" s="775"/>
    </row>
    <row r="119" spans="1:23">
      <c r="M119" s="775"/>
    </row>
    <row r="120" spans="1:23">
      <c r="M120" s="775"/>
    </row>
    <row r="121" spans="1:23">
      <c r="A121" s="541" t="s">
        <v>1308</v>
      </c>
      <c r="B121" s="541"/>
      <c r="C121" s="541"/>
      <c r="D121" s="541"/>
      <c r="E121" s="541"/>
      <c r="F121" s="541"/>
      <c r="G121" s="541"/>
      <c r="H121" s="541"/>
      <c r="I121" s="541"/>
      <c r="J121" s="541"/>
      <c r="K121" s="541"/>
      <c r="L121" s="541"/>
      <c r="M121" s="775"/>
    </row>
    <row r="122" spans="1:23">
      <c r="A122" s="353"/>
    </row>
    <row r="123" spans="1:23">
      <c r="A123" s="541" t="s">
        <v>1382</v>
      </c>
      <c r="B123" s="541"/>
      <c r="C123" s="541"/>
      <c r="D123" s="541"/>
      <c r="E123" s="541"/>
      <c r="F123" s="541"/>
      <c r="G123" s="541"/>
      <c r="H123" s="541"/>
      <c r="I123" s="541"/>
      <c r="J123" s="541"/>
      <c r="K123" s="541"/>
      <c r="L123" s="541"/>
    </row>
    <row r="124" spans="1:23">
      <c r="A124" s="353"/>
      <c r="C124" s="2074" t="s">
        <v>1383</v>
      </c>
      <c r="D124" s="2074"/>
      <c r="E124" s="2074"/>
      <c r="F124" s="2074"/>
      <c r="G124" s="2074"/>
      <c r="H124" s="2074"/>
      <c r="I124" s="2074" t="s">
        <v>1384</v>
      </c>
      <c r="J124" s="2074"/>
      <c r="K124" s="2074"/>
    </row>
    <row r="125" spans="1:23">
      <c r="A125" s="353"/>
      <c r="C125" s="2104" t="s">
        <v>1385</v>
      </c>
      <c r="D125" s="2104"/>
      <c r="E125" s="2104"/>
      <c r="F125" s="2104"/>
      <c r="G125" s="2104"/>
      <c r="H125" s="2104"/>
      <c r="I125" s="2105">
        <f>'WS-TRX-CU Normal'!$M$270</f>
        <v>52.254530487613614</v>
      </c>
      <c r="J125" s="2106"/>
      <c r="K125" s="1535" t="s">
        <v>465</v>
      </c>
      <c r="V125" s="1315"/>
      <c r="W125" s="576"/>
    </row>
    <row r="126" spans="1:23">
      <c r="A126" s="353"/>
      <c r="C126" s="2104" t="s">
        <v>1386</v>
      </c>
      <c r="D126" s="2104"/>
      <c r="E126" s="2104"/>
      <c r="F126" s="2104"/>
      <c r="G126" s="2104"/>
      <c r="H126" s="2104"/>
      <c r="I126" s="2105">
        <f>'WS-TRX-CU Normal'!M269</f>
        <v>10.670147865319105</v>
      </c>
      <c r="J126" s="2106"/>
      <c r="K126" s="1535" t="s">
        <v>825</v>
      </c>
      <c r="V126" s="1315"/>
      <c r="W126" s="576"/>
    </row>
    <row r="127" spans="1:23">
      <c r="A127" s="353"/>
      <c r="C127" s="1314"/>
      <c r="K127" s="1224"/>
      <c r="U127" s="576"/>
      <c r="V127" s="576"/>
      <c r="W127" s="326"/>
    </row>
    <row r="128" spans="1:23">
      <c r="A128" s="353"/>
      <c r="C128" s="2071" t="s">
        <v>1387</v>
      </c>
      <c r="D128" s="2071"/>
      <c r="E128" s="2071"/>
      <c r="F128" s="2071"/>
      <c r="G128" s="2071"/>
      <c r="H128" s="2071"/>
      <c r="I128" s="2087">
        <f>'WS-TRX-CU Normal'!M299</f>
        <v>46.822200125591863</v>
      </c>
      <c r="J128" s="2088"/>
      <c r="K128" s="1313" t="s">
        <v>465</v>
      </c>
      <c r="V128" s="1315"/>
      <c r="W128" s="576"/>
    </row>
    <row r="129" spans="1:24">
      <c r="A129" s="353"/>
      <c r="C129" s="2071" t="s">
        <v>1388</v>
      </c>
      <c r="D129" s="2071"/>
      <c r="E129" s="2071"/>
      <c r="F129" s="2071"/>
      <c r="G129" s="2071"/>
      <c r="H129" s="2071"/>
      <c r="I129" s="2087">
        <f>'WS-TRX-CU Normal'!M298</f>
        <v>16.776673295269003</v>
      </c>
      <c r="J129" s="2088"/>
      <c r="K129" s="1313" t="s">
        <v>825</v>
      </c>
      <c r="V129" s="1315"/>
      <c r="W129" s="576"/>
    </row>
    <row r="130" spans="1:24">
      <c r="A130" s="353"/>
      <c r="C130" s="656"/>
      <c r="D130" s="656"/>
      <c r="E130" s="656"/>
      <c r="F130" s="656"/>
      <c r="G130" s="656"/>
      <c r="H130" s="656"/>
      <c r="I130" s="2"/>
      <c r="J130" s="2"/>
      <c r="K130" s="335"/>
      <c r="U130" s="1315"/>
      <c r="V130" s="1315"/>
      <c r="W130" s="576"/>
    </row>
    <row r="131" spans="1:24">
      <c r="A131" s="353"/>
      <c r="T131" s="20" t="s">
        <v>1537</v>
      </c>
    </row>
    <row r="132" spans="1:24">
      <c r="C132" s="1768" t="s">
        <v>623</v>
      </c>
      <c r="D132" s="1769"/>
      <c r="E132" s="1769"/>
      <c r="F132" s="1769"/>
      <c r="G132" s="1770"/>
      <c r="H132" s="1768" t="s">
        <v>292</v>
      </c>
      <c r="I132" s="1769"/>
      <c r="J132" s="1769"/>
      <c r="K132" s="1769"/>
      <c r="L132" s="1769"/>
      <c r="M132" s="1768" t="s">
        <v>294</v>
      </c>
      <c r="N132" s="1769"/>
      <c r="O132" s="1769"/>
      <c r="P132" s="1769"/>
      <c r="Q132" s="1769"/>
      <c r="R132" s="1770"/>
      <c r="T132" s="328"/>
      <c r="U132" s="329"/>
      <c r="V132" s="329"/>
      <c r="W132" s="330"/>
    </row>
    <row r="133" spans="1:24">
      <c r="C133" s="1771" t="s">
        <v>624</v>
      </c>
      <c r="D133" s="1646"/>
      <c r="E133" s="1646"/>
      <c r="F133" s="1646"/>
      <c r="G133" s="1772"/>
      <c r="H133" s="1773" t="s">
        <v>293</v>
      </c>
      <c r="I133" s="1652"/>
      <c r="J133" s="1652"/>
      <c r="K133" s="1652"/>
      <c r="L133" s="1652"/>
      <c r="M133" s="1773" t="s">
        <v>295</v>
      </c>
      <c r="N133" s="1652"/>
      <c r="O133" s="1652"/>
      <c r="P133" s="1652"/>
      <c r="Q133" s="1652"/>
      <c r="R133" s="1774"/>
      <c r="T133" s="357"/>
      <c r="W133" s="331"/>
    </row>
    <row r="134" spans="1:24">
      <c r="C134" s="357"/>
      <c r="D134" s="359"/>
      <c r="E134" s="359"/>
      <c r="F134" s="359"/>
      <c r="G134" s="360"/>
      <c r="H134" s="357"/>
      <c r="I134"/>
      <c r="K134" s="4"/>
      <c r="M134" s="357"/>
      <c r="R134" s="331"/>
      <c r="T134" s="357"/>
      <c r="W134" s="331"/>
    </row>
    <row r="135" spans="1:24">
      <c r="C135" s="357"/>
      <c r="G135" s="331"/>
      <c r="H135" s="357"/>
      <c r="I135"/>
      <c r="K135" s="4"/>
      <c r="M135" s="357"/>
      <c r="R135" s="331"/>
      <c r="T135" s="357"/>
      <c r="W135" s="331"/>
    </row>
    <row r="136" spans="1:24">
      <c r="C136" s="357"/>
      <c r="G136" s="331"/>
      <c r="H136" s="357"/>
      <c r="I136"/>
      <c r="K136" s="4"/>
      <c r="M136" s="357"/>
      <c r="R136" s="331"/>
      <c r="T136" s="357"/>
      <c r="W136" s="331"/>
    </row>
    <row r="137" spans="1:24">
      <c r="C137" s="1777" t="str">
        <f>C64</f>
        <v>RAFLY</v>
      </c>
      <c r="D137" s="1632"/>
      <c r="E137" s="1632"/>
      <c r="F137" s="1632"/>
      <c r="G137" s="1778"/>
      <c r="H137" s="1777" t="str">
        <f>H64</f>
        <v>NOUFAL</v>
      </c>
      <c r="I137" s="1632"/>
      <c r="J137" s="1632"/>
      <c r="K137" s="1632"/>
      <c r="L137" s="1632"/>
      <c r="M137" s="1777" t="s">
        <v>766</v>
      </c>
      <c r="N137" s="1632"/>
      <c r="O137" s="1632"/>
      <c r="P137" s="1632"/>
      <c r="Q137" s="1632"/>
      <c r="R137" s="1778"/>
      <c r="T137" s="357"/>
      <c r="W137" s="331"/>
    </row>
    <row r="138" spans="1:24">
      <c r="A138" s="15"/>
      <c r="B138" s="15"/>
      <c r="C138" s="1779" t="s">
        <v>299</v>
      </c>
      <c r="D138" s="1685"/>
      <c r="E138" s="1685"/>
      <c r="F138" s="1685"/>
      <c r="G138" s="1780"/>
      <c r="H138" s="1779" t="s">
        <v>305</v>
      </c>
      <c r="I138" s="1685"/>
      <c r="J138" s="1685"/>
      <c r="K138" s="1685"/>
      <c r="L138" s="1685"/>
      <c r="M138" s="1779" t="s">
        <v>298</v>
      </c>
      <c r="N138" s="1685"/>
      <c r="O138" s="1685"/>
      <c r="P138" s="1685"/>
      <c r="Q138" s="1685"/>
      <c r="R138" s="1780"/>
      <c r="S138" s="364"/>
      <c r="T138" s="366"/>
      <c r="U138" s="364"/>
      <c r="V138" s="364"/>
      <c r="W138" s="365"/>
      <c r="X138" s="364"/>
    </row>
    <row r="139" spans="1:24">
      <c r="C139" s="1781" t="s">
        <v>291</v>
      </c>
      <c r="D139" s="1782"/>
      <c r="E139" s="2025">
        <v>46050</v>
      </c>
      <c r="F139" s="2025"/>
      <c r="G139" s="2026"/>
      <c r="H139" s="1783" t="s">
        <v>291</v>
      </c>
      <c r="I139" s="1784"/>
      <c r="J139" s="1775">
        <v>46050</v>
      </c>
      <c r="K139" s="1775"/>
      <c r="L139" s="1776"/>
      <c r="M139" s="1783" t="s">
        <v>291</v>
      </c>
      <c r="N139" s="1784"/>
      <c r="O139" s="1784"/>
      <c r="P139" s="1775">
        <v>46050</v>
      </c>
      <c r="Q139" s="1775"/>
      <c r="R139" s="1776"/>
      <c r="T139" s="332"/>
      <c r="U139" s="333"/>
      <c r="V139" s="333"/>
      <c r="W139" s="334"/>
    </row>
    <row r="140" spans="1:24" ht="9" customHeight="1">
      <c r="B140" s="353"/>
      <c r="C140" s="353"/>
      <c r="D140" s="353"/>
      <c r="E140" s="353"/>
      <c r="F140" s="353"/>
      <c r="G140" s="353"/>
      <c r="J140" s="353"/>
      <c r="K140" s="353"/>
      <c r="L140" s="353"/>
      <c r="M140" s="353"/>
      <c r="N140" s="353"/>
      <c r="O140" s="353"/>
      <c r="P140" s="19"/>
    </row>
    <row r="141" spans="1:24" ht="15.95" customHeight="1">
      <c r="A141" s="1691" t="s">
        <v>899</v>
      </c>
      <c r="B141" s="1692"/>
      <c r="C141" s="1693"/>
      <c r="D141" s="914" t="s">
        <v>895</v>
      </c>
      <c r="E141" s="915"/>
      <c r="F141" s="916"/>
      <c r="G141" s="916"/>
      <c r="H141" s="916"/>
      <c r="I141" s="917"/>
      <c r="J141" s="916"/>
      <c r="K141" s="916"/>
      <c r="L141" s="918"/>
      <c r="M141" s="919" t="s">
        <v>90</v>
      </c>
      <c r="N141" s="916" t="s">
        <v>891</v>
      </c>
      <c r="O141" s="920"/>
      <c r="P141" s="920"/>
      <c r="Q141" s="920"/>
      <c r="R141" s="921"/>
      <c r="S141" s="921"/>
      <c r="T141" s="921"/>
      <c r="U141" s="921"/>
      <c r="V141" s="921"/>
      <c r="W141" s="921"/>
      <c r="X141" s="922"/>
    </row>
    <row r="142" spans="1:24">
      <c r="A142" s="1694"/>
      <c r="B142" s="1695"/>
      <c r="C142" s="1696"/>
      <c r="D142" s="923" t="s">
        <v>901</v>
      </c>
      <c r="E142" s="923"/>
      <c r="F142" s="923"/>
      <c r="G142" s="923"/>
      <c r="H142" s="923"/>
      <c r="I142" s="923"/>
      <c r="J142" s="923"/>
      <c r="K142" s="923"/>
      <c r="L142" s="924"/>
      <c r="M142" s="925" t="s">
        <v>90</v>
      </c>
      <c r="N142" s="926" t="s">
        <v>893</v>
      </c>
      <c r="O142" s="927"/>
      <c r="P142" s="927"/>
      <c r="Q142" s="927"/>
      <c r="R142" s="928"/>
      <c r="S142" s="928"/>
      <c r="T142" s="928"/>
      <c r="U142" s="928"/>
      <c r="V142" s="928"/>
      <c r="W142" s="928"/>
      <c r="X142" s="929"/>
    </row>
    <row r="143" spans="1:24">
      <c r="A143" s="1694"/>
      <c r="B143" s="1695"/>
      <c r="C143" s="1696"/>
      <c r="D143" s="923" t="s">
        <v>1580</v>
      </c>
      <c r="E143" s="923"/>
      <c r="F143" s="923"/>
      <c r="G143" s="923"/>
      <c r="H143" s="923"/>
      <c r="I143" s="923"/>
      <c r="J143" s="923"/>
      <c r="K143" s="923"/>
      <c r="L143" s="924"/>
      <c r="M143" s="930"/>
      <c r="N143" s="926" t="s">
        <v>1583</v>
      </c>
      <c r="O143" s="927"/>
      <c r="P143" s="927"/>
      <c r="Q143" s="927"/>
      <c r="R143" s="928"/>
      <c r="S143" s="928"/>
      <c r="T143" s="928"/>
      <c r="U143" s="928"/>
      <c r="V143" s="928"/>
      <c r="W143" s="928"/>
      <c r="X143" s="929"/>
    </row>
    <row r="144" spans="1:24" ht="15" customHeight="1">
      <c r="A144" s="1694"/>
      <c r="B144" s="1695"/>
      <c r="C144" s="1696"/>
      <c r="D144" s="923" t="s">
        <v>896</v>
      </c>
      <c r="E144" s="923"/>
      <c r="F144" s="923"/>
      <c r="G144" s="923"/>
      <c r="H144" s="923"/>
      <c r="I144" s="923"/>
      <c r="J144" s="923"/>
      <c r="K144" s="923"/>
      <c r="L144" s="924"/>
      <c r="M144" s="925" t="s">
        <v>90</v>
      </c>
      <c r="N144" s="926" t="s">
        <v>903</v>
      </c>
      <c r="O144" s="931"/>
      <c r="P144" s="932"/>
      <c r="Q144" s="933"/>
      <c r="R144" s="934"/>
      <c r="S144" s="934"/>
      <c r="T144" s="934"/>
      <c r="U144" s="934"/>
      <c r="V144" s="934"/>
      <c r="W144" s="934"/>
      <c r="X144" s="935"/>
    </row>
    <row r="145" spans="1:24">
      <c r="A145" s="1697"/>
      <c r="B145" s="1698"/>
      <c r="C145" s="1699"/>
      <c r="D145" s="936" t="s">
        <v>897</v>
      </c>
      <c r="E145" s="936"/>
      <c r="F145" s="936"/>
      <c r="G145" s="936"/>
      <c r="H145" s="936"/>
      <c r="I145" s="936"/>
      <c r="J145" s="936"/>
      <c r="K145" s="936"/>
      <c r="L145" s="937"/>
      <c r="M145" s="938"/>
      <c r="N145" s="939" t="s">
        <v>902</v>
      </c>
      <c r="O145" s="940"/>
      <c r="P145" s="940"/>
      <c r="Q145" s="940"/>
      <c r="R145" s="940"/>
      <c r="S145" s="941"/>
      <c r="T145" s="940"/>
      <c r="U145" s="940"/>
      <c r="V145" s="941"/>
      <c r="W145" s="941"/>
      <c r="X145" s="942"/>
    </row>
    <row r="146" spans="1:24" ht="12" customHeight="1">
      <c r="B146" s="353"/>
      <c r="C146" s="353"/>
      <c r="D146" s="353"/>
      <c r="E146" s="353"/>
      <c r="F146" s="353"/>
      <c r="G146" s="353"/>
      <c r="J146" s="353"/>
      <c r="K146" s="353"/>
      <c r="L146" s="353"/>
      <c r="M146" s="353"/>
      <c r="N146" s="353"/>
      <c r="O146" s="353"/>
      <c r="P146" s="19"/>
      <c r="T146" s="912" t="str">
        <f>'DATA INDUK'!$BT$38</f>
        <v>23-MINEARTH-RM-LHU-TRX-CU-R0</v>
      </c>
      <c r="U146" s="20"/>
    </row>
    <row r="147" spans="1:24" ht="12" customHeight="1">
      <c r="A147" s="361" t="s">
        <v>892</v>
      </c>
      <c r="B147" s="893"/>
      <c r="C147" s="893"/>
      <c r="D147" s="893"/>
      <c r="E147" s="893"/>
      <c r="F147" s="893"/>
      <c r="G147" s="893"/>
      <c r="H147" s="893"/>
      <c r="I147" s="894"/>
      <c r="J147" s="893"/>
      <c r="K147" s="361" t="s">
        <v>1330</v>
      </c>
      <c r="L147" s="893"/>
      <c r="M147" s="893"/>
      <c r="N147" s="893"/>
      <c r="O147" s="893"/>
      <c r="P147" s="893"/>
      <c r="Q147" s="893"/>
      <c r="R147" s="893"/>
      <c r="S147" s="361" t="s">
        <v>285</v>
      </c>
      <c r="T147" s="893"/>
      <c r="U147" s="895"/>
      <c r="V147" s="893"/>
      <c r="W147" s="893"/>
      <c r="X147" s="893"/>
    </row>
    <row r="148" spans="1:24" ht="15.95" customHeight="1">
      <c r="A148" s="361" t="s">
        <v>283</v>
      </c>
      <c r="B148" s="892"/>
      <c r="C148" s="892"/>
      <c r="D148" s="892"/>
      <c r="E148" s="892"/>
      <c r="F148" s="892"/>
      <c r="G148" s="892"/>
      <c r="H148" s="892"/>
      <c r="I148" s="891"/>
      <c r="J148" s="892"/>
      <c r="K148" s="361" t="s">
        <v>296</v>
      </c>
      <c r="L148" s="892"/>
      <c r="M148" s="892"/>
      <c r="N148" s="892"/>
      <c r="O148" s="892"/>
      <c r="P148" s="892"/>
      <c r="Q148" s="892"/>
      <c r="R148" s="892"/>
      <c r="S148" s="361" t="s">
        <v>289</v>
      </c>
      <c r="T148" s="892"/>
      <c r="U148" s="892"/>
      <c r="V148" s="892"/>
      <c r="W148" s="892"/>
      <c r="X148" s="892"/>
    </row>
    <row r="149" spans="1:24">
      <c r="A149" s="892"/>
      <c r="B149" s="361"/>
      <c r="C149" s="361"/>
      <c r="D149" s="361"/>
      <c r="E149" s="361"/>
      <c r="F149" s="361"/>
      <c r="G149" s="361"/>
      <c r="H149" s="336"/>
      <c r="I149" s="891"/>
      <c r="J149" s="336"/>
      <c r="K149" s="892"/>
      <c r="L149" s="336"/>
      <c r="M149" s="336"/>
      <c r="N149" s="336"/>
      <c r="O149" s="336"/>
      <c r="P149" s="892"/>
      <c r="Q149" s="336"/>
      <c r="R149" s="892"/>
      <c r="S149" s="892"/>
      <c r="T149" s="336"/>
      <c r="U149" s="336"/>
      <c r="V149" s="336"/>
      <c r="W149" s="336"/>
      <c r="X149" s="336"/>
    </row>
    <row r="150" spans="1:24">
      <c r="A150" s="353"/>
    </row>
    <row r="151" spans="1:24" ht="23.25">
      <c r="F151" s="1681" t="s">
        <v>302</v>
      </c>
      <c r="G151" s="1681"/>
      <c r="H151" s="1681"/>
      <c r="I151" s="1681"/>
      <c r="J151" s="1681"/>
      <c r="K151" s="1681"/>
      <c r="L151" s="1681"/>
      <c r="M151" s="1681"/>
      <c r="N151" s="1681"/>
      <c r="O151" s="1681"/>
      <c r="P151" s="1681"/>
      <c r="Q151" s="1681"/>
      <c r="R151" s="1681"/>
      <c r="S151" s="1681"/>
      <c r="T151" s="1681"/>
    </row>
    <row r="152" spans="1:24" ht="20.25">
      <c r="F152" s="1682" t="s">
        <v>1586</v>
      </c>
      <c r="G152" s="1682"/>
      <c r="H152" s="1682"/>
      <c r="I152" s="1682"/>
      <c r="J152" s="1682"/>
      <c r="K152" s="1682"/>
      <c r="L152" s="1682"/>
      <c r="M152" s="1682"/>
      <c r="N152" s="1682"/>
      <c r="O152" s="1682"/>
      <c r="P152" s="1682"/>
      <c r="Q152" s="1682"/>
      <c r="R152" s="1682"/>
      <c r="S152" s="1682"/>
      <c r="T152" s="1682"/>
    </row>
    <row r="153" spans="1:24">
      <c r="F153" s="1683" t="s">
        <v>304</v>
      </c>
      <c r="G153" s="1683"/>
      <c r="H153" s="1683"/>
      <c r="I153" s="1683"/>
      <c r="J153" s="1683"/>
      <c r="K153" s="1683"/>
      <c r="L153" s="1683"/>
      <c r="M153" s="1683"/>
      <c r="N153" s="1683"/>
      <c r="O153" s="1683"/>
      <c r="P153" s="1683"/>
      <c r="Q153" s="1683"/>
      <c r="R153" s="1683"/>
      <c r="S153" s="1683"/>
      <c r="T153" s="1683"/>
    </row>
    <row r="154" spans="1:24" ht="8.1" customHeight="1">
      <c r="A154" s="333"/>
      <c r="B154" s="333"/>
      <c r="C154" s="333"/>
      <c r="D154" s="333"/>
      <c r="E154" s="333"/>
      <c r="F154" s="333"/>
      <c r="G154" s="333"/>
      <c r="H154" s="333"/>
      <c r="I154" s="337"/>
      <c r="J154" s="333"/>
      <c r="K154" s="333"/>
      <c r="L154" s="333"/>
      <c r="M154" s="333"/>
      <c r="N154" s="333"/>
      <c r="O154" s="333"/>
      <c r="P154" s="333"/>
      <c r="Q154" s="333"/>
      <c r="R154" s="333"/>
      <c r="S154" s="333"/>
      <c r="T154" s="333"/>
      <c r="U154" s="333"/>
      <c r="V154" s="333"/>
      <c r="W154" s="333"/>
      <c r="X154" s="333"/>
    </row>
    <row r="155" spans="1:24" ht="8.1" customHeight="1"/>
    <row r="156" spans="1:24">
      <c r="A156" s="1680" t="s">
        <v>1346</v>
      </c>
      <c r="B156" s="1680"/>
      <c r="C156" s="1680"/>
      <c r="D156" s="1680"/>
      <c r="E156" s="656" t="str">
        <f>":  " &amp; IF('DATA INDUK'!$H$17="","",'DATA INDUK'!$H$17)</f>
        <v>:  23/MGS/53/II/2026</v>
      </c>
      <c r="G156" s="340"/>
      <c r="H156" s="340"/>
      <c r="I156" s="16"/>
      <c r="J156" s="340"/>
      <c r="K156" s="335"/>
      <c r="L156" s="335"/>
      <c r="M156" s="335"/>
      <c r="N156" s="335"/>
      <c r="O156" s="335"/>
      <c r="P156" s="335"/>
      <c r="Q156" s="335"/>
      <c r="R156" s="335"/>
      <c r="S156" s="335"/>
      <c r="T156" s="335"/>
      <c r="U156" s="335"/>
      <c r="V156" s="335"/>
      <c r="W156" s="335"/>
      <c r="X156" s="335"/>
    </row>
    <row r="157" spans="1:24">
      <c r="A157" s="1635" t="s">
        <v>1347</v>
      </c>
      <c r="B157" s="1635"/>
      <c r="C157" s="1635"/>
      <c r="D157" s="1635"/>
      <c r="E157" s="794" t="str">
        <f>":  "&amp;IF('DATA INDUK'!$H$18="","",'DATA INDUK'!$H$18)</f>
        <v>:  R0</v>
      </c>
      <c r="G157" s="672"/>
      <c r="H157" s="672"/>
      <c r="I157" s="1127"/>
      <c r="J157" s="672" t="s">
        <v>1348</v>
      </c>
      <c r="K157" s="672"/>
      <c r="L157" s="672"/>
      <c r="M157" s="1636" t="str">
        <f>":  "&amp;IF('DATA INDUK'!$H$19="","",TEXT('DATA INDUK'!$H$19,"dd mmmm yyyy"))</f>
        <v>:  29 January 2026</v>
      </c>
      <c r="N157" s="1636"/>
      <c r="O157" s="1636"/>
      <c r="P157" s="1636"/>
      <c r="Q157" s="1636"/>
      <c r="R157" s="1194"/>
      <c r="S157" s="1127"/>
      <c r="T157" s="1649" t="s">
        <v>1349</v>
      </c>
      <c r="U157" s="1649"/>
      <c r="V157" s="1649"/>
      <c r="W157" s="1635" t="str">
        <f>":  3 dari 3"</f>
        <v>:  3 dari 3</v>
      </c>
      <c r="X157" s="1635"/>
    </row>
    <row r="158" spans="1:24" ht="8.1" customHeight="1"/>
    <row r="159" spans="1:24" ht="21" customHeight="1">
      <c r="A159" s="1878" t="s">
        <v>288</v>
      </c>
      <c r="B159" s="1878"/>
      <c r="C159" s="1878"/>
      <c r="D159" s="1878"/>
      <c r="E159" s="1878"/>
      <c r="F159" s="1878"/>
      <c r="G159" s="1878"/>
      <c r="H159" s="1878"/>
      <c r="I159" s="1878"/>
      <c r="J159" s="1878"/>
      <c r="K159" s="1878"/>
      <c r="L159" s="1878"/>
      <c r="M159" s="1878"/>
      <c r="N159" s="1878"/>
      <c r="O159" s="1878"/>
      <c r="P159" s="1878"/>
      <c r="Q159" s="1878"/>
      <c r="R159" s="1878"/>
      <c r="S159" s="1878"/>
      <c r="T159" s="1878"/>
      <c r="U159" s="1878"/>
      <c r="V159" s="1878"/>
      <c r="W159" s="1878"/>
      <c r="X159" s="1878"/>
    </row>
    <row r="161" spans="1:24">
      <c r="A161" s="531"/>
      <c r="B161" s="531"/>
      <c r="C161" s="531"/>
      <c r="D161" s="531"/>
      <c r="E161" s="531"/>
      <c r="F161" s="531"/>
      <c r="G161" s="531"/>
      <c r="H161" s="531"/>
      <c r="I161" s="700"/>
      <c r="J161" s="531"/>
      <c r="K161" s="531"/>
      <c r="L161" s="531"/>
      <c r="M161" s="531"/>
      <c r="N161" s="531"/>
      <c r="O161" s="531"/>
      <c r="P161" s="116"/>
      <c r="Q161" s="116"/>
      <c r="R161" s="116"/>
      <c r="S161" s="116"/>
      <c r="T161" s="116"/>
      <c r="U161" s="116"/>
      <c r="V161" s="116"/>
      <c r="W161" s="116"/>
      <c r="X161" s="116"/>
    </row>
    <row r="162" spans="1:24">
      <c r="A162" s="335"/>
      <c r="B162" s="335"/>
      <c r="C162" s="540" t="s">
        <v>1389</v>
      </c>
      <c r="D162" s="15"/>
      <c r="E162" s="15"/>
      <c r="F162" s="15"/>
      <c r="G162" s="15"/>
      <c r="H162" s="15"/>
      <c r="I162" s="1176"/>
      <c r="J162" s="15"/>
      <c r="K162" s="15"/>
      <c r="L162" s="15"/>
      <c r="M162" s="335"/>
      <c r="N162" s="335"/>
      <c r="O162" s="335"/>
    </row>
    <row r="163" spans="1:24">
      <c r="A163" s="335"/>
      <c r="B163" s="335"/>
      <c r="C163" s="1248" t="s">
        <v>1390</v>
      </c>
      <c r="D163" s="15"/>
      <c r="E163" s="15"/>
      <c r="F163" s="15"/>
      <c r="G163" s="15"/>
      <c r="H163" s="15"/>
      <c r="I163" s="1176"/>
      <c r="J163" s="15"/>
      <c r="K163" s="15"/>
      <c r="L163" s="15"/>
      <c r="M163" s="335"/>
      <c r="N163" s="335"/>
      <c r="O163" s="335"/>
    </row>
    <row r="178" spans="1:24">
      <c r="A178" s="531"/>
      <c r="B178" s="531"/>
      <c r="C178" s="531"/>
      <c r="D178" s="531"/>
      <c r="E178" s="531"/>
      <c r="F178" s="531"/>
      <c r="G178" s="531"/>
      <c r="H178" s="531"/>
      <c r="I178" s="700"/>
      <c r="J178" s="531"/>
      <c r="K178" s="531"/>
      <c r="L178" s="531"/>
      <c r="M178" s="531"/>
      <c r="N178" s="531"/>
      <c r="O178" s="531"/>
      <c r="P178" s="116"/>
      <c r="Q178" s="116"/>
      <c r="R178" s="116"/>
      <c r="S178" s="116"/>
      <c r="T178" s="116"/>
      <c r="U178" s="116"/>
      <c r="V178" s="116"/>
      <c r="W178" s="116"/>
      <c r="X178" s="116"/>
    </row>
    <row r="209" spans="1:27">
      <c r="H209" s="686"/>
      <c r="I209" s="687"/>
      <c r="J209" s="686"/>
      <c r="K209" s="686"/>
      <c r="L209" s="686"/>
      <c r="M209" s="686"/>
      <c r="N209" s="686"/>
      <c r="O209" s="686"/>
      <c r="P209" s="686"/>
      <c r="Q209" s="686"/>
      <c r="R209" s="686"/>
      <c r="S209" s="686"/>
      <c r="U209" s="20" t="s">
        <v>1537</v>
      </c>
      <c r="V209" s="686"/>
      <c r="W209" s="686"/>
      <c r="X209" s="686"/>
    </row>
    <row r="210" spans="1:27">
      <c r="A210" s="700" t="s">
        <v>297</v>
      </c>
      <c r="B210" s="338"/>
      <c r="C210" s="338"/>
      <c r="D210" s="4"/>
      <c r="E210" s="4"/>
      <c r="F210" s="4"/>
      <c r="G210" s="690"/>
      <c r="H210" s="1798" t="s">
        <v>623</v>
      </c>
      <c r="I210" s="1798"/>
      <c r="J210" s="1798"/>
      <c r="K210" s="1799"/>
      <c r="L210" s="1800" t="s">
        <v>292</v>
      </c>
      <c r="M210" s="1800"/>
      <c r="N210" s="1800"/>
      <c r="O210" s="1801"/>
      <c r="P210" s="1802" t="s">
        <v>294</v>
      </c>
      <c r="Q210" s="1798"/>
      <c r="R210" s="1798"/>
      <c r="S210" s="1799"/>
      <c r="U210" s="698"/>
      <c r="V210" s="688"/>
      <c r="W210" s="688"/>
      <c r="X210" s="694"/>
    </row>
    <row r="211" spans="1:27" ht="15.95" customHeight="1">
      <c r="G211" s="691"/>
      <c r="H211" s="1675" t="s">
        <v>624</v>
      </c>
      <c r="I211" s="1675"/>
      <c r="J211" s="1675"/>
      <c r="K211" s="1785"/>
      <c r="L211" s="1675" t="s">
        <v>293</v>
      </c>
      <c r="M211" s="1675"/>
      <c r="N211" s="1675"/>
      <c r="O211" s="1785"/>
      <c r="P211" s="1794" t="s">
        <v>295</v>
      </c>
      <c r="Q211" s="1675"/>
      <c r="R211" s="1675"/>
      <c r="S211" s="1785"/>
      <c r="U211" s="697"/>
      <c r="X211" s="691"/>
    </row>
    <row r="212" spans="1:27">
      <c r="G212" s="691"/>
      <c r="H212" s="1665" t="str">
        <f>C64</f>
        <v>RAFLY</v>
      </c>
      <c r="I212" s="1665"/>
      <c r="J212" s="1665"/>
      <c r="K212" s="1796"/>
      <c r="O212" s="690"/>
      <c r="P212" s="697"/>
      <c r="S212" s="691"/>
      <c r="U212" s="697"/>
      <c r="X212" s="691"/>
    </row>
    <row r="213" spans="1:27">
      <c r="G213" s="691"/>
      <c r="H213" s="1665"/>
      <c r="I213" s="1665"/>
      <c r="J213" s="1665"/>
      <c r="K213" s="1796"/>
      <c r="O213" s="690"/>
      <c r="P213" s="697"/>
      <c r="S213" s="691"/>
      <c r="U213" s="697"/>
      <c r="X213" s="691"/>
    </row>
    <row r="214" spans="1:27">
      <c r="G214" s="691"/>
      <c r="H214" s="1665"/>
      <c r="I214" s="1665"/>
      <c r="J214" s="1665"/>
      <c r="K214" s="1796"/>
      <c r="O214" s="690"/>
      <c r="P214" s="697"/>
      <c r="S214" s="691"/>
      <c r="U214" s="697"/>
      <c r="X214" s="691"/>
    </row>
    <row r="215" spans="1:27">
      <c r="G215" s="691"/>
      <c r="H215" s="1665"/>
      <c r="I215" s="1665"/>
      <c r="J215" s="1665"/>
      <c r="K215" s="1796"/>
      <c r="L215" s="1665" t="str">
        <f>H137</f>
        <v>NOUFAL</v>
      </c>
      <c r="M215" s="1665"/>
      <c r="N215" s="1665"/>
      <c r="O215" s="1796"/>
      <c r="P215" s="1797" t="str">
        <f>M64</f>
        <v>A.SUMARTADJI</v>
      </c>
      <c r="Q215" s="1665"/>
      <c r="R215" s="1665"/>
      <c r="S215" s="1796"/>
      <c r="U215" s="697"/>
      <c r="X215" s="691"/>
    </row>
    <row r="216" spans="1:27">
      <c r="G216" s="691"/>
      <c r="H216" s="1668" t="s">
        <v>299</v>
      </c>
      <c r="I216" s="1668"/>
      <c r="J216" s="1668"/>
      <c r="K216" s="1755"/>
      <c r="L216" s="1668" t="str">
        <f>H65</f>
        <v>Koordinator Teknis</v>
      </c>
      <c r="M216" s="1668"/>
      <c r="N216" s="1668"/>
      <c r="O216" s="1755"/>
      <c r="P216" s="1754" t="str">
        <f>M65</f>
        <v>Kepala Laboratorium</v>
      </c>
      <c r="Q216" s="1668"/>
      <c r="R216" s="1668"/>
      <c r="S216" s="1755"/>
      <c r="U216" s="699"/>
      <c r="V216" s="358"/>
      <c r="W216" s="358"/>
      <c r="X216" s="695"/>
      <c r="Y216" s="358"/>
      <c r="Z216" s="358"/>
      <c r="AA216" s="358"/>
    </row>
    <row r="217" spans="1:27" ht="15.95" customHeight="1">
      <c r="G217" s="691"/>
      <c r="H217" s="1803" t="s">
        <v>291</v>
      </c>
      <c r="I217" s="1803"/>
      <c r="J217" s="1804">
        <f>E66</f>
        <v>46050</v>
      </c>
      <c r="K217" s="1805"/>
      <c r="L217" s="1806" t="s">
        <v>300</v>
      </c>
      <c r="M217" s="1806"/>
      <c r="N217" s="1807">
        <f>J66</f>
        <v>46050</v>
      </c>
      <c r="O217" s="1808"/>
      <c r="P217" s="1809" t="s">
        <v>301</v>
      </c>
      <c r="Q217" s="1810"/>
      <c r="R217" s="1792">
        <f>P66</f>
        <v>46050</v>
      </c>
      <c r="S217" s="1793"/>
      <c r="U217" s="692"/>
      <c r="V217" s="693"/>
      <c r="W217" s="693"/>
      <c r="X217" s="696"/>
    </row>
    <row r="218" spans="1:27" ht="8.1" customHeight="1">
      <c r="H218" s="688"/>
      <c r="I218" s="689"/>
      <c r="J218" s="688"/>
      <c r="K218" s="688"/>
      <c r="L218" s="688"/>
      <c r="M218" s="688"/>
      <c r="N218" s="688"/>
      <c r="O218" s="688"/>
      <c r="P218" s="688"/>
      <c r="Q218" s="688"/>
      <c r="R218" s="688"/>
      <c r="S218" s="688"/>
    </row>
    <row r="219" spans="1:27" ht="18" customHeight="1">
      <c r="B219" s="356"/>
      <c r="C219" s="356"/>
      <c r="D219" s="356"/>
      <c r="E219" s="356"/>
      <c r="T219" s="860" t="str">
        <f>$T$146</f>
        <v>23-MINEARTH-RM-LHU-TRX-CU-R0</v>
      </c>
      <c r="U219" s="913"/>
      <c r="V219" s="913"/>
      <c r="W219" s="913"/>
      <c r="X219" s="913"/>
    </row>
    <row r="220" spans="1:27" ht="18" customHeight="1">
      <c r="A220" s="362"/>
      <c r="B220" s="362"/>
      <c r="C220" s="362"/>
      <c r="D220" s="362"/>
      <c r="E220" s="362"/>
    </row>
    <row r="221" spans="1:27" ht="8.1" customHeight="1"/>
  </sheetData>
  <mergeCells count="235">
    <mergeCell ref="H217:I217"/>
    <mergeCell ref="J217:K217"/>
    <mergeCell ref="L217:M217"/>
    <mergeCell ref="N217:O217"/>
    <mergeCell ref="P217:Q217"/>
    <mergeCell ref="R217:S217"/>
    <mergeCell ref="H212:K215"/>
    <mergeCell ref="L215:O215"/>
    <mergeCell ref="P215:S215"/>
    <mergeCell ref="H216:K216"/>
    <mergeCell ref="L216:O216"/>
    <mergeCell ref="P216:S216"/>
    <mergeCell ref="W157:X157"/>
    <mergeCell ref="A159:X159"/>
    <mergeCell ref="H210:K210"/>
    <mergeCell ref="L210:O210"/>
    <mergeCell ref="P210:S210"/>
    <mergeCell ref="H211:K211"/>
    <mergeCell ref="L211:O211"/>
    <mergeCell ref="P211:S211"/>
    <mergeCell ref="A141:C145"/>
    <mergeCell ref="F151:T151"/>
    <mergeCell ref="F152:T152"/>
    <mergeCell ref="F153:T153"/>
    <mergeCell ref="A156:D156"/>
    <mergeCell ref="A157:D157"/>
    <mergeCell ref="M157:Q157"/>
    <mergeCell ref="T157:V157"/>
    <mergeCell ref="C139:D139"/>
    <mergeCell ref="E139:G139"/>
    <mergeCell ref="H139:I139"/>
    <mergeCell ref="J139:L139"/>
    <mergeCell ref="M139:O139"/>
    <mergeCell ref="P139:R139"/>
    <mergeCell ref="C137:G137"/>
    <mergeCell ref="H137:L137"/>
    <mergeCell ref="M137:R137"/>
    <mergeCell ref="C138:G138"/>
    <mergeCell ref="H138:L138"/>
    <mergeCell ref="M138:R138"/>
    <mergeCell ref="C129:H129"/>
    <mergeCell ref="I129:J129"/>
    <mergeCell ref="C132:G132"/>
    <mergeCell ref="H132:L132"/>
    <mergeCell ref="M132:R132"/>
    <mergeCell ref="C133:G133"/>
    <mergeCell ref="H133:L133"/>
    <mergeCell ref="M133:R133"/>
    <mergeCell ref="C125:H125"/>
    <mergeCell ref="I125:J125"/>
    <mergeCell ref="C126:H126"/>
    <mergeCell ref="I126:J126"/>
    <mergeCell ref="C128:H128"/>
    <mergeCell ref="I128:J128"/>
    <mergeCell ref="W84:X84"/>
    <mergeCell ref="A86:T86"/>
    <mergeCell ref="U86:U87"/>
    <mergeCell ref="V86:X87"/>
    <mergeCell ref="A87:T87"/>
    <mergeCell ref="C124:H124"/>
    <mergeCell ref="I124:K124"/>
    <mergeCell ref="A68:C72"/>
    <mergeCell ref="F78:T78"/>
    <mergeCell ref="F79:T79"/>
    <mergeCell ref="F80:T80"/>
    <mergeCell ref="A83:D83"/>
    <mergeCell ref="A84:D84"/>
    <mergeCell ref="M84:Q84"/>
    <mergeCell ref="T84:V84"/>
    <mergeCell ref="C66:D66"/>
    <mergeCell ref="E66:G66"/>
    <mergeCell ref="H66:I66"/>
    <mergeCell ref="J66:L66"/>
    <mergeCell ref="M66:O66"/>
    <mergeCell ref="P66:R66"/>
    <mergeCell ref="Z62:AA62"/>
    <mergeCell ref="AB62:AC62"/>
    <mergeCell ref="C64:G64"/>
    <mergeCell ref="H64:L64"/>
    <mergeCell ref="M64:R64"/>
    <mergeCell ref="C65:G65"/>
    <mergeCell ref="H65:L65"/>
    <mergeCell ref="M65:R65"/>
    <mergeCell ref="C59:G59"/>
    <mergeCell ref="H59:L59"/>
    <mergeCell ref="M59:R59"/>
    <mergeCell ref="C60:G60"/>
    <mergeCell ref="H60:L60"/>
    <mergeCell ref="M60:R60"/>
    <mergeCell ref="U54:V55"/>
    <mergeCell ref="W54:X55"/>
    <mergeCell ref="A56:G57"/>
    <mergeCell ref="H56:I57"/>
    <mergeCell ref="J56:K57"/>
    <mergeCell ref="L56:L57"/>
    <mergeCell ref="N56:R57"/>
    <mergeCell ref="S56:T57"/>
    <mergeCell ref="U56:V57"/>
    <mergeCell ref="W56:X57"/>
    <mergeCell ref="A54:G55"/>
    <mergeCell ref="H54:I55"/>
    <mergeCell ref="J54:K55"/>
    <mergeCell ref="L54:L55"/>
    <mergeCell ref="N54:R55"/>
    <mergeCell ref="S54:T55"/>
    <mergeCell ref="U50:V51"/>
    <mergeCell ref="W50:X51"/>
    <mergeCell ref="A52:G53"/>
    <mergeCell ref="H52:I53"/>
    <mergeCell ref="J52:K53"/>
    <mergeCell ref="L52:L53"/>
    <mergeCell ref="N52:R53"/>
    <mergeCell ref="S52:T53"/>
    <mergeCell ref="U52:V53"/>
    <mergeCell ref="W52:X53"/>
    <mergeCell ref="A50:G51"/>
    <mergeCell ref="H50:I51"/>
    <mergeCell ref="J50:K51"/>
    <mergeCell ref="L50:L51"/>
    <mergeCell ref="N50:R51"/>
    <mergeCell ref="S50:T51"/>
    <mergeCell ref="A48:G49"/>
    <mergeCell ref="H48:I49"/>
    <mergeCell ref="J48:K49"/>
    <mergeCell ref="L48:L49"/>
    <mergeCell ref="N48:R49"/>
    <mergeCell ref="S48:T49"/>
    <mergeCell ref="U48:V49"/>
    <mergeCell ref="W48:X49"/>
    <mergeCell ref="A46:G47"/>
    <mergeCell ref="H46:I47"/>
    <mergeCell ref="J46:K47"/>
    <mergeCell ref="L46:L47"/>
    <mergeCell ref="N46:R47"/>
    <mergeCell ref="S46:T47"/>
    <mergeCell ref="A44:G45"/>
    <mergeCell ref="H44:I45"/>
    <mergeCell ref="J44:K45"/>
    <mergeCell ref="L44:L45"/>
    <mergeCell ref="N44:R45"/>
    <mergeCell ref="S44:T45"/>
    <mergeCell ref="U44:V45"/>
    <mergeCell ref="W44:X45"/>
    <mergeCell ref="U46:V47"/>
    <mergeCell ref="W46:X47"/>
    <mergeCell ref="N40:R41"/>
    <mergeCell ref="S40:T41"/>
    <mergeCell ref="U40:V41"/>
    <mergeCell ref="W40:X41"/>
    <mergeCell ref="A42:G43"/>
    <mergeCell ref="H42:I43"/>
    <mergeCell ref="J42:K43"/>
    <mergeCell ref="L42:L43"/>
    <mergeCell ref="N42:R43"/>
    <mergeCell ref="S42:T43"/>
    <mergeCell ref="U42:V43"/>
    <mergeCell ref="W42:X43"/>
    <mergeCell ref="A38:G38"/>
    <mergeCell ref="H38:I38"/>
    <mergeCell ref="J38:K38"/>
    <mergeCell ref="N38:R38"/>
    <mergeCell ref="S38:X38"/>
    <mergeCell ref="N39:R39"/>
    <mergeCell ref="S39:T39"/>
    <mergeCell ref="U39:V39"/>
    <mergeCell ref="W39:X39"/>
    <mergeCell ref="A36:G36"/>
    <mergeCell ref="H36:I36"/>
    <mergeCell ref="J36:K36"/>
    <mergeCell ref="N36:U37"/>
    <mergeCell ref="V36:X37"/>
    <mergeCell ref="A37:G37"/>
    <mergeCell ref="H37:I37"/>
    <mergeCell ref="J37:K37"/>
    <mergeCell ref="A34:G34"/>
    <mergeCell ref="H34:I34"/>
    <mergeCell ref="J34:K34"/>
    <mergeCell ref="N34:U34"/>
    <mergeCell ref="A35:G35"/>
    <mergeCell ref="H35:I35"/>
    <mergeCell ref="J35:K35"/>
    <mergeCell ref="N35:U35"/>
    <mergeCell ref="A32:G32"/>
    <mergeCell ref="H32:I32"/>
    <mergeCell ref="J32:K32"/>
    <mergeCell ref="N32:U32"/>
    <mergeCell ref="A33:G33"/>
    <mergeCell ref="H33:I33"/>
    <mergeCell ref="J33:K33"/>
    <mergeCell ref="N33:U33"/>
    <mergeCell ref="A30:G30"/>
    <mergeCell ref="H30:L30"/>
    <mergeCell ref="N30:U31"/>
    <mergeCell ref="V30:X31"/>
    <mergeCell ref="A31:G31"/>
    <mergeCell ref="H31:I31"/>
    <mergeCell ref="J31:K31"/>
    <mergeCell ref="E21:L22"/>
    <mergeCell ref="N22:R23"/>
    <mergeCell ref="S22:X23"/>
    <mergeCell ref="A26:T26"/>
    <mergeCell ref="U26:U27"/>
    <mergeCell ref="V26:X27"/>
    <mergeCell ref="A27:T27"/>
    <mergeCell ref="A17:L17"/>
    <mergeCell ref="N17:R17"/>
    <mergeCell ref="S17:X17"/>
    <mergeCell ref="N18:R19"/>
    <mergeCell ref="S18:X19"/>
    <mergeCell ref="A19:D20"/>
    <mergeCell ref="E19:L20"/>
    <mergeCell ref="N20:R21"/>
    <mergeCell ref="S20:X21"/>
    <mergeCell ref="A21:D22"/>
    <mergeCell ref="N15:R16"/>
    <mergeCell ref="S15:X16"/>
    <mergeCell ref="W7:X7"/>
    <mergeCell ref="A9:L9"/>
    <mergeCell ref="A12:L12"/>
    <mergeCell ref="N12:X12"/>
    <mergeCell ref="A13:D13"/>
    <mergeCell ref="E13:L13"/>
    <mergeCell ref="N13:R13"/>
    <mergeCell ref="S13:X13"/>
    <mergeCell ref="F1:T1"/>
    <mergeCell ref="F2:T2"/>
    <mergeCell ref="F3:T3"/>
    <mergeCell ref="A6:D6"/>
    <mergeCell ref="A7:D7"/>
    <mergeCell ref="M7:Q7"/>
    <mergeCell ref="T7:V7"/>
    <mergeCell ref="A14:D14"/>
    <mergeCell ref="E14:L14"/>
    <mergeCell ref="N14:R14"/>
    <mergeCell ref="S14:X14"/>
  </mergeCells>
  <pageMargins left="0.72" right="0.47" top="0.59" bottom="0.51" header="0.28000000000000003" footer="0.28000000000000003"/>
  <pageSetup paperSize="9" scale="68" orientation="portrait" r:id="rId1"/>
  <rowBreaks count="2" manualBreakCount="2">
    <brk id="76" max="23" man="1"/>
    <brk id="149" max="23" man="1"/>
  </rowBreaks>
  <drawing r:id="rId2"/>
  <legacy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9D45-6CDD-5640-93A0-E574CAACE49E}">
  <dimension ref="A1:AF245"/>
  <sheetViews>
    <sheetView topLeftCell="A190" zoomScale="53" zoomScaleNormal="53" workbookViewId="0">
      <selection activeCell="L206" sqref="L206"/>
    </sheetView>
  </sheetViews>
  <sheetFormatPr defaultColWidth="11" defaultRowHeight="15.75"/>
  <sheetData>
    <row r="1" spans="1:32" ht="18">
      <c r="A1" s="708" t="s">
        <v>701</v>
      </c>
      <c r="B1" s="708"/>
      <c r="C1" s="708"/>
      <c r="D1" s="708"/>
      <c r="E1" s="708"/>
      <c r="F1" s="708"/>
      <c r="G1" s="708"/>
      <c r="H1" s="708"/>
      <c r="I1" s="708"/>
      <c r="J1" s="708"/>
      <c r="K1" s="708"/>
      <c r="L1" s="708"/>
      <c r="M1" s="708"/>
      <c r="N1" s="708"/>
      <c r="O1" s="708"/>
      <c r="P1" s="708"/>
      <c r="Q1" s="708"/>
      <c r="R1" s="708"/>
      <c r="S1" s="708"/>
      <c r="T1" s="708"/>
    </row>
    <row r="2" spans="1:32" ht="23.25">
      <c r="A2" s="663" t="s">
        <v>1320</v>
      </c>
      <c r="B2" s="663"/>
      <c r="C2" s="663"/>
      <c r="D2" s="663"/>
      <c r="E2" s="663"/>
      <c r="F2" s="663"/>
      <c r="G2" s="663"/>
      <c r="H2" s="663"/>
      <c r="I2" s="663"/>
      <c r="J2" s="663"/>
      <c r="K2" s="663"/>
      <c r="L2" s="663"/>
      <c r="M2" s="663"/>
      <c r="N2" s="663"/>
      <c r="O2" s="663"/>
      <c r="P2" s="663"/>
      <c r="Q2" s="663"/>
      <c r="R2" s="663"/>
      <c r="S2" s="663"/>
      <c r="T2" s="663"/>
    </row>
    <row r="3" spans="1:32" ht="23.25">
      <c r="A3" s="664" t="s">
        <v>1321</v>
      </c>
      <c r="B3" s="662"/>
      <c r="C3" s="662"/>
      <c r="D3" s="662"/>
      <c r="E3" s="662"/>
      <c r="F3" s="662"/>
      <c r="G3" s="662"/>
      <c r="H3" s="662"/>
      <c r="I3" s="662"/>
      <c r="J3" s="662"/>
      <c r="K3" s="662"/>
      <c r="L3" s="662"/>
      <c r="M3" s="662"/>
      <c r="N3" s="662"/>
      <c r="O3" s="662"/>
      <c r="P3" s="662"/>
      <c r="Q3" s="662"/>
      <c r="R3" s="662"/>
      <c r="S3" s="662"/>
      <c r="T3" s="662"/>
    </row>
    <row r="4" spans="1:32">
      <c r="A4" s="709"/>
      <c r="B4" s="709"/>
      <c r="C4" s="709"/>
      <c r="D4" s="709"/>
      <c r="E4" s="709"/>
      <c r="F4" s="709"/>
      <c r="G4" s="709"/>
      <c r="H4" s="709"/>
      <c r="I4" s="709"/>
      <c r="J4" s="709"/>
      <c r="K4" s="709"/>
      <c r="L4" s="709"/>
      <c r="M4" s="709"/>
      <c r="N4" s="709"/>
      <c r="O4" s="709"/>
      <c r="P4" s="709"/>
      <c r="Q4" s="709"/>
      <c r="R4" s="709"/>
      <c r="S4" s="709"/>
      <c r="T4" s="709"/>
    </row>
    <row r="5" spans="1:32">
      <c r="A5" s="335" t="s">
        <v>1004</v>
      </c>
      <c r="B5" s="335"/>
      <c r="C5" s="335"/>
      <c r="D5" s="335"/>
      <c r="E5" s="335"/>
      <c r="F5" s="335"/>
      <c r="G5" s="335"/>
      <c r="H5" s="335"/>
      <c r="I5" s="335"/>
      <c r="J5" s="335"/>
      <c r="K5" s="335"/>
      <c r="L5" s="335"/>
      <c r="M5" s="335"/>
      <c r="N5" s="335"/>
      <c r="O5" s="335"/>
      <c r="P5" s="335"/>
      <c r="Q5" s="335"/>
      <c r="R5" s="335"/>
      <c r="S5" s="335"/>
      <c r="T5" s="335"/>
    </row>
    <row r="6" spans="1:32">
      <c r="A6" s="335"/>
      <c r="B6" s="335"/>
      <c r="C6" s="335"/>
      <c r="D6" s="335"/>
      <c r="E6" s="335"/>
      <c r="F6" s="335"/>
      <c r="G6" s="335"/>
      <c r="H6" s="335"/>
      <c r="I6" s="335"/>
      <c r="J6" s="335"/>
      <c r="K6" s="335"/>
      <c r="L6" s="335"/>
      <c r="M6" s="335"/>
      <c r="N6" s="335"/>
      <c r="O6" s="335"/>
      <c r="P6" s="335"/>
      <c r="Q6" s="335"/>
      <c r="R6" s="335"/>
      <c r="S6" s="335"/>
      <c r="T6" s="335"/>
    </row>
    <row r="7" spans="1:32">
      <c r="A7" s="1" t="s">
        <v>775</v>
      </c>
      <c r="B7" s="1"/>
      <c r="C7" s="1"/>
      <c r="D7" s="539" t="str">
        <f>IFERROR(INDEX('DATA INDUK'!$H$27:$H$152,MATCH(ROW(D1),'DATA INDUK'!$BH$27:$BH$152,0)),"")</f>
        <v>26-001-DS-001</v>
      </c>
      <c r="E7" s="13"/>
      <c r="F7" s="13"/>
      <c r="G7" s="13"/>
      <c r="H7" s="15"/>
      <c r="I7" s="15"/>
      <c r="J7" s="15"/>
      <c r="K7" s="15"/>
      <c r="L7" s="15"/>
      <c r="M7" s="15"/>
      <c r="N7" s="15"/>
      <c r="O7" s="15"/>
      <c r="P7" s="15"/>
      <c r="Q7" s="15"/>
      <c r="R7" s="15"/>
      <c r="S7" s="15"/>
      <c r="T7" s="335"/>
    </row>
    <row r="8" spans="1:32">
      <c r="A8" s="13"/>
      <c r="B8" s="13"/>
      <c r="C8" s="13"/>
      <c r="D8" s="540"/>
      <c r="E8" s="15"/>
      <c r="F8" s="15"/>
      <c r="G8" s="15"/>
      <c r="H8" s="15"/>
      <c r="I8" s="15"/>
      <c r="J8" s="15"/>
      <c r="K8" s="15"/>
      <c r="L8" s="15"/>
      <c r="M8" s="15"/>
      <c r="N8" s="15"/>
      <c r="O8" s="15"/>
      <c r="P8" s="15"/>
      <c r="Q8" s="15"/>
      <c r="R8" s="15"/>
      <c r="S8" s="15"/>
      <c r="T8" s="15"/>
    </row>
    <row r="9" spans="1:32">
      <c r="A9" s="1" t="s">
        <v>776</v>
      </c>
      <c r="B9" s="1"/>
      <c r="C9" s="1"/>
      <c r="D9" s="13" t="str">
        <f>IFERROR(INDEX('DATA INDUK'!$C$27:$C$152,MATCH(ROW(D1),'DATA INDUK'!$BH$27:$BH$152,0)),"")</f>
        <v>BH-04R1-SPT 15</v>
      </c>
      <c r="E9" s="15"/>
      <c r="F9" s="15"/>
      <c r="G9" s="15"/>
      <c r="H9" s="15"/>
      <c r="I9" s="15"/>
      <c r="J9" s="15"/>
      <c r="K9" s="15"/>
      <c r="L9" s="1" t="s">
        <v>703</v>
      </c>
      <c r="M9" s="1"/>
      <c r="N9" s="1"/>
      <c r="O9" s="15" t="str">
        <f>IF($D$7="","",P9)</f>
        <v>RAFLY</v>
      </c>
      <c r="P9" s="588" t="s">
        <v>1054</v>
      </c>
      <c r="Q9" s="15"/>
      <c r="R9" s="15"/>
      <c r="S9" s="15"/>
      <c r="T9" s="15" t="str">
        <f>"TTD_"&amp;O9&amp;""</f>
        <v>TTD_RAFLY</v>
      </c>
    </row>
    <row r="10" spans="1:32">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15" t="s">
        <v>1051</v>
      </c>
      <c r="Q10" s="15"/>
      <c r="R10" s="15"/>
      <c r="S10" s="15"/>
      <c r="T10" s="15" t="str">
        <f>IF(O9=O10,"TTD_","TTD_"&amp;O10&amp;"")</f>
        <v>TTD_NOUFAL</v>
      </c>
    </row>
    <row r="11" spans="1:32">
      <c r="A11" s="1" t="s">
        <v>778</v>
      </c>
      <c r="B11" s="1"/>
      <c r="C11" s="1"/>
      <c r="D11" s="13" t="str">
        <f>IFERROR(INDEX('DATA INDUK'!$D$27:$D$152,MATCH(ROW(D1),'DATA INDUK'!$BH$27:$BH$152,0)),"")</f>
        <v>Disturbed Sample</v>
      </c>
      <c r="E11" s="13"/>
      <c r="F11" s="1520" t="s">
        <v>1659</v>
      </c>
      <c r="G11" s="15"/>
      <c r="H11" s="15"/>
      <c r="I11" s="15"/>
      <c r="J11" s="15"/>
      <c r="K11" s="15"/>
      <c r="L11" s="13" t="s">
        <v>716</v>
      </c>
      <c r="M11" s="15"/>
      <c r="N11" s="15"/>
      <c r="O11" s="15" t="str">
        <f t="shared" si="0"/>
        <v>A.SUMARTADJI</v>
      </c>
      <c r="P11" s="15" t="s">
        <v>766</v>
      </c>
      <c r="Q11" s="15"/>
      <c r="R11" s="15"/>
      <c r="S11" s="15"/>
      <c r="T11" s="15" t="str">
        <f>"TTD_"&amp;O11&amp;""</f>
        <v>TTD_A.SUMARTADJI</v>
      </c>
    </row>
    <row r="12" spans="1:32">
      <c r="A12" s="1" t="s">
        <v>779</v>
      </c>
      <c r="B12" s="1"/>
      <c r="C12" s="1"/>
      <c r="D12" s="1573" t="s">
        <v>1648</v>
      </c>
      <c r="E12" s="15"/>
      <c r="F12" s="1520" t="str">
        <f>IFERROR(INDEX($AB$17:$AB$28,
MATCH(D12,$AE$17:$AE$28,0)),
"CHECK DESKRIPSI")</f>
        <v>SDS</v>
      </c>
      <c r="G12" s="15"/>
      <c r="H12" s="15"/>
      <c r="I12" s="15"/>
      <c r="J12" s="15"/>
      <c r="K12" s="15"/>
      <c r="L12" s="1" t="s">
        <v>705</v>
      </c>
      <c r="M12" s="1"/>
      <c r="N12" s="1"/>
      <c r="O12" s="715"/>
      <c r="P12" s="15"/>
      <c r="Q12" s="15"/>
      <c r="R12" s="15"/>
      <c r="S12" s="15"/>
      <c r="T12" s="335"/>
    </row>
    <row r="13" spans="1:32">
      <c r="A13" s="1" t="s">
        <v>780</v>
      </c>
      <c r="B13" s="1"/>
      <c r="C13" s="1"/>
      <c r="D13" s="714"/>
      <c r="E13" s="15"/>
      <c r="F13" s="15"/>
      <c r="G13" s="15"/>
      <c r="H13" s="15"/>
      <c r="I13" s="15"/>
      <c r="J13" s="15"/>
      <c r="K13" s="15"/>
      <c r="L13" s="15"/>
      <c r="M13" s="15"/>
      <c r="N13" s="15"/>
      <c r="O13" s="15"/>
      <c r="P13" s="15"/>
      <c r="Q13" s="15"/>
      <c r="R13" s="15"/>
      <c r="S13" s="15"/>
      <c r="T13" s="335"/>
    </row>
    <row r="14" spans="1:32"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32">
      <c r="AB15" s="370" t="s">
        <v>1641</v>
      </c>
      <c r="AC15" s="370"/>
      <c r="AD15" s="370"/>
      <c r="AE15" s="370"/>
      <c r="AF15" s="370"/>
    </row>
    <row r="16" spans="1:32">
      <c r="C16" t="s">
        <v>973</v>
      </c>
      <c r="O16" t="s">
        <v>974</v>
      </c>
      <c r="P16" t="s">
        <v>2</v>
      </c>
      <c r="AB16" s="370" t="s">
        <v>1611</v>
      </c>
      <c r="AC16" s="370" t="s">
        <v>1642</v>
      </c>
      <c r="AD16" s="370" t="s">
        <v>1632</v>
      </c>
      <c r="AE16" s="370" t="s">
        <v>1633</v>
      </c>
      <c r="AF16" s="370"/>
    </row>
    <row r="17" spans="3:32">
      <c r="D17" t="s">
        <v>1010</v>
      </c>
      <c r="E17" t="s">
        <v>528</v>
      </c>
      <c r="F17" t="str">
        <f>IFERROR(VLOOKUP(E17,$O$17:$P$18,2,0),"")</f>
        <v>SNI 1742:2008</v>
      </c>
      <c r="O17" t="s">
        <v>528</v>
      </c>
      <c r="P17" t="str">
        <f>CONCATENATE("SNI"," ",'DATA INDUK'!$BS$49)</f>
        <v>SNI 1742:2008</v>
      </c>
      <c r="Q17">
        <v>594</v>
      </c>
      <c r="AB17" s="370" t="s">
        <v>1612</v>
      </c>
      <c r="AC17" s="370" t="s">
        <v>1613</v>
      </c>
      <c r="AD17" s="370" t="s">
        <v>1610</v>
      </c>
      <c r="AE17" s="370" t="s">
        <v>1510</v>
      </c>
      <c r="AF17" s="370"/>
    </row>
    <row r="18" spans="3:32">
      <c r="D18" t="s">
        <v>956</v>
      </c>
      <c r="E18" s="102">
        <v>1.24</v>
      </c>
      <c r="O18" t="s">
        <v>975</v>
      </c>
      <c r="P18" t="str">
        <f>'DATA INDUK'!$BS$50</f>
        <v>1743:2008</v>
      </c>
      <c r="Q18">
        <v>2700</v>
      </c>
      <c r="AB18" s="370" t="s">
        <v>1614</v>
      </c>
      <c r="AC18" s="370" t="s">
        <v>1615</v>
      </c>
      <c r="AD18" s="370" t="s">
        <v>1634</v>
      </c>
      <c r="AE18" s="370" t="s">
        <v>1635</v>
      </c>
      <c r="AF18" s="370"/>
    </row>
    <row r="19" spans="3:32">
      <c r="D19" t="s">
        <v>957</v>
      </c>
      <c r="E19" s="102">
        <v>16.5</v>
      </c>
      <c r="AB19" s="370" t="s">
        <v>1617</v>
      </c>
      <c r="AC19" s="370" t="s">
        <v>1618</v>
      </c>
      <c r="AD19" s="370" t="s">
        <v>1636</v>
      </c>
      <c r="AE19" s="370" t="s">
        <v>1637</v>
      </c>
      <c r="AF19" s="370"/>
    </row>
    <row r="20" spans="3:32">
      <c r="D20" t="s">
        <v>1011</v>
      </c>
      <c r="E20">
        <f>VLOOKUP(E17,$O$17:$Q$18,3,0)</f>
        <v>594</v>
      </c>
      <c r="AB20" s="370" t="s">
        <v>1643</v>
      </c>
      <c r="AC20" s="370" t="s">
        <v>1644</v>
      </c>
      <c r="AD20" s="370" t="s">
        <v>1645</v>
      </c>
      <c r="AE20" s="370" t="s">
        <v>1646</v>
      </c>
      <c r="AF20" s="370"/>
    </row>
    <row r="21" spans="3:32">
      <c r="U21" s="1062" t="s">
        <v>72</v>
      </c>
      <c r="V21" s="1062"/>
      <c r="W21" s="1062"/>
      <c r="X21" s="1062"/>
      <c r="AB21" s="370" t="s">
        <v>1620</v>
      </c>
      <c r="AC21" s="370" t="s">
        <v>1616</v>
      </c>
      <c r="AD21" s="370" t="s">
        <v>509</v>
      </c>
      <c r="AE21" s="370" t="s">
        <v>1638</v>
      </c>
      <c r="AF21" s="370"/>
    </row>
    <row r="22" spans="3:32">
      <c r="U22" s="983"/>
      <c r="V22" s="987"/>
      <c r="W22" s="987"/>
      <c r="X22" s="987"/>
      <c r="AB22" s="370" t="s">
        <v>1621</v>
      </c>
      <c r="AC22" s="370" t="s">
        <v>1622</v>
      </c>
      <c r="AD22" s="370" t="s">
        <v>1639</v>
      </c>
      <c r="AE22" s="370" t="s">
        <v>1640</v>
      </c>
      <c r="AF22" s="370"/>
    </row>
    <row r="23" spans="3:32">
      <c r="U23" t="s">
        <v>1001</v>
      </c>
      <c r="V23" s="979" t="s">
        <v>968</v>
      </c>
      <c r="W23" s="979" t="s">
        <v>969</v>
      </c>
      <c r="X23" s="979" t="s">
        <v>970</v>
      </c>
      <c r="Y23" s="983" t="s">
        <v>976</v>
      </c>
      <c r="Z23" s="983" t="s">
        <v>977</v>
      </c>
      <c r="AB23" s="370" t="s">
        <v>1623</v>
      </c>
      <c r="AC23" s="370" t="s">
        <v>1624</v>
      </c>
      <c r="AD23" s="370" t="s">
        <v>1647</v>
      </c>
      <c r="AE23" s="370" t="s">
        <v>1648</v>
      </c>
      <c r="AF23" s="370"/>
    </row>
    <row r="24" spans="3:32">
      <c r="U24" s="980" t="s">
        <v>185</v>
      </c>
      <c r="V24" s="1007">
        <v>152.30000000000001</v>
      </c>
      <c r="W24" s="1007">
        <v>178</v>
      </c>
      <c r="X24" s="1007">
        <v>7048.0999999999995</v>
      </c>
      <c r="Y24" s="1063">
        <f>PI()*(V24/2)^2</f>
        <v>18217.5381654712</v>
      </c>
      <c r="Z24" s="1063">
        <f>PI()*(V24/2)^2*W24/1000</f>
        <v>3242.7217934538735</v>
      </c>
      <c r="AB24" s="370" t="s">
        <v>1649</v>
      </c>
      <c r="AC24" s="370" t="s">
        <v>1650</v>
      </c>
      <c r="AD24" s="370" t="s">
        <v>1651</v>
      </c>
      <c r="AE24" s="370" t="s">
        <v>1652</v>
      </c>
      <c r="AF24" s="370"/>
    </row>
    <row r="25" spans="3:32">
      <c r="U25" s="980" t="s">
        <v>237</v>
      </c>
      <c r="V25" s="1007">
        <v>152.19999999999999</v>
      </c>
      <c r="W25" s="1007">
        <v>177.8</v>
      </c>
      <c r="X25" s="1007">
        <v>6940.2</v>
      </c>
      <c r="Y25" s="1063">
        <f>PI()*(V25/2)^2</f>
        <v>18193.622791395745</v>
      </c>
      <c r="Z25" s="1063">
        <f>PI()*(V25/2)^2*W25/1000</f>
        <v>3234.8261323101638</v>
      </c>
      <c r="AB25" s="370" t="s">
        <v>1690</v>
      </c>
      <c r="AC25" s="370" t="s">
        <v>1619</v>
      </c>
      <c r="AD25" s="370" t="s">
        <v>510</v>
      </c>
      <c r="AE25" s="370" t="s">
        <v>1197</v>
      </c>
      <c r="AF25" s="370"/>
    </row>
    <row r="26" spans="3:32">
      <c r="U26" s="980" t="s">
        <v>249</v>
      </c>
      <c r="V26" s="1007">
        <v>152</v>
      </c>
      <c r="W26" s="1007">
        <v>177.7</v>
      </c>
      <c r="X26" s="1007">
        <v>7031.6</v>
      </c>
      <c r="Y26" s="1063">
        <f>PI()*(V26/2)^2</f>
        <v>18145.839167134644</v>
      </c>
      <c r="Z26" s="1063">
        <f>PI()*(V26/2)^2*W26/1000</f>
        <v>3224.515619999826</v>
      </c>
      <c r="AB26" s="370" t="s">
        <v>1626</v>
      </c>
      <c r="AC26" s="370" t="s">
        <v>1627</v>
      </c>
      <c r="AD26" s="370" t="s">
        <v>1653</v>
      </c>
      <c r="AE26" s="370" t="s">
        <v>1654</v>
      </c>
      <c r="AF26" s="370"/>
    </row>
    <row r="27" spans="3:32">
      <c r="AB27" s="370" t="s">
        <v>1628</v>
      </c>
      <c r="AC27" s="370" t="s">
        <v>1629</v>
      </c>
      <c r="AD27" s="370" t="s">
        <v>1655</v>
      </c>
      <c r="AE27" s="370" t="s">
        <v>1656</v>
      </c>
      <c r="AF27" s="370"/>
    </row>
    <row r="28" spans="3:32">
      <c r="U28" s="1064" t="s">
        <v>978</v>
      </c>
      <c r="V28" s="1065"/>
      <c r="W28" s="1065"/>
      <c r="AB28" s="370" t="s">
        <v>1630</v>
      </c>
      <c r="AC28" s="370" t="s">
        <v>1631</v>
      </c>
      <c r="AD28" s="370" t="s">
        <v>1657</v>
      </c>
      <c r="AE28" s="370" t="s">
        <v>1658</v>
      </c>
      <c r="AF28" s="370"/>
    </row>
    <row r="29" spans="3:32">
      <c r="U29" s="979" t="s">
        <v>979</v>
      </c>
      <c r="V29" s="980">
        <v>7.36</v>
      </c>
      <c r="W29" s="980">
        <v>7.34</v>
      </c>
    </row>
    <row r="30" spans="3:32">
      <c r="C30" s="1012"/>
      <c r="D30" s="1012"/>
      <c r="E30" s="1012"/>
      <c r="F30" s="2107">
        <v>10</v>
      </c>
      <c r="G30" s="2107"/>
      <c r="H30" s="2107">
        <v>25</v>
      </c>
      <c r="I30" s="2107"/>
      <c r="J30" s="2107">
        <v>56</v>
      </c>
      <c r="K30" s="2107"/>
    </row>
    <row r="31" spans="3:32">
      <c r="C31" s="531" t="s">
        <v>38</v>
      </c>
      <c r="D31" s="531"/>
      <c r="E31" s="335"/>
      <c r="F31" s="2108" t="s">
        <v>39</v>
      </c>
      <c r="G31" s="2108" t="s">
        <v>40</v>
      </c>
      <c r="H31" s="2108" t="s">
        <v>39</v>
      </c>
      <c r="I31" s="2108" t="s">
        <v>40</v>
      </c>
      <c r="J31" s="2108" t="s">
        <v>39</v>
      </c>
      <c r="K31" s="2108" t="s">
        <v>40</v>
      </c>
    </row>
    <row r="32" spans="3:32">
      <c r="C32" s="335"/>
      <c r="D32" s="335"/>
      <c r="E32" s="335"/>
      <c r="F32" s="2109"/>
      <c r="G32" s="2109"/>
      <c r="H32" s="2109"/>
      <c r="I32" s="2109"/>
      <c r="J32" s="2109"/>
      <c r="K32" s="2109"/>
      <c r="R32" s="987"/>
    </row>
    <row r="33" spans="3:23">
      <c r="C33" s="1013" t="s">
        <v>41</v>
      </c>
      <c r="D33" s="1014"/>
      <c r="E33" s="1015" t="s">
        <v>22</v>
      </c>
      <c r="F33" s="1016">
        <v>12106</v>
      </c>
      <c r="G33" s="1016">
        <v>10596</v>
      </c>
      <c r="H33" s="1017">
        <v>12612</v>
      </c>
      <c r="I33" s="1017">
        <v>12623</v>
      </c>
      <c r="J33" s="1098">
        <v>12846</v>
      </c>
      <c r="K33" s="1099">
        <v>10639</v>
      </c>
      <c r="R33" s="987"/>
      <c r="V33" s="975" t="s">
        <v>366</v>
      </c>
      <c r="W33" s="975"/>
    </row>
    <row r="34" spans="3:23">
      <c r="C34" s="1067" t="s">
        <v>932</v>
      </c>
      <c r="D34" s="1068"/>
      <c r="E34" s="1069"/>
      <c r="F34" s="1100" t="s">
        <v>237</v>
      </c>
      <c r="G34" s="1100" t="s">
        <v>237</v>
      </c>
      <c r="H34" s="1101" t="s">
        <v>237</v>
      </c>
      <c r="I34" s="1101" t="s">
        <v>237</v>
      </c>
      <c r="J34" s="1102" t="s">
        <v>237</v>
      </c>
      <c r="K34" s="1103" t="s">
        <v>237</v>
      </c>
      <c r="O34" s="983"/>
      <c r="P34" s="987"/>
      <c r="Q34" s="987"/>
      <c r="R34" s="987"/>
      <c r="V34" s="975"/>
      <c r="W34" s="975"/>
    </row>
    <row r="35" spans="3:23">
      <c r="C35" s="1018" t="s">
        <v>42</v>
      </c>
      <c r="D35" s="1019"/>
      <c r="E35" s="1020" t="s">
        <v>22</v>
      </c>
      <c r="F35" s="1021">
        <f t="shared" ref="F35:K35" si="1">IFERROR(VLOOKUP(F34,$U$23:$Z$26,4,0),"")</f>
        <v>6940.2</v>
      </c>
      <c r="G35" s="1021">
        <f t="shared" si="1"/>
        <v>6940.2</v>
      </c>
      <c r="H35" s="1021">
        <f t="shared" si="1"/>
        <v>6940.2</v>
      </c>
      <c r="I35" s="1021">
        <f t="shared" si="1"/>
        <v>6940.2</v>
      </c>
      <c r="J35" s="1021">
        <f t="shared" si="1"/>
        <v>6940.2</v>
      </c>
      <c r="K35" s="1021">
        <f t="shared" si="1"/>
        <v>6940.2</v>
      </c>
      <c r="V35" s="383">
        <v>1</v>
      </c>
      <c r="W35" s="384">
        <v>9.0299999999999994</v>
      </c>
    </row>
    <row r="36" spans="3:23">
      <c r="C36" s="1018" t="s">
        <v>43</v>
      </c>
      <c r="D36" s="1019"/>
      <c r="E36" s="1020" t="s">
        <v>22</v>
      </c>
      <c r="F36" s="1022">
        <f>+F33-F35</f>
        <v>5165.8</v>
      </c>
      <c r="G36" s="1022">
        <f>+G33-G35</f>
        <v>3655.8</v>
      </c>
      <c r="H36" s="1105">
        <f>+H33-H35</f>
        <v>5671.8</v>
      </c>
      <c r="I36" s="1105">
        <f>+I33-I35</f>
        <v>5682.8</v>
      </c>
      <c r="J36" s="1105">
        <f t="shared" ref="J36:K36" si="2">+J33-J35</f>
        <v>5905.8</v>
      </c>
      <c r="K36" s="1105">
        <f t="shared" si="2"/>
        <v>3698.8</v>
      </c>
      <c r="V36" s="385">
        <v>2</v>
      </c>
      <c r="W36" s="386">
        <v>8.8420000000000005</v>
      </c>
    </row>
    <row r="37" spans="3:23">
      <c r="C37" s="335" t="s">
        <v>1023</v>
      </c>
      <c r="F37" s="1116">
        <f t="shared" ref="F37:K37" si="3">IFERROR(VLOOKUP(F34,$U$23:$Z$26,2,0),"")</f>
        <v>152.19999999999999</v>
      </c>
      <c r="G37" s="1116">
        <f t="shared" si="3"/>
        <v>152.19999999999999</v>
      </c>
      <c r="H37" s="1116">
        <f t="shared" si="3"/>
        <v>152.19999999999999</v>
      </c>
      <c r="I37" s="1116">
        <f t="shared" si="3"/>
        <v>152.19999999999999</v>
      </c>
      <c r="J37" s="1116">
        <f t="shared" si="3"/>
        <v>152.19999999999999</v>
      </c>
      <c r="K37" s="1116">
        <f t="shared" si="3"/>
        <v>152.19999999999999</v>
      </c>
      <c r="V37" s="385">
        <v>3</v>
      </c>
      <c r="W37" s="387">
        <v>9.0410000000000004</v>
      </c>
    </row>
    <row r="38" spans="3:23">
      <c r="C38" s="1018" t="s">
        <v>44</v>
      </c>
      <c r="D38" s="1019"/>
      <c r="E38" s="1020" t="s">
        <v>45</v>
      </c>
      <c r="F38" s="1116">
        <f t="shared" ref="F38:K38" si="4">IFERROR(VLOOKUP(F34,$U$23:$Z$26,3,0),"")</f>
        <v>177.8</v>
      </c>
      <c r="G38" s="1116">
        <f t="shared" si="4"/>
        <v>177.8</v>
      </c>
      <c r="H38" s="1116">
        <f t="shared" si="4"/>
        <v>177.8</v>
      </c>
      <c r="I38" s="1116">
        <f t="shared" si="4"/>
        <v>177.8</v>
      </c>
      <c r="J38" s="1116">
        <f t="shared" si="4"/>
        <v>177.8</v>
      </c>
      <c r="K38" s="1116">
        <f t="shared" si="4"/>
        <v>177.8</v>
      </c>
      <c r="N38" s="80"/>
      <c r="V38" s="388">
        <v>4</v>
      </c>
      <c r="W38" s="389">
        <v>8.9359999999999999</v>
      </c>
    </row>
    <row r="39" spans="3:23">
      <c r="C39" s="1018" t="s">
        <v>127</v>
      </c>
      <c r="D39" s="1019"/>
      <c r="E39" s="1020" t="s">
        <v>971</v>
      </c>
      <c r="F39" s="1021">
        <f t="shared" ref="F39:K39" si="5">IFERROR(VLOOKUP(F34,$U$23:$Z$26,6,0),"")</f>
        <v>3234.8261323101638</v>
      </c>
      <c r="G39" s="1021">
        <f t="shared" si="5"/>
        <v>3234.8261323101638</v>
      </c>
      <c r="H39" s="1021">
        <f t="shared" si="5"/>
        <v>3234.8261323101638</v>
      </c>
      <c r="I39" s="1021">
        <f t="shared" si="5"/>
        <v>3234.8261323101638</v>
      </c>
      <c r="J39" s="1021">
        <f t="shared" si="5"/>
        <v>3234.8261323101638</v>
      </c>
      <c r="K39" s="1021">
        <f t="shared" si="5"/>
        <v>3234.8261323101638</v>
      </c>
      <c r="V39" s="388">
        <v>5</v>
      </c>
      <c r="W39" s="389">
        <v>8.8559999999999999</v>
      </c>
    </row>
    <row r="40" spans="3:23">
      <c r="C40" s="1018" t="s">
        <v>46</v>
      </c>
      <c r="D40" s="1019"/>
      <c r="E40" s="1020" t="s">
        <v>972</v>
      </c>
      <c r="F40" s="1023">
        <f t="shared" ref="F40:K40" si="6">+F36/F39</f>
        <v>1.5969328145345554</v>
      </c>
      <c r="G40" s="1023">
        <f t="shared" si="6"/>
        <v>1.1301380199340718</v>
      </c>
      <c r="H40" s="1024">
        <f t="shared" si="6"/>
        <v>1.753355441069552</v>
      </c>
      <c r="I40" s="1024">
        <f t="shared" si="6"/>
        <v>1.7567559329507476</v>
      </c>
      <c r="J40" s="1025">
        <f t="shared" si="6"/>
        <v>1.8256931774513487</v>
      </c>
      <c r="K40" s="1026">
        <f t="shared" si="6"/>
        <v>1.143430851833291</v>
      </c>
      <c r="V40" s="388">
        <v>6</v>
      </c>
      <c r="W40" s="389">
        <v>8.7260000000000009</v>
      </c>
    </row>
    <row r="41" spans="3:23">
      <c r="C41" s="1018" t="s">
        <v>47</v>
      </c>
      <c r="D41" s="1019"/>
      <c r="E41" s="1020" t="s">
        <v>34</v>
      </c>
      <c r="F41" s="1022">
        <f t="shared" ref="F41:K41" si="7">F52</f>
        <v>35.057597539156902</v>
      </c>
      <c r="G41" s="1022">
        <f t="shared" si="7"/>
        <v>47.683653209794826</v>
      </c>
      <c r="H41" s="1022">
        <f t="shared" si="7"/>
        <v>46.047410723369602</v>
      </c>
      <c r="I41" s="1022">
        <f t="shared" si="7"/>
        <v>47.683653209794826</v>
      </c>
      <c r="J41" s="1025">
        <f t="shared" si="7"/>
        <v>46.047410723369602</v>
      </c>
      <c r="K41" s="1026">
        <f t="shared" si="7"/>
        <v>47.683653209794826</v>
      </c>
      <c r="V41" s="388">
        <v>7</v>
      </c>
      <c r="W41" s="389">
        <v>8.8819999999999997</v>
      </c>
    </row>
    <row r="42" spans="3:23">
      <c r="C42" s="1027" t="s">
        <v>48</v>
      </c>
      <c r="D42" s="1028"/>
      <c r="E42" s="1029" t="s">
        <v>972</v>
      </c>
      <c r="F42" s="1030">
        <f t="shared" ref="F42:K42" si="8">+F40/(1+(F41/100))</f>
        <v>1.1824087231164917</v>
      </c>
      <c r="G42" s="1031">
        <f t="shared" si="8"/>
        <v>0.7652424593862347</v>
      </c>
      <c r="H42" s="1031">
        <f t="shared" si="8"/>
        <v>1.2005385322377311</v>
      </c>
      <c r="I42" s="1031">
        <f t="shared" si="8"/>
        <v>1.1895398676623705</v>
      </c>
      <c r="J42" s="1032">
        <f t="shared" si="8"/>
        <v>1.250068842993334</v>
      </c>
      <c r="K42" s="1032">
        <f t="shared" si="8"/>
        <v>0.77424334175223075</v>
      </c>
      <c r="V42" s="388">
        <v>8</v>
      </c>
      <c r="W42" s="389">
        <v>8.8179999999999996</v>
      </c>
    </row>
    <row r="43" spans="3:23">
      <c r="V43" s="388">
        <v>9</v>
      </c>
      <c r="W43" s="389">
        <v>8.7989999999999995</v>
      </c>
    </row>
    <row r="44" spans="3:23">
      <c r="C44" s="19"/>
      <c r="D44" s="19"/>
      <c r="E44" s="19"/>
      <c r="F44" s="19">
        <v>10</v>
      </c>
      <c r="G44" s="19"/>
      <c r="H44">
        <f>H30</f>
        <v>25</v>
      </c>
      <c r="J44">
        <v>56</v>
      </c>
      <c r="V44" s="383">
        <v>10</v>
      </c>
      <c r="W44" s="384">
        <v>8.7929999999999993</v>
      </c>
    </row>
    <row r="45" spans="3:23">
      <c r="C45" s="1070" t="s">
        <v>47</v>
      </c>
      <c r="D45" s="1071"/>
      <c r="E45" s="1072"/>
      <c r="F45" s="1073" t="s">
        <v>39</v>
      </c>
      <c r="G45" s="1074" t="s">
        <v>40</v>
      </c>
      <c r="H45" s="1073" t="s">
        <v>39</v>
      </c>
      <c r="I45" s="1074" t="s">
        <v>40</v>
      </c>
      <c r="J45" s="1073" t="s">
        <v>39</v>
      </c>
      <c r="K45" s="1074" t="s">
        <v>40</v>
      </c>
      <c r="V45" s="383">
        <v>11</v>
      </c>
      <c r="W45" s="384">
        <v>8.8040000000000003</v>
      </c>
    </row>
    <row r="46" spans="3:23">
      <c r="C46" s="1075" t="s">
        <v>65</v>
      </c>
      <c r="D46" s="1076"/>
      <c r="E46" s="1077" t="s">
        <v>22</v>
      </c>
      <c r="F46" s="1106">
        <v>52.058</v>
      </c>
      <c r="G46" s="1106">
        <v>53.66</v>
      </c>
      <c r="H46" s="1106">
        <v>52.094999999999999</v>
      </c>
      <c r="I46" s="1106">
        <v>53.66</v>
      </c>
      <c r="J46" s="1106">
        <v>52.094999999999999</v>
      </c>
      <c r="K46" s="1106">
        <v>53.66</v>
      </c>
      <c r="V46" s="383">
        <v>12</v>
      </c>
      <c r="W46" s="384">
        <v>8.9280000000000008</v>
      </c>
    </row>
    <row r="47" spans="3:23">
      <c r="C47" s="1078" t="s">
        <v>66</v>
      </c>
      <c r="D47" s="1079"/>
      <c r="E47" s="1080" t="s">
        <v>22</v>
      </c>
      <c r="F47" s="1107">
        <v>40.889000000000003</v>
      </c>
      <c r="G47" s="1107">
        <v>39.25</v>
      </c>
      <c r="H47" s="1107">
        <v>38.517000000000003</v>
      </c>
      <c r="I47" s="1107">
        <v>39.25</v>
      </c>
      <c r="J47" s="1107">
        <v>38.517000000000003</v>
      </c>
      <c r="K47" s="1107">
        <v>39.25</v>
      </c>
      <c r="V47" s="383">
        <v>13</v>
      </c>
      <c r="W47" s="384">
        <v>8.8770000000000007</v>
      </c>
    </row>
    <row r="48" spans="3:23">
      <c r="C48" s="1078" t="s">
        <v>67</v>
      </c>
      <c r="D48" s="1079"/>
      <c r="E48" s="1080" t="s">
        <v>22</v>
      </c>
      <c r="F48" s="1082">
        <f t="shared" ref="F48:K48" si="9">+F46-F47</f>
        <v>11.168999999999997</v>
      </c>
      <c r="G48" s="1082">
        <f t="shared" si="9"/>
        <v>14.409999999999997</v>
      </c>
      <c r="H48" s="1082">
        <f t="shared" si="9"/>
        <v>13.577999999999996</v>
      </c>
      <c r="I48" s="1082">
        <f t="shared" si="9"/>
        <v>14.409999999999997</v>
      </c>
      <c r="J48" s="1082">
        <f t="shared" si="9"/>
        <v>13.577999999999996</v>
      </c>
      <c r="K48" s="1082">
        <f t="shared" si="9"/>
        <v>14.409999999999997</v>
      </c>
      <c r="V48" s="383">
        <v>14</v>
      </c>
      <c r="W48" s="384">
        <v>8.8919999999999995</v>
      </c>
    </row>
    <row r="49" spans="3:23">
      <c r="C49" s="1012" t="s">
        <v>628</v>
      </c>
      <c r="D49" s="1012"/>
      <c r="E49" s="1012"/>
      <c r="F49" s="1104">
        <v>1</v>
      </c>
      <c r="G49" s="1104">
        <v>1</v>
      </c>
      <c r="H49" s="1104">
        <v>1</v>
      </c>
      <c r="I49" s="1104">
        <v>1</v>
      </c>
      <c r="J49" s="1104">
        <v>1</v>
      </c>
      <c r="K49" s="1104">
        <v>1</v>
      </c>
      <c r="V49" s="383">
        <v>15</v>
      </c>
      <c r="W49" s="384">
        <v>8.9930000000000003</v>
      </c>
    </row>
    <row r="50" spans="3:23">
      <c r="C50" s="1078" t="s">
        <v>1002</v>
      </c>
      <c r="D50" s="1079"/>
      <c r="E50" s="1080" t="s">
        <v>22</v>
      </c>
      <c r="F50" s="1081">
        <f>IFERROR(VLOOKUP(F49,$V$35:$W$156,2,0),"")</f>
        <v>9.0299999999999994</v>
      </c>
      <c r="G50" s="1081">
        <f t="shared" ref="G50:K50" si="10">IFERROR(VLOOKUP(G49,$V$35:$W$156,2,0),"")</f>
        <v>9.0299999999999994</v>
      </c>
      <c r="H50" s="1081">
        <f t="shared" si="10"/>
        <v>9.0299999999999994</v>
      </c>
      <c r="I50" s="1081">
        <f t="shared" si="10"/>
        <v>9.0299999999999994</v>
      </c>
      <c r="J50" s="1081">
        <f t="shared" si="10"/>
        <v>9.0299999999999994</v>
      </c>
      <c r="K50" s="1081">
        <f t="shared" si="10"/>
        <v>9.0299999999999994</v>
      </c>
      <c r="V50" s="383">
        <v>16</v>
      </c>
      <c r="W50" s="384">
        <v>8.9090000000000007</v>
      </c>
    </row>
    <row r="51" spans="3:23">
      <c r="C51" s="1078" t="s">
        <v>68</v>
      </c>
      <c r="D51" s="1079"/>
      <c r="E51" s="1080" t="s">
        <v>22</v>
      </c>
      <c r="F51" s="1082">
        <f t="shared" ref="F51:K51" si="11">+F47-F50</f>
        <v>31.859000000000002</v>
      </c>
      <c r="G51" s="1082">
        <f t="shared" si="11"/>
        <v>30.22</v>
      </c>
      <c r="H51" s="1082">
        <f t="shared" si="11"/>
        <v>29.487000000000002</v>
      </c>
      <c r="I51" s="1082">
        <f t="shared" si="11"/>
        <v>30.22</v>
      </c>
      <c r="J51" s="1082">
        <f t="shared" si="11"/>
        <v>29.487000000000002</v>
      </c>
      <c r="K51" s="1082">
        <f t="shared" si="11"/>
        <v>30.22</v>
      </c>
      <c r="L51" s="1012"/>
      <c r="M51" s="1012"/>
      <c r="N51" s="1012"/>
      <c r="O51" s="1012"/>
      <c r="P51" s="1012"/>
      <c r="Q51" s="1012"/>
      <c r="R51" s="1012"/>
      <c r="S51" s="1012"/>
      <c r="V51" s="383">
        <v>17</v>
      </c>
      <c r="W51" s="384">
        <v>9.0489999999999995</v>
      </c>
    </row>
    <row r="52" spans="3:23">
      <c r="C52" s="1083" t="s">
        <v>69</v>
      </c>
      <c r="D52" s="1084"/>
      <c r="E52" s="1085" t="s">
        <v>34</v>
      </c>
      <c r="F52" s="1086">
        <f t="shared" ref="F52:K52" si="12">+(F48/F51)*100</f>
        <v>35.057597539156902</v>
      </c>
      <c r="G52" s="1086">
        <f t="shared" si="12"/>
        <v>47.683653209794826</v>
      </c>
      <c r="H52" s="1086">
        <f t="shared" si="12"/>
        <v>46.047410723369602</v>
      </c>
      <c r="I52" s="1086">
        <f t="shared" si="12"/>
        <v>47.683653209794826</v>
      </c>
      <c r="J52" s="1086">
        <f t="shared" si="12"/>
        <v>46.047410723369602</v>
      </c>
      <c r="K52" s="1086">
        <f t="shared" si="12"/>
        <v>47.683653209794826</v>
      </c>
      <c r="L52" s="1012"/>
      <c r="M52" s="1012"/>
      <c r="N52" s="1012"/>
      <c r="O52" s="1012"/>
      <c r="P52" s="1012"/>
      <c r="Q52" s="1012"/>
      <c r="R52" s="1012"/>
      <c r="S52" s="1012"/>
      <c r="V52" s="383">
        <v>18</v>
      </c>
      <c r="W52" s="384">
        <v>8.9339999999999993</v>
      </c>
    </row>
    <row r="53" spans="3:23">
      <c r="L53" s="1012"/>
      <c r="M53" s="1012"/>
      <c r="N53" s="1012"/>
      <c r="O53" s="1012"/>
      <c r="P53" s="1012"/>
      <c r="Q53" s="1012"/>
      <c r="R53" s="1012"/>
      <c r="S53" s="1012"/>
      <c r="V53" s="388">
        <v>19</v>
      </c>
      <c r="W53" s="389">
        <v>8.9610000000000003</v>
      </c>
    </row>
    <row r="54" spans="3:23">
      <c r="L54" s="1012"/>
      <c r="M54" s="1012"/>
      <c r="N54" s="1012"/>
      <c r="O54" s="1012"/>
      <c r="P54" s="1012"/>
      <c r="Q54" s="1012"/>
      <c r="R54" s="1012"/>
      <c r="S54" s="1012"/>
      <c r="V54" s="388">
        <v>20</v>
      </c>
      <c r="W54" s="389">
        <v>8.7759999999999998</v>
      </c>
    </row>
    <row r="55" spans="3:23">
      <c r="L55" s="1012"/>
      <c r="M55" s="1012"/>
      <c r="N55" s="1012"/>
      <c r="O55" s="1012"/>
      <c r="P55" s="1012"/>
      <c r="Q55" s="1012"/>
      <c r="R55" s="1012"/>
      <c r="S55" s="1012"/>
      <c r="V55" s="388">
        <v>21</v>
      </c>
      <c r="W55" s="389">
        <v>8.9030000000000005</v>
      </c>
    </row>
    <row r="56" spans="3:23">
      <c r="L56" s="1012"/>
      <c r="M56" s="1012"/>
      <c r="N56" s="1012"/>
      <c r="O56" s="1012"/>
      <c r="P56" s="1012"/>
      <c r="Q56" s="1012"/>
      <c r="R56" s="1012"/>
      <c r="S56" s="1012"/>
      <c r="V56" s="388">
        <v>22</v>
      </c>
      <c r="W56" s="389">
        <v>8.843</v>
      </c>
    </row>
    <row r="57" spans="3:23">
      <c r="L57" s="1012"/>
      <c r="M57" s="1012"/>
      <c r="N57" s="1012"/>
      <c r="O57" s="1012"/>
      <c r="P57" s="1012"/>
      <c r="Q57" s="1012"/>
      <c r="R57" s="1012"/>
      <c r="S57" s="1012"/>
      <c r="V57" s="388">
        <v>23</v>
      </c>
      <c r="W57" s="389">
        <v>8.84</v>
      </c>
    </row>
    <row r="58" spans="3:23">
      <c r="L58" s="1012"/>
      <c r="M58" s="1012"/>
      <c r="N58" s="1012"/>
      <c r="O58" s="1012"/>
      <c r="P58" s="1012"/>
      <c r="Q58" s="1012"/>
      <c r="R58" s="1012"/>
      <c r="S58" s="1012"/>
      <c r="V58" s="390">
        <v>24</v>
      </c>
      <c r="W58" s="389">
        <v>9.01</v>
      </c>
    </row>
    <row r="59" spans="3:23">
      <c r="L59" s="1012"/>
      <c r="M59" s="1012"/>
      <c r="N59" s="1012"/>
      <c r="O59" s="1012"/>
      <c r="P59" s="1012"/>
      <c r="Q59" s="1012"/>
      <c r="R59" s="1012"/>
      <c r="S59" s="1012"/>
      <c r="V59" s="388">
        <v>25</v>
      </c>
      <c r="W59" s="389">
        <v>8.8119999999999994</v>
      </c>
    </row>
    <row r="60" spans="3:23">
      <c r="C60" s="531" t="s">
        <v>49</v>
      </c>
      <c r="L60" s="1012"/>
      <c r="M60" s="1012"/>
      <c r="N60" s="1012"/>
      <c r="O60" s="1012"/>
      <c r="P60" s="1012"/>
      <c r="Q60" s="1012"/>
      <c r="R60" s="1012"/>
      <c r="S60" s="1012"/>
      <c r="V60" s="388">
        <v>26</v>
      </c>
      <c r="W60" s="389">
        <v>8.8460000000000001</v>
      </c>
    </row>
    <row r="61" spans="3:23">
      <c r="L61" s="1012"/>
      <c r="M61" s="1012"/>
      <c r="N61" s="1012"/>
      <c r="O61" s="1012"/>
      <c r="P61" s="1012"/>
      <c r="Q61" s="1012"/>
      <c r="R61" s="1012"/>
      <c r="S61" s="1012"/>
      <c r="V61" s="388">
        <v>27</v>
      </c>
      <c r="W61" s="389">
        <v>8.9139999999999997</v>
      </c>
    </row>
    <row r="62" spans="3:23">
      <c r="L62" s="1012"/>
      <c r="M62" s="1012"/>
      <c r="N62" s="1012"/>
      <c r="O62" s="1012"/>
      <c r="P62" s="1012"/>
      <c r="Q62" s="1012"/>
      <c r="R62" s="1012"/>
      <c r="S62" s="1012"/>
      <c r="V62" s="388">
        <v>28</v>
      </c>
      <c r="W62" s="389">
        <v>9.9</v>
      </c>
    </row>
    <row r="63" spans="3:23">
      <c r="C63" t="s">
        <v>1015</v>
      </c>
      <c r="E63">
        <v>49.63</v>
      </c>
      <c r="F63" t="s">
        <v>75</v>
      </c>
      <c r="L63" s="1012"/>
      <c r="M63" s="1012"/>
      <c r="N63" s="1012"/>
      <c r="O63" s="1012"/>
      <c r="P63" s="1012"/>
      <c r="Q63" s="1012"/>
      <c r="R63" s="1012"/>
      <c r="S63" s="1012"/>
      <c r="V63" s="388">
        <v>29</v>
      </c>
      <c r="W63" s="389">
        <v>8.9</v>
      </c>
    </row>
    <row r="64" spans="3:23">
      <c r="C64" t="s">
        <v>1016</v>
      </c>
      <c r="D64" s="335"/>
      <c r="E64" s="1033">
        <v>19.350000000000001</v>
      </c>
      <c r="F64" s="1115" t="s">
        <v>1019</v>
      </c>
      <c r="H64" s="1012"/>
      <c r="I64" s="1012"/>
      <c r="J64" s="1012"/>
      <c r="K64" s="1012"/>
      <c r="L64" s="1012"/>
      <c r="M64" s="1012"/>
      <c r="N64" s="1012"/>
      <c r="O64" s="1012"/>
      <c r="P64" s="1012"/>
      <c r="Q64" s="1012"/>
      <c r="R64" s="1012"/>
      <c r="S64" s="1012"/>
      <c r="V64" s="385">
        <v>30</v>
      </c>
      <c r="W64" s="391">
        <v>8.8539999999999992</v>
      </c>
    </row>
    <row r="65" spans="3:23">
      <c r="C65" t="s">
        <v>1017</v>
      </c>
      <c r="D65" s="531"/>
      <c r="E65" s="335">
        <v>1.27</v>
      </c>
      <c r="F65" s="335" t="s">
        <v>199</v>
      </c>
      <c r="G65" s="1033"/>
      <c r="H65" s="1012"/>
      <c r="I65" s="1012"/>
      <c r="J65" s="1012"/>
      <c r="K65" s="1012"/>
      <c r="L65" s="1012"/>
      <c r="M65" s="1012"/>
      <c r="N65" s="1012"/>
      <c r="O65" s="1012"/>
      <c r="P65" s="1012"/>
      <c r="Q65" s="1012"/>
      <c r="R65" s="1012"/>
      <c r="S65" s="1012"/>
      <c r="V65" s="388">
        <v>31</v>
      </c>
      <c r="W65" s="389">
        <v>8.8149999999999995</v>
      </c>
    </row>
    <row r="66" spans="3:23">
      <c r="C66" s="335" t="s">
        <v>50</v>
      </c>
      <c r="D66" s="335"/>
      <c r="E66" s="1034">
        <v>28.7926</v>
      </c>
      <c r="F66" s="335" t="s">
        <v>51</v>
      </c>
      <c r="G66" s="335"/>
      <c r="H66" s="1012"/>
      <c r="I66" s="1012"/>
      <c r="J66" s="1012"/>
      <c r="K66" s="1012"/>
      <c r="L66" s="1012"/>
      <c r="M66" s="1012"/>
      <c r="N66" s="1012"/>
      <c r="O66" s="1012"/>
      <c r="P66" s="1012"/>
      <c r="Q66" s="1012"/>
      <c r="R66" s="1012"/>
      <c r="S66" s="1012"/>
      <c r="V66" s="388">
        <v>32</v>
      </c>
      <c r="W66" s="389">
        <v>8.9849999999999994</v>
      </c>
    </row>
    <row r="67" spans="3:23">
      <c r="C67" s="335" t="s">
        <v>52</v>
      </c>
      <c r="D67" s="1035" t="s">
        <v>53</v>
      </c>
      <c r="E67" s="1036">
        <f>(48.62/25.4)^2*0.7854</f>
        <v>2.8777520549321101</v>
      </c>
      <c r="F67" s="1037" t="s">
        <v>54</v>
      </c>
      <c r="G67" s="335"/>
      <c r="H67" s="1012"/>
      <c r="I67" s="1012"/>
      <c r="J67" s="1012"/>
      <c r="K67" s="1012"/>
      <c r="L67" s="1012"/>
      <c r="M67" s="1012"/>
      <c r="N67" s="1012"/>
      <c r="O67" s="1012"/>
      <c r="P67" s="1012"/>
      <c r="Q67" s="1012"/>
      <c r="R67" s="1012"/>
      <c r="S67" s="1012"/>
      <c r="V67" s="388">
        <v>33</v>
      </c>
      <c r="W67" s="389">
        <v>8.8970000000000002</v>
      </c>
    </row>
    <row r="68" spans="3:23">
      <c r="C68" s="531"/>
      <c r="D68" s="531"/>
      <c r="E68" s="335"/>
      <c r="F68" s="335"/>
      <c r="G68" s="335"/>
      <c r="H68" s="1012"/>
      <c r="I68" s="1012"/>
      <c r="J68" s="1012"/>
      <c r="K68" s="1012"/>
      <c r="L68" s="1012"/>
      <c r="M68" s="1012"/>
      <c r="N68" s="1012"/>
      <c r="O68" s="1012"/>
      <c r="P68" s="1012"/>
      <c r="Q68" s="1012"/>
      <c r="R68" s="1012"/>
      <c r="S68" s="1012"/>
      <c r="V68" s="388">
        <v>34</v>
      </c>
      <c r="W68" s="389">
        <v>8.91</v>
      </c>
    </row>
    <row r="69" spans="3:23">
      <c r="C69" s="2110" t="s">
        <v>55</v>
      </c>
      <c r="D69" s="2110" t="s">
        <v>56</v>
      </c>
      <c r="E69" s="2112" t="s">
        <v>57</v>
      </c>
      <c r="F69" s="2110" t="s">
        <v>58</v>
      </c>
      <c r="G69" s="2110" t="s">
        <v>59</v>
      </c>
      <c r="H69" s="1012"/>
      <c r="I69" s="2110" t="s">
        <v>55</v>
      </c>
      <c r="J69" s="2110" t="s">
        <v>56</v>
      </c>
      <c r="K69" s="2112" t="s">
        <v>57</v>
      </c>
      <c r="L69" s="2110" t="s">
        <v>58</v>
      </c>
      <c r="M69" s="2110" t="s">
        <v>59</v>
      </c>
      <c r="N69" s="1012"/>
      <c r="O69" s="2110" t="s">
        <v>55</v>
      </c>
      <c r="P69" s="2110" t="s">
        <v>56</v>
      </c>
      <c r="Q69" s="2112" t="s">
        <v>57</v>
      </c>
      <c r="R69" s="2110" t="s">
        <v>58</v>
      </c>
      <c r="S69" s="2110" t="s">
        <v>59</v>
      </c>
      <c r="V69" s="383">
        <v>35</v>
      </c>
      <c r="W69" s="384">
        <v>8.7249999999999996</v>
      </c>
    </row>
    <row r="70" spans="3:23">
      <c r="C70" s="2111"/>
      <c r="D70" s="2111"/>
      <c r="E70" s="2113"/>
      <c r="F70" s="2111"/>
      <c r="G70" s="2111"/>
      <c r="H70" s="1012"/>
      <c r="I70" s="2111"/>
      <c r="J70" s="2111"/>
      <c r="K70" s="2113"/>
      <c r="L70" s="2111"/>
      <c r="M70" s="2111"/>
      <c r="N70" s="1012"/>
      <c r="O70" s="2111"/>
      <c r="P70" s="2111"/>
      <c r="Q70" s="2113"/>
      <c r="R70" s="2111"/>
      <c r="S70" s="2111"/>
      <c r="V70" s="383">
        <v>36</v>
      </c>
      <c r="W70" s="384">
        <v>8.7149999999999999</v>
      </c>
    </row>
    <row r="71" spans="3:23">
      <c r="C71" s="2111"/>
      <c r="D71" s="2111"/>
      <c r="E71" s="2113"/>
      <c r="F71" s="2111"/>
      <c r="G71" s="2111"/>
      <c r="H71" s="1012"/>
      <c r="I71" s="2111"/>
      <c r="J71" s="2111"/>
      <c r="K71" s="2113"/>
      <c r="L71" s="2111"/>
      <c r="M71" s="2111"/>
      <c r="N71" s="1012"/>
      <c r="O71" s="2111"/>
      <c r="P71" s="2111"/>
      <c r="Q71" s="2113"/>
      <c r="R71" s="2111"/>
      <c r="S71" s="2111"/>
      <c r="V71" s="383">
        <v>37</v>
      </c>
      <c r="W71" s="384">
        <v>8.7520000000000007</v>
      </c>
    </row>
    <row r="72" spans="3:23">
      <c r="C72" s="1038" t="s">
        <v>60</v>
      </c>
      <c r="D72" s="1038" t="s">
        <v>61</v>
      </c>
      <c r="E72" s="1039" t="s">
        <v>62</v>
      </c>
      <c r="F72" s="1040" t="s">
        <v>63</v>
      </c>
      <c r="G72" s="1040" t="s">
        <v>64</v>
      </c>
      <c r="H72" s="1012"/>
      <c r="I72" s="1038" t="s">
        <v>60</v>
      </c>
      <c r="J72" s="1038" t="s">
        <v>61</v>
      </c>
      <c r="K72" s="1039" t="s">
        <v>62</v>
      </c>
      <c r="L72" s="1040" t="s">
        <v>63</v>
      </c>
      <c r="M72" s="1040" t="s">
        <v>64</v>
      </c>
      <c r="N72" s="1012"/>
      <c r="O72" s="1038" t="s">
        <v>60</v>
      </c>
      <c r="P72" s="1038" t="s">
        <v>61</v>
      </c>
      <c r="Q72" s="1039" t="s">
        <v>62</v>
      </c>
      <c r="R72" s="1040" t="s">
        <v>63</v>
      </c>
      <c r="S72" s="1040" t="s">
        <v>64</v>
      </c>
      <c r="V72" s="383">
        <v>38</v>
      </c>
      <c r="W72" s="384">
        <v>8.73</v>
      </c>
    </row>
    <row r="73" spans="3:23">
      <c r="C73" s="1041">
        <v>0</v>
      </c>
      <c r="D73" s="1042">
        <f>0*25.4</f>
        <v>0</v>
      </c>
      <c r="E73" s="1043">
        <v>0</v>
      </c>
      <c r="F73" s="1044">
        <f t="shared" ref="F73:F83" si="13">E73*$E$66</f>
        <v>0</v>
      </c>
      <c r="G73" s="1045">
        <f t="shared" ref="G73:G83" si="14">IF($D$7="",NA(),F73/$E$67)</f>
        <v>0</v>
      </c>
      <c r="H73" s="1012"/>
      <c r="I73" s="1041">
        <v>0</v>
      </c>
      <c r="J73" s="1042">
        <f>0*25.4</f>
        <v>0</v>
      </c>
      <c r="K73" s="1043">
        <v>0</v>
      </c>
      <c r="L73" s="1046">
        <f t="shared" ref="L73:L83" si="15">K73*$E$66</f>
        <v>0</v>
      </c>
      <c r="M73" s="1045">
        <f t="shared" ref="M73:M83" si="16">IF($D$7="",NA(),L73/$E$67)</f>
        <v>0</v>
      </c>
      <c r="N73" s="1012"/>
      <c r="O73" s="1041">
        <v>0</v>
      </c>
      <c r="P73" s="1042">
        <f>0*25.4</f>
        <v>0</v>
      </c>
      <c r="Q73" s="1043">
        <v>0</v>
      </c>
      <c r="R73" s="1046">
        <f t="shared" ref="R73:R83" si="17">Q73*$E$66</f>
        <v>0</v>
      </c>
      <c r="S73" s="1045">
        <f t="shared" ref="S73:S83" si="18">IF($D$7="",NA(),R73/$E$67)</f>
        <v>0</v>
      </c>
      <c r="V73" s="383">
        <v>39</v>
      </c>
      <c r="W73" s="384">
        <v>8.8610000000000007</v>
      </c>
    </row>
    <row r="74" spans="3:23">
      <c r="C74" s="1047">
        <v>0.25</v>
      </c>
      <c r="D74" s="1048">
        <f>0.0125*25.4</f>
        <v>0.3175</v>
      </c>
      <c r="E74" s="1049">
        <v>5</v>
      </c>
      <c r="F74" s="1044">
        <f t="shared" si="13"/>
        <v>143.96299999999999</v>
      </c>
      <c r="G74" s="1045">
        <f t="shared" si="14"/>
        <v>50.026200051969475</v>
      </c>
      <c r="H74" s="1012"/>
      <c r="I74" s="1047">
        <v>0.25</v>
      </c>
      <c r="J74" s="1048">
        <f>0.0125*25.4</f>
        <v>0.3175</v>
      </c>
      <c r="K74" s="1049">
        <v>3</v>
      </c>
      <c r="L74" s="1046">
        <f t="shared" si="15"/>
        <v>86.377800000000008</v>
      </c>
      <c r="M74" s="1045">
        <f t="shared" si="16"/>
        <v>30.01572003118169</v>
      </c>
      <c r="N74" s="1012"/>
      <c r="O74" s="1047">
        <v>0.25</v>
      </c>
      <c r="P74" s="1048">
        <f>0.0125*25.4</f>
        <v>0.3175</v>
      </c>
      <c r="Q74" s="1049">
        <v>4</v>
      </c>
      <c r="R74" s="1046">
        <f t="shared" si="17"/>
        <v>115.1704</v>
      </c>
      <c r="S74" s="1045">
        <f t="shared" si="18"/>
        <v>40.020960041575584</v>
      </c>
      <c r="V74" s="383">
        <v>40</v>
      </c>
      <c r="W74" s="384">
        <v>8.8580000000000005</v>
      </c>
    </row>
    <row r="75" spans="3:23">
      <c r="C75" s="1047">
        <v>0.5</v>
      </c>
      <c r="D75" s="1048">
        <f>0.025*25.4</f>
        <v>0.63500000000000001</v>
      </c>
      <c r="E75" s="1049">
        <v>9</v>
      </c>
      <c r="F75" s="1044">
        <f t="shared" si="13"/>
        <v>259.13339999999999</v>
      </c>
      <c r="G75" s="1045">
        <f t="shared" si="14"/>
        <v>90.04716009354506</v>
      </c>
      <c r="H75" s="1012"/>
      <c r="I75" s="1047">
        <v>0.5</v>
      </c>
      <c r="J75" s="1048">
        <f>0.025*25.4</f>
        <v>0.63500000000000001</v>
      </c>
      <c r="K75" s="1049">
        <v>6</v>
      </c>
      <c r="L75" s="1046">
        <f t="shared" si="15"/>
        <v>172.75560000000002</v>
      </c>
      <c r="M75" s="1045">
        <f t="shared" si="16"/>
        <v>60.03144006236338</v>
      </c>
      <c r="N75" s="1012"/>
      <c r="O75" s="1047">
        <v>0.5</v>
      </c>
      <c r="P75" s="1048">
        <f>0.025*25.4</f>
        <v>0.63500000000000001</v>
      </c>
      <c r="Q75" s="1049">
        <v>8</v>
      </c>
      <c r="R75" s="1046">
        <f t="shared" si="17"/>
        <v>230.3408</v>
      </c>
      <c r="S75" s="1045">
        <f t="shared" si="18"/>
        <v>80.041920083151169</v>
      </c>
      <c r="V75" s="383">
        <v>41</v>
      </c>
      <c r="W75" s="384">
        <v>8.7590000000000003</v>
      </c>
    </row>
    <row r="76" spans="3:23">
      <c r="C76" s="1047">
        <v>1</v>
      </c>
      <c r="D76" s="1048">
        <f>0.05*25.4</f>
        <v>1.27</v>
      </c>
      <c r="E76" s="1049">
        <v>15</v>
      </c>
      <c r="F76" s="1044">
        <f t="shared" si="13"/>
        <v>431.88900000000001</v>
      </c>
      <c r="G76" s="1045">
        <f t="shared" si="14"/>
        <v>150.07860015590845</v>
      </c>
      <c r="H76" s="1012"/>
      <c r="I76" s="1047">
        <v>1</v>
      </c>
      <c r="J76" s="1048">
        <f>0.05*25.4</f>
        <v>1.27</v>
      </c>
      <c r="K76" s="1049">
        <v>12</v>
      </c>
      <c r="L76" s="1046">
        <f t="shared" si="15"/>
        <v>345.51120000000003</v>
      </c>
      <c r="M76" s="1045">
        <f t="shared" si="16"/>
        <v>120.06288012472676</v>
      </c>
      <c r="N76" s="1012"/>
      <c r="O76" s="1047">
        <v>1</v>
      </c>
      <c r="P76" s="1048">
        <f>0.05*25.4</f>
        <v>1.27</v>
      </c>
      <c r="Q76" s="1049">
        <v>14</v>
      </c>
      <c r="R76" s="1046">
        <f t="shared" si="17"/>
        <v>403.09640000000002</v>
      </c>
      <c r="S76" s="1045">
        <f t="shared" si="18"/>
        <v>140.07336014551456</v>
      </c>
      <c r="V76" s="383">
        <v>42</v>
      </c>
      <c r="W76" s="384">
        <v>8.8000000000000007</v>
      </c>
    </row>
    <row r="77" spans="3:23">
      <c r="C77" s="1047">
        <v>1.5</v>
      </c>
      <c r="D77" s="1048">
        <f>0.075*25.4</f>
        <v>1.9049999999999998</v>
      </c>
      <c r="E77" s="1049">
        <v>20</v>
      </c>
      <c r="F77" s="1044">
        <f t="shared" si="13"/>
        <v>575.85199999999998</v>
      </c>
      <c r="G77" s="1045">
        <f t="shared" si="14"/>
        <v>200.1048002078779</v>
      </c>
      <c r="H77" s="1012"/>
      <c r="I77" s="1047">
        <v>1.5</v>
      </c>
      <c r="J77" s="1048">
        <f>0.075*25.4</f>
        <v>1.9049999999999998</v>
      </c>
      <c r="K77" s="1049">
        <v>18</v>
      </c>
      <c r="L77" s="1046">
        <f t="shared" si="15"/>
        <v>518.26679999999999</v>
      </c>
      <c r="M77" s="1045">
        <f t="shared" si="16"/>
        <v>180.09432018709012</v>
      </c>
      <c r="N77" s="1012"/>
      <c r="O77" s="1047">
        <v>1.5</v>
      </c>
      <c r="P77" s="1048">
        <f>0.075*25.4</f>
        <v>1.9049999999999998</v>
      </c>
      <c r="Q77" s="1049">
        <v>20</v>
      </c>
      <c r="R77" s="1046">
        <f t="shared" si="17"/>
        <v>575.85199999999998</v>
      </c>
      <c r="S77" s="1045">
        <f t="shared" si="18"/>
        <v>200.1048002078779</v>
      </c>
      <c r="V77" s="383">
        <v>43</v>
      </c>
      <c r="W77" s="384">
        <v>8.8610000000000007</v>
      </c>
    </row>
    <row r="78" spans="3:23">
      <c r="C78" s="1047">
        <v>2</v>
      </c>
      <c r="D78" s="1048">
        <f>0.1*25.4</f>
        <v>2.54</v>
      </c>
      <c r="E78" s="1049">
        <v>25</v>
      </c>
      <c r="F78" s="1044">
        <f t="shared" si="13"/>
        <v>719.81500000000005</v>
      </c>
      <c r="G78" s="1045">
        <f t="shared" si="14"/>
        <v>250.13100025984741</v>
      </c>
      <c r="H78" s="1012"/>
      <c r="I78" s="1047">
        <v>2</v>
      </c>
      <c r="J78" s="1048">
        <f>0.1*25.4</f>
        <v>2.54</v>
      </c>
      <c r="K78" s="1049">
        <v>23</v>
      </c>
      <c r="L78" s="1046">
        <f t="shared" si="15"/>
        <v>662.22979999999995</v>
      </c>
      <c r="M78" s="1045">
        <f t="shared" si="16"/>
        <v>230.1205202390596</v>
      </c>
      <c r="N78" s="1012"/>
      <c r="O78" s="1047">
        <v>2</v>
      </c>
      <c r="P78" s="1048">
        <f>0.1*25.4</f>
        <v>2.54</v>
      </c>
      <c r="Q78" s="1049">
        <v>26</v>
      </c>
      <c r="R78" s="1046">
        <f t="shared" si="17"/>
        <v>748.60760000000005</v>
      </c>
      <c r="S78" s="1045">
        <f t="shared" si="18"/>
        <v>260.13624027024133</v>
      </c>
      <c r="V78" s="383">
        <v>44</v>
      </c>
      <c r="W78" s="384">
        <v>8.8780000000000001</v>
      </c>
    </row>
    <row r="79" spans="3:23">
      <c r="C79" s="1047">
        <v>3</v>
      </c>
      <c r="D79" s="1048">
        <f>0.15*25.4</f>
        <v>3.8099999999999996</v>
      </c>
      <c r="E79" s="1049">
        <v>37</v>
      </c>
      <c r="F79" s="1044">
        <f t="shared" si="13"/>
        <v>1065.3262</v>
      </c>
      <c r="G79" s="1045">
        <f t="shared" si="14"/>
        <v>370.19388038457413</v>
      </c>
      <c r="H79" s="1012"/>
      <c r="I79" s="1047">
        <v>3</v>
      </c>
      <c r="J79" s="1048">
        <f>0.15*25.4</f>
        <v>3.8099999999999996</v>
      </c>
      <c r="K79" s="1049">
        <v>36</v>
      </c>
      <c r="L79" s="1046">
        <f t="shared" si="15"/>
        <v>1036.5336</v>
      </c>
      <c r="M79" s="1045">
        <f t="shared" si="16"/>
        <v>360.18864037418024</v>
      </c>
      <c r="N79" s="1012"/>
      <c r="O79" s="1047">
        <v>3</v>
      </c>
      <c r="P79" s="1048">
        <f>0.15*25.4</f>
        <v>3.8099999999999996</v>
      </c>
      <c r="Q79" s="1049">
        <v>37</v>
      </c>
      <c r="R79" s="1046">
        <f t="shared" si="17"/>
        <v>1065.3262</v>
      </c>
      <c r="S79" s="1045">
        <f t="shared" si="18"/>
        <v>370.19388038457413</v>
      </c>
      <c r="V79" s="383">
        <v>45</v>
      </c>
      <c r="W79" s="384">
        <v>8.9410000000000007</v>
      </c>
    </row>
    <row r="80" spans="3:23">
      <c r="C80" s="1047">
        <v>4</v>
      </c>
      <c r="D80" s="1048">
        <f>0.2*25.4</f>
        <v>5.08</v>
      </c>
      <c r="E80" s="1049">
        <v>44</v>
      </c>
      <c r="F80" s="1044">
        <f t="shared" si="13"/>
        <v>1266.8743999999999</v>
      </c>
      <c r="G80" s="1045">
        <f t="shared" si="14"/>
        <v>440.23056045733136</v>
      </c>
      <c r="H80" s="1012"/>
      <c r="I80" s="1047">
        <v>4</v>
      </c>
      <c r="J80" s="1048">
        <f>0.2*25.4</f>
        <v>5.08</v>
      </c>
      <c r="K80" s="1049">
        <v>45</v>
      </c>
      <c r="L80" s="1046">
        <f t="shared" si="15"/>
        <v>1295.6669999999999</v>
      </c>
      <c r="M80" s="1045">
        <f t="shared" si="16"/>
        <v>450.23580046772531</v>
      </c>
      <c r="N80" s="1012"/>
      <c r="O80" s="1047">
        <v>4</v>
      </c>
      <c r="P80" s="1048">
        <f>0.2*25.4</f>
        <v>5.08</v>
      </c>
      <c r="Q80" s="1049">
        <v>46</v>
      </c>
      <c r="R80" s="1046">
        <f t="shared" si="17"/>
        <v>1324.4595999999999</v>
      </c>
      <c r="S80" s="1045">
        <f t="shared" si="18"/>
        <v>460.2410404781192</v>
      </c>
      <c r="V80" s="383">
        <v>46</v>
      </c>
      <c r="W80" s="384">
        <v>9.01</v>
      </c>
    </row>
    <row r="81" spans="3:23">
      <c r="C81" s="1047">
        <v>6</v>
      </c>
      <c r="D81" s="1048">
        <f>0.3*25.4</f>
        <v>7.6199999999999992</v>
      </c>
      <c r="E81" s="1049">
        <v>50</v>
      </c>
      <c r="F81" s="1044">
        <f t="shared" si="13"/>
        <v>1439.63</v>
      </c>
      <c r="G81" s="1045">
        <f t="shared" si="14"/>
        <v>500.26200051969482</v>
      </c>
      <c r="H81" s="1012"/>
      <c r="I81" s="1047">
        <v>6</v>
      </c>
      <c r="J81" s="1048">
        <f>0.3*25.4</f>
        <v>7.6199999999999992</v>
      </c>
      <c r="K81" s="1049">
        <v>65</v>
      </c>
      <c r="L81" s="1046">
        <f t="shared" si="15"/>
        <v>1871.519</v>
      </c>
      <c r="M81" s="1045">
        <f t="shared" si="16"/>
        <v>650.34060067560324</v>
      </c>
      <c r="N81" s="1012"/>
      <c r="O81" s="1047">
        <v>6</v>
      </c>
      <c r="P81" s="1048">
        <f>0.3*25.4</f>
        <v>7.6199999999999992</v>
      </c>
      <c r="Q81" s="1049">
        <v>65</v>
      </c>
      <c r="R81" s="1046">
        <f t="shared" si="17"/>
        <v>1871.519</v>
      </c>
      <c r="S81" s="1045">
        <f t="shared" si="18"/>
        <v>650.34060067560324</v>
      </c>
      <c r="V81" s="383">
        <v>47</v>
      </c>
      <c r="W81" s="384">
        <v>8.8993000000000002</v>
      </c>
    </row>
    <row r="82" spans="3:23">
      <c r="C82" s="1047">
        <v>8</v>
      </c>
      <c r="D82" s="1048">
        <f>0.4*25.4</f>
        <v>10.16</v>
      </c>
      <c r="E82" s="1049">
        <v>53</v>
      </c>
      <c r="F82" s="1044">
        <f t="shared" si="13"/>
        <v>1526.0078000000001</v>
      </c>
      <c r="G82" s="1045">
        <f t="shared" si="14"/>
        <v>530.27772055087655</v>
      </c>
      <c r="H82" s="1012"/>
      <c r="I82" s="1047">
        <v>8</v>
      </c>
      <c r="J82" s="1048">
        <f>0.4*25.4</f>
        <v>10.16</v>
      </c>
      <c r="K82" s="1049">
        <v>73</v>
      </c>
      <c r="L82" s="1046">
        <f t="shared" si="15"/>
        <v>2101.8598000000002</v>
      </c>
      <c r="M82" s="1045">
        <f t="shared" si="16"/>
        <v>730.38252075875448</v>
      </c>
      <c r="N82" s="1012"/>
      <c r="O82" s="1047">
        <v>8</v>
      </c>
      <c r="P82" s="1048">
        <f>0.4*25.4</f>
        <v>10.16</v>
      </c>
      <c r="Q82" s="1049">
        <v>79</v>
      </c>
      <c r="R82" s="1046">
        <f t="shared" si="17"/>
        <v>2274.6154000000001</v>
      </c>
      <c r="S82" s="1045">
        <f t="shared" si="18"/>
        <v>790.41396082111783</v>
      </c>
      <c r="V82" s="383">
        <v>48</v>
      </c>
      <c r="W82" s="384">
        <v>8.7490000000000006</v>
      </c>
    </row>
    <row r="83" spans="3:23">
      <c r="C83" s="1050">
        <v>10</v>
      </c>
      <c r="D83" s="1051">
        <f>0.5*25.4</f>
        <v>12.7</v>
      </c>
      <c r="E83" s="1052">
        <v>53.5</v>
      </c>
      <c r="F83" s="1044">
        <f t="shared" si="13"/>
        <v>1540.4041</v>
      </c>
      <c r="G83" s="1045">
        <f t="shared" si="14"/>
        <v>535.28034055607338</v>
      </c>
      <c r="H83" s="1012"/>
      <c r="I83" s="1050">
        <v>10</v>
      </c>
      <c r="J83" s="1051">
        <f>0.5*25.4</f>
        <v>12.7</v>
      </c>
      <c r="K83" s="1052">
        <v>75</v>
      </c>
      <c r="L83" s="1046">
        <f t="shared" si="15"/>
        <v>2159.4450000000002</v>
      </c>
      <c r="M83" s="1045">
        <f t="shared" si="16"/>
        <v>750.39300077954226</v>
      </c>
      <c r="N83" s="1012"/>
      <c r="O83" s="1050">
        <v>10</v>
      </c>
      <c r="P83" s="1051">
        <f>0.5*25.4</f>
        <v>12.7</v>
      </c>
      <c r="Q83" s="1052">
        <v>80</v>
      </c>
      <c r="R83" s="1046">
        <f t="shared" si="17"/>
        <v>2303.4079999999999</v>
      </c>
      <c r="S83" s="1045">
        <f t="shared" si="18"/>
        <v>800.4192008315116</v>
      </c>
      <c r="V83" s="383">
        <v>49</v>
      </c>
      <c r="W83" s="384">
        <v>8.8219999999999992</v>
      </c>
    </row>
    <row r="84" spans="3:23">
      <c r="C84" s="1053"/>
      <c r="D84" s="1053">
        <f>COUNTIF(D73:D83,0.1)</f>
        <v>0</v>
      </c>
      <c r="E84" s="1054"/>
      <c r="F84" s="1055"/>
      <c r="G84" s="1056"/>
      <c r="H84" s="1012"/>
      <c r="I84" s="1012"/>
      <c r="J84" s="1012"/>
      <c r="K84" s="1012"/>
      <c r="L84" s="1012"/>
      <c r="M84" s="1012"/>
      <c r="N84" s="1012"/>
      <c r="O84" s="1012"/>
      <c r="P84" s="1012"/>
      <c r="Q84" s="1012"/>
      <c r="R84" s="1012"/>
      <c r="S84" s="1012"/>
      <c r="V84" s="383">
        <v>50</v>
      </c>
      <c r="W84" s="384">
        <v>8.7810000000000006</v>
      </c>
    </row>
    <row r="85" spans="3:23">
      <c r="C85" s="335"/>
      <c r="D85" s="335" t="s">
        <v>1003</v>
      </c>
      <c r="E85" s="335"/>
      <c r="F85" s="335"/>
      <c r="G85" s="335"/>
      <c r="H85" s="1012"/>
      <c r="I85" s="1012"/>
      <c r="J85" s="1012"/>
      <c r="K85" s="1012"/>
      <c r="L85" s="1012"/>
      <c r="M85" s="1012"/>
      <c r="N85" s="1012"/>
      <c r="O85" s="1012"/>
      <c r="P85" s="1012"/>
      <c r="Q85" s="1012"/>
      <c r="R85" s="1012"/>
      <c r="S85" s="1012"/>
      <c r="V85" s="383">
        <v>51</v>
      </c>
      <c r="W85" s="384">
        <v>8.843</v>
      </c>
    </row>
    <row r="86" spans="3:23">
      <c r="C86" s="1012"/>
      <c r="D86" s="1012"/>
      <c r="E86" s="1012"/>
      <c r="F86" s="1012"/>
      <c r="G86" s="1012"/>
      <c r="H86" s="1012"/>
      <c r="I86" s="1012"/>
      <c r="J86" s="1012"/>
      <c r="K86" s="1012"/>
      <c r="L86" s="1012"/>
      <c r="M86" s="1012"/>
      <c r="N86" s="1012"/>
      <c r="O86" s="1012"/>
      <c r="P86" s="1012"/>
      <c r="Q86" s="1012"/>
      <c r="R86" s="1012"/>
      <c r="V86" s="383">
        <v>52</v>
      </c>
      <c r="W86" s="384">
        <v>8.8580000000000005</v>
      </c>
    </row>
    <row r="87" spans="3:23">
      <c r="C87" s="1012"/>
      <c r="D87" s="1012"/>
      <c r="E87" s="1012"/>
      <c r="F87" s="1012"/>
      <c r="G87" s="1012"/>
      <c r="H87" s="1012"/>
      <c r="I87" s="1012"/>
      <c r="J87" s="1012"/>
      <c r="K87" s="1012"/>
      <c r="L87" s="1012"/>
      <c r="M87" s="1012"/>
      <c r="N87" s="1012"/>
      <c r="O87" s="1012"/>
      <c r="P87" s="1012"/>
      <c r="Q87" s="1012"/>
      <c r="R87" s="1012"/>
      <c r="S87" s="1012"/>
      <c r="V87" s="383">
        <v>53</v>
      </c>
      <c r="W87" s="384">
        <v>8.7810000000000006</v>
      </c>
    </row>
    <row r="88" spans="3:23">
      <c r="C88" s="1057"/>
      <c r="D88" s="1012"/>
      <c r="E88" s="1012"/>
      <c r="F88" s="1012"/>
      <c r="G88" s="1012"/>
      <c r="H88" s="1012"/>
      <c r="I88" s="1012"/>
      <c r="J88" s="1012"/>
      <c r="K88" s="1012"/>
      <c r="L88" s="1012"/>
      <c r="M88" s="1012"/>
      <c r="N88" s="1012"/>
      <c r="O88" s="1012"/>
      <c r="P88" s="1012"/>
      <c r="Q88" s="1012"/>
      <c r="R88" s="1012"/>
      <c r="S88" s="1012"/>
      <c r="V88" s="383">
        <v>54</v>
      </c>
      <c r="W88" s="384">
        <v>8.9179999999999993</v>
      </c>
    </row>
    <row r="89" spans="3:23">
      <c r="C89" s="1058"/>
      <c r="D89" s="1012"/>
      <c r="E89" s="1012"/>
      <c r="F89" s="1012"/>
      <c r="G89" s="1012"/>
      <c r="H89" s="1012"/>
      <c r="I89" s="1012"/>
      <c r="J89" s="1012"/>
      <c r="K89" s="1012"/>
      <c r="L89" s="1012"/>
      <c r="M89" s="1012"/>
      <c r="N89" s="1012"/>
      <c r="O89" s="1012"/>
      <c r="P89" s="1012"/>
      <c r="Q89" s="1012"/>
      <c r="R89" s="1012"/>
      <c r="S89" s="1012"/>
      <c r="V89" s="383">
        <v>55</v>
      </c>
      <c r="W89" s="384">
        <v>9.0299999999999994</v>
      </c>
    </row>
    <row r="90" spans="3:23">
      <c r="C90" s="1059"/>
      <c r="D90" s="1012"/>
      <c r="E90" s="1012"/>
      <c r="F90" s="1012"/>
      <c r="G90" s="1012"/>
      <c r="H90" s="1012"/>
      <c r="I90" s="1012"/>
      <c r="J90" s="1012"/>
      <c r="K90" s="1012"/>
      <c r="L90" s="1012"/>
      <c r="M90" s="1012"/>
      <c r="N90" s="1012"/>
      <c r="O90" s="1012"/>
      <c r="P90" s="1012"/>
      <c r="Q90" s="1012"/>
      <c r="R90" s="1012"/>
      <c r="S90" s="1012"/>
      <c r="V90" s="383">
        <v>56</v>
      </c>
      <c r="W90" s="384">
        <v>8.9239999999999995</v>
      </c>
    </row>
    <row r="91" spans="3:23">
      <c r="C91" s="1059"/>
      <c r="D91" s="1012"/>
      <c r="E91" s="1012"/>
      <c r="F91" s="1012"/>
      <c r="G91" s="1012"/>
      <c r="H91" s="1012"/>
      <c r="I91" s="1012"/>
      <c r="J91" s="1012"/>
      <c r="K91" s="1012"/>
      <c r="L91" s="1012"/>
      <c r="M91" s="1012"/>
      <c r="N91" s="1012"/>
      <c r="O91" s="1012"/>
      <c r="P91" s="1012"/>
      <c r="Q91" s="1012"/>
      <c r="R91" s="1012"/>
      <c r="S91" s="1012"/>
      <c r="V91" s="383">
        <v>57</v>
      </c>
      <c r="W91" s="384">
        <v>9.0109999999999992</v>
      </c>
    </row>
    <row r="92" spans="3:23">
      <c r="C92" s="1059"/>
      <c r="D92" s="1012"/>
      <c r="E92" s="1012"/>
      <c r="F92" s="1012"/>
      <c r="G92" s="1012"/>
      <c r="H92" s="1012"/>
      <c r="I92" s="1012"/>
      <c r="J92" s="1012"/>
      <c r="K92" s="1012"/>
      <c r="L92" s="1012"/>
      <c r="M92" s="1012"/>
      <c r="N92" s="1012"/>
      <c r="O92" s="1012"/>
      <c r="P92" s="1012"/>
      <c r="Q92" s="1012"/>
      <c r="R92" s="1012"/>
      <c r="S92" s="1012"/>
      <c r="V92" s="383">
        <v>58</v>
      </c>
      <c r="W92" s="384">
        <v>8.8539999999999992</v>
      </c>
    </row>
    <row r="93" spans="3:23">
      <c r="C93" s="1012"/>
      <c r="D93" s="1012"/>
      <c r="E93" s="1012"/>
      <c r="F93" s="1012"/>
      <c r="G93" s="1012"/>
      <c r="H93" s="1012"/>
      <c r="I93" s="1012"/>
      <c r="J93" s="1012"/>
      <c r="K93" s="1012"/>
      <c r="L93" s="1012"/>
      <c r="M93" s="1012"/>
      <c r="N93" s="1012"/>
      <c r="O93" s="1012"/>
      <c r="P93" s="1012"/>
      <c r="Q93" s="1012"/>
      <c r="R93" s="1012"/>
      <c r="S93" s="1012"/>
      <c r="V93" s="383">
        <v>59</v>
      </c>
      <c r="W93" s="384">
        <v>8.8989999999999991</v>
      </c>
    </row>
    <row r="94" spans="3:23">
      <c r="C94" s="1012"/>
      <c r="D94" s="1012"/>
      <c r="E94" s="1012"/>
      <c r="F94" s="1012"/>
      <c r="G94" s="1012"/>
      <c r="H94" s="1012"/>
      <c r="I94" s="1012"/>
      <c r="J94" s="1012"/>
      <c r="K94" s="1012"/>
      <c r="L94" s="1060"/>
      <c r="M94" s="1061"/>
      <c r="N94" s="1012"/>
      <c r="O94" s="1012"/>
      <c r="P94" s="1012"/>
      <c r="Q94" s="1012"/>
      <c r="R94" s="1012"/>
      <c r="S94" s="1012"/>
      <c r="V94" s="383">
        <v>60</v>
      </c>
      <c r="W94" s="384">
        <v>8.8209999999999997</v>
      </c>
    </row>
    <row r="95" spans="3:23">
      <c r="V95" s="383">
        <v>61</v>
      </c>
      <c r="W95" s="384">
        <v>8.8450000000000006</v>
      </c>
    </row>
    <row r="96" spans="3:23">
      <c r="V96" s="383">
        <v>62</v>
      </c>
      <c r="W96" s="384">
        <v>8.76</v>
      </c>
    </row>
    <row r="97" spans="3:23">
      <c r="V97" s="383">
        <v>63</v>
      </c>
      <c r="W97" s="384">
        <v>8.86</v>
      </c>
    </row>
    <row r="98" spans="3:23">
      <c r="V98" s="383">
        <v>64</v>
      </c>
      <c r="W98" s="384">
        <v>8.8089999999999993</v>
      </c>
    </row>
    <row r="99" spans="3:23">
      <c r="V99" s="383">
        <v>65</v>
      </c>
      <c r="W99" s="384">
        <v>8.8840000000000003</v>
      </c>
    </row>
    <row r="100" spans="3:23">
      <c r="V100" s="383">
        <v>66</v>
      </c>
      <c r="W100" s="384">
        <v>8.923</v>
      </c>
    </row>
    <row r="101" spans="3:23">
      <c r="V101" s="383">
        <v>67</v>
      </c>
      <c r="W101" s="384">
        <v>8.9600000000000009</v>
      </c>
    </row>
    <row r="102" spans="3:23">
      <c r="V102" s="383">
        <v>68</v>
      </c>
      <c r="W102" s="384">
        <v>8.9870000000000001</v>
      </c>
    </row>
    <row r="103" spans="3:23">
      <c r="V103" s="383">
        <v>69</v>
      </c>
      <c r="W103" s="384">
        <v>8.8239999999999998</v>
      </c>
    </row>
    <row r="104" spans="3:23">
      <c r="V104" s="383">
        <v>70</v>
      </c>
      <c r="W104" s="384">
        <v>8.923</v>
      </c>
    </row>
    <row r="105" spans="3:23">
      <c r="V105" s="383">
        <v>71</v>
      </c>
      <c r="W105" s="384">
        <v>8.8940000000000001</v>
      </c>
    </row>
    <row r="106" spans="3:23">
      <c r="C106" t="s">
        <v>601</v>
      </c>
      <c r="D106" t="s">
        <v>133</v>
      </c>
      <c r="I106" t="s">
        <v>601</v>
      </c>
      <c r="J106" t="s">
        <v>133</v>
      </c>
      <c r="O106" t="s">
        <v>601</v>
      </c>
      <c r="P106" t="s">
        <v>133</v>
      </c>
      <c r="V106" s="383">
        <v>72</v>
      </c>
      <c r="W106" s="384">
        <v>8.8279999999999994</v>
      </c>
    </row>
    <row r="107" spans="3:23">
      <c r="C107" s="519">
        <f>D78</f>
        <v>2.54</v>
      </c>
      <c r="D107">
        <v>0</v>
      </c>
      <c r="I107" s="519">
        <f>J78</f>
        <v>2.54</v>
      </c>
      <c r="J107">
        <v>0</v>
      </c>
      <c r="O107" s="519">
        <f>P78</f>
        <v>2.54</v>
      </c>
      <c r="P107">
        <v>0</v>
      </c>
      <c r="V107" s="383">
        <v>73</v>
      </c>
      <c r="W107" s="384">
        <v>8.8030000000000008</v>
      </c>
    </row>
    <row r="108" spans="3:23">
      <c r="C108" s="519">
        <f>D78</f>
        <v>2.54</v>
      </c>
      <c r="D108" s="42">
        <f>INDEX(G73:G83,MATCH(C108,D73:D83,0))</f>
        <v>250.13100025984741</v>
      </c>
      <c r="I108" s="519">
        <f>I107</f>
        <v>2.54</v>
      </c>
      <c r="J108" s="42">
        <f>IF($D$7="",NA(),INDEX(M73:M83,MATCH(I108,J73:J83,0)))</f>
        <v>230.1205202390596</v>
      </c>
      <c r="O108" s="519">
        <f>O107</f>
        <v>2.54</v>
      </c>
      <c r="P108" s="42">
        <f>IF($D$7="",NA(),INDEX(S73:S83,MATCH(O108,P73:P83,0)))</f>
        <v>260.13624027024133</v>
      </c>
      <c r="V108" s="383">
        <v>74</v>
      </c>
      <c r="W108" s="384">
        <v>8.9489999999999998</v>
      </c>
    </row>
    <row r="109" spans="3:23">
      <c r="C109">
        <v>0</v>
      </c>
      <c r="D109" s="42">
        <f>D108</f>
        <v>250.13100025984741</v>
      </c>
      <c r="E109" s="19"/>
      <c r="F109" s="19"/>
      <c r="G109" s="19"/>
      <c r="I109">
        <v>0</v>
      </c>
      <c r="J109" s="42">
        <f>J108</f>
        <v>230.1205202390596</v>
      </c>
      <c r="O109">
        <v>0</v>
      </c>
      <c r="P109" s="42">
        <f>P108</f>
        <v>260.13624027024133</v>
      </c>
      <c r="V109" s="383">
        <v>75</v>
      </c>
      <c r="W109" s="384">
        <v>8.8510000000000009</v>
      </c>
    </row>
    <row r="110" spans="3:23">
      <c r="C110" s="19"/>
      <c r="D110" s="19"/>
      <c r="E110" s="19"/>
      <c r="F110" s="1087"/>
      <c r="G110" s="1087" t="str">
        <f>"CBR @2.5 mm Penetration"</f>
        <v>CBR @2.5 mm Penetration</v>
      </c>
      <c r="I110" s="19"/>
      <c r="J110" s="19"/>
      <c r="L110" s="1087"/>
      <c r="M110" s="1087"/>
      <c r="O110" s="19"/>
      <c r="P110" s="19"/>
      <c r="V110" s="383">
        <v>76</v>
      </c>
      <c r="W110" s="384">
        <v>8.7460000000000004</v>
      </c>
    </row>
    <row r="111" spans="3:23">
      <c r="C111" s="519">
        <f>D80</f>
        <v>5.08</v>
      </c>
      <c r="D111">
        <v>0</v>
      </c>
      <c r="E111" s="1088"/>
      <c r="F111" s="1089"/>
      <c r="G111" s="1087" t="str">
        <f>"CBR @5.0 mm Penetration"</f>
        <v>CBR @5.0 mm Penetration</v>
      </c>
      <c r="I111" s="519">
        <f>J80</f>
        <v>5.08</v>
      </c>
      <c r="J111">
        <v>0</v>
      </c>
      <c r="L111" s="1089"/>
      <c r="M111" s="1091"/>
      <c r="O111" s="519">
        <f>P80</f>
        <v>5.08</v>
      </c>
      <c r="P111">
        <v>0</v>
      </c>
      <c r="V111" s="383">
        <v>77</v>
      </c>
      <c r="W111" s="384">
        <v>8.843</v>
      </c>
    </row>
    <row r="112" spans="3:23">
      <c r="C112" s="519">
        <f>D80</f>
        <v>5.08</v>
      </c>
      <c r="D112" s="42">
        <f>INDEX(G74:G84,MATCH(C112,D74:D84,0))</f>
        <v>440.23056045733136</v>
      </c>
      <c r="E112" s="1088"/>
      <c r="F112" s="1089"/>
      <c r="G112" s="1089"/>
      <c r="I112" s="519">
        <f>I111</f>
        <v>5.08</v>
      </c>
      <c r="J112" s="42">
        <f>IF($D$7="",NA(),INDEX(M73:M83,MATCH(I112,J73:J83,0)))</f>
        <v>450.23580046772531</v>
      </c>
      <c r="L112" s="1089"/>
      <c r="M112" s="1091"/>
      <c r="O112" s="519">
        <f>O111</f>
        <v>5.08</v>
      </c>
      <c r="P112" s="42">
        <f>IF($D$7="",NA(),INDEX(S73:S83,MATCH(O112,P73:P83,0)))</f>
        <v>460.2410404781192</v>
      </c>
      <c r="V112" s="383">
        <v>78</v>
      </c>
      <c r="W112" s="384">
        <v>8.8279999999999994</v>
      </c>
    </row>
    <row r="113" spans="1:23">
      <c r="C113">
        <v>0</v>
      </c>
      <c r="D113" s="42">
        <f>D112</f>
        <v>440.23056045733136</v>
      </c>
      <c r="E113" s="1088"/>
      <c r="F113" s="1093"/>
      <c r="G113" s="1093"/>
      <c r="I113">
        <v>0</v>
      </c>
      <c r="J113" s="42">
        <f>J112</f>
        <v>450.23580046772531</v>
      </c>
      <c r="L113" s="1093"/>
      <c r="M113" s="1095"/>
      <c r="O113">
        <v>0</v>
      </c>
      <c r="P113" s="42">
        <f>P112</f>
        <v>460.2410404781192</v>
      </c>
      <c r="V113" s="383">
        <v>79</v>
      </c>
      <c r="W113" s="384">
        <v>8.9149999999999991</v>
      </c>
    </row>
    <row r="114" spans="1:23">
      <c r="E114" s="1088"/>
      <c r="F114" s="1089"/>
      <c r="G114" s="1089"/>
      <c r="I114" s="1090"/>
      <c r="J114" s="1090"/>
      <c r="L114" s="1089"/>
      <c r="M114" s="1091"/>
      <c r="V114" s="383">
        <v>80</v>
      </c>
      <c r="W114" s="384">
        <v>8.8130000000000006</v>
      </c>
    </row>
    <row r="115" spans="1:23">
      <c r="C115" s="1092"/>
      <c r="D115" s="1092"/>
      <c r="E115" s="1088"/>
      <c r="F115" s="1093"/>
      <c r="G115" s="1093"/>
      <c r="I115" s="1094"/>
      <c r="J115" s="1094"/>
      <c r="L115" s="1096"/>
      <c r="M115" s="1097"/>
      <c r="V115" s="383">
        <v>81</v>
      </c>
      <c r="W115" s="384">
        <v>8.9649999999999999</v>
      </c>
    </row>
    <row r="116" spans="1:23">
      <c r="C116" s="2114" t="s">
        <v>70</v>
      </c>
      <c r="D116" s="2117" t="s">
        <v>56</v>
      </c>
      <c r="E116" s="2117" t="s">
        <v>59</v>
      </c>
      <c r="F116" s="2117" t="s">
        <v>71</v>
      </c>
      <c r="G116" s="2117" t="s">
        <v>72</v>
      </c>
      <c r="I116" s="2114" t="s">
        <v>70</v>
      </c>
      <c r="J116" s="2117" t="s">
        <v>56</v>
      </c>
      <c r="K116" s="2117" t="s">
        <v>59</v>
      </c>
      <c r="L116" s="2117" t="s">
        <v>71</v>
      </c>
      <c r="M116" s="2117" t="s">
        <v>72</v>
      </c>
      <c r="O116" s="2114" t="s">
        <v>70</v>
      </c>
      <c r="P116" s="2117" t="s">
        <v>56</v>
      </c>
      <c r="Q116" s="2117" t="s">
        <v>59</v>
      </c>
      <c r="R116" s="2117" t="s">
        <v>71</v>
      </c>
      <c r="S116" s="2117" t="s">
        <v>72</v>
      </c>
      <c r="V116" s="383">
        <v>82</v>
      </c>
      <c r="W116" s="384">
        <v>8.7970000000000006</v>
      </c>
    </row>
    <row r="117" spans="1:23">
      <c r="C117" s="2115"/>
      <c r="D117" s="2118"/>
      <c r="E117" s="2111"/>
      <c r="F117" s="2111"/>
      <c r="G117" s="2111"/>
      <c r="I117" s="2115"/>
      <c r="J117" s="2118"/>
      <c r="K117" s="2111"/>
      <c r="L117" s="2111"/>
      <c r="M117" s="2111"/>
      <c r="O117" s="2115"/>
      <c r="P117" s="2118"/>
      <c r="Q117" s="2111"/>
      <c r="R117" s="2111"/>
      <c r="S117" s="2111"/>
      <c r="V117" s="383">
        <v>83</v>
      </c>
      <c r="W117" s="384">
        <v>8.9280000000000008</v>
      </c>
    </row>
    <row r="118" spans="1:23">
      <c r="C118" s="2115"/>
      <c r="D118" s="40" t="s">
        <v>61</v>
      </c>
      <c r="E118" s="40" t="s">
        <v>64</v>
      </c>
      <c r="F118" s="40"/>
      <c r="G118" s="40" t="s">
        <v>34</v>
      </c>
      <c r="I118" s="2115"/>
      <c r="J118" s="40" t="s">
        <v>61</v>
      </c>
      <c r="K118" s="40" t="s">
        <v>64</v>
      </c>
      <c r="L118" s="40"/>
      <c r="M118" s="40" t="s">
        <v>34</v>
      </c>
      <c r="O118" s="2115"/>
      <c r="P118" s="40" t="s">
        <v>61</v>
      </c>
      <c r="Q118" s="40" t="s">
        <v>64</v>
      </c>
      <c r="R118" s="40"/>
      <c r="S118" s="40" t="s">
        <v>34</v>
      </c>
      <c r="V118" s="383">
        <v>84</v>
      </c>
      <c r="W118" s="384">
        <v>8.9039999999999999</v>
      </c>
    </row>
    <row r="119" spans="1:23">
      <c r="C119" s="2115"/>
      <c r="D119" s="1108">
        <v>0.1</v>
      </c>
      <c r="E119" s="1109">
        <f>D108</f>
        <v>250.13100025984741</v>
      </c>
      <c r="F119" s="1110">
        <v>1000</v>
      </c>
      <c r="G119" s="1111">
        <f>+E119/F119*100</f>
        <v>25.013100025984741</v>
      </c>
      <c r="I119" s="2115"/>
      <c r="J119" s="1108">
        <v>0.1</v>
      </c>
      <c r="K119" s="1109">
        <f>J108</f>
        <v>230.1205202390596</v>
      </c>
      <c r="L119" s="1110">
        <v>1000</v>
      </c>
      <c r="M119" s="1111">
        <f>+K119/L119*100</f>
        <v>23.012052023905959</v>
      </c>
      <c r="O119" s="2115"/>
      <c r="P119" s="1108">
        <v>0.1</v>
      </c>
      <c r="Q119" s="1109">
        <f>P108</f>
        <v>260.13624027024133</v>
      </c>
      <c r="R119" s="1110">
        <v>1000</v>
      </c>
      <c r="S119" s="1111">
        <f>+Q119/R119*100</f>
        <v>26.013624027024136</v>
      </c>
      <c r="V119" s="383">
        <v>85</v>
      </c>
      <c r="W119" s="384">
        <v>8.7690000000000001</v>
      </c>
    </row>
    <row r="120" spans="1:23">
      <c r="C120" s="2116"/>
      <c r="D120" s="1112">
        <v>0.2</v>
      </c>
      <c r="E120" s="1113">
        <f>D112</f>
        <v>440.23056045733136</v>
      </c>
      <c r="F120" s="1113">
        <v>1500</v>
      </c>
      <c r="G120" s="1114">
        <f>+E120/F120*100</f>
        <v>29.348704030488758</v>
      </c>
      <c r="I120" s="2116"/>
      <c r="J120" s="1112">
        <v>0.2</v>
      </c>
      <c r="K120" s="1113">
        <f>J112</f>
        <v>450.23580046772531</v>
      </c>
      <c r="L120" s="1113">
        <v>1500</v>
      </c>
      <c r="M120" s="1114">
        <f>+K120/L120*100</f>
        <v>30.015720031181687</v>
      </c>
      <c r="O120" s="2116"/>
      <c r="P120" s="1112">
        <v>0.2</v>
      </c>
      <c r="Q120" s="1113">
        <f>P112</f>
        <v>460.2410404781192</v>
      </c>
      <c r="R120" s="1113">
        <v>1500</v>
      </c>
      <c r="S120" s="1114">
        <f>+Q120/R120*100</f>
        <v>30.682736031874612</v>
      </c>
      <c r="V120" s="383">
        <v>86</v>
      </c>
      <c r="W120" s="384">
        <v>8.8079999999999998</v>
      </c>
    </row>
    <row r="121" spans="1:23">
      <c r="V121" s="383">
        <v>87</v>
      </c>
      <c r="W121" s="384">
        <v>8.8320000000000007</v>
      </c>
    </row>
    <row r="122" spans="1:23">
      <c r="A122" t="s">
        <v>1005</v>
      </c>
      <c r="B122" t="s">
        <v>1020</v>
      </c>
      <c r="E122" t="s">
        <v>594</v>
      </c>
      <c r="F122" t="s">
        <v>595</v>
      </c>
      <c r="G122" t="s">
        <v>596</v>
      </c>
      <c r="N122" t="s">
        <v>956</v>
      </c>
      <c r="O122">
        <f>IF($D$7="","",B175)</f>
        <v>1.24</v>
      </c>
      <c r="W122" s="384">
        <v>8.9280000000000008</v>
      </c>
    </row>
    <row r="123" spans="1:23">
      <c r="A123" s="1122">
        <f>C190</f>
        <v>1.1824087231164917</v>
      </c>
      <c r="B123" s="1124">
        <f>IF($D$7="",NA(),C194)</f>
        <v>29.348704030488758</v>
      </c>
      <c r="E123" s="43" cm="1">
        <f t="array" ref="E123:G123">LINEST(B123:B125,A123:A125^{1,2})</f>
        <v>-344.72738970510215</v>
      </c>
      <c r="F123" s="43">
        <v>858.2583081214932</v>
      </c>
      <c r="G123" s="43">
        <v>-503.50335597948941</v>
      </c>
      <c r="J123" s="519">
        <f>MIN($A$123:$A$125)</f>
        <v>1.1824087231164917</v>
      </c>
      <c r="K123" s="42">
        <f t="shared" ref="K123:K170" si="19">IF($D$7="",NA(),$E$123*(J123^2)+$F$123*J123+$G$123)</f>
        <v>29.348704030488705</v>
      </c>
      <c r="L123" s="519">
        <f>MAX(MAX($A$123:$A$125,$D$127))</f>
        <v>1.250068842993334</v>
      </c>
      <c r="N123" t="s">
        <v>1024</v>
      </c>
      <c r="O123" s="102">
        <v>100</v>
      </c>
      <c r="Q123">
        <f>O124</f>
        <v>1.24</v>
      </c>
      <c r="R123">
        <f>IF(D7="",NA(),$E$123*(Q123^2)+$F$123*Q123+$G$123)</f>
        <v>30.684111680597027</v>
      </c>
      <c r="T123" s="116"/>
      <c r="U123" s="116"/>
      <c r="W123" s="384">
        <v>9.0719999999999992</v>
      </c>
    </row>
    <row r="124" spans="1:23">
      <c r="A124" s="1123">
        <f>D190</f>
        <v>1.2005385322377311</v>
      </c>
      <c r="B124" s="1124">
        <f>IF($D$7="",NA(),D194)</f>
        <v>30.015720031181687</v>
      </c>
      <c r="J124" s="519">
        <f>IF(J123+0.005&gt;$L$123,NA(),J123+0.01)</f>
        <v>1.1924087231164917</v>
      </c>
      <c r="K124" s="42">
        <f t="shared" si="19"/>
        <v>29.74464091904332</v>
      </c>
      <c r="N124" t="s">
        <v>1021</v>
      </c>
      <c r="O124">
        <f>IF(D7="","",O122*O123/100)</f>
        <v>1.24</v>
      </c>
      <c r="W124" s="384">
        <v>8.9060000000000006</v>
      </c>
    </row>
    <row r="125" spans="1:23">
      <c r="A125" s="1123">
        <f>E190</f>
        <v>1.250068842993334</v>
      </c>
      <c r="B125" s="1124">
        <f>IF($D$7="",NA(),E194)</f>
        <v>30.682736031874612</v>
      </c>
      <c r="J125" s="519">
        <f t="shared" ref="J125:J135" si="20">IF(J124+0.005&gt;$L$123,NA(),J124+0.01)</f>
        <v>1.2024087231164917</v>
      </c>
      <c r="K125" s="42">
        <f t="shared" si="19"/>
        <v>30.071632329657007</v>
      </c>
      <c r="N125" t="s">
        <v>1022</v>
      </c>
      <c r="O125">
        <f>IF($D$7="","",$E$123*(O124^2)+$F$123*O124+$G$123)</f>
        <v>30.684111680597027</v>
      </c>
      <c r="W125" s="384">
        <v>8.8390000000000004</v>
      </c>
    </row>
    <row r="126" spans="1:23">
      <c r="J126" s="519">
        <f t="shared" si="20"/>
        <v>1.2124087231164917</v>
      </c>
      <c r="K126" s="42">
        <f t="shared" si="19"/>
        <v>30.329678262329423</v>
      </c>
      <c r="W126" s="384">
        <v>8.8219999999999992</v>
      </c>
    </row>
    <row r="127" spans="1:23">
      <c r="J127" s="519">
        <f t="shared" si="20"/>
        <v>1.2224087231164917</v>
      </c>
      <c r="K127" s="42">
        <f t="shared" si="19"/>
        <v>30.518778717061139</v>
      </c>
      <c r="N127" t="s">
        <v>1024</v>
      </c>
      <c r="O127" s="877">
        <f>IF($D$7="","",O123)</f>
        <v>100</v>
      </c>
      <c r="W127" s="384">
        <v>8.8539999999999992</v>
      </c>
    </row>
    <row r="128" spans="1:23">
      <c r="C128" t="s">
        <v>956</v>
      </c>
      <c r="D128">
        <f>E18</f>
        <v>1.24</v>
      </c>
      <c r="J128" s="519">
        <f t="shared" si="20"/>
        <v>1.2324087231164917</v>
      </c>
      <c r="K128" s="42">
        <f t="shared" si="19"/>
        <v>30.63893369385147</v>
      </c>
      <c r="W128" s="384">
        <v>8.8260000000000005</v>
      </c>
    </row>
    <row r="129" spans="3:23">
      <c r="J129" s="519">
        <f t="shared" si="20"/>
        <v>1.2424087231164918</v>
      </c>
      <c r="K129" s="42">
        <f t="shared" si="19"/>
        <v>30.690143192700987</v>
      </c>
      <c r="W129" s="384">
        <v>8.8789999999999996</v>
      </c>
    </row>
    <row r="130" spans="3:23">
      <c r="J130" s="519">
        <f t="shared" si="20"/>
        <v>1.2524087231164918</v>
      </c>
      <c r="K130" s="42">
        <f t="shared" si="19"/>
        <v>30.672407213609574</v>
      </c>
      <c r="T130">
        <f>IF(D7="",NA(),O124)</f>
        <v>1.24</v>
      </c>
      <c r="U130">
        <v>0</v>
      </c>
      <c r="W130" s="384">
        <v>11.742000000000001</v>
      </c>
    </row>
    <row r="131" spans="3:23">
      <c r="C131" t="s">
        <v>1269</v>
      </c>
      <c r="J131" s="519" t="e">
        <f t="shared" si="20"/>
        <v>#N/A</v>
      </c>
      <c r="K131" s="42" t="e">
        <f t="shared" si="19"/>
        <v>#N/A</v>
      </c>
      <c r="T131">
        <f>IF($D$7="",NA(),T130)</f>
        <v>1.24</v>
      </c>
      <c r="U131">
        <f>O125</f>
        <v>30.684111680597027</v>
      </c>
      <c r="W131" s="384">
        <v>11.648</v>
      </c>
    </row>
    <row r="132" spans="3:23">
      <c r="C132" t="s">
        <v>1271</v>
      </c>
      <c r="D132" t="s">
        <v>1272</v>
      </c>
      <c r="E132" t="s">
        <v>1273</v>
      </c>
      <c r="F132" t="s">
        <v>1274</v>
      </c>
      <c r="G132" t="s">
        <v>1275</v>
      </c>
      <c r="H132" t="s">
        <v>1270</v>
      </c>
      <c r="J132" s="519" t="e">
        <f t="shared" si="20"/>
        <v>#N/A</v>
      </c>
      <c r="K132" s="42" t="e">
        <f t="shared" si="19"/>
        <v>#N/A</v>
      </c>
      <c r="T132">
        <f>IF(D7="",NA(),0)</f>
        <v>0</v>
      </c>
      <c r="U132">
        <f>O125</f>
        <v>30.684111680597027</v>
      </c>
      <c r="W132" s="384">
        <v>11.9</v>
      </c>
    </row>
    <row r="133" spans="3:23">
      <c r="C133" s="102">
        <v>100</v>
      </c>
      <c r="D133">
        <f>$D$128*C133/100</f>
        <v>1.24</v>
      </c>
      <c r="E133">
        <f>IF($D$7="","",$E$123*(D133^2)+$F$123*D133+$G$123)</f>
        <v>30.684111680597027</v>
      </c>
      <c r="F133" t="str">
        <f>IF(OR(D133&lt;MIN($A$123:$A$125),D133&gt;MAX($A$123:$A$125)),
"OUT OF TEST RANGE",
"OK")</f>
        <v>OK</v>
      </c>
      <c r="G133">
        <f>IF(OR(D133&lt;MIN($A$123:$A$125),D133&gt;MAX($A$123:A$125)),
"ND",E133
)</f>
        <v>30.684111680597027</v>
      </c>
      <c r="H133">
        <f>IF(F133="OK",G133,NA())</f>
        <v>30.684111680597027</v>
      </c>
      <c r="J133" s="519" t="e">
        <f t="shared" si="20"/>
        <v>#N/A</v>
      </c>
      <c r="K133" s="42" t="e">
        <f t="shared" si="19"/>
        <v>#N/A</v>
      </c>
      <c r="W133" s="384">
        <v>11.936</v>
      </c>
    </row>
    <row r="134" spans="3:23">
      <c r="C134" s="102">
        <v>98</v>
      </c>
      <c r="D134">
        <f t="shared" ref="D134:D135" si="21">$D$128*C134/100</f>
        <v>1.2152000000000001</v>
      </c>
      <c r="E134">
        <f>IF($D$7="","",$E$123*(D134^2)+$F$123*D134+$G$123)</f>
        <v>30.389397881842399</v>
      </c>
      <c r="F134" t="str">
        <f t="shared" ref="F134:F135" si="22">IF(OR(D134&lt;MIN($A$123:$A$125),D134&gt;MAX($A$123:$A$125)),
"OUT OF TEST RANGE",
"OK")</f>
        <v>OK</v>
      </c>
      <c r="G134">
        <f>IF(OR(D134&lt;MIN($A$123:$A$125),D134&gt;MAX($A$123:A$125)),
"ND",E134
)</f>
        <v>30.389397881842399</v>
      </c>
      <c r="H134">
        <f t="shared" ref="H134:H135" si="23">IF(F134="OK",G134,NA())</f>
        <v>30.389397881842399</v>
      </c>
      <c r="J134" s="519" t="e">
        <f t="shared" si="20"/>
        <v>#N/A</v>
      </c>
      <c r="K134" s="42" t="e">
        <f t="shared" si="19"/>
        <v>#N/A</v>
      </c>
      <c r="T134">
        <f>O123</f>
        <v>100</v>
      </c>
      <c r="U134" t="str">
        <f>IF($D$7="","",""&amp;T134&amp;" % MDD")</f>
        <v>100 % MDD</v>
      </c>
      <c r="W134" s="384">
        <v>11.704000000000001</v>
      </c>
    </row>
    <row r="135" spans="3:23">
      <c r="C135" s="102"/>
      <c r="D135">
        <f t="shared" si="21"/>
        <v>0</v>
      </c>
      <c r="E135">
        <f>IF($D$7="","",$E$123*(D135^2)+$F$123*D135+$G$123)</f>
        <v>-503.50335597948941</v>
      </c>
      <c r="F135" t="str">
        <f t="shared" si="22"/>
        <v>OUT OF TEST RANGE</v>
      </c>
      <c r="G135" t="str">
        <f>IF(OR(D135&lt;MIN($A$123:$A$125),D135&gt;MAX($A$123:A$125)),
"ND",E135
)</f>
        <v>ND</v>
      </c>
      <c r="H135" t="e">
        <f t="shared" si="23"/>
        <v>#N/A</v>
      </c>
      <c r="J135" s="519" t="e">
        <f t="shared" si="20"/>
        <v>#N/A</v>
      </c>
      <c r="K135" s="42" t="e">
        <f t="shared" si="19"/>
        <v>#N/A</v>
      </c>
      <c r="T135">
        <f>O125</f>
        <v>30.684111680597027</v>
      </c>
      <c r="U135" t="str">
        <f>IF(D7="","","CBR @ "&amp;T134&amp;" % MDD = "&amp;TEXT(T135,"0.0")&amp;" %")</f>
        <v>CBR @ 100 % MDD = 30.7 %</v>
      </c>
      <c r="W135" s="384">
        <v>11.682</v>
      </c>
    </row>
    <row r="136" spans="3:23">
      <c r="J136" s="519" t="e">
        <f t="shared" ref="J136:J170" si="24">IF(J135+0.01&gt;$L$123,NA(),J135+0.01)</f>
        <v>#N/A</v>
      </c>
      <c r="K136" s="42" t="e">
        <f t="shared" si="19"/>
        <v>#N/A</v>
      </c>
      <c r="W136" s="384">
        <v>11.487</v>
      </c>
    </row>
    <row r="137" spans="3:23">
      <c r="J137" s="519" t="e">
        <f t="shared" si="24"/>
        <v>#N/A</v>
      </c>
      <c r="K137" s="42" t="e">
        <f t="shared" si="19"/>
        <v>#N/A</v>
      </c>
      <c r="W137" s="384">
        <v>11.670999999999999</v>
      </c>
    </row>
    <row r="138" spans="3:23">
      <c r="J138" s="519" t="e">
        <f t="shared" si="24"/>
        <v>#N/A</v>
      </c>
      <c r="K138" s="42" t="e">
        <f t="shared" si="19"/>
        <v>#N/A</v>
      </c>
      <c r="W138" s="384">
        <v>11.765000000000001</v>
      </c>
    </row>
    <row r="139" spans="3:23">
      <c r="J139" s="519" t="e">
        <f t="shared" si="24"/>
        <v>#N/A</v>
      </c>
      <c r="K139" s="42" t="e">
        <f t="shared" si="19"/>
        <v>#N/A</v>
      </c>
      <c r="W139" s="384">
        <v>11.739000000000001</v>
      </c>
    </row>
    <row r="140" spans="3:23">
      <c r="J140" s="519" t="e">
        <f t="shared" si="24"/>
        <v>#N/A</v>
      </c>
      <c r="K140" s="42" t="e">
        <f t="shared" si="19"/>
        <v>#N/A</v>
      </c>
      <c r="W140" s="384">
        <v>11.691000000000001</v>
      </c>
    </row>
    <row r="141" spans="3:23">
      <c r="J141" s="519" t="e">
        <f t="shared" si="24"/>
        <v>#N/A</v>
      </c>
      <c r="K141" s="42" t="e">
        <f t="shared" si="19"/>
        <v>#N/A</v>
      </c>
      <c r="W141" s="384">
        <v>11.662000000000001</v>
      </c>
    </row>
    <row r="142" spans="3:23">
      <c r="J142" s="519" t="e">
        <f t="shared" si="24"/>
        <v>#N/A</v>
      </c>
      <c r="K142" s="42" t="e">
        <f t="shared" si="19"/>
        <v>#N/A</v>
      </c>
      <c r="W142" s="384">
        <v>11.763999999999999</v>
      </c>
    </row>
    <row r="143" spans="3:23">
      <c r="J143" s="519" t="e">
        <f t="shared" si="24"/>
        <v>#N/A</v>
      </c>
      <c r="K143" s="42" t="e">
        <f t="shared" si="19"/>
        <v>#N/A</v>
      </c>
      <c r="M143" t="s">
        <v>1278</v>
      </c>
      <c r="P143" t="str">
        <f>IF(ISNA(H133),"",C133&amp;" % MDD")</f>
        <v>100 % MDD</v>
      </c>
      <c r="W143" s="384">
        <v>11.73</v>
      </c>
    </row>
    <row r="144" spans="3:23">
      <c r="C144" t="s">
        <v>1276</v>
      </c>
      <c r="J144" s="519" t="e">
        <f t="shared" si="24"/>
        <v>#N/A</v>
      </c>
      <c r="K144" s="42" t="e">
        <f t="shared" si="19"/>
        <v>#N/A</v>
      </c>
      <c r="M144" t="str">
        <f>IF(ISNA(H133),"","CBR Design @"&amp;C133&amp;" % MDD")</f>
        <v>CBR Design @100 % MDD</v>
      </c>
      <c r="P144">
        <f>IF(ISNA(H133),NA(),D133)</f>
        <v>1.24</v>
      </c>
      <c r="Q144">
        <v>0</v>
      </c>
      <c r="W144" s="384">
        <v>11.663</v>
      </c>
    </row>
    <row r="145" spans="3:23">
      <c r="C145" t="s">
        <v>1271</v>
      </c>
      <c r="D145" t="s">
        <v>206</v>
      </c>
      <c r="E145" t="s">
        <v>1277</v>
      </c>
      <c r="J145" s="519" t="e">
        <f t="shared" si="24"/>
        <v>#N/A</v>
      </c>
      <c r="K145" s="42" t="e">
        <f t="shared" si="19"/>
        <v>#N/A</v>
      </c>
      <c r="M145" t="str">
        <f>IF(ISNA(H134),"","CBR Design @"&amp;C134&amp;" % MDD")</f>
        <v>CBR Design @98 % MDD</v>
      </c>
      <c r="P145">
        <f>IF(ISNA(H133),NA(),D133)</f>
        <v>1.24</v>
      </c>
      <c r="Q145">
        <f>IF(ISNA(H133),NA(),H133)</f>
        <v>30.684111680597027</v>
      </c>
      <c r="W145" s="384">
        <v>11.741</v>
      </c>
    </row>
    <row r="146" spans="3:23">
      <c r="C146">
        <f>IF(C133="","",C133)</f>
        <v>100</v>
      </c>
      <c r="D146" s="1260">
        <f>IF(OR(D133&lt;MIN($A$123:$A$125),D133&gt;MAX($A$123:$A$125)),
"ND",
ROUND(D133,2))</f>
        <v>1.24</v>
      </c>
      <c r="E146" s="21">
        <f>IF(F133="OK",ROUND(E133,1),"ND")</f>
        <v>30.7</v>
      </c>
      <c r="J146" s="519" t="e">
        <f t="shared" si="24"/>
        <v>#N/A</v>
      </c>
      <c r="K146" s="42" t="e">
        <f t="shared" si="19"/>
        <v>#N/A</v>
      </c>
      <c r="M146" t="str">
        <f>IF(ISNA(H135),"","CBR Design @"&amp;C135&amp;" % MDD")</f>
        <v/>
      </c>
      <c r="P146">
        <v>0</v>
      </c>
      <c r="Q146">
        <f>IF(ISNA(H133),NA(),H133)</f>
        <v>30.684111680597027</v>
      </c>
      <c r="W146" s="384">
        <v>11.68</v>
      </c>
    </row>
    <row r="147" spans="3:23">
      <c r="C147">
        <f t="shared" ref="C147:C148" si="25">IF(C134="","",C134)</f>
        <v>98</v>
      </c>
      <c r="D147" s="1260">
        <f t="shared" ref="D147:D148" si="26">IF(OR(D134&lt;MIN($A$123:$A$125),D134&gt;MAX($A$123:$A$125)),
"ND",
ROUND(D134,2))</f>
        <v>1.22</v>
      </c>
      <c r="E147" s="21">
        <f t="shared" ref="E147:E148" si="27">IF(F134="OK",ROUND(E134,1),"ND")</f>
        <v>30.4</v>
      </c>
      <c r="J147" s="519" t="e">
        <f t="shared" si="24"/>
        <v>#N/A</v>
      </c>
      <c r="K147" s="42" t="e">
        <f t="shared" si="19"/>
        <v>#N/A</v>
      </c>
      <c r="W147" s="384">
        <v>8.9589999999999996</v>
      </c>
    </row>
    <row r="148" spans="3:23">
      <c r="C148" t="str">
        <f t="shared" si="25"/>
        <v/>
      </c>
      <c r="D148" s="1260" t="str">
        <f t="shared" si="26"/>
        <v>ND</v>
      </c>
      <c r="E148" s="21" t="str">
        <f t="shared" si="27"/>
        <v>ND</v>
      </c>
      <c r="J148" s="519" t="e">
        <f t="shared" si="24"/>
        <v>#N/A</v>
      </c>
      <c r="K148" s="42" t="e">
        <f t="shared" si="19"/>
        <v>#N/A</v>
      </c>
      <c r="P148" t="str">
        <f>IF(ISNA(H134),"",C134&amp;" % MDD")</f>
        <v>98 % MDD</v>
      </c>
      <c r="W148" s="384">
        <v>8.8190000000000008</v>
      </c>
    </row>
    <row r="149" spans="3:23">
      <c r="J149" s="519" t="e">
        <f t="shared" si="24"/>
        <v>#N/A</v>
      </c>
      <c r="K149" s="42" t="e">
        <f t="shared" si="19"/>
        <v>#N/A</v>
      </c>
      <c r="P149">
        <f>IF(ISNA(H134),NA(),D134)</f>
        <v>1.2152000000000001</v>
      </c>
      <c r="Q149">
        <v>0</v>
      </c>
      <c r="W149" s="393">
        <v>11.619</v>
      </c>
    </row>
    <row r="150" spans="3:23">
      <c r="J150" s="519" t="e">
        <f t="shared" si="24"/>
        <v>#N/A</v>
      </c>
      <c r="K150" s="42" t="e">
        <f t="shared" si="19"/>
        <v>#N/A</v>
      </c>
      <c r="P150">
        <f>IF(ISNA(H134),NA(),D134)</f>
        <v>1.2152000000000001</v>
      </c>
      <c r="Q150">
        <f>IF(ISNA(H134),NA(),H134)</f>
        <v>30.389397881842399</v>
      </c>
      <c r="W150" s="393">
        <v>8.8699999999999992</v>
      </c>
    </row>
    <row r="151" spans="3:23">
      <c r="J151" s="519" t="e">
        <f t="shared" si="24"/>
        <v>#N/A</v>
      </c>
      <c r="K151" s="42" t="e">
        <f t="shared" si="19"/>
        <v>#N/A</v>
      </c>
      <c r="P151">
        <v>0</v>
      </c>
      <c r="Q151">
        <f>IF(ISNA(H134),NA(),H134)</f>
        <v>30.389397881842399</v>
      </c>
      <c r="W151" s="393">
        <v>9</v>
      </c>
    </row>
    <row r="152" spans="3:23">
      <c r="J152" s="519" t="e">
        <f t="shared" si="24"/>
        <v>#N/A</v>
      </c>
      <c r="K152" s="42" t="e">
        <f t="shared" si="19"/>
        <v>#N/A</v>
      </c>
      <c r="W152" s="393">
        <v>8.8339999999999996</v>
      </c>
    </row>
    <row r="153" spans="3:23">
      <c r="J153" s="519" t="e">
        <f t="shared" si="24"/>
        <v>#N/A</v>
      </c>
      <c r="K153" s="42" t="e">
        <f t="shared" si="19"/>
        <v>#N/A</v>
      </c>
      <c r="P153" t="str">
        <f>IF(ISNA(H135),"",C135&amp;" % MDD")</f>
        <v/>
      </c>
      <c r="W153" s="393">
        <v>8.9469999999999992</v>
      </c>
    </row>
    <row r="154" spans="3:23">
      <c r="J154" s="519" t="e">
        <f t="shared" si="24"/>
        <v>#N/A</v>
      </c>
      <c r="K154" s="42" t="e">
        <f t="shared" si="19"/>
        <v>#N/A</v>
      </c>
      <c r="P154" t="e">
        <f>IF(ISNA(H135),NA(),D135)</f>
        <v>#N/A</v>
      </c>
      <c r="Q154">
        <v>0</v>
      </c>
      <c r="W154" s="393">
        <v>11.666</v>
      </c>
    </row>
    <row r="155" spans="3:23">
      <c r="J155" s="519" t="e">
        <f t="shared" si="24"/>
        <v>#N/A</v>
      </c>
      <c r="K155" s="42" t="e">
        <f t="shared" si="19"/>
        <v>#N/A</v>
      </c>
      <c r="P155" t="e">
        <f>IF(ISNA(H135),NA(),D135)</f>
        <v>#N/A</v>
      </c>
      <c r="Q155" t="e">
        <f>IF(ISNA(H135),NA(),H135)</f>
        <v>#N/A</v>
      </c>
      <c r="W155" s="393">
        <v>8.7379999999999995</v>
      </c>
    </row>
    <row r="156" spans="3:23">
      <c r="J156" s="519" t="e">
        <f t="shared" si="24"/>
        <v>#N/A</v>
      </c>
      <c r="K156" s="42" t="e">
        <f t="shared" si="19"/>
        <v>#N/A</v>
      </c>
      <c r="P156">
        <v>0</v>
      </c>
      <c r="Q156" t="e">
        <f>IF(ISNA(H135),NA(),H135)</f>
        <v>#N/A</v>
      </c>
      <c r="W156" s="393">
        <v>8.9849999999999994</v>
      </c>
    </row>
    <row r="157" spans="3:23">
      <c r="J157" s="519" t="e">
        <f t="shared" si="24"/>
        <v>#N/A</v>
      </c>
      <c r="K157" s="42" t="e">
        <f t="shared" si="19"/>
        <v>#N/A</v>
      </c>
    </row>
    <row r="158" spans="3:23">
      <c r="J158" s="519" t="e">
        <f t="shared" si="24"/>
        <v>#N/A</v>
      </c>
      <c r="K158" s="42" t="e">
        <f t="shared" si="19"/>
        <v>#N/A</v>
      </c>
    </row>
    <row r="159" spans="3:23">
      <c r="J159" s="519" t="e">
        <f t="shared" si="24"/>
        <v>#N/A</v>
      </c>
      <c r="K159" s="42" t="e">
        <f t="shared" si="19"/>
        <v>#N/A</v>
      </c>
    </row>
    <row r="160" spans="3:23">
      <c r="J160" s="519" t="e">
        <f t="shared" si="24"/>
        <v>#N/A</v>
      </c>
      <c r="K160" s="42" t="e">
        <f t="shared" si="19"/>
        <v>#N/A</v>
      </c>
    </row>
    <row r="161" spans="1:11">
      <c r="J161" s="519" t="e">
        <f t="shared" si="24"/>
        <v>#N/A</v>
      </c>
      <c r="K161" s="42" t="e">
        <f t="shared" si="19"/>
        <v>#N/A</v>
      </c>
    </row>
    <row r="162" spans="1:11">
      <c r="J162" s="519" t="e">
        <f t="shared" si="24"/>
        <v>#N/A</v>
      </c>
      <c r="K162" s="42" t="e">
        <f t="shared" si="19"/>
        <v>#N/A</v>
      </c>
    </row>
    <row r="163" spans="1:11">
      <c r="J163" s="519" t="e">
        <f t="shared" si="24"/>
        <v>#N/A</v>
      </c>
      <c r="K163" s="42" t="e">
        <f t="shared" si="19"/>
        <v>#N/A</v>
      </c>
    </row>
    <row r="164" spans="1:11">
      <c r="J164" s="519" t="e">
        <f t="shared" si="24"/>
        <v>#N/A</v>
      </c>
      <c r="K164" s="42" t="e">
        <f t="shared" si="19"/>
        <v>#N/A</v>
      </c>
    </row>
    <row r="165" spans="1:11">
      <c r="J165" s="519" t="e">
        <f t="shared" si="24"/>
        <v>#N/A</v>
      </c>
      <c r="K165" s="42" t="e">
        <f t="shared" si="19"/>
        <v>#N/A</v>
      </c>
    </row>
    <row r="166" spans="1:11">
      <c r="J166" s="519" t="e">
        <f t="shared" si="24"/>
        <v>#N/A</v>
      </c>
      <c r="K166" s="42" t="e">
        <f t="shared" si="19"/>
        <v>#N/A</v>
      </c>
    </row>
    <row r="167" spans="1:11">
      <c r="J167" s="519" t="e">
        <f t="shared" si="24"/>
        <v>#N/A</v>
      </c>
      <c r="K167" s="42" t="e">
        <f t="shared" si="19"/>
        <v>#N/A</v>
      </c>
    </row>
    <row r="168" spans="1:11">
      <c r="J168" s="519" t="e">
        <f t="shared" si="24"/>
        <v>#N/A</v>
      </c>
      <c r="K168" s="42" t="e">
        <f t="shared" si="19"/>
        <v>#N/A</v>
      </c>
    </row>
    <row r="169" spans="1:11">
      <c r="J169" s="519" t="e">
        <f t="shared" si="24"/>
        <v>#N/A</v>
      </c>
      <c r="K169" s="42" t="e">
        <f t="shared" si="19"/>
        <v>#N/A</v>
      </c>
    </row>
    <row r="170" spans="1:11">
      <c r="J170" s="519" t="e">
        <f t="shared" si="24"/>
        <v>#N/A</v>
      </c>
      <c r="K170" s="42" t="e">
        <f t="shared" si="19"/>
        <v>#N/A</v>
      </c>
    </row>
    <row r="172" spans="1:11">
      <c r="A172" t="s">
        <v>973</v>
      </c>
    </row>
    <row r="173" spans="1:11">
      <c r="A173" s="116" t="s">
        <v>575</v>
      </c>
      <c r="B173" s="116" t="s">
        <v>760</v>
      </c>
    </row>
    <row r="174" spans="1:11">
      <c r="A174" t="s">
        <v>1010</v>
      </c>
      <c r="B174" t="str">
        <f>IF($D$7="","",E17)</f>
        <v>Standard Proctor</v>
      </c>
    </row>
    <row r="175" spans="1:11">
      <c r="A175" t="s">
        <v>956</v>
      </c>
      <c r="B175">
        <f>IF($D$7="","",E18)</f>
        <v>1.24</v>
      </c>
    </row>
    <row r="176" spans="1:11">
      <c r="A176" t="s">
        <v>957</v>
      </c>
      <c r="B176">
        <f>IF($D$7="","",E19)</f>
        <v>16.5</v>
      </c>
    </row>
    <row r="177" spans="1:5">
      <c r="A177" t="s">
        <v>1011</v>
      </c>
      <c r="B177">
        <f>IF($D$7="","",E20)</f>
        <v>594</v>
      </c>
    </row>
    <row r="179" spans="1:5">
      <c r="A179" t="s">
        <v>1018</v>
      </c>
    </row>
    <row r="180" spans="1:5">
      <c r="A180" s="116" t="s">
        <v>575</v>
      </c>
      <c r="C180" s="116" t="s">
        <v>760</v>
      </c>
    </row>
    <row r="181" spans="1:5">
      <c r="A181" t="s">
        <v>1012</v>
      </c>
      <c r="C181">
        <f>IF($D$7="","",F37)</f>
        <v>152.19999999999999</v>
      </c>
    </row>
    <row r="182" spans="1:5">
      <c r="A182" t="s">
        <v>1013</v>
      </c>
      <c r="C182">
        <f t="shared" ref="C182:C183" si="28">IF($D$7="","",F38)</f>
        <v>177.8</v>
      </c>
    </row>
    <row r="183" spans="1:5">
      <c r="A183" t="s">
        <v>1014</v>
      </c>
      <c r="C183">
        <f t="shared" si="28"/>
        <v>3234.8261323101638</v>
      </c>
    </row>
    <row r="184" spans="1:5">
      <c r="A184" t="s">
        <v>1015</v>
      </c>
      <c r="C184">
        <f>IF($D$7="","",E63)</f>
        <v>49.63</v>
      </c>
    </row>
    <row r="185" spans="1:5">
      <c r="A185" t="s">
        <v>1016</v>
      </c>
      <c r="C185">
        <f t="shared" ref="C185:C186" si="29">IF($D$7="","",E64)</f>
        <v>19.350000000000001</v>
      </c>
    </row>
    <row r="186" spans="1:5">
      <c r="A186" t="s">
        <v>1017</v>
      </c>
      <c r="C186">
        <f t="shared" si="29"/>
        <v>1.27</v>
      </c>
    </row>
    <row r="189" spans="1:5">
      <c r="A189" s="116" t="s">
        <v>575</v>
      </c>
      <c r="C189" s="116">
        <v>10</v>
      </c>
      <c r="D189" s="116">
        <v>25</v>
      </c>
      <c r="E189" s="116">
        <v>56</v>
      </c>
    </row>
    <row r="190" spans="1:5">
      <c r="A190" t="s">
        <v>1005</v>
      </c>
      <c r="C190" s="519">
        <f>IF(D7="","",F42)</f>
        <v>1.1824087231164917</v>
      </c>
      <c r="D190" s="42">
        <f>IF($D$7="","",H42)</f>
        <v>1.2005385322377311</v>
      </c>
      <c r="E190" s="42">
        <f>IF($D$7="","",J42)</f>
        <v>1.250068842993334</v>
      </c>
    </row>
    <row r="191" spans="1:5">
      <c r="A191" t="s">
        <v>1006</v>
      </c>
      <c r="C191" s="42">
        <f>IF($D$7="","",F52)</f>
        <v>35.057597539156902</v>
      </c>
      <c r="D191" s="42">
        <f>IF($D$7="","",H52)</f>
        <v>46.047410723369602</v>
      </c>
      <c r="E191" s="42">
        <f>IF($D$7="","",J52)</f>
        <v>46.047410723369602</v>
      </c>
    </row>
    <row r="192" spans="1:5">
      <c r="A192" t="s">
        <v>1007</v>
      </c>
      <c r="C192" s="111">
        <f>IF($D$7="","",G119)</f>
        <v>25.013100025984741</v>
      </c>
      <c r="D192" s="111">
        <f>IF($D$7="","",M119)</f>
        <v>23.012052023905959</v>
      </c>
      <c r="E192" s="111">
        <f>IF($D$7="","",S119)</f>
        <v>26.013624027024136</v>
      </c>
    </row>
    <row r="193" spans="1:21">
      <c r="A193" t="s">
        <v>1008</v>
      </c>
      <c r="C193" s="111">
        <f>IF($D$7="","",G120)</f>
        <v>29.348704030488758</v>
      </c>
      <c r="D193" s="111">
        <f>IF($D$7="","",M120)</f>
        <v>30.015720031181687</v>
      </c>
      <c r="E193" s="111">
        <f>IF($D$7="","",S120)</f>
        <v>30.682736031874612</v>
      </c>
    </row>
    <row r="194" spans="1:21">
      <c r="A194" t="s">
        <v>1009</v>
      </c>
      <c r="C194" s="111">
        <f>IF($D$7="","",MAX(C192:C193))</f>
        <v>29.348704030488758</v>
      </c>
      <c r="D194" s="111">
        <f>IF($D$7="","",MAX(D192:D193))</f>
        <v>30.015720031181687</v>
      </c>
      <c r="E194" s="111">
        <f>IF($D$7="","",MAX(E192:E193))</f>
        <v>30.682736031874612</v>
      </c>
    </row>
    <row r="200" spans="1:21">
      <c r="A200" s="1566" t="s">
        <v>1719</v>
      </c>
      <c r="B200" s="862"/>
      <c r="C200" s="14"/>
      <c r="D200" s="370"/>
      <c r="E200" s="370"/>
    </row>
    <row r="201" spans="1:21">
      <c r="A201" s="1570" t="s">
        <v>2118</v>
      </c>
      <c r="B201" s="862"/>
      <c r="C201" s="14"/>
      <c r="D201" s="370"/>
      <c r="E201" s="370"/>
    </row>
    <row r="202" spans="1:21">
      <c r="A202" s="1566" t="s">
        <v>1719</v>
      </c>
      <c r="B202" s="862"/>
      <c r="C202" s="14"/>
      <c r="D202" s="370"/>
      <c r="E202" s="370"/>
    </row>
    <row r="203" spans="1:21">
      <c r="A203" s="1566"/>
      <c r="B203" s="862"/>
      <c r="C203" s="14"/>
      <c r="D203" s="370"/>
      <c r="E203" s="370"/>
    </row>
    <row r="204" spans="1:21">
      <c r="B204" t="s">
        <v>1611</v>
      </c>
      <c r="C204" s="299" t="str">
        <f>F12</f>
        <v>SDS</v>
      </c>
    </row>
    <row r="205" spans="1:21">
      <c r="B205" s="116"/>
      <c r="H205" s="116"/>
      <c r="N205" s="116"/>
    </row>
    <row r="206" spans="1:21">
      <c r="B206" s="116" t="s">
        <v>1793</v>
      </c>
      <c r="H206" s="116"/>
      <c r="N206" s="116"/>
    </row>
    <row r="207" spans="1:21">
      <c r="B207" s="1866" t="s">
        <v>124</v>
      </c>
      <c r="C207" s="1866"/>
      <c r="D207" s="1866" t="s">
        <v>1783</v>
      </c>
      <c r="E207" s="1867" t="s">
        <v>1788</v>
      </c>
      <c r="F207" s="1867"/>
      <c r="G207" s="1868" t="s">
        <v>1789</v>
      </c>
      <c r="H207" s="1868"/>
      <c r="I207" s="1868"/>
      <c r="J207" s="1868"/>
      <c r="K207" s="1868"/>
      <c r="L207" s="1868"/>
      <c r="M207" s="1868"/>
      <c r="N207" s="1868"/>
    </row>
    <row r="208" spans="1:21">
      <c r="B208" s="1866"/>
      <c r="C208" s="1866"/>
      <c r="D208" s="1866"/>
      <c r="E208" s="1581" t="s">
        <v>1598</v>
      </c>
      <c r="F208" s="1581" t="s">
        <v>1718</v>
      </c>
      <c r="G208" s="1579" t="s">
        <v>1790</v>
      </c>
      <c r="H208" s="1579" t="s">
        <v>1684</v>
      </c>
      <c r="I208" s="1580" t="s">
        <v>1794</v>
      </c>
      <c r="J208" s="1580" t="s">
        <v>438</v>
      </c>
      <c r="K208" s="1580" t="s">
        <v>1791</v>
      </c>
      <c r="L208" s="1580" t="s">
        <v>1598</v>
      </c>
      <c r="M208" s="1580" t="s">
        <v>1792</v>
      </c>
      <c r="N208" s="1580" t="s">
        <v>1718</v>
      </c>
      <c r="R208" t="s">
        <v>575</v>
      </c>
      <c r="S208" t="s">
        <v>1607</v>
      </c>
      <c r="T208" t="s">
        <v>1608</v>
      </c>
      <c r="U208" t="s">
        <v>1715</v>
      </c>
    </row>
    <row r="209" spans="1:21" ht="102.75" customHeight="1">
      <c r="B209" s="326" t="s">
        <v>2119</v>
      </c>
      <c r="C209" s="326"/>
      <c r="D209" s="1582">
        <f>E146</f>
        <v>30.7</v>
      </c>
      <c r="E209" s="3" t="str">
        <f>IF(D209="","CHECK",
IFERROR(
IF(AND(
D209&gt;=INDEX($S$209:$S$210,MATCH(B209,$R$209:$R$210,0)),
D209&lt;=INDEX($T$209:$T$210,MATCH(B209,$R$209:$R$210,0))
),
"PASS",
"REVIEW"),
"CHECK"))</f>
        <v>PASS</v>
      </c>
      <c r="F209" s="5" t="str">
        <f>IFERROR(
INDEX($U$209:$U$210,
MATCH(B209,$R$209:$R$210,0)),
"")</f>
        <v>ASTM D1883</v>
      </c>
      <c r="G209" s="1569" t="str" cm="1">
        <f t="array" ref="G209">IFERROR(
INDEX(R214:R219,
MATCH(1,
($Q$214:$Q$219=B209)*
($T$214:$T$219&gt;=D209)*
($S$214:$S$219&lt;=D209),
0)),
"")</f>
        <v>Very High Bearing Capacity</v>
      </c>
      <c r="H209" s="1569"/>
      <c r="I209" s="1569" t="str" cm="1">
        <f t="array" ref="I209">IFERROR(
INDEX($S$227:$S$238,
MATCH(1,
($Q$227:$Q$238=$C$204)*
($R$227:$R$238=B209),
0)),
"")</f>
        <v>Tinggi</v>
      </c>
      <c r="J209" s="1569" cm="1">
        <f t="array" ref="J209">IFERROR(
INDEX($T$227:$T$238,
MATCH(1,
($Q$227:$Q$238=$C$204)*
($R$227:$R$238=B209),
0)),
"")</f>
        <v>15</v>
      </c>
      <c r="K209" s="1569" cm="1">
        <f t="array" ref="K209">IFERROR(
INDEX($U$227:$U$238,
MATCH(1,
($Q$227:$Q$238=$C$204)*
($R$227:$R$238=B209),
0)),
"")</f>
        <v>40</v>
      </c>
      <c r="L209" s="3" t="str">
        <f>IF(D209="","CHECK",
IF(AND(D209&gt;=J209,D209&lt;K209),"PASS","REVIEW"))</f>
        <v>PASS</v>
      </c>
      <c r="M209" s="1569" t="str" cm="1">
        <f t="array" ref="M209">IFERROR(
INDEX($V$227:$V$238,
MATCH(1,
($Q$227:$Q$238=$C$204)*
($R$227:$R$238=B209),
0)),
"")</f>
        <v>Pasir berlanau umumnya menghasilkan CBR sedang hingga tinggi bergantung kepadatan.</v>
      </c>
      <c r="N209" s="1569" t="str" cm="1">
        <f t="array" ref="N209">IFERROR(
INDEX($W$227:$W$238,
MATCH(1,
($Q$227:$Q$238=$C$204)*
($R$227:$R$238=B209),
0)),
"")</f>
        <v>ASTM D1883</v>
      </c>
      <c r="R209" s="326" t="s">
        <v>2119</v>
      </c>
      <c r="S209" s="326">
        <v>0</v>
      </c>
      <c r="T209" s="326">
        <v>300</v>
      </c>
      <c r="U209" s="326" t="s">
        <v>2120</v>
      </c>
    </row>
    <row r="210" spans="1:21" ht="94.5" hidden="1" customHeight="1">
      <c r="B210" s="326" t="s">
        <v>2121</v>
      </c>
      <c r="C210" s="326"/>
      <c r="D210" s="1582" t="str">
        <f>E116</f>
        <v>Stress</v>
      </c>
      <c r="E210" s="3" t="str">
        <f>IF(D210="","CHECK",
IFERROR(
IF(AND(
D210&gt;=INDEX($S$159:$S$160,MATCH(B210,$R$159:$R$160,0)),
D210&lt;=INDEX($T$159:$T$160,MATCH(B210,$R$159:$R$160,0))
),
"PASS",
"REVIEW"),
"CHECK"))</f>
        <v>CHECK</v>
      </c>
      <c r="F210" s="5" t="str">
        <f>IFERROR(
INDEX($U$159:$U$160,
MATCH(B210,$R$159:$R$160,0)),
"")</f>
        <v/>
      </c>
      <c r="G210" s="1569" t="str" cm="1">
        <f t="array" ref="G210">IFERROR(
INDEX($R$164:$R$173,
MATCH(1,
($Q$164:$Q$173=B210)*
($U$164:$U$173&gt;=D210)*
($T$164:$T$173&lt;=D210),
0)),
"")</f>
        <v/>
      </c>
      <c r="H210" s="1569" t="str" cm="1">
        <f t="array" ref="H210">IFERROR(
INDEX($S$164:$S$173,
MATCH(1,
($Q$164:$Q$173=B210)*
($U$164:$U$173&gt;=D210)*
($T$164:$T$173&lt;=D210),
0)),
"")</f>
        <v/>
      </c>
      <c r="I210" s="1569" t="str" cm="1">
        <f t="array" ref="I210">IFERROR(
INDEX($S$177:$S$200,
MATCH(1,
($Q$177:$Q$200=$C$154)*
($R$177:$R$200=B210),
0)),
"")</f>
        <v/>
      </c>
      <c r="J210" s="1569" t="str" cm="1">
        <f t="array" ref="J210">IFERROR(
INDEX($T$177:$T$200,
MATCH(1,
($Q$177:$Q$200=$C$154)*
($R$177:$R$200=B210),
0)),
"")</f>
        <v/>
      </c>
      <c r="K210" s="1569" t="str" cm="1">
        <f t="array" ref="K210">IFERROR(
INDEX($U$177:$U$200,
MATCH(1,
($Q$177:$Q$200=$C$154)*
($R$177:$R$200=B210),
0)),
"")</f>
        <v/>
      </c>
      <c r="L210" s="3" t="str">
        <f>IF(D210="","CHECK",
IF(AND(D210&gt;=J210,D210&lt;K210),"PASS","REVIEW"))</f>
        <v>REVIEW</v>
      </c>
      <c r="M210" s="9" t="str" cm="1">
        <f t="array" ref="M210">IFERROR(
INDEX($V$177:$V$200,
MATCH(1,
($Q$177:$Q$200=$C$154)*
($R$177:$R$200=B210),
0)),
"")</f>
        <v/>
      </c>
      <c r="N210" s="1569" t="str" cm="1">
        <f t="array" ref="N210">IFERROR(
INDEX($W$177:$W$200,
MATCH(1,
($Q$177:$Q$200=$C$154)*
($R$177:$R$200=B210),
0)),
"")</f>
        <v/>
      </c>
      <c r="R210" s="326" t="s">
        <v>2121</v>
      </c>
      <c r="S210" s="326">
        <v>0</v>
      </c>
      <c r="T210" s="326">
        <v>15</v>
      </c>
      <c r="U210" s="326" t="s">
        <v>2120</v>
      </c>
    </row>
    <row r="212" spans="1:21">
      <c r="A212" s="116" t="s">
        <v>1795</v>
      </c>
      <c r="Q212" t="s">
        <v>1797</v>
      </c>
    </row>
    <row r="213" spans="1:21">
      <c r="A213" t="s">
        <v>1831</v>
      </c>
      <c r="D213" s="1583" t="str">
        <f>IF(COUNTIF(E209,"REVIEW")&gt;0,
"REVIEW",
"PASS")</f>
        <v>PASS</v>
      </c>
      <c r="Q213" t="s">
        <v>575</v>
      </c>
      <c r="R213" t="s">
        <v>2030</v>
      </c>
      <c r="S213" t="s">
        <v>1607</v>
      </c>
      <c r="T213" t="s">
        <v>1608</v>
      </c>
    </row>
    <row r="214" spans="1:21">
      <c r="A214" t="s">
        <v>1832</v>
      </c>
      <c r="D214" s="1583" t="str">
        <f>IF(COUNTIF(L209,"REVIEW")&gt;0,
"REVIEW",
"PASS")</f>
        <v>PASS</v>
      </c>
      <c r="Q214" s="326" t="s">
        <v>2119</v>
      </c>
      <c r="R214" t="s">
        <v>2122</v>
      </c>
      <c r="S214">
        <v>0</v>
      </c>
      <c r="T214">
        <v>3</v>
      </c>
    </row>
    <row r="215" spans="1:21">
      <c r="A215" t="s">
        <v>1605</v>
      </c>
      <c r="D215" s="1583" t="str">
        <f>IF(AND(D213="PASS",D214="PASS"),
"PASS",
IF(AND(D213="PASS",D214="REVIEW"),
"REVIEW",
IF(AND(D213="REVIEW",D214="PASS"),
"REVIEW",
"RE-ANALYZE")))</f>
        <v>PASS</v>
      </c>
      <c r="Q215" s="326" t="s">
        <v>2119</v>
      </c>
      <c r="R215" t="s">
        <v>2123</v>
      </c>
      <c r="S215">
        <v>3</v>
      </c>
      <c r="T215">
        <v>5</v>
      </c>
    </row>
    <row r="216" spans="1:21">
      <c r="Q216" s="326" t="s">
        <v>2119</v>
      </c>
      <c r="R216" t="s">
        <v>2124</v>
      </c>
      <c r="S216">
        <v>5</v>
      </c>
      <c r="T216">
        <v>10</v>
      </c>
    </row>
    <row r="217" spans="1:21">
      <c r="Q217" s="326" t="s">
        <v>2119</v>
      </c>
      <c r="R217" t="s">
        <v>2125</v>
      </c>
      <c r="S217">
        <v>10</v>
      </c>
      <c r="T217">
        <v>20</v>
      </c>
    </row>
    <row r="218" spans="1:21">
      <c r="A218" s="116" t="s">
        <v>2145</v>
      </c>
      <c r="Q218" s="326" t="s">
        <v>2119</v>
      </c>
      <c r="R218" t="s">
        <v>2126</v>
      </c>
      <c r="S218">
        <v>20</v>
      </c>
      <c r="T218">
        <v>50</v>
      </c>
    </row>
    <row r="219" spans="1:21" ht="58.5" customHeight="1">
      <c r="B219" s="1814" t="str" cm="1">
        <f t="array" ref="B219">IFERROR(
INDEX($T$242:$T$245,
MATCH(1,
($Q$242:$Q$245=D213)*
($R$242:$R$245=D214),
0)),
"")</f>
        <v>Nilai Design CBR berada dalam kisaran yang sesuai dengan karakteristik umum jenis tanah berdasarkan evaluasi engineering. Nilai tersebut konsisten dengan hasil pemadatan yang digunakan sebagai acuan (Standard/Modified Proctor) dan dapat diterima sebagai representasi daya dukung material.</v>
      </c>
      <c r="C219" s="1814"/>
      <c r="D219" s="1814"/>
      <c r="E219" s="1814"/>
      <c r="F219" s="1814"/>
      <c r="G219" s="1814"/>
      <c r="H219" s="1814"/>
      <c r="I219" s="1814"/>
      <c r="J219" s="1814"/>
      <c r="K219" s="1814"/>
      <c r="L219" s="1523"/>
      <c r="Q219" s="326" t="s">
        <v>2119</v>
      </c>
      <c r="R219" t="s">
        <v>2127</v>
      </c>
      <c r="S219">
        <v>50</v>
      </c>
      <c r="T219">
        <v>300</v>
      </c>
    </row>
    <row r="220" spans="1:21">
      <c r="B220" s="1814"/>
      <c r="C220" s="1814"/>
      <c r="D220" s="1814"/>
      <c r="E220" s="1814"/>
      <c r="F220" s="1814"/>
      <c r="G220" s="1814"/>
      <c r="H220" s="1814"/>
      <c r="I220" s="1814"/>
      <c r="J220" s="1814"/>
      <c r="K220" s="1814"/>
      <c r="L220" s="1578"/>
    </row>
    <row r="225" spans="2:23">
      <c r="Q225" t="s">
        <v>1798</v>
      </c>
    </row>
    <row r="226" spans="2:23">
      <c r="Q226" t="s">
        <v>1611</v>
      </c>
      <c r="R226" t="s">
        <v>575</v>
      </c>
      <c r="S226" t="s">
        <v>1683</v>
      </c>
      <c r="T226" t="s">
        <v>2128</v>
      </c>
      <c r="U226" t="s">
        <v>2129</v>
      </c>
      <c r="V226" t="s">
        <v>1685</v>
      </c>
      <c r="W226" t="s">
        <v>1715</v>
      </c>
    </row>
    <row r="227" spans="2:23">
      <c r="M227" s="1578"/>
      <c r="Q227" t="s">
        <v>1612</v>
      </c>
      <c r="R227" t="s">
        <v>2119</v>
      </c>
      <c r="S227" t="s">
        <v>1670</v>
      </c>
      <c r="T227">
        <v>3</v>
      </c>
      <c r="U227">
        <v>10</v>
      </c>
      <c r="V227" t="s">
        <v>2130</v>
      </c>
      <c r="W227" t="s">
        <v>2131</v>
      </c>
    </row>
    <row r="228" spans="2:23">
      <c r="B228" s="5"/>
      <c r="C228" s="5"/>
      <c r="D228" s="5"/>
      <c r="E228" s="5"/>
      <c r="F228" s="5"/>
      <c r="G228" s="5"/>
      <c r="H228" s="5"/>
      <c r="I228" s="5"/>
      <c r="J228" s="5"/>
      <c r="K228" s="5"/>
      <c r="L228" s="5"/>
      <c r="M228" s="5"/>
      <c r="Q228" t="s">
        <v>1614</v>
      </c>
      <c r="R228" t="s">
        <v>2119</v>
      </c>
      <c r="S228" t="s">
        <v>1672</v>
      </c>
      <c r="T228">
        <v>5</v>
      </c>
      <c r="U228">
        <v>15</v>
      </c>
      <c r="V228" t="s">
        <v>2132</v>
      </c>
      <c r="W228" t="s">
        <v>1716</v>
      </c>
    </row>
    <row r="229" spans="2:23">
      <c r="K229" s="5"/>
      <c r="L229" s="5"/>
      <c r="M229" s="5"/>
      <c r="Q229" t="s">
        <v>1617</v>
      </c>
      <c r="R229" t="s">
        <v>2119</v>
      </c>
      <c r="S229" t="s">
        <v>1672</v>
      </c>
      <c r="T229">
        <v>4</v>
      </c>
      <c r="U229">
        <v>12</v>
      </c>
      <c r="V229" t="s">
        <v>2133</v>
      </c>
      <c r="W229" t="s">
        <v>1716</v>
      </c>
    </row>
    <row r="230" spans="2:23">
      <c r="K230" s="5"/>
      <c r="L230" s="5"/>
      <c r="M230" s="5"/>
      <c r="Q230" t="s">
        <v>1643</v>
      </c>
      <c r="R230" t="s">
        <v>2119</v>
      </c>
      <c r="S230" t="s">
        <v>338</v>
      </c>
      <c r="T230">
        <v>10</v>
      </c>
      <c r="U230">
        <v>30</v>
      </c>
      <c r="V230" t="s">
        <v>2134</v>
      </c>
      <c r="W230" t="s">
        <v>2135</v>
      </c>
    </row>
    <row r="231" spans="2:23">
      <c r="K231" s="5"/>
      <c r="L231" s="5"/>
      <c r="M231" s="5"/>
      <c r="Q231" t="s">
        <v>1620</v>
      </c>
      <c r="R231" t="s">
        <v>2119</v>
      </c>
      <c r="S231" t="s">
        <v>1681</v>
      </c>
      <c r="T231">
        <v>20</v>
      </c>
      <c r="U231">
        <v>60</v>
      </c>
      <c r="V231" t="s">
        <v>2136</v>
      </c>
      <c r="W231" t="s">
        <v>2137</v>
      </c>
    </row>
    <row r="232" spans="2:23">
      <c r="K232" s="5"/>
      <c r="L232" s="5"/>
      <c r="M232" s="5"/>
      <c r="Q232" t="s">
        <v>1621</v>
      </c>
      <c r="R232" t="s">
        <v>2119</v>
      </c>
      <c r="S232" t="s">
        <v>338</v>
      </c>
      <c r="T232">
        <v>10</v>
      </c>
      <c r="U232">
        <v>30</v>
      </c>
      <c r="V232" t="s">
        <v>2138</v>
      </c>
      <c r="W232" t="s">
        <v>1716</v>
      </c>
    </row>
    <row r="233" spans="2:23">
      <c r="K233" s="5"/>
      <c r="L233" s="5"/>
      <c r="M233" s="5"/>
      <c r="Q233" t="s">
        <v>1623</v>
      </c>
      <c r="R233" t="s">
        <v>2119</v>
      </c>
      <c r="S233" t="s">
        <v>338</v>
      </c>
      <c r="T233">
        <v>15</v>
      </c>
      <c r="U233">
        <v>40</v>
      </c>
      <c r="V233" t="s">
        <v>2139</v>
      </c>
      <c r="W233" t="s">
        <v>2120</v>
      </c>
    </row>
    <row r="234" spans="2:23">
      <c r="K234" s="5"/>
      <c r="L234" s="5"/>
      <c r="M234" s="5"/>
      <c r="Q234" t="s">
        <v>1649</v>
      </c>
      <c r="R234" t="s">
        <v>2119</v>
      </c>
      <c r="S234" t="s">
        <v>1681</v>
      </c>
      <c r="T234">
        <v>30</v>
      </c>
      <c r="U234">
        <v>80</v>
      </c>
      <c r="V234" t="s">
        <v>2140</v>
      </c>
      <c r="W234" t="s">
        <v>1843</v>
      </c>
    </row>
    <row r="235" spans="2:23">
      <c r="K235" s="5"/>
      <c r="L235" s="5"/>
      <c r="M235" s="5"/>
      <c r="Q235" t="s">
        <v>1690</v>
      </c>
      <c r="R235" t="s">
        <v>2119</v>
      </c>
      <c r="S235" t="s">
        <v>1672</v>
      </c>
      <c r="T235">
        <v>5</v>
      </c>
      <c r="U235">
        <v>15</v>
      </c>
      <c r="V235" t="s">
        <v>2141</v>
      </c>
      <c r="W235" t="s">
        <v>2120</v>
      </c>
    </row>
    <row r="236" spans="2:23">
      <c r="Q236" t="s">
        <v>1626</v>
      </c>
      <c r="R236" t="s">
        <v>2119</v>
      </c>
      <c r="S236" t="s">
        <v>1672</v>
      </c>
      <c r="T236">
        <v>5</v>
      </c>
      <c r="U236">
        <v>15</v>
      </c>
      <c r="V236" t="s">
        <v>2142</v>
      </c>
      <c r="W236" t="s">
        <v>1716</v>
      </c>
    </row>
    <row r="237" spans="2:23">
      <c r="Q237" t="s">
        <v>1628</v>
      </c>
      <c r="R237" t="s">
        <v>2119</v>
      </c>
      <c r="S237" t="s">
        <v>338</v>
      </c>
      <c r="T237">
        <v>10</v>
      </c>
      <c r="U237">
        <v>25</v>
      </c>
      <c r="V237" t="s">
        <v>2143</v>
      </c>
      <c r="W237" t="s">
        <v>2120</v>
      </c>
    </row>
    <row r="238" spans="2:23">
      <c r="Q238" t="s">
        <v>1630</v>
      </c>
      <c r="R238" t="s">
        <v>2119</v>
      </c>
      <c r="S238" t="s">
        <v>1681</v>
      </c>
      <c r="T238">
        <v>40</v>
      </c>
      <c r="U238">
        <v>100</v>
      </c>
      <c r="V238" t="s">
        <v>2144</v>
      </c>
      <c r="W238" t="s">
        <v>2137</v>
      </c>
    </row>
    <row r="241" spans="17:20">
      <c r="Q241" t="s">
        <v>1822</v>
      </c>
      <c r="R241" t="s">
        <v>1823</v>
      </c>
      <c r="S241" t="s">
        <v>1824</v>
      </c>
      <c r="T241" t="s">
        <v>1786</v>
      </c>
    </row>
    <row r="242" spans="17:20">
      <c r="Q242" t="s">
        <v>1733</v>
      </c>
      <c r="R242" t="s">
        <v>1733</v>
      </c>
      <c r="S242" t="s">
        <v>1733</v>
      </c>
      <c r="T242" t="s">
        <v>2146</v>
      </c>
    </row>
    <row r="243" spans="17:20">
      <c r="Q243" t="s">
        <v>1733</v>
      </c>
      <c r="R243" t="s">
        <v>1735</v>
      </c>
      <c r="S243" t="s">
        <v>1735</v>
      </c>
      <c r="T243" t="s">
        <v>2147</v>
      </c>
    </row>
    <row r="244" spans="17:20">
      <c r="Q244" t="s">
        <v>1735</v>
      </c>
      <c r="R244" t="s">
        <v>1733</v>
      </c>
      <c r="S244" t="s">
        <v>1735</v>
      </c>
      <c r="T244" t="s">
        <v>2147</v>
      </c>
    </row>
    <row r="245" spans="17:20">
      <c r="Q245" t="s">
        <v>1735</v>
      </c>
      <c r="R245" t="s">
        <v>1735</v>
      </c>
      <c r="S245" t="s">
        <v>1829</v>
      </c>
      <c r="T245" t="s">
        <v>2148</v>
      </c>
    </row>
  </sheetData>
  <mergeCells count="53">
    <mergeCell ref="I116:I120"/>
    <mergeCell ref="J116:J117"/>
    <mergeCell ref="K116:K117"/>
    <mergeCell ref="R116:R117"/>
    <mergeCell ref="S116:S117"/>
    <mergeCell ref="L116:L117"/>
    <mergeCell ref="M116:M117"/>
    <mergeCell ref="O116:O120"/>
    <mergeCell ref="P116:P117"/>
    <mergeCell ref="Q116:Q117"/>
    <mergeCell ref="C116:C120"/>
    <mergeCell ref="D116:D117"/>
    <mergeCell ref="E116:E117"/>
    <mergeCell ref="F116:F117"/>
    <mergeCell ref="G116:G117"/>
    <mergeCell ref="L69:L71"/>
    <mergeCell ref="M69:M71"/>
    <mergeCell ref="I69:I71"/>
    <mergeCell ref="D69:D71"/>
    <mergeCell ref="J69:J71"/>
    <mergeCell ref="C69:C71"/>
    <mergeCell ref="E69:E71"/>
    <mergeCell ref="F69:F71"/>
    <mergeCell ref="G69:G71"/>
    <mergeCell ref="K69:K71"/>
    <mergeCell ref="O69:O71"/>
    <mergeCell ref="P69:P71"/>
    <mergeCell ref="Q69:Q71"/>
    <mergeCell ref="R69:R71"/>
    <mergeCell ref="S69:S71"/>
    <mergeCell ref="H31:H32"/>
    <mergeCell ref="I31:I32"/>
    <mergeCell ref="J31:J32"/>
    <mergeCell ref="K31:K32"/>
    <mergeCell ref="F31:F32"/>
    <mergeCell ref="G31:G32"/>
    <mergeCell ref="F30:G30"/>
    <mergeCell ref="H30:I30"/>
    <mergeCell ref="J30:K30"/>
    <mergeCell ref="A13:C13"/>
    <mergeCell ref="A10:C10"/>
    <mergeCell ref="A11:C11"/>
    <mergeCell ref="A12:C12"/>
    <mergeCell ref="A7:C7"/>
    <mergeCell ref="L10:N10"/>
    <mergeCell ref="L12:N12"/>
    <mergeCell ref="A9:C9"/>
    <mergeCell ref="L9:N9"/>
    <mergeCell ref="B219:K220"/>
    <mergeCell ref="B207:C208"/>
    <mergeCell ref="D207:D208"/>
    <mergeCell ref="E207:F207"/>
    <mergeCell ref="G207:N207"/>
  </mergeCells>
  <conditionalFormatting sqref="D213:D215">
    <cfRule type="expression" dxfId="153" priority="1">
      <formula>ISNUMBER(SEARCH("RE-ANALYZE",$D213))</formula>
    </cfRule>
    <cfRule type="expression" dxfId="152" priority="2">
      <formula>ISNUMBER(SEARCH("REVIEW",$D213))</formula>
    </cfRule>
    <cfRule type="expression" dxfId="151" priority="3">
      <formula>ISNUMBER(SEARCH("CHECK",$D213))</formula>
    </cfRule>
    <cfRule type="expression" dxfId="150" priority="4">
      <formula>ISNUMBER(SEARCH("PASS",$D213))</formula>
    </cfRule>
  </conditionalFormatting>
  <conditionalFormatting sqref="E209:E210">
    <cfRule type="expression" dxfId="149" priority="9">
      <formula>ISNUMBER(SEARCH("RE-ANALYZE",$E209))</formula>
    </cfRule>
    <cfRule type="expression" dxfId="148" priority="10">
      <formula>ISNUMBER(SEARCH("REVIEW",$E209))</formula>
    </cfRule>
    <cfRule type="expression" dxfId="147" priority="11">
      <formula>ISNUMBER(SEARCH("CHECK",$E209))</formula>
    </cfRule>
    <cfRule type="expression" dxfId="146" priority="12">
      <formula>ISNUMBER(SEARCH("PASS",$E209))</formula>
    </cfRule>
  </conditionalFormatting>
  <conditionalFormatting sqref="L209:L210">
    <cfRule type="expression" dxfId="145" priority="5">
      <formula>ISNUMBER(SEARCH("RE-ANALYZE",$L209))</formula>
    </cfRule>
    <cfRule type="expression" dxfId="144" priority="6">
      <formula>ISNUMBER(SEARCH("REVIEW",$L209))</formula>
    </cfRule>
    <cfRule type="expression" dxfId="143" priority="7">
      <formula>ISNUMBER(SEARCH("CHECK",$L209))</formula>
    </cfRule>
    <cfRule type="expression" dxfId="142" priority="8">
      <formula>ISNUMBER(SEARCH("PASS",$L209))</formula>
    </cfRule>
  </conditionalFormatting>
  <dataValidations count="4">
    <dataValidation type="list" allowBlank="1" showInputMessage="1" showErrorMessage="1" sqref="E11" xr:uid="{BD45E16C-523C-3C43-9E59-EE18A03CAE10}">
      <formula1>$F$10:$F$11</formula1>
    </dataValidation>
    <dataValidation type="list" allowBlank="1" showInputMessage="1" showErrorMessage="1" sqref="E17" xr:uid="{7A15BABB-5B5E-9542-B801-B1C073286D00}">
      <formula1>$O$17:$O$18</formula1>
    </dataValidation>
    <dataValidation type="list" allowBlank="1" showInputMessage="1" showErrorMessage="1" sqref="P9" xr:uid="{63DFE259-E53D-4EA6-819E-17C5393217B4}">
      <formula1>"RAFLY,RIZKI,NOUFAL"</formula1>
    </dataValidation>
    <dataValidation type="list" allowBlank="1" showInputMessage="1" showErrorMessage="1" sqref="D12" xr:uid="{D7CFC526-5A8B-4A44-BAA0-BF065708D0A4}">
      <formula1>$AE$17:$AE$28</formula1>
    </dataValidation>
  </dataValidations>
  <pageMargins left="0.7" right="0.7" top="0.75" bottom="0.75" header="0.3" footer="0.3"/>
  <pageSetup paperSize="14" orientation="portrait" horizontalDpi="0" verticalDpi="0"/>
  <ignoredErrors>
    <ignoredError sqref="F50:K50" unlockedFormula="1"/>
  </ignoredErrors>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080F-9D13-41F7-87D6-778AEEE862C8}">
  <sheetPr>
    <tabColor rgb="FFFFC000"/>
  </sheetPr>
  <dimension ref="A1:AD219"/>
  <sheetViews>
    <sheetView view="pageBreakPreview" topLeftCell="A87" zoomScale="68" zoomScaleNormal="93" zoomScaleSheetLayoutView="68" zoomScalePageLayoutView="128" workbookViewId="0">
      <selection activeCell="D92" sqref="D92"/>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row r="5" spans="1:25" ht="8.1" customHeight="1"/>
    <row r="6" spans="1:25" ht="15.95" customHeight="1">
      <c r="A6" s="1680" t="s">
        <v>1346</v>
      </c>
      <c r="B6" s="1680"/>
      <c r="C6" s="1680"/>
      <c r="D6" s="1680"/>
      <c r="E6" s="656"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5" t="s">
        <v>1347</v>
      </c>
      <c r="B7" s="1635"/>
      <c r="C7" s="1635"/>
      <c r="D7" s="1635"/>
      <c r="E7" s="794" t="str">
        <f>":  "&amp;IF('DATA INDUK'!$H$18="","",'DATA INDUK'!$H$18)</f>
        <v>:  R0</v>
      </c>
      <c r="G7" s="672"/>
      <c r="H7" s="672"/>
      <c r="I7" s="1127"/>
      <c r="J7" s="672" t="s">
        <v>1348</v>
      </c>
      <c r="K7" s="672"/>
      <c r="L7" s="672"/>
      <c r="M7" s="1636" t="str">
        <f>":  "&amp;IF('DATA INDUK'!$H$19="","",TEXT('DATA INDUK'!$H$19,"dd mmmm yyyy"))</f>
        <v>:  29 January 2026</v>
      </c>
      <c r="N7" s="1636"/>
      <c r="O7" s="1636"/>
      <c r="P7" s="1636"/>
      <c r="Q7" s="1636"/>
      <c r="R7" s="1194"/>
      <c r="S7" s="1127"/>
      <c r="T7" s="1649" t="s">
        <v>1349</v>
      </c>
      <c r="U7" s="1649"/>
      <c r="V7" s="1649"/>
      <c r="W7" s="1635" t="str">
        <f>":  1 dari 3"</f>
        <v>:  1 dari 3</v>
      </c>
      <c r="X7" s="1635"/>
      <c r="Y7" s="327"/>
    </row>
    <row r="8" spans="1:25" ht="8.1" customHeight="1">
      <c r="A8" s="339"/>
      <c r="B8" s="339"/>
      <c r="C8" s="339"/>
      <c r="D8" s="339"/>
      <c r="E8" s="339"/>
      <c r="F8" s="339"/>
      <c r="G8" s="339"/>
      <c r="H8" s="339"/>
      <c r="I8" s="1292"/>
      <c r="J8" s="339"/>
      <c r="K8" s="339"/>
      <c r="L8" s="339"/>
      <c r="M8" s="339"/>
      <c r="N8" s="339"/>
      <c r="O8" s="339"/>
      <c r="P8" s="339"/>
      <c r="Q8" s="339"/>
      <c r="R8" s="339"/>
      <c r="S8" s="339"/>
      <c r="T8" s="339"/>
      <c r="U8" s="339"/>
      <c r="V8" s="339"/>
      <c r="W8" s="339"/>
      <c r="X8" s="1358"/>
    </row>
    <row r="9" spans="1:25">
      <c r="A9" s="2119" t="s">
        <v>281</v>
      </c>
      <c r="B9" s="1655"/>
      <c r="C9" s="1655"/>
      <c r="D9" s="1655"/>
      <c r="E9" s="1655"/>
      <c r="F9" s="1655"/>
      <c r="G9" s="1655"/>
      <c r="H9" s="1655"/>
      <c r="I9" s="1655"/>
      <c r="J9" s="1655"/>
      <c r="K9" s="1655"/>
      <c r="L9" s="1656"/>
      <c r="M9" s="340"/>
      <c r="N9" s="1304" t="s">
        <v>282</v>
      </c>
      <c r="O9" s="1305"/>
      <c r="P9" s="1306"/>
      <c r="Q9" s="1305"/>
      <c r="R9" s="1305"/>
      <c r="S9" s="1305"/>
      <c r="T9" s="1305"/>
      <c r="U9" s="1305"/>
      <c r="V9" s="1305"/>
      <c r="W9" s="1305"/>
      <c r="X9" s="1307"/>
      <c r="Y9" s="335"/>
    </row>
    <row r="10" spans="1:25" ht="8.1" customHeight="1">
      <c r="A10" s="1300"/>
      <c r="B10" s="340"/>
      <c r="C10" s="340"/>
      <c r="D10" s="340"/>
      <c r="E10" s="340"/>
      <c r="F10" s="340"/>
      <c r="G10" s="340"/>
      <c r="H10" s="340"/>
      <c r="I10" s="16"/>
      <c r="J10" s="340"/>
      <c r="K10" s="340"/>
      <c r="L10" s="1301"/>
      <c r="M10" s="340"/>
      <c r="N10" s="1356"/>
      <c r="O10" s="1255"/>
      <c r="P10" s="1255"/>
      <c r="Q10" s="1255"/>
      <c r="R10" s="1255"/>
      <c r="S10" s="1255"/>
      <c r="T10" s="1255"/>
      <c r="U10" s="1255"/>
      <c r="V10" s="1255"/>
      <c r="W10" s="1255"/>
      <c r="X10" s="1357"/>
    </row>
    <row r="11" spans="1:25">
      <c r="A11" s="1354" t="s">
        <v>1243</v>
      </c>
      <c r="B11" s="672"/>
      <c r="C11" s="672"/>
      <c r="D11" s="672"/>
      <c r="E11" s="340"/>
      <c r="F11" s="340"/>
      <c r="G11" s="340"/>
      <c r="H11" s="340"/>
      <c r="I11" s="16"/>
      <c r="J11" s="340"/>
      <c r="K11" s="340"/>
      <c r="L11" s="1301"/>
      <c r="M11" s="340"/>
      <c r="N11" s="1355" t="s">
        <v>1487</v>
      </c>
      <c r="O11" s="339"/>
      <c r="P11" s="340"/>
      <c r="Q11" s="340"/>
      <c r="R11" s="340"/>
      <c r="S11" s="340"/>
      <c r="T11" s="340"/>
      <c r="U11" s="340"/>
      <c r="V11" s="340"/>
      <c r="W11" s="340"/>
      <c r="X11" s="1301"/>
    </row>
    <row r="12" spans="1:25">
      <c r="A12" s="1707" t="str">
        <f>IF('DATA INDUK'!H2="","",'DATA INDUK'!H2)</f>
        <v>BSI Candrian Waste Dump Extension Study</v>
      </c>
      <c r="B12" s="1708"/>
      <c r="C12" s="1708"/>
      <c r="D12" s="1708"/>
      <c r="E12" s="1708"/>
      <c r="F12" s="1708"/>
      <c r="G12" s="1708"/>
      <c r="H12" s="1708"/>
      <c r="I12" s="1708"/>
      <c r="J12" s="1708"/>
      <c r="K12" s="1708"/>
      <c r="L12" s="1709"/>
      <c r="M12" s="340"/>
      <c r="N12" s="1701" t="str">
        <f>IF('WS-CBR unsoaked'!D7="","",'WS-CBR unsoaked'!D7)</f>
        <v>26-001-DS-001</v>
      </c>
      <c r="O12" s="1702"/>
      <c r="P12" s="1702"/>
      <c r="Q12" s="1702"/>
      <c r="R12" s="1702"/>
      <c r="S12" s="1702"/>
      <c r="T12" s="1702"/>
      <c r="U12" s="1702"/>
      <c r="V12" s="1702"/>
      <c r="W12" s="1702"/>
      <c r="X12" s="1703"/>
    </row>
    <row r="13" spans="1:25">
      <c r="A13" s="1634" t="s">
        <v>1490</v>
      </c>
      <c r="B13" s="1635"/>
      <c r="C13" s="1635"/>
      <c r="D13" s="1635"/>
      <c r="E13" s="1635" t="str">
        <f>":  "&amp;IF('DATA INDUK'!H3="","",'DATA INDUK'!H3)</f>
        <v>:  Banyuwangi - JAWA TIMUR</v>
      </c>
      <c r="F13" s="1635"/>
      <c r="G13" s="1635"/>
      <c r="H13" s="1635"/>
      <c r="I13" s="1635"/>
      <c r="J13" s="1635"/>
      <c r="K13" s="1635"/>
      <c r="L13" s="1648"/>
      <c r="M13" s="340"/>
      <c r="N13" s="1641" t="s">
        <v>1492</v>
      </c>
      <c r="O13" s="1637"/>
      <c r="P13" s="1637"/>
      <c r="Q13" s="1637"/>
      <c r="R13" s="1637"/>
      <c r="S13" s="1637" t="str">
        <f>":  "&amp;IF('WS-CBR unsoaked'!D9="","",'WS-CBR unsoaked'!D9)</f>
        <v>:  BH-04R1-SPT 15</v>
      </c>
      <c r="T13" s="1637"/>
      <c r="U13" s="1637"/>
      <c r="V13" s="1637"/>
      <c r="W13" s="1637"/>
      <c r="X13" s="1638"/>
    </row>
    <row r="14" spans="1:25">
      <c r="A14" s="1634" t="s">
        <v>1491</v>
      </c>
      <c r="B14" s="1635"/>
      <c r="C14" s="1635"/>
      <c r="D14" s="1635"/>
      <c r="E14" s="1635" t="str">
        <f>":  "&amp;IF('DATA INDUK'!H9="","",'DATA INDUK'!H9)</f>
        <v>:  PO-GQT-001</v>
      </c>
      <c r="F14" s="1635"/>
      <c r="G14" s="1635"/>
      <c r="H14" s="1635"/>
      <c r="I14" s="1635"/>
      <c r="J14" s="1635"/>
      <c r="K14" s="1635"/>
      <c r="L14" s="1648"/>
      <c r="M14" s="340"/>
      <c r="N14" s="1641" t="s">
        <v>1493</v>
      </c>
      <c r="O14" s="1637"/>
      <c r="P14" s="1637"/>
      <c r="Q14" s="1637"/>
      <c r="R14" s="1637"/>
      <c r="S14" s="1637" t="e">
        <f>":  "&amp;IF('WS-CBR unsoaked'!D10="","",'WS-CBR unsoaked'!D10)</f>
        <v>#N/A</v>
      </c>
      <c r="T14" s="1637"/>
      <c r="U14" s="1637"/>
      <c r="V14" s="1637"/>
      <c r="W14" s="1637"/>
      <c r="X14" s="1638"/>
    </row>
    <row r="15" spans="1:25" ht="8.1" customHeight="1">
      <c r="A15" s="909"/>
      <c r="B15" s="1302"/>
      <c r="C15" s="1302"/>
      <c r="D15" s="1302"/>
      <c r="E15" s="1302"/>
      <c r="F15" s="1302"/>
      <c r="G15" s="1302"/>
      <c r="H15" s="1302"/>
      <c r="I15" s="1302"/>
      <c r="J15" s="1302"/>
      <c r="K15" s="1302"/>
      <c r="L15" s="1303"/>
      <c r="M15" s="340"/>
      <c r="N15" s="1641" t="s">
        <v>1494</v>
      </c>
      <c r="O15" s="1637"/>
      <c r="P15" s="1637"/>
      <c r="Q15" s="1637"/>
      <c r="R15" s="1637"/>
      <c r="S15" s="1637" t="str">
        <f>":  "&amp;IF('WS-CBR unsoaked'!D11="","",'WS-CBR unsoaked'!D11)</f>
        <v>:  Disturbed Sample</v>
      </c>
      <c r="T15" s="1637"/>
      <c r="U15" s="1637"/>
      <c r="V15" s="1637"/>
      <c r="W15" s="1637"/>
      <c r="X15" s="1638"/>
    </row>
    <row r="16" spans="1:25" ht="8.1" customHeight="1">
      <c r="B16" s="340"/>
      <c r="C16" s="340"/>
      <c r="D16" s="340"/>
      <c r="E16" s="340"/>
      <c r="F16" s="340"/>
      <c r="G16" s="340"/>
      <c r="H16" s="340"/>
      <c r="I16" s="340"/>
      <c r="J16" s="340"/>
      <c r="K16" s="340"/>
      <c r="L16" s="340"/>
      <c r="M16" s="340"/>
      <c r="N16" s="1641"/>
      <c r="O16" s="1637"/>
      <c r="P16" s="1637"/>
      <c r="Q16" s="1637"/>
      <c r="R16" s="1637"/>
      <c r="S16" s="1637"/>
      <c r="T16" s="1637"/>
      <c r="U16" s="1637"/>
      <c r="V16" s="1637"/>
      <c r="W16" s="1637"/>
      <c r="X16" s="1638"/>
    </row>
    <row r="17" spans="1:24">
      <c r="A17" s="1654" t="s">
        <v>1279</v>
      </c>
      <c r="B17" s="1655"/>
      <c r="C17" s="1655"/>
      <c r="D17" s="1655"/>
      <c r="E17" s="1655"/>
      <c r="F17" s="1655"/>
      <c r="G17" s="1655"/>
      <c r="H17" s="1655"/>
      <c r="I17" s="1655"/>
      <c r="J17" s="1655"/>
      <c r="K17" s="1655"/>
      <c r="L17" s="1656"/>
      <c r="M17" s="340"/>
      <c r="N17" s="1641" t="s">
        <v>1495</v>
      </c>
      <c r="O17" s="1637"/>
      <c r="P17" s="1637"/>
      <c r="Q17" s="1637"/>
      <c r="R17" s="1637"/>
      <c r="S17" s="1637" t="str">
        <f>":  "&amp;IF('WS-CBR unsoaked'!D12="","",'WS-CBR unsoaked'!D12)</f>
        <v>:  Pasir Lanauan / Silty Sand</v>
      </c>
      <c r="T17" s="1637"/>
      <c r="U17" s="1637"/>
      <c r="V17" s="1637"/>
      <c r="W17" s="1637"/>
      <c r="X17" s="1638"/>
    </row>
    <row r="18" spans="1:24" ht="8.1" customHeight="1">
      <c r="A18" s="901"/>
      <c r="B18" s="550"/>
      <c r="C18" s="550"/>
      <c r="D18" s="550"/>
      <c r="E18" s="550"/>
      <c r="F18" s="550"/>
      <c r="G18" s="550"/>
      <c r="H18" s="550"/>
      <c r="I18" s="550"/>
      <c r="J18" s="550"/>
      <c r="K18" s="550"/>
      <c r="L18" s="1308"/>
      <c r="M18" s="340"/>
      <c r="N18" s="1641" t="s">
        <v>1496</v>
      </c>
      <c r="O18" s="1637"/>
      <c r="P18" s="1637"/>
      <c r="Q18" s="1637"/>
      <c r="R18" s="1637"/>
      <c r="S18" s="1637" t="str">
        <f>":  "&amp;IF('WS-CBR unsoaked'!D13="","",'WS-CBR unsoaked'!D13)</f>
        <v xml:space="preserve">:  </v>
      </c>
      <c r="T18" s="1637"/>
      <c r="U18" s="1637"/>
      <c r="V18" s="1637"/>
      <c r="W18" s="1637"/>
      <c r="X18" s="1638"/>
    </row>
    <row r="19" spans="1:24" ht="8.1" customHeight="1">
      <c r="A19" s="1634" t="s">
        <v>1488</v>
      </c>
      <c r="B19" s="1635"/>
      <c r="C19" s="1635"/>
      <c r="D19" s="1635"/>
      <c r="E19" s="1639" t="str">
        <f>":  "&amp;IF('DATA INDUK'!H4="","",'DATA INDUK'!H4)</f>
        <v>:  PT. GEOLAND QUATRO TECHNOLAB</v>
      </c>
      <c r="F19" s="1639"/>
      <c r="G19" s="1639"/>
      <c r="H19" s="1639"/>
      <c r="I19" s="1639"/>
      <c r="J19" s="1639"/>
      <c r="K19" s="1639"/>
      <c r="L19" s="1640"/>
      <c r="M19" s="340"/>
      <c r="N19" s="1641"/>
      <c r="O19" s="1637"/>
      <c r="P19" s="1637"/>
      <c r="Q19" s="1637"/>
      <c r="R19" s="1637"/>
      <c r="S19" s="1637"/>
      <c r="T19" s="1637"/>
      <c r="U19" s="1637"/>
      <c r="V19" s="1637"/>
      <c r="W19" s="1637"/>
      <c r="X19" s="1638"/>
    </row>
    <row r="20" spans="1:24" ht="8.1" customHeight="1">
      <c r="A20" s="1634"/>
      <c r="B20" s="1635"/>
      <c r="C20" s="1635"/>
      <c r="D20" s="1635"/>
      <c r="E20" s="1639"/>
      <c r="F20" s="1639"/>
      <c r="G20" s="1639"/>
      <c r="H20" s="1639"/>
      <c r="I20" s="1639"/>
      <c r="J20" s="1639"/>
      <c r="K20" s="1639"/>
      <c r="L20" s="1640"/>
      <c r="M20" s="340"/>
      <c r="N20" s="1641" t="s">
        <v>1497</v>
      </c>
      <c r="O20" s="1637"/>
      <c r="P20" s="1637"/>
      <c r="Q20" s="1637"/>
      <c r="R20" s="1637"/>
      <c r="S20" s="1637" t="str">
        <f>":  "&amp;IF('DATA INDUK'!H13="","",TEXT('DATA INDUK'!H13,"dd mmmm yyyy"))</f>
        <v>:  05 January 2026</v>
      </c>
      <c r="T20" s="1637"/>
      <c r="U20" s="1637"/>
      <c r="V20" s="1637"/>
      <c r="W20" s="1637"/>
      <c r="X20" s="1638"/>
    </row>
    <row r="21" spans="1:24" ht="8.1" customHeight="1">
      <c r="A21" s="1634" t="s">
        <v>1489</v>
      </c>
      <c r="B21" s="1635"/>
      <c r="C21" s="1635"/>
      <c r="D21" s="1635"/>
      <c r="E21" s="1639" t="str">
        <f>":  "&amp;IF('DATA INDUK'!H6="","",'DATA INDUK'!H6)</f>
        <v>:  Kab. Bandung - JAWA BARAT</v>
      </c>
      <c r="F21" s="1639"/>
      <c r="G21" s="1639"/>
      <c r="H21" s="1639"/>
      <c r="I21" s="1639"/>
      <c r="J21" s="1639"/>
      <c r="K21" s="1639"/>
      <c r="L21" s="1640"/>
      <c r="M21" s="340"/>
      <c r="N21" s="1641"/>
      <c r="O21" s="1637"/>
      <c r="P21" s="1637"/>
      <c r="Q21" s="1637"/>
      <c r="R21" s="1637"/>
      <c r="S21" s="1637"/>
      <c r="T21" s="1637"/>
      <c r="U21" s="1637"/>
      <c r="V21" s="1637"/>
      <c r="W21" s="1637"/>
      <c r="X21" s="1638"/>
    </row>
    <row r="22" spans="1:24" ht="8.1" customHeight="1">
      <c r="A22" s="1634"/>
      <c r="B22" s="1635"/>
      <c r="C22" s="1635"/>
      <c r="D22" s="1635"/>
      <c r="E22" s="1639"/>
      <c r="F22" s="1639"/>
      <c r="G22" s="1639"/>
      <c r="H22" s="1639"/>
      <c r="I22" s="1639"/>
      <c r="J22" s="1639"/>
      <c r="K22" s="1639"/>
      <c r="L22" s="1640"/>
      <c r="M22" s="340"/>
      <c r="N22" s="1641" t="s">
        <v>1350</v>
      </c>
      <c r="O22" s="1637"/>
      <c r="P22" s="1637"/>
      <c r="Q22" s="1637"/>
      <c r="R22" s="1637"/>
      <c r="S22" s="1637" t="str">
        <f>":  "&amp;IF('WS-CBR unsoaked'!O12="","",TEXT('WS-CBR unsoaked'!O12,"dd mmmm yyyy"))</f>
        <v xml:space="preserve">:  </v>
      </c>
      <c r="T22" s="1637"/>
      <c r="U22" s="1637"/>
      <c r="V22" s="1637"/>
      <c r="W22" s="1637"/>
      <c r="X22" s="1638"/>
    </row>
    <row r="23" spans="1:24" ht="8.1" customHeight="1">
      <c r="A23" s="1309"/>
      <c r="B23" s="1302"/>
      <c r="C23" s="1302"/>
      <c r="D23" s="1302"/>
      <c r="E23" s="1302"/>
      <c r="F23" s="1302"/>
      <c r="G23" s="1302"/>
      <c r="H23" s="1302"/>
      <c r="I23" s="1302"/>
      <c r="J23" s="1302"/>
      <c r="K23" s="1302"/>
      <c r="L23" s="1303"/>
      <c r="M23" s="340"/>
      <c r="N23" s="1642"/>
      <c r="O23" s="1643"/>
      <c r="P23" s="1643"/>
      <c r="Q23" s="1643"/>
      <c r="R23" s="1643"/>
      <c r="S23" s="1643"/>
      <c r="T23" s="1643"/>
      <c r="U23" s="1643"/>
      <c r="V23" s="1643"/>
      <c r="W23" s="1643"/>
      <c r="X23" s="1644"/>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6" t="str">
        <f>'WS-CBR unsoaked'!A2</f>
        <v>UJI CALIFORNIA BEARING RATIO (CBR) TANPA PERENDAMAN</v>
      </c>
      <c r="B26" s="1706"/>
      <c r="C26" s="1706"/>
      <c r="D26" s="1706"/>
      <c r="E26" s="1706"/>
      <c r="F26" s="1706"/>
      <c r="G26" s="1706"/>
      <c r="H26" s="1706"/>
      <c r="I26" s="1706"/>
      <c r="J26" s="1706"/>
      <c r="K26" s="1706"/>
      <c r="L26" s="1706"/>
      <c r="M26" s="1706"/>
      <c r="N26" s="1706"/>
      <c r="O26" s="1706"/>
      <c r="P26" s="1706"/>
      <c r="Q26" s="1706"/>
      <c r="R26" s="1706"/>
      <c r="S26" s="1706"/>
      <c r="T26" s="1706"/>
      <c r="U26" s="1705" t="s">
        <v>2</v>
      </c>
      <c r="V26" s="1704" t="str">
        <f>'DATA INDUK'!$BS$53</f>
        <v>1744:2012</v>
      </c>
      <c r="W26" s="1704"/>
      <c r="X26" s="1704"/>
    </row>
    <row r="27" spans="1:24">
      <c r="A27" s="1650" t="str">
        <f>'WS-CBR unsoaked'!A3</f>
        <v>CALIFORNIA BEARING RATIO (CBR) - UNSOAKED CONDITION TEST</v>
      </c>
      <c r="B27" s="1650"/>
      <c r="C27" s="1650"/>
      <c r="D27" s="1650"/>
      <c r="E27" s="1650"/>
      <c r="F27" s="1650"/>
      <c r="G27" s="1650"/>
      <c r="H27" s="1650"/>
      <c r="I27" s="1650"/>
      <c r="J27" s="1650"/>
      <c r="K27" s="1650"/>
      <c r="L27" s="1650"/>
      <c r="M27" s="1650"/>
      <c r="N27" s="1650"/>
      <c r="O27" s="1650"/>
      <c r="P27" s="1650"/>
      <c r="Q27" s="1650"/>
      <c r="R27" s="1650"/>
      <c r="S27" s="1650"/>
      <c r="T27" s="1650"/>
      <c r="U27" s="1705"/>
      <c r="V27" s="1704"/>
      <c r="W27" s="1704"/>
      <c r="X27" s="1704"/>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M29" s="335"/>
      <c r="O29" s="335"/>
      <c r="P29" s="335"/>
      <c r="Q29" s="335"/>
      <c r="R29" s="335"/>
      <c r="S29" s="335"/>
      <c r="T29" s="335"/>
      <c r="U29" s="335"/>
      <c r="V29" s="335"/>
      <c r="W29" s="335"/>
      <c r="X29" s="335"/>
    </row>
    <row r="30" spans="1:24">
      <c r="M30" s="335"/>
      <c r="O30" s="335"/>
      <c r="P30" s="335"/>
      <c r="Q30" s="335"/>
      <c r="R30" s="335"/>
      <c r="S30" s="335"/>
      <c r="T30" s="335"/>
      <c r="U30" s="335"/>
      <c r="V30" s="335"/>
      <c r="W30" s="335"/>
      <c r="X30" s="335"/>
    </row>
    <row r="31" spans="1:24">
      <c r="M31" s="335"/>
      <c r="O31" s="335"/>
      <c r="P31" s="335"/>
      <c r="Q31" s="335"/>
      <c r="R31" s="335"/>
      <c r="S31" s="335"/>
      <c r="T31" s="335"/>
      <c r="U31" s="335"/>
      <c r="V31" s="335"/>
      <c r="W31" s="335"/>
      <c r="X31" s="335"/>
    </row>
    <row r="32" spans="1:24">
      <c r="A32" s="1117" t="s">
        <v>1295</v>
      </c>
      <c r="B32" s="1117"/>
      <c r="C32" s="1117"/>
      <c r="D32" s="1117"/>
      <c r="E32" s="1117"/>
      <c r="F32" s="1117"/>
      <c r="G32" s="1117"/>
      <c r="H32" s="1117"/>
      <c r="I32" s="1117"/>
      <c r="J32" s="1117"/>
      <c r="K32" s="1117"/>
      <c r="L32" s="1117"/>
      <c r="M32" s="335"/>
      <c r="N32" s="1117" t="s">
        <v>1296</v>
      </c>
      <c r="O32" s="1117"/>
      <c r="P32" s="1117"/>
      <c r="Q32" s="1117"/>
      <c r="R32" s="1117"/>
      <c r="S32" s="1117"/>
      <c r="T32" s="1117"/>
      <c r="U32" s="1117"/>
      <c r="V32" s="1117"/>
      <c r="W32" s="1117"/>
      <c r="X32" s="1117"/>
    </row>
    <row r="33" spans="1:28">
      <c r="A33" s="1" t="s">
        <v>1297</v>
      </c>
      <c r="B33" s="1"/>
      <c r="C33" s="1"/>
      <c r="D33" s="1"/>
      <c r="E33" s="1"/>
      <c r="F33" s="1"/>
      <c r="G33" s="1"/>
      <c r="H33" s="1"/>
      <c r="I33" s="1"/>
      <c r="J33" s="1993" t="str">
        <f>'WS-CBR unsoaked'!B174</f>
        <v>Standard Proctor</v>
      </c>
      <c r="K33" s="1993"/>
      <c r="L33" s="1993"/>
      <c r="M33" s="335"/>
      <c r="N33" s="1" t="s">
        <v>1298</v>
      </c>
      <c r="O33" s="1"/>
      <c r="P33" s="1"/>
      <c r="Q33" s="1"/>
      <c r="R33" s="1"/>
      <c r="S33" s="1"/>
      <c r="T33" s="1"/>
      <c r="U33" s="1"/>
      <c r="V33" s="1918">
        <f>'WS-CBR unsoaked'!C181</f>
        <v>152.19999999999999</v>
      </c>
      <c r="W33" s="1918"/>
      <c r="X33" s="1918"/>
    </row>
    <row r="34" spans="1:28">
      <c r="A34" s="1" t="s">
        <v>1299</v>
      </c>
      <c r="B34" s="1"/>
      <c r="C34" s="1"/>
      <c r="D34" s="1"/>
      <c r="E34" s="1"/>
      <c r="F34" s="1"/>
      <c r="G34" s="1"/>
      <c r="H34" s="1"/>
      <c r="I34" s="1"/>
      <c r="J34" s="1993">
        <f>'WS-CBR unsoaked'!B175</f>
        <v>1.24</v>
      </c>
      <c r="K34" s="1993"/>
      <c r="L34" s="1993"/>
      <c r="M34" s="335"/>
      <c r="N34" s="1" t="s">
        <v>1300</v>
      </c>
      <c r="O34" s="1"/>
      <c r="P34" s="1"/>
      <c r="Q34" s="1"/>
      <c r="R34" s="1"/>
      <c r="S34" s="1"/>
      <c r="T34" s="1"/>
      <c r="U34" s="1"/>
      <c r="V34" s="1918">
        <f>'WS-CBR unsoaked'!C182</f>
        <v>177.8</v>
      </c>
      <c r="W34" s="1918"/>
      <c r="X34" s="1918"/>
    </row>
    <row r="35" spans="1:28">
      <c r="A35" s="1" t="s">
        <v>1301</v>
      </c>
      <c r="B35" s="1"/>
      <c r="C35" s="1"/>
      <c r="D35" s="1"/>
      <c r="E35" s="1"/>
      <c r="F35" s="1"/>
      <c r="G35" s="1"/>
      <c r="H35" s="1"/>
      <c r="I35" s="1"/>
      <c r="J35" s="1993">
        <f>'WS-CBR unsoaked'!B176</f>
        <v>16.5</v>
      </c>
      <c r="K35" s="1993"/>
      <c r="L35" s="1993"/>
      <c r="M35" s="335"/>
      <c r="N35" s="1" t="s">
        <v>1302</v>
      </c>
      <c r="O35" s="1"/>
      <c r="P35" s="1"/>
      <c r="Q35" s="1"/>
      <c r="R35" s="1"/>
      <c r="S35" s="1"/>
      <c r="T35" s="1"/>
      <c r="U35" s="1"/>
      <c r="V35" s="1918">
        <f>'WS-CBR unsoaked'!C183</f>
        <v>3234.8261323101638</v>
      </c>
      <c r="W35" s="1918"/>
      <c r="X35" s="1918"/>
      <c r="AA35" s="4"/>
    </row>
    <row r="36" spans="1:28">
      <c r="A36" s="1" t="s">
        <v>1303</v>
      </c>
      <c r="B36" s="1"/>
      <c r="C36" s="1"/>
      <c r="D36" s="1"/>
      <c r="E36" s="1"/>
      <c r="F36" s="1"/>
      <c r="G36" s="1"/>
      <c r="H36" s="1"/>
      <c r="I36" s="1"/>
      <c r="J36" s="1993">
        <f>'WS-CBR unsoaked'!B177</f>
        <v>594</v>
      </c>
      <c r="K36" s="1993"/>
      <c r="L36" s="1993"/>
      <c r="M36" s="335"/>
      <c r="N36" s="1" t="s">
        <v>1304</v>
      </c>
      <c r="O36" s="1"/>
      <c r="P36" s="1"/>
      <c r="Q36" s="1"/>
      <c r="R36" s="1"/>
      <c r="S36" s="1"/>
      <c r="T36" s="1"/>
      <c r="U36" s="1"/>
      <c r="V36" s="1918">
        <f>'WS-CBR unsoaked'!C184</f>
        <v>49.63</v>
      </c>
      <c r="W36" s="1918"/>
      <c r="X36" s="1918"/>
      <c r="AA36" s="4"/>
    </row>
    <row r="37" spans="1:28">
      <c r="B37" s="1005"/>
      <c r="C37" s="1005"/>
      <c r="D37" s="1005"/>
      <c r="E37" s="1005"/>
      <c r="F37" s="1005"/>
      <c r="H37" s="335"/>
      <c r="I37" s="338"/>
      <c r="J37" s="335"/>
      <c r="K37" s="335"/>
      <c r="L37" s="335"/>
      <c r="N37" s="1" t="s">
        <v>1305</v>
      </c>
      <c r="O37" s="1"/>
      <c r="P37" s="1"/>
      <c r="Q37" s="1"/>
      <c r="R37" s="1"/>
      <c r="S37" s="1"/>
      <c r="T37" s="1"/>
      <c r="U37" s="1"/>
      <c r="V37" s="1918">
        <f>'WS-CBR unsoaked'!C185</f>
        <v>19.350000000000001</v>
      </c>
      <c r="W37" s="1918"/>
      <c r="X37" s="1918"/>
      <c r="AA37" s="4"/>
    </row>
    <row r="38" spans="1:28">
      <c r="A38" s="335"/>
      <c r="B38" s="335"/>
      <c r="C38" s="335"/>
      <c r="D38" s="335"/>
      <c r="E38" s="335"/>
      <c r="F38" s="335"/>
      <c r="G38" s="335"/>
      <c r="H38" s="335"/>
      <c r="I38" s="338"/>
      <c r="J38" s="335"/>
      <c r="K38" s="335"/>
      <c r="L38" s="335"/>
      <c r="N38" s="1" t="s">
        <v>1307</v>
      </c>
      <c r="O38" s="1"/>
      <c r="P38" s="1"/>
      <c r="Q38" s="1"/>
      <c r="R38" s="1"/>
      <c r="S38" s="1"/>
      <c r="T38" s="1"/>
      <c r="U38" s="1"/>
      <c r="V38" s="1918">
        <f>'WS-CBR unsoaked'!C186</f>
        <v>1.27</v>
      </c>
      <c r="W38" s="1918"/>
      <c r="X38" s="1918"/>
      <c r="Z38" s="1210"/>
      <c r="AA38" s="4"/>
    </row>
    <row r="39" spans="1:28">
      <c r="A39" s="335"/>
      <c r="B39" s="335"/>
      <c r="C39" s="335"/>
      <c r="D39" s="335"/>
      <c r="E39" s="335"/>
      <c r="F39" s="335"/>
      <c r="G39" s="335"/>
      <c r="H39" s="335"/>
      <c r="I39" s="338"/>
      <c r="J39" s="335"/>
      <c r="K39" s="335"/>
      <c r="L39" s="335"/>
      <c r="O39" s="1005"/>
      <c r="P39" s="1005"/>
      <c r="Q39" s="1005"/>
      <c r="R39" s="1005"/>
      <c r="S39" s="1005"/>
      <c r="U39" s="589"/>
      <c r="V39" s="589"/>
    </row>
    <row r="41" spans="1:28">
      <c r="A41" s="1244" t="s">
        <v>1308</v>
      </c>
      <c r="B41" s="1244"/>
      <c r="C41" s="1244"/>
      <c r="D41" s="1244"/>
      <c r="E41" s="1244"/>
      <c r="F41" s="1244"/>
      <c r="G41" s="1244"/>
      <c r="H41" s="1244"/>
      <c r="I41" s="1245"/>
      <c r="J41" s="1244"/>
      <c r="K41" s="1244"/>
      <c r="L41" s="1244"/>
      <c r="M41" s="531"/>
    </row>
    <row r="42" spans="1:28">
      <c r="A42" s="1960" t="s">
        <v>1309</v>
      </c>
      <c r="B42" s="1960"/>
      <c r="C42" s="1960"/>
      <c r="D42" s="1960"/>
      <c r="E42" s="1960"/>
      <c r="F42" s="1960"/>
      <c r="G42" s="1960"/>
      <c r="H42" s="1987">
        <f>'WS-CBR unsoaked'!C189</f>
        <v>10</v>
      </c>
      <c r="I42" s="1987"/>
      <c r="J42" s="1987">
        <f>'WS-CBR unsoaked'!D189</f>
        <v>25</v>
      </c>
      <c r="K42" s="1987"/>
      <c r="L42" s="677">
        <f>'WS-CBR unsoaked'!E189</f>
        <v>56</v>
      </c>
      <c r="M42" s="15"/>
    </row>
    <row r="43" spans="1:28">
      <c r="A43" s="1960" t="s">
        <v>1110</v>
      </c>
      <c r="B43" s="1960"/>
      <c r="C43" s="1960"/>
      <c r="D43" s="1960"/>
      <c r="E43" s="1960"/>
      <c r="F43" s="1960"/>
      <c r="G43" s="1960"/>
      <c r="H43" s="1817">
        <f>'WS-CBR unsoaked'!C190</f>
        <v>1.1824087231164917</v>
      </c>
      <c r="I43" s="1817"/>
      <c r="J43" s="1817">
        <f>'WS-CBR unsoaked'!D190</f>
        <v>1.2005385322377311</v>
      </c>
      <c r="K43" s="1817"/>
      <c r="L43" s="1246">
        <f>'WS-CBR unsoaked'!E190</f>
        <v>1.250068842993334</v>
      </c>
      <c r="M43" s="15"/>
    </row>
    <row r="44" spans="1:28">
      <c r="A44" s="1960" t="s">
        <v>1310</v>
      </c>
      <c r="B44" s="1960"/>
      <c r="C44" s="1960"/>
      <c r="D44" s="1960"/>
      <c r="E44" s="1960"/>
      <c r="F44" s="1960"/>
      <c r="G44" s="1960"/>
      <c r="H44" s="1817">
        <f>'WS-CBR unsoaked'!C191</f>
        <v>35.057597539156902</v>
      </c>
      <c r="I44" s="1817"/>
      <c r="J44" s="1817">
        <f>'WS-CBR unsoaked'!D191</f>
        <v>46.047410723369602</v>
      </c>
      <c r="K44" s="1817"/>
      <c r="L44" s="1246">
        <f>'WS-CBR unsoaked'!E191</f>
        <v>46.047410723369602</v>
      </c>
      <c r="M44" s="15"/>
    </row>
    <row r="45" spans="1:28">
      <c r="A45" s="1960" t="s">
        <v>1311</v>
      </c>
      <c r="B45" s="1960"/>
      <c r="C45" s="1960"/>
      <c r="D45" s="1960"/>
      <c r="E45" s="1960"/>
      <c r="F45" s="1960"/>
      <c r="G45" s="1960"/>
      <c r="H45" s="1817">
        <f>'WS-CBR unsoaked'!C192</f>
        <v>25.013100025984741</v>
      </c>
      <c r="I45" s="1817"/>
      <c r="J45" s="1817">
        <f>'WS-CBR unsoaked'!D192</f>
        <v>23.012052023905959</v>
      </c>
      <c r="K45" s="1817"/>
      <c r="L45" s="1246">
        <f>'WS-CBR unsoaked'!E192</f>
        <v>26.013624027024136</v>
      </c>
      <c r="M45" s="15"/>
    </row>
    <row r="46" spans="1:28">
      <c r="A46" s="1960" t="s">
        <v>1312</v>
      </c>
      <c r="B46" s="1960"/>
      <c r="C46" s="1960"/>
      <c r="D46" s="1960"/>
      <c r="E46" s="1960"/>
      <c r="F46" s="1960"/>
      <c r="G46" s="1960"/>
      <c r="H46" s="1817">
        <f>'WS-CBR unsoaked'!C193</f>
        <v>29.348704030488758</v>
      </c>
      <c r="I46" s="1817"/>
      <c r="J46" s="1817">
        <f>'WS-CBR unsoaked'!D193</f>
        <v>30.015720031181687</v>
      </c>
      <c r="K46" s="1817"/>
      <c r="L46" s="1246">
        <f>'WS-CBR unsoaked'!E193</f>
        <v>30.682736031874612</v>
      </c>
      <c r="M46" s="15"/>
    </row>
    <row r="47" spans="1:28">
      <c r="A47" s="1960" t="s">
        <v>1313</v>
      </c>
      <c r="B47" s="1960"/>
      <c r="C47" s="1960"/>
      <c r="D47" s="1960"/>
      <c r="E47" s="1960"/>
      <c r="F47" s="1960"/>
      <c r="G47" s="1960"/>
      <c r="H47" s="1817">
        <f>'WS-CBR unsoaked'!C194</f>
        <v>29.348704030488758</v>
      </c>
      <c r="I47" s="1817"/>
      <c r="J47" s="1817">
        <f>'WS-CBR unsoaked'!D194</f>
        <v>30.015720031181687</v>
      </c>
      <c r="K47" s="1817"/>
      <c r="L47" s="1246">
        <f>'WS-CBR unsoaked'!E194</f>
        <v>30.682736031874612</v>
      </c>
      <c r="M47" s="15"/>
      <c r="AA47" s="1012"/>
      <c r="AB47" s="656" t="str">
        <f>"LHU No.   : "&amp; IF('DATA INDUK'!$H$17="","",'DATA INDUK'!$H$17)</f>
        <v>LHU No.   : 23/MGS/53/II/2026</v>
      </c>
    </row>
    <row r="48" spans="1:28">
      <c r="B48" s="13"/>
      <c r="C48" s="13"/>
      <c r="D48" s="13"/>
      <c r="F48" s="589"/>
      <c r="G48" s="589"/>
      <c r="M48" s="15"/>
      <c r="AA48" s="1012"/>
      <c r="AB48" s="1275" t="str">
        <f>"LAB ID.        : "&amp;'Template LHU_CBRsoaked'!$N$13&amp;""</f>
        <v>LAB ID.        : 26-001-DS-001</v>
      </c>
    </row>
    <row r="49" spans="3:30">
      <c r="AA49" s="1012" t="s">
        <v>1306</v>
      </c>
      <c r="AB49" s="1275" t="str">
        <f>"TEST TYPE   : "&amp;AA49&amp;""</f>
        <v>TEST TYPE   : CBR (Unsoaked)</v>
      </c>
    </row>
    <row r="50" spans="3:30">
      <c r="AA50" s="1276"/>
      <c r="AB50" s="1275" t="str">
        <f>"DATE            : "&amp;TEXT('DATA INDUK'!$H$19,"yyyy-mm-dd")</f>
        <v>DATE            : 2026-01-29</v>
      </c>
    </row>
    <row r="51" spans="3:30">
      <c r="AA51" s="15"/>
      <c r="AB51" s="15"/>
      <c r="AC51" s="15"/>
      <c r="AD51" s="15"/>
    </row>
    <row r="59" spans="3:30">
      <c r="T59" s="20" t="s">
        <v>1537</v>
      </c>
    </row>
    <row r="60" spans="3:30">
      <c r="C60" s="1768" t="s">
        <v>623</v>
      </c>
      <c r="D60" s="1769"/>
      <c r="E60" s="1769"/>
      <c r="F60" s="1769"/>
      <c r="G60" s="1770"/>
      <c r="H60" s="1768" t="s">
        <v>292</v>
      </c>
      <c r="I60" s="1769"/>
      <c r="J60" s="1769"/>
      <c r="K60" s="1769"/>
      <c r="L60" s="1769"/>
      <c r="M60" s="1768" t="s">
        <v>294</v>
      </c>
      <c r="N60" s="1769"/>
      <c r="O60" s="1769"/>
      <c r="P60" s="1769"/>
      <c r="Q60" s="1769"/>
      <c r="R60" s="1770"/>
      <c r="T60" s="328"/>
      <c r="U60" s="329"/>
      <c r="V60" s="329"/>
      <c r="W60" s="330"/>
    </row>
    <row r="61" spans="3:30" ht="15.95" customHeight="1">
      <c r="C61" s="1771" t="s">
        <v>624</v>
      </c>
      <c r="D61" s="1646"/>
      <c r="E61" s="1646"/>
      <c r="F61" s="1646"/>
      <c r="G61" s="1772"/>
      <c r="H61" s="1773" t="s">
        <v>293</v>
      </c>
      <c r="I61" s="1652"/>
      <c r="J61" s="1652"/>
      <c r="K61" s="1652"/>
      <c r="L61" s="1652"/>
      <c r="M61" s="1773" t="s">
        <v>295</v>
      </c>
      <c r="N61" s="1652"/>
      <c r="O61" s="1652"/>
      <c r="P61" s="1652"/>
      <c r="Q61" s="1652"/>
      <c r="R61" s="1774"/>
      <c r="T61" s="357"/>
      <c r="W61" s="331"/>
    </row>
    <row r="62" spans="3:30" ht="15.95" customHeight="1">
      <c r="C62" s="357"/>
      <c r="D62" s="359"/>
      <c r="E62" s="359"/>
      <c r="F62" s="359"/>
      <c r="G62" s="360"/>
      <c r="H62" s="357"/>
      <c r="I62"/>
      <c r="K62" s="4"/>
      <c r="M62" s="357"/>
      <c r="R62" s="331"/>
      <c r="T62" s="357"/>
      <c r="W62" s="331"/>
    </row>
    <row r="63" spans="3:30">
      <c r="C63" s="357"/>
      <c r="G63" s="331"/>
      <c r="H63" s="357"/>
      <c r="I63"/>
      <c r="K63" s="4"/>
      <c r="M63" s="357"/>
      <c r="R63" s="331"/>
      <c r="T63" s="357"/>
      <c r="W63" s="331"/>
    </row>
    <row r="64" spans="3:30">
      <c r="C64" s="357"/>
      <c r="G64" s="331"/>
      <c r="H64" s="357"/>
      <c r="I64"/>
      <c r="K64" s="4"/>
      <c r="M64" s="357"/>
      <c r="R64" s="331"/>
      <c r="T64" s="357"/>
      <c r="W64" s="331"/>
    </row>
    <row r="65" spans="1:24">
      <c r="C65" s="1777" t="str">
        <f>'WS-CBR unsoaked'!O9</f>
        <v>RAFLY</v>
      </c>
      <c r="D65" s="1632"/>
      <c r="E65" s="1632"/>
      <c r="F65" s="1632"/>
      <c r="G65" s="1778"/>
      <c r="H65" s="1777" t="str">
        <f>IF(C65='WS-CBR unsoaked'!O10," - ",'WS-CBR unsoaked'!O10)</f>
        <v>NOUFAL</v>
      </c>
      <c r="I65" s="1632"/>
      <c r="J65" s="1632"/>
      <c r="K65" s="1632"/>
      <c r="L65" s="1632"/>
      <c r="M65" s="1777" t="str">
        <f>'WS-CBR unsoaked'!O11</f>
        <v>A.SUMARTADJI</v>
      </c>
      <c r="N65" s="1632"/>
      <c r="O65" s="1632"/>
      <c r="P65" s="1632"/>
      <c r="Q65" s="1632"/>
      <c r="R65" s="1778"/>
      <c r="T65" s="357"/>
      <c r="W65" s="331"/>
    </row>
    <row r="66" spans="1:24" s="15" customFormat="1" ht="12">
      <c r="C66" s="1779" t="s">
        <v>299</v>
      </c>
      <c r="D66" s="1685"/>
      <c r="E66" s="1685"/>
      <c r="F66" s="1685"/>
      <c r="G66" s="1780"/>
      <c r="H66" s="1779" t="s">
        <v>305</v>
      </c>
      <c r="I66" s="1685"/>
      <c r="J66" s="1685"/>
      <c r="K66" s="1685"/>
      <c r="L66" s="1685"/>
      <c r="M66" s="1779" t="s">
        <v>298</v>
      </c>
      <c r="N66" s="1685"/>
      <c r="O66" s="1685"/>
      <c r="P66" s="1685"/>
      <c r="Q66" s="1685"/>
      <c r="R66" s="1780"/>
      <c r="S66" s="364"/>
      <c r="T66" s="366"/>
      <c r="U66" s="364"/>
      <c r="V66" s="364"/>
      <c r="W66" s="365"/>
      <c r="X66" s="364"/>
    </row>
    <row r="67" spans="1:24" ht="15.95" customHeight="1">
      <c r="C67" s="1783" t="s">
        <v>291</v>
      </c>
      <c r="D67" s="1784"/>
      <c r="E67" s="1775">
        <f>IF('DATA INDUK'!$H$19="","",'DATA INDUK'!$H$19-1)</f>
        <v>46050</v>
      </c>
      <c r="F67" s="1775"/>
      <c r="G67" s="1776"/>
      <c r="H67" s="1783" t="s">
        <v>291</v>
      </c>
      <c r="I67" s="1784"/>
      <c r="J67" s="1775">
        <f>IF('DATA INDUK'!$H$19="","",'DATA INDUK'!$H$19-1)</f>
        <v>46050</v>
      </c>
      <c r="K67" s="1775"/>
      <c r="L67" s="1776"/>
      <c r="M67" s="1783" t="s">
        <v>291</v>
      </c>
      <c r="N67" s="1784"/>
      <c r="O67" s="1784"/>
      <c r="P67" s="1775">
        <f>IF('DATA INDUK'!$H$19="","",'DATA INDUK'!$H$19-1)</f>
        <v>46050</v>
      </c>
      <c r="Q67" s="1775"/>
      <c r="R67" s="1776"/>
      <c r="T67" s="332"/>
      <c r="U67" s="333"/>
      <c r="V67" s="333"/>
      <c r="W67" s="334"/>
    </row>
    <row r="68" spans="1:24" ht="8.1" customHeight="1">
      <c r="A68" s="897"/>
      <c r="B68" s="898"/>
      <c r="C68" s="898"/>
      <c r="D68" s="898"/>
      <c r="E68" s="898"/>
      <c r="F68" s="898"/>
      <c r="G68" s="898"/>
      <c r="H68" s="897"/>
      <c r="I68" s="899"/>
      <c r="J68" s="898"/>
      <c r="K68" s="898"/>
      <c r="L68" s="898"/>
      <c r="M68" s="898"/>
      <c r="N68" s="898"/>
      <c r="O68" s="898"/>
      <c r="P68" s="900"/>
      <c r="Q68" s="897"/>
      <c r="R68" s="897"/>
      <c r="S68" s="897"/>
      <c r="T68" s="897"/>
      <c r="U68" s="897"/>
      <c r="V68" s="897"/>
      <c r="W68" s="897"/>
      <c r="X68" s="897"/>
    </row>
    <row r="69" spans="1:24" ht="15.95" customHeight="1">
      <c r="A69" s="1691" t="s">
        <v>899</v>
      </c>
      <c r="B69" s="1692"/>
      <c r="C69" s="1693"/>
      <c r="D69" s="965" t="s">
        <v>895</v>
      </c>
      <c r="E69" s="915"/>
      <c r="F69" s="916"/>
      <c r="G69" s="916"/>
      <c r="H69" s="916"/>
      <c r="I69" s="917"/>
      <c r="J69" s="916"/>
      <c r="K69" s="916"/>
      <c r="L69" s="918"/>
      <c r="M69" s="951" t="s">
        <v>90</v>
      </c>
      <c r="N69" s="916" t="s">
        <v>891</v>
      </c>
      <c r="O69" s="920"/>
      <c r="P69" s="920"/>
      <c r="Q69" s="920"/>
      <c r="R69" s="921"/>
      <c r="S69" s="921"/>
      <c r="T69" s="921"/>
      <c r="U69" s="921"/>
      <c r="V69" s="921"/>
      <c r="W69" s="921"/>
      <c r="X69" s="922"/>
    </row>
    <row r="70" spans="1:24">
      <c r="A70" s="1694"/>
      <c r="B70" s="1695"/>
      <c r="C70" s="1696"/>
      <c r="D70" s="966" t="s">
        <v>904</v>
      </c>
      <c r="E70" s="923"/>
      <c r="F70" s="923"/>
      <c r="G70" s="923"/>
      <c r="H70" s="923"/>
      <c r="I70" s="923"/>
      <c r="J70" s="923"/>
      <c r="K70" s="923"/>
      <c r="L70" s="924"/>
      <c r="M70" s="952" t="s">
        <v>90</v>
      </c>
      <c r="N70" s="926" t="s">
        <v>912</v>
      </c>
      <c r="O70" s="927"/>
      <c r="P70" s="927"/>
      <c r="Q70" s="927"/>
      <c r="R70" s="928"/>
      <c r="S70" s="928"/>
      <c r="T70" s="928"/>
      <c r="U70" s="928"/>
      <c r="V70" s="928"/>
      <c r="W70" s="928"/>
      <c r="X70" s="929"/>
    </row>
    <row r="71" spans="1:24" ht="15.95" customHeight="1">
      <c r="A71" s="1694"/>
      <c r="B71" s="1695"/>
      <c r="C71" s="1696"/>
      <c r="D71" s="966" t="s">
        <v>1580</v>
      </c>
      <c r="E71" s="923"/>
      <c r="F71" s="923"/>
      <c r="G71" s="923"/>
      <c r="H71" s="923"/>
      <c r="I71" s="923"/>
      <c r="J71" s="923"/>
      <c r="K71" s="923"/>
      <c r="L71" s="924"/>
      <c r="M71" s="953"/>
      <c r="N71" s="926" t="s">
        <v>1581</v>
      </c>
      <c r="O71" s="927"/>
      <c r="P71" s="927"/>
      <c r="Q71" s="927"/>
      <c r="R71" s="928"/>
      <c r="S71" s="928"/>
      <c r="T71" s="928"/>
      <c r="U71" s="928"/>
      <c r="V71" s="928"/>
      <c r="W71" s="928"/>
      <c r="X71" s="929"/>
    </row>
    <row r="72" spans="1:24" ht="15.95" customHeight="1">
      <c r="A72" s="1694"/>
      <c r="B72" s="1695"/>
      <c r="C72" s="1696"/>
      <c r="D72" s="966" t="s">
        <v>1322</v>
      </c>
      <c r="E72" s="923"/>
      <c r="F72" s="923"/>
      <c r="G72" s="923"/>
      <c r="H72" s="923"/>
      <c r="I72" s="923"/>
      <c r="J72" s="923"/>
      <c r="K72" s="923"/>
      <c r="L72" s="924"/>
      <c r="M72" s="952" t="s">
        <v>90</v>
      </c>
      <c r="N72" s="926" t="s">
        <v>898</v>
      </c>
      <c r="O72" s="931"/>
      <c r="P72" s="932"/>
      <c r="Q72" s="933"/>
      <c r="R72" s="934"/>
      <c r="S72" s="934"/>
      <c r="T72" s="934"/>
      <c r="U72" s="934"/>
      <c r="V72" s="934"/>
      <c r="W72" s="934"/>
      <c r="X72" s="935"/>
    </row>
    <row r="73" spans="1:24" ht="15.95" customHeight="1">
      <c r="A73" s="1697"/>
      <c r="B73" s="1698"/>
      <c r="C73" s="1699"/>
      <c r="D73" s="967" t="s">
        <v>897</v>
      </c>
      <c r="E73" s="936"/>
      <c r="F73" s="936"/>
      <c r="G73" s="936"/>
      <c r="H73" s="936"/>
      <c r="I73" s="936"/>
      <c r="J73" s="936"/>
      <c r="K73" s="936"/>
      <c r="L73" s="937"/>
      <c r="M73" s="954"/>
      <c r="N73" s="939" t="s">
        <v>894</v>
      </c>
      <c r="O73" s="940"/>
      <c r="P73" s="940"/>
      <c r="Q73" s="940"/>
      <c r="R73" s="940"/>
      <c r="S73" s="941"/>
      <c r="T73" s="940"/>
      <c r="U73" s="940"/>
      <c r="V73" s="941"/>
      <c r="W73" s="941"/>
      <c r="X73" s="942"/>
    </row>
    <row r="74" spans="1:24" ht="12" customHeight="1">
      <c r="B74" s="353"/>
      <c r="C74" s="353"/>
      <c r="D74" s="353"/>
      <c r="E74" s="353"/>
      <c r="F74" s="353"/>
      <c r="G74" s="353"/>
      <c r="J74" s="353"/>
      <c r="K74" s="353"/>
      <c r="L74" s="353"/>
      <c r="M74" s="353"/>
      <c r="N74" s="353"/>
      <c r="O74" s="353"/>
      <c r="P74" s="19"/>
      <c r="T74" s="1002" t="str">
        <f>'DATA INDUK'!$BT$53</f>
        <v>23-MINEARTH-RM-LHU-CBR-U-R0</v>
      </c>
    </row>
    <row r="75" spans="1:24" s="326" customFormat="1" ht="15" customHeight="1">
      <c r="A75" s="361" t="s">
        <v>892</v>
      </c>
      <c r="B75" s="893"/>
      <c r="C75" s="893"/>
      <c r="D75" s="893"/>
      <c r="E75" s="893"/>
      <c r="F75" s="893"/>
      <c r="G75" s="893"/>
      <c r="H75" s="893"/>
      <c r="I75" s="894"/>
      <c r="J75" s="893"/>
      <c r="K75" s="361" t="s">
        <v>1330</v>
      </c>
      <c r="L75" s="893"/>
      <c r="M75" s="893"/>
      <c r="N75" s="893"/>
      <c r="O75" s="893"/>
      <c r="P75" s="893"/>
      <c r="Q75" s="893"/>
      <c r="R75" s="893"/>
      <c r="S75" s="361" t="s">
        <v>285</v>
      </c>
      <c r="T75" s="893"/>
      <c r="U75" s="895"/>
      <c r="V75" s="893"/>
      <c r="W75" s="893"/>
      <c r="X75" s="893"/>
    </row>
    <row r="76" spans="1:24" ht="15" customHeight="1">
      <c r="A76" s="361" t="s">
        <v>283</v>
      </c>
      <c r="B76" s="892"/>
      <c r="C76" s="892"/>
      <c r="D76" s="892"/>
      <c r="E76" s="892"/>
      <c r="F76" s="892"/>
      <c r="G76" s="892"/>
      <c r="H76" s="892"/>
      <c r="I76" s="891"/>
      <c r="J76" s="892"/>
      <c r="K76" s="361" t="s">
        <v>296</v>
      </c>
      <c r="L76" s="892"/>
      <c r="M76" s="892"/>
      <c r="N76" s="892"/>
      <c r="O76" s="892"/>
      <c r="P76" s="892"/>
      <c r="Q76" s="892"/>
      <c r="R76" s="892"/>
      <c r="S76" s="361" t="s">
        <v>289</v>
      </c>
      <c r="T76" s="892"/>
      <c r="U76" s="892"/>
      <c r="V76" s="892"/>
      <c r="W76" s="892"/>
      <c r="X76" s="892"/>
    </row>
    <row r="77" spans="1:24">
      <c r="A77" s="892"/>
      <c r="B77" s="361"/>
      <c r="C77" s="361"/>
      <c r="D77" s="361"/>
      <c r="E77" s="361"/>
      <c r="F77" s="361"/>
      <c r="G77" s="361"/>
      <c r="H77" s="336"/>
      <c r="I77" s="891"/>
      <c r="J77" s="336"/>
      <c r="K77" s="892"/>
      <c r="L77" s="336"/>
      <c r="M77" s="336"/>
      <c r="N77" s="336"/>
      <c r="O77" s="336"/>
      <c r="P77" s="892"/>
      <c r="Q77" s="336"/>
      <c r="R77" s="892"/>
      <c r="S77" s="892"/>
      <c r="T77" s="336"/>
      <c r="U77" s="336"/>
      <c r="V77" s="336"/>
      <c r="W77" s="336"/>
      <c r="X77" s="336"/>
    </row>
    <row r="78" spans="1:24" ht="8.1" customHeight="1">
      <c r="A78" s="892"/>
      <c r="B78" s="892"/>
      <c r="C78" s="892"/>
      <c r="D78" s="892"/>
      <c r="E78" s="892"/>
      <c r="F78" s="892"/>
      <c r="G78" s="892"/>
      <c r="H78" s="892"/>
      <c r="I78" s="891"/>
      <c r="J78" s="892"/>
      <c r="K78" s="892"/>
      <c r="L78" s="892"/>
      <c r="M78" s="892"/>
      <c r="N78" s="892"/>
      <c r="O78" s="892"/>
      <c r="P78" s="892"/>
      <c r="Q78" s="892"/>
      <c r="R78" s="892"/>
      <c r="S78" s="892"/>
      <c r="T78" s="892"/>
      <c r="U78" s="892"/>
      <c r="V78" s="892"/>
      <c r="W78" s="892"/>
      <c r="X78" s="892"/>
    </row>
    <row r="79" spans="1:24" ht="23.25">
      <c r="F79" s="1681" t="s">
        <v>302</v>
      </c>
      <c r="G79" s="1681"/>
      <c r="H79" s="1681"/>
      <c r="I79" s="1681"/>
      <c r="J79" s="1681"/>
      <c r="K79" s="1681"/>
      <c r="L79" s="1681"/>
      <c r="M79" s="1681"/>
      <c r="N79" s="1681"/>
      <c r="O79" s="1681"/>
      <c r="P79" s="1681"/>
      <c r="Q79" s="1681"/>
      <c r="R79" s="1681"/>
      <c r="S79" s="1681"/>
      <c r="T79" s="1681"/>
    </row>
    <row r="80" spans="1:24" ht="20.25">
      <c r="F80" s="1682" t="s">
        <v>1582</v>
      </c>
      <c r="G80" s="1682"/>
      <c r="H80" s="1682"/>
      <c r="I80" s="1682"/>
      <c r="J80" s="1682"/>
      <c r="K80" s="1682"/>
      <c r="L80" s="1682"/>
      <c r="M80" s="1682"/>
      <c r="N80" s="1682"/>
      <c r="O80" s="1682"/>
      <c r="P80" s="1682"/>
      <c r="Q80" s="1682"/>
      <c r="R80" s="1682"/>
      <c r="S80" s="1682"/>
      <c r="T80" s="1682"/>
    </row>
    <row r="81" spans="1:24">
      <c r="F81" s="1683" t="s">
        <v>304</v>
      </c>
      <c r="G81" s="1683"/>
      <c r="H81" s="1683"/>
      <c r="I81" s="1683"/>
      <c r="J81" s="1683"/>
      <c r="K81" s="1683"/>
      <c r="L81" s="1683"/>
      <c r="M81" s="1683"/>
      <c r="N81" s="1683"/>
      <c r="O81" s="1683"/>
      <c r="P81" s="1683"/>
      <c r="Q81" s="1683"/>
      <c r="R81" s="1683"/>
      <c r="S81" s="1683"/>
      <c r="T81" s="1683"/>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80" t="s">
        <v>1346</v>
      </c>
      <c r="B84" s="1680"/>
      <c r="C84" s="1680"/>
      <c r="D84" s="1680"/>
      <c r="E84" s="656"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5" t="s">
        <v>1347</v>
      </c>
      <c r="B85" s="1635"/>
      <c r="C85" s="1635"/>
      <c r="D85" s="1635"/>
      <c r="E85" s="794" t="str">
        <f>":  "&amp;IF('DATA INDUK'!$H$18="","",'DATA INDUK'!$H$18)</f>
        <v>:  R0</v>
      </c>
      <c r="G85" s="672"/>
      <c r="H85" s="672"/>
      <c r="I85" s="1127"/>
      <c r="J85" s="672" t="s">
        <v>1348</v>
      </c>
      <c r="K85" s="672"/>
      <c r="L85" s="672"/>
      <c r="M85" s="1636" t="str">
        <f>":  "&amp;IF('DATA INDUK'!$H$19="","",TEXT('DATA INDUK'!$H$19,"dd mmmm yyyy"))</f>
        <v>:  29 January 2026</v>
      </c>
      <c r="N85" s="1636"/>
      <c r="O85" s="1636"/>
      <c r="P85" s="1636"/>
      <c r="Q85" s="1636"/>
      <c r="R85" s="1194"/>
      <c r="S85" s="1127"/>
      <c r="T85" s="1649" t="s">
        <v>1349</v>
      </c>
      <c r="U85" s="1649"/>
      <c r="V85" s="1649"/>
      <c r="W85" s="1635" t="str">
        <f>":  2 dari 3"</f>
        <v>:  2 dari 3</v>
      </c>
      <c r="X85" s="1635"/>
    </row>
    <row r="86" spans="1:24" ht="8.1" customHeight="1"/>
    <row r="87" spans="1:24">
      <c r="A87" s="1878" t="s">
        <v>288</v>
      </c>
      <c r="B87" s="1878"/>
      <c r="C87" s="1878"/>
      <c r="D87" s="1878"/>
      <c r="E87" s="1878"/>
      <c r="F87" s="1878"/>
      <c r="G87" s="1878"/>
      <c r="H87" s="1878"/>
      <c r="I87" s="1878"/>
      <c r="J87" s="1878"/>
      <c r="K87" s="1878"/>
      <c r="L87" s="1878"/>
      <c r="M87" s="1878"/>
      <c r="N87" s="1878"/>
      <c r="O87" s="1878"/>
      <c r="P87" s="1878"/>
      <c r="Q87" s="1878"/>
      <c r="R87" s="1878"/>
      <c r="S87" s="1878"/>
      <c r="T87" s="1878"/>
      <c r="U87" s="1878"/>
      <c r="V87" s="1878"/>
      <c r="W87" s="1878"/>
      <c r="X87" s="1878"/>
    </row>
    <row r="89" spans="1:24">
      <c r="A89" s="710"/>
      <c r="B89" s="576"/>
      <c r="C89" s="576"/>
    </row>
    <row r="91" spans="1:24">
      <c r="A91" s="540" t="s">
        <v>1323</v>
      </c>
      <c r="B91" s="540"/>
      <c r="C91" s="540"/>
      <c r="D91" s="540"/>
      <c r="E91" s="540"/>
      <c r="F91" s="540"/>
      <c r="G91" s="540"/>
      <c r="H91" s="540"/>
      <c r="I91" s="976"/>
      <c r="J91" s="540"/>
      <c r="K91" s="540" t="s">
        <v>1314</v>
      </c>
      <c r="L91" s="540"/>
      <c r="M91" s="540"/>
      <c r="N91" s="540"/>
      <c r="P91" s="1247"/>
      <c r="Q91" s="1247"/>
      <c r="R91" s="1247"/>
      <c r="S91" s="1247"/>
      <c r="T91" s="1247"/>
      <c r="W91" s="4"/>
      <c r="X91" s="540"/>
    </row>
    <row r="92" spans="1:24" ht="15.95" customHeight="1">
      <c r="A92" s="1262" t="s">
        <v>1324</v>
      </c>
      <c r="H92" s="1226"/>
      <c r="K92" s="1248" t="s">
        <v>1317</v>
      </c>
      <c r="P92" s="1127"/>
      <c r="Q92" s="1127"/>
      <c r="R92" s="1127"/>
      <c r="S92" s="1127"/>
      <c r="T92" s="1127"/>
      <c r="U92" s="13"/>
      <c r="V92" s="13"/>
      <c r="W92" s="15"/>
    </row>
    <row r="93" spans="1:24" ht="15.95" customHeight="1">
      <c r="H93" s="1226"/>
      <c r="J93" s="15"/>
      <c r="Q93" s="13"/>
      <c r="R93" s="13"/>
      <c r="S93" s="13"/>
      <c r="T93" s="13"/>
      <c r="U93" s="13"/>
      <c r="V93" s="13"/>
      <c r="W93" s="15"/>
    </row>
    <row r="94" spans="1:24" ht="15.95" customHeight="1">
      <c r="B94" s="2122" t="s">
        <v>1325</v>
      </c>
      <c r="C94" s="2122"/>
      <c r="D94" s="2122"/>
      <c r="E94" s="2122"/>
      <c r="F94" s="2122"/>
      <c r="G94" s="2123" t="s">
        <v>1326</v>
      </c>
      <c r="H94" s="2123"/>
      <c r="I94" s="2123"/>
      <c r="J94" s="15"/>
      <c r="Q94" s="13"/>
      <c r="R94" s="13"/>
      <c r="S94" s="13"/>
      <c r="T94" s="13"/>
      <c r="U94" s="13"/>
      <c r="V94" s="13"/>
      <c r="W94" s="15"/>
    </row>
    <row r="95" spans="1:24">
      <c r="B95" s="2120" t="s">
        <v>1315</v>
      </c>
      <c r="C95" s="2120"/>
      <c r="D95" s="2120" t="s">
        <v>1316</v>
      </c>
      <c r="E95" s="2120"/>
      <c r="F95" s="2120"/>
      <c r="G95" s="2124" t="s">
        <v>1020</v>
      </c>
      <c r="H95" s="2124"/>
      <c r="I95" s="2124"/>
      <c r="J95" s="15"/>
      <c r="Q95" s="13"/>
      <c r="R95" s="13"/>
      <c r="S95" s="13"/>
      <c r="T95" s="13"/>
      <c r="U95" s="13"/>
      <c r="V95" s="13"/>
      <c r="W95" s="589"/>
    </row>
    <row r="96" spans="1:24">
      <c r="A96" s="15"/>
      <c r="B96" s="1914">
        <f>'WS-CBR unsoaked'!C146</f>
        <v>100</v>
      </c>
      <c r="C96" s="1914"/>
      <c r="D96" s="1914">
        <f>IF(B96="","",'WS-CBR unsoaked'!D146)</f>
        <v>1.24</v>
      </c>
      <c r="E96" s="1914"/>
      <c r="F96" s="1914"/>
      <c r="G96" s="1914">
        <f>IF(B96="","",'WS-CBR unsoaked'!E146)</f>
        <v>30.7</v>
      </c>
      <c r="H96" s="1914"/>
      <c r="I96" s="1914"/>
      <c r="J96" s="589"/>
    </row>
    <row r="97" spans="1:24">
      <c r="A97" s="15"/>
      <c r="B97" s="1914">
        <f>'WS-CBR unsoaked'!C147</f>
        <v>98</v>
      </c>
      <c r="C97" s="1914"/>
      <c r="D97" s="1914">
        <f>IF(B97="","",'WS-CBR unsoaked'!D147)</f>
        <v>1.22</v>
      </c>
      <c r="E97" s="1914"/>
      <c r="F97" s="1914"/>
      <c r="G97" s="1914">
        <f>IF(B97="","",'WS-CBR unsoaked'!E147)</f>
        <v>30.4</v>
      </c>
      <c r="H97" s="1914"/>
      <c r="I97" s="1914"/>
    </row>
    <row r="98" spans="1:24">
      <c r="A98" s="15"/>
      <c r="B98" s="1914" t="str">
        <f>'WS-CBR unsoaked'!C148</f>
        <v/>
      </c>
      <c r="C98" s="1914"/>
      <c r="D98" s="1914" t="str">
        <f>IF(B98="","",'WS-CBR unsoaked'!D148)</f>
        <v/>
      </c>
      <c r="E98" s="1914"/>
      <c r="F98" s="1914"/>
      <c r="G98" s="1914" t="str">
        <f>IF(B98="","",'WS-CBR unsoaked'!E148)</f>
        <v/>
      </c>
      <c r="H98" s="1914"/>
      <c r="I98" s="1914"/>
    </row>
    <row r="99" spans="1:24" ht="21.95" customHeight="1">
      <c r="B99" s="1261"/>
      <c r="C99" s="1261"/>
      <c r="D99" s="1261"/>
      <c r="E99" s="1261"/>
      <c r="F99" s="1261"/>
      <c r="G99" s="1261"/>
      <c r="H99" s="1261"/>
      <c r="I99" s="1261"/>
    </row>
    <row r="100" spans="1:24" ht="15.75" customHeight="1">
      <c r="B100" s="2121" t="str">
        <f>IF(OR(COUNTIF(D96:F98,"*ND*")&gt;0,COUNTIF(G96:I98,"*ND*")&gt;0),"ND = Tidak dapat ditentukan karena target kepadatan berada di luar rentang data pengujian. / ND = Not determined because the target density is outside the tested data range.","")</f>
        <v/>
      </c>
      <c r="C100" s="2121"/>
      <c r="D100" s="2121"/>
      <c r="E100" s="2121"/>
      <c r="F100" s="2121"/>
      <c r="G100" s="2121"/>
      <c r="H100" s="2121"/>
      <c r="I100" s="2121"/>
    </row>
    <row r="101" spans="1:24">
      <c r="B101" s="2121"/>
      <c r="C101" s="2121"/>
      <c r="D101" s="2121"/>
      <c r="E101" s="2121"/>
      <c r="F101" s="2121"/>
      <c r="G101" s="2121"/>
      <c r="H101" s="2121"/>
      <c r="I101" s="2121"/>
    </row>
    <row r="108" spans="1:24">
      <c r="A108" s="710"/>
      <c r="B108" s="576"/>
      <c r="C108" s="576"/>
    </row>
    <row r="109" spans="1:24">
      <c r="A109" s="540" t="s">
        <v>1318</v>
      </c>
    </row>
    <row r="110" spans="1:24">
      <c r="A110" s="1248" t="s">
        <v>1319</v>
      </c>
      <c r="B110" s="540"/>
      <c r="C110" s="540"/>
      <c r="D110" s="540"/>
      <c r="E110" s="540"/>
      <c r="F110" s="540"/>
      <c r="G110" s="540"/>
      <c r="H110" s="540"/>
      <c r="I110" s="540"/>
      <c r="J110" s="540"/>
      <c r="K110" s="540"/>
      <c r="L110" s="540"/>
      <c r="M110" s="540"/>
      <c r="N110" s="540"/>
      <c r="O110" s="540"/>
      <c r="P110" s="540"/>
      <c r="Q110" s="540"/>
      <c r="R110" s="540"/>
      <c r="S110" s="540"/>
      <c r="T110" s="540"/>
      <c r="U110" s="540"/>
      <c r="V110" s="540"/>
      <c r="W110" s="540"/>
      <c r="X110" s="540"/>
    </row>
    <row r="136" spans="1:24" ht="9" customHeight="1"/>
    <row r="139" spans="1:24">
      <c r="H139" s="686"/>
      <c r="I139" s="687"/>
      <c r="J139" s="686"/>
      <c r="K139" s="686"/>
      <c r="L139" s="686"/>
      <c r="M139" s="686"/>
      <c r="N139" s="686"/>
      <c r="O139" s="686"/>
      <c r="P139" s="686"/>
      <c r="Q139" s="686"/>
      <c r="R139" s="686"/>
      <c r="S139" s="686"/>
      <c r="U139" s="20" t="s">
        <v>1537</v>
      </c>
      <c r="V139" s="686"/>
      <c r="W139" s="686"/>
      <c r="X139" s="686"/>
    </row>
    <row r="140" spans="1:24">
      <c r="A140" s="700" t="s">
        <v>297</v>
      </c>
      <c r="B140" s="338"/>
      <c r="C140" s="338"/>
      <c r="D140" s="4"/>
      <c r="E140" s="4"/>
      <c r="F140" s="4"/>
      <c r="G140" s="690"/>
      <c r="H140" s="1798" t="s">
        <v>623</v>
      </c>
      <c r="I140" s="1798"/>
      <c r="J140" s="1798"/>
      <c r="K140" s="1799"/>
      <c r="L140" s="1800" t="s">
        <v>292</v>
      </c>
      <c r="M140" s="1800"/>
      <c r="N140" s="1800"/>
      <c r="O140" s="1801"/>
      <c r="P140" s="1802" t="s">
        <v>294</v>
      </c>
      <c r="Q140" s="1798"/>
      <c r="R140" s="1798"/>
      <c r="S140" s="1799"/>
      <c r="U140" s="698"/>
      <c r="V140" s="688"/>
      <c r="W140" s="688"/>
      <c r="X140" s="694"/>
    </row>
    <row r="141" spans="1:24" ht="15.95" customHeight="1">
      <c r="G141" s="691"/>
      <c r="H141" s="1675" t="s">
        <v>624</v>
      </c>
      <c r="I141" s="1675"/>
      <c r="J141" s="1675"/>
      <c r="K141" s="1785"/>
      <c r="L141" s="1675" t="s">
        <v>293</v>
      </c>
      <c r="M141" s="1675"/>
      <c r="N141" s="1675"/>
      <c r="O141" s="1785"/>
      <c r="P141" s="1794" t="s">
        <v>295</v>
      </c>
      <c r="Q141" s="1675"/>
      <c r="R141" s="1675"/>
      <c r="S141" s="1785"/>
      <c r="U141" s="697"/>
      <c r="X141" s="691"/>
    </row>
    <row r="142" spans="1:24">
      <c r="G142" s="691"/>
      <c r="I142" s="911"/>
      <c r="J142" s="911"/>
      <c r="K142" s="1121"/>
      <c r="O142" s="690"/>
      <c r="P142" s="697"/>
      <c r="S142" s="691"/>
      <c r="U142" s="697"/>
      <c r="X142" s="691"/>
    </row>
    <row r="143" spans="1:24">
      <c r="G143" s="691"/>
      <c r="H143" s="911"/>
      <c r="I143" s="911"/>
      <c r="J143" s="911"/>
      <c r="K143" s="1121"/>
      <c r="O143" s="690"/>
      <c r="P143" s="697"/>
      <c r="S143" s="691"/>
      <c r="U143" s="697"/>
      <c r="X143" s="691"/>
    </row>
    <row r="144" spans="1:24">
      <c r="G144" s="691"/>
      <c r="H144" s="911"/>
      <c r="I144" s="911"/>
      <c r="J144" s="911"/>
      <c r="K144" s="1121"/>
      <c r="O144" s="690"/>
      <c r="P144" s="697"/>
      <c r="S144" s="691"/>
      <c r="U144" s="697"/>
      <c r="X144" s="691"/>
    </row>
    <row r="145" spans="1:27">
      <c r="G145" s="691"/>
      <c r="H145" s="1797" t="str">
        <f>C65</f>
        <v>RAFLY</v>
      </c>
      <c r="I145" s="1665"/>
      <c r="J145" s="1665"/>
      <c r="K145" s="1796"/>
      <c r="L145" s="1665" t="str">
        <f>H65</f>
        <v>NOUFAL</v>
      </c>
      <c r="M145" s="1665"/>
      <c r="N145" s="1665"/>
      <c r="O145" s="1796"/>
      <c r="P145" s="1797" t="str">
        <f>M65</f>
        <v>A.SUMARTADJI</v>
      </c>
      <c r="Q145" s="1665"/>
      <c r="R145" s="1665"/>
      <c r="S145" s="1796"/>
      <c r="U145" s="697"/>
      <c r="X145" s="691"/>
    </row>
    <row r="146" spans="1:27">
      <c r="G146" s="691"/>
      <c r="H146" s="1668" t="str">
        <f>C66</f>
        <v>Teknisi/Analis</v>
      </c>
      <c r="I146" s="1668"/>
      <c r="J146" s="1668"/>
      <c r="K146" s="1755"/>
      <c r="L146" s="1668" t="str">
        <f>H66</f>
        <v>Koordinator Teknis</v>
      </c>
      <c r="M146" s="1668"/>
      <c r="N146" s="1668"/>
      <c r="O146" s="1755"/>
      <c r="P146" s="1754" t="str">
        <f>M66</f>
        <v>Kepala Laboratorium</v>
      </c>
      <c r="Q146" s="1668"/>
      <c r="R146" s="1668"/>
      <c r="S146" s="1755"/>
      <c r="U146" s="699"/>
      <c r="V146" s="358"/>
      <c r="W146" s="358"/>
      <c r="X146" s="695"/>
      <c r="Y146" s="358"/>
      <c r="Z146" s="358"/>
      <c r="AA146" s="358"/>
    </row>
    <row r="147" spans="1:27" ht="15.95" customHeight="1">
      <c r="G147" s="691"/>
      <c r="H147" s="1803" t="s">
        <v>291</v>
      </c>
      <c r="I147" s="1803"/>
      <c r="J147" s="1804">
        <f>E67</f>
        <v>46050</v>
      </c>
      <c r="K147" s="1805"/>
      <c r="L147" s="1806" t="s">
        <v>300</v>
      </c>
      <c r="M147" s="1806"/>
      <c r="N147" s="1807">
        <f>J67</f>
        <v>46050</v>
      </c>
      <c r="O147" s="1808"/>
      <c r="P147" s="1809" t="s">
        <v>301</v>
      </c>
      <c r="Q147" s="1810"/>
      <c r="R147" s="1792">
        <f>P67</f>
        <v>46050</v>
      </c>
      <c r="S147" s="1793"/>
      <c r="U147" s="692"/>
      <c r="V147" s="693"/>
      <c r="W147" s="693"/>
      <c r="X147" s="696"/>
    </row>
    <row r="148" spans="1:27" ht="8.1" customHeight="1">
      <c r="H148" s="688"/>
      <c r="I148" s="689"/>
      <c r="J148" s="688"/>
      <c r="K148" s="688"/>
      <c r="L148" s="688"/>
      <c r="M148" s="688"/>
      <c r="N148" s="688"/>
      <c r="O148" s="688"/>
      <c r="P148" s="688"/>
      <c r="Q148" s="688"/>
      <c r="R148" s="688"/>
      <c r="S148" s="688"/>
    </row>
    <row r="149" spans="1:27" ht="18" customHeight="1">
      <c r="B149" s="356"/>
      <c r="C149" s="356"/>
      <c r="D149" s="356"/>
      <c r="E149" s="356"/>
      <c r="T149" s="684" t="str">
        <f>$T$74</f>
        <v>23-MINEARTH-RM-LHU-CBR-U-R0</v>
      </c>
      <c r="U149" s="367"/>
      <c r="V149" s="367"/>
      <c r="W149" s="367"/>
      <c r="X149" s="367"/>
    </row>
    <row r="150" spans="1:27" ht="18" customHeight="1">
      <c r="F150" s="1681" t="s">
        <v>302</v>
      </c>
      <c r="G150" s="1681"/>
      <c r="H150" s="1681"/>
      <c r="I150" s="1681"/>
      <c r="J150" s="1681"/>
      <c r="K150" s="1681"/>
      <c r="L150" s="1681"/>
      <c r="M150" s="1681"/>
      <c r="N150" s="1681"/>
      <c r="O150" s="1681"/>
      <c r="P150" s="1681"/>
      <c r="Q150" s="1681"/>
      <c r="R150" s="1681"/>
      <c r="S150" s="1681"/>
      <c r="T150" s="1681"/>
    </row>
    <row r="151" spans="1:27" ht="17.100000000000001" customHeight="1">
      <c r="F151" s="1682" t="s">
        <v>1582</v>
      </c>
      <c r="G151" s="1682"/>
      <c r="H151" s="1682"/>
      <c r="I151" s="1682"/>
      <c r="J151" s="1682"/>
      <c r="K151" s="1682"/>
      <c r="L151" s="1682"/>
      <c r="M151" s="1682"/>
      <c r="N151" s="1682"/>
      <c r="O151" s="1682"/>
      <c r="P151" s="1682"/>
      <c r="Q151" s="1682"/>
      <c r="R151" s="1682"/>
      <c r="S151" s="1682"/>
      <c r="T151" s="1682"/>
    </row>
    <row r="152" spans="1:27">
      <c r="F152" s="1683" t="s">
        <v>304</v>
      </c>
      <c r="G152" s="1683"/>
      <c r="H152" s="1683"/>
      <c r="I152" s="1683"/>
      <c r="J152" s="1683"/>
      <c r="K152" s="1683"/>
      <c r="L152" s="1683"/>
      <c r="M152" s="1683"/>
      <c r="N152" s="1683"/>
      <c r="O152" s="1683"/>
      <c r="P152" s="1683"/>
      <c r="Q152" s="1683"/>
      <c r="R152" s="1683"/>
      <c r="S152" s="1683"/>
      <c r="T152" s="1683"/>
    </row>
    <row r="153" spans="1:27" ht="8.1" customHeight="1">
      <c r="A153" s="333"/>
      <c r="B153" s="333"/>
      <c r="C153" s="333"/>
      <c r="D153" s="333"/>
      <c r="E153" s="333"/>
      <c r="F153" s="333"/>
      <c r="G153" s="333"/>
      <c r="H153" s="333"/>
      <c r="I153" s="337"/>
      <c r="J153" s="333"/>
      <c r="K153" s="333"/>
      <c r="L153" s="333"/>
      <c r="M153" s="333"/>
      <c r="N153" s="333"/>
      <c r="O153" s="333"/>
      <c r="P153" s="333"/>
      <c r="Q153" s="333"/>
      <c r="R153" s="333"/>
      <c r="S153" s="333"/>
      <c r="T153" s="333"/>
      <c r="U153" s="333"/>
      <c r="V153" s="333"/>
      <c r="W153" s="333"/>
      <c r="X153" s="333"/>
    </row>
    <row r="154" spans="1:27" ht="8.1" customHeight="1"/>
    <row r="155" spans="1:27">
      <c r="A155" s="1680" t="s">
        <v>1346</v>
      </c>
      <c r="B155" s="1680"/>
      <c r="C155" s="1680"/>
      <c r="D155" s="1680"/>
      <c r="E155" s="656" t="str">
        <f>":  " &amp; IF('DATA INDUK'!$H$17="","",'DATA INDUK'!$H$17)</f>
        <v>:  23/MGS/53/II/2026</v>
      </c>
      <c r="G155" s="340"/>
      <c r="H155" s="340"/>
      <c r="I155" s="16"/>
      <c r="J155" s="340"/>
      <c r="K155" s="335"/>
      <c r="L155" s="335"/>
      <c r="M155" s="335"/>
      <c r="N155" s="335"/>
      <c r="O155" s="335"/>
      <c r="P155" s="335"/>
      <c r="Q155" s="335"/>
      <c r="R155" s="335"/>
      <c r="S155" s="335"/>
      <c r="T155" s="335"/>
      <c r="U155" s="335"/>
      <c r="V155" s="335"/>
      <c r="W155" s="335"/>
      <c r="X155" s="335"/>
    </row>
    <row r="156" spans="1:27">
      <c r="A156" s="1635" t="s">
        <v>1347</v>
      </c>
      <c r="B156" s="1635"/>
      <c r="C156" s="1635"/>
      <c r="D156" s="1635"/>
      <c r="E156" s="794" t="str">
        <f>":  "&amp;IF('DATA INDUK'!$H$18="","",'DATA INDUK'!$H$18)</f>
        <v>:  R0</v>
      </c>
      <c r="G156" s="672"/>
      <c r="H156" s="672"/>
      <c r="I156" s="1127"/>
      <c r="J156" s="672" t="s">
        <v>1348</v>
      </c>
      <c r="K156" s="672"/>
      <c r="L156" s="672"/>
      <c r="M156" s="1636" t="str">
        <f>":  "&amp;IF('DATA INDUK'!$H$19="","",TEXT('DATA INDUK'!$H$19,"dd mmmm yyyy"))</f>
        <v>:  29 January 2026</v>
      </c>
      <c r="N156" s="1636"/>
      <c r="O156" s="1636"/>
      <c r="P156" s="1636"/>
      <c r="Q156" s="1636"/>
      <c r="R156" s="1194"/>
      <c r="S156" s="1127"/>
      <c r="T156" s="1649" t="s">
        <v>1349</v>
      </c>
      <c r="U156" s="1649"/>
      <c r="V156" s="1649"/>
      <c r="W156" s="1635" t="str">
        <f>":  3 dari 3"</f>
        <v>:  3 dari 3</v>
      </c>
      <c r="X156" s="1635"/>
    </row>
    <row r="157" spans="1:27" ht="8.25" customHeight="1"/>
    <row r="158" spans="1:27" ht="21.75" customHeight="1">
      <c r="A158" s="1878" t="s">
        <v>288</v>
      </c>
      <c r="B158" s="1878"/>
      <c r="C158" s="1878"/>
      <c r="D158" s="1878"/>
      <c r="E158" s="1878"/>
      <c r="F158" s="1878"/>
      <c r="G158" s="1878"/>
      <c r="H158" s="1878"/>
      <c r="I158" s="1878"/>
      <c r="J158" s="1878"/>
      <c r="K158" s="1878"/>
      <c r="L158" s="1878"/>
      <c r="M158" s="1878"/>
      <c r="N158" s="1878"/>
      <c r="O158" s="1878"/>
      <c r="P158" s="1878"/>
      <c r="Q158" s="1878"/>
      <c r="R158" s="1878"/>
      <c r="S158" s="1878"/>
      <c r="T158" s="1878"/>
      <c r="U158" s="1878"/>
      <c r="V158" s="1878"/>
      <c r="W158" s="1878"/>
      <c r="X158" s="1878"/>
    </row>
    <row r="160" spans="1:27">
      <c r="A160" s="710"/>
      <c r="B160" s="576"/>
      <c r="C160" s="576"/>
    </row>
    <row r="209" spans="1:24">
      <c r="H209" s="686"/>
      <c r="I209" s="687"/>
      <c r="J209" s="686"/>
      <c r="K209" s="686"/>
      <c r="L209" s="686"/>
      <c r="M209" s="686"/>
      <c r="N209" s="686"/>
      <c r="O209" s="686"/>
      <c r="P209" s="686"/>
      <c r="Q209" s="686"/>
      <c r="R209" s="686"/>
      <c r="S209" s="686"/>
      <c r="U209" s="20" t="s">
        <v>1537</v>
      </c>
      <c r="V209" s="686"/>
      <c r="W209" s="686"/>
      <c r="X209" s="686"/>
    </row>
    <row r="210" spans="1:24">
      <c r="A210" s="700" t="s">
        <v>297</v>
      </c>
      <c r="B210" s="338"/>
      <c r="C210" s="338"/>
      <c r="D210" s="4"/>
      <c r="E210" s="4"/>
      <c r="F210" s="4"/>
      <c r="G210" s="690"/>
      <c r="H210" s="1798" t="s">
        <v>623</v>
      </c>
      <c r="I210" s="1798"/>
      <c r="J210" s="1798"/>
      <c r="K210" s="1799"/>
      <c r="L210" s="1800" t="s">
        <v>292</v>
      </c>
      <c r="M210" s="1800"/>
      <c r="N210" s="1800"/>
      <c r="O210" s="1801"/>
      <c r="P210" s="1802" t="s">
        <v>294</v>
      </c>
      <c r="Q210" s="1798"/>
      <c r="R210" s="1798"/>
      <c r="S210" s="1799"/>
      <c r="U210" s="698"/>
      <c r="V210" s="688"/>
      <c r="W210" s="688"/>
      <c r="X210" s="694"/>
    </row>
    <row r="211" spans="1:24">
      <c r="G211" s="691"/>
      <c r="H211" s="1675" t="s">
        <v>624</v>
      </c>
      <c r="I211" s="1675"/>
      <c r="J211" s="1675"/>
      <c r="K211" s="1785"/>
      <c r="L211" s="1675" t="s">
        <v>293</v>
      </c>
      <c r="M211" s="1675"/>
      <c r="N211" s="1675"/>
      <c r="O211" s="1785"/>
      <c r="P211" s="1794" t="s">
        <v>295</v>
      </c>
      <c r="Q211" s="1675"/>
      <c r="R211" s="1675"/>
      <c r="S211" s="1785"/>
      <c r="U211" s="697"/>
      <c r="X211" s="691"/>
    </row>
    <row r="212" spans="1:24">
      <c r="G212" s="691"/>
      <c r="I212" s="911"/>
      <c r="J212" s="911"/>
      <c r="K212" s="1121"/>
      <c r="O212" s="690"/>
      <c r="P212" s="697"/>
      <c r="S212" s="691"/>
      <c r="U212" s="697"/>
      <c r="X212" s="691"/>
    </row>
    <row r="213" spans="1:24">
      <c r="G213" s="691"/>
      <c r="H213" s="911"/>
      <c r="I213" s="911"/>
      <c r="J213" s="911"/>
      <c r="K213" s="1121"/>
      <c r="O213" s="690"/>
      <c r="P213" s="697"/>
      <c r="S213" s="691"/>
      <c r="U213" s="697"/>
      <c r="X213" s="691"/>
    </row>
    <row r="214" spans="1:24">
      <c r="G214" s="691"/>
      <c r="H214" s="911"/>
      <c r="I214" s="911"/>
      <c r="J214" s="911"/>
      <c r="K214" s="1121"/>
      <c r="O214" s="690"/>
      <c r="P214" s="697"/>
      <c r="S214" s="691"/>
      <c r="U214" s="697"/>
      <c r="X214" s="691"/>
    </row>
    <row r="215" spans="1:24">
      <c r="G215" s="691"/>
      <c r="H215" s="1797" t="str">
        <f>H145</f>
        <v>RAFLY</v>
      </c>
      <c r="I215" s="1665"/>
      <c r="J215" s="1665"/>
      <c r="K215" s="1796"/>
      <c r="L215" s="1665" t="str">
        <f>L145</f>
        <v>NOUFAL</v>
      </c>
      <c r="M215" s="1665"/>
      <c r="N215" s="1665"/>
      <c r="O215" s="1796"/>
      <c r="P215" s="1797" t="str">
        <f>P145</f>
        <v>A.SUMARTADJI</v>
      </c>
      <c r="Q215" s="1665"/>
      <c r="R215" s="1665"/>
      <c r="S215" s="1796"/>
      <c r="U215" s="697"/>
      <c r="X215" s="691"/>
    </row>
    <row r="216" spans="1:24">
      <c r="G216" s="691"/>
      <c r="H216" s="1668" t="str">
        <f>H146</f>
        <v>Teknisi/Analis</v>
      </c>
      <c r="I216" s="1668"/>
      <c r="J216" s="1668"/>
      <c r="K216" s="1755"/>
      <c r="L216" s="1668" t="str">
        <f>L146</f>
        <v>Koordinator Teknis</v>
      </c>
      <c r="M216" s="1668"/>
      <c r="N216" s="1668"/>
      <c r="O216" s="1755"/>
      <c r="P216" s="1754" t="str">
        <f>P146</f>
        <v>Kepala Laboratorium</v>
      </c>
      <c r="Q216" s="1668"/>
      <c r="R216" s="1668"/>
      <c r="S216" s="1755"/>
      <c r="U216" s="699"/>
      <c r="V216" s="358"/>
      <c r="W216" s="358"/>
      <c r="X216" s="695"/>
    </row>
    <row r="217" spans="1:24">
      <c r="G217" s="691"/>
      <c r="H217" s="1803" t="s">
        <v>291</v>
      </c>
      <c r="I217" s="1803"/>
      <c r="J217" s="1804">
        <f>J147</f>
        <v>46050</v>
      </c>
      <c r="K217" s="1805"/>
      <c r="L217" s="1806" t="s">
        <v>300</v>
      </c>
      <c r="M217" s="1806"/>
      <c r="N217" s="1807">
        <f>N147</f>
        <v>46050</v>
      </c>
      <c r="O217" s="1808"/>
      <c r="P217" s="1809" t="s">
        <v>301</v>
      </c>
      <c r="Q217" s="1810"/>
      <c r="R217" s="1792">
        <f>R147</f>
        <v>46050</v>
      </c>
      <c r="S217" s="1793"/>
      <c r="U217" s="692"/>
      <c r="V217" s="693"/>
      <c r="W217" s="693"/>
      <c r="X217" s="696"/>
    </row>
    <row r="218" spans="1:24">
      <c r="H218" s="688"/>
      <c r="I218" s="689"/>
      <c r="J218" s="688"/>
      <c r="K218" s="688"/>
      <c r="L218" s="688"/>
      <c r="M218" s="688"/>
      <c r="N218" s="688"/>
      <c r="O218" s="688"/>
      <c r="P218" s="688"/>
      <c r="Q218" s="688"/>
      <c r="R218" s="688"/>
      <c r="S218" s="688"/>
    </row>
    <row r="219" spans="1:24">
      <c r="B219" s="356"/>
      <c r="C219" s="356"/>
      <c r="D219" s="356"/>
      <c r="E219" s="356"/>
      <c r="T219" s="684" t="str">
        <f>$T$74</f>
        <v>23-MINEARTH-RM-LHU-CBR-U-R0</v>
      </c>
      <c r="U219" s="367"/>
      <c r="V219" s="367"/>
      <c r="W219" s="367"/>
      <c r="X219" s="367"/>
    </row>
  </sheetData>
  <mergeCells count="164">
    <mergeCell ref="G94:I94"/>
    <mergeCell ref="G95:I95"/>
    <mergeCell ref="D96:F96"/>
    <mergeCell ref="G96:I96"/>
    <mergeCell ref="B97:C97"/>
    <mergeCell ref="D97:F97"/>
    <mergeCell ref="G97:I97"/>
    <mergeCell ref="B98:C98"/>
    <mergeCell ref="D98:F98"/>
    <mergeCell ref="G98:I98"/>
    <mergeCell ref="B95:C95"/>
    <mergeCell ref="H211:K211"/>
    <mergeCell ref="A155:D155"/>
    <mergeCell ref="A156:D156"/>
    <mergeCell ref="T156:V156"/>
    <mergeCell ref="W156:X156"/>
    <mergeCell ref="D95:F95"/>
    <mergeCell ref="A19:D20"/>
    <mergeCell ref="E19:L20"/>
    <mergeCell ref="A21:D22"/>
    <mergeCell ref="E21:L22"/>
    <mergeCell ref="A84:D84"/>
    <mergeCell ref="P140:S140"/>
    <mergeCell ref="H141:K141"/>
    <mergeCell ref="L141:O141"/>
    <mergeCell ref="P141:S141"/>
    <mergeCell ref="H145:K145"/>
    <mergeCell ref="L145:O145"/>
    <mergeCell ref="P145:S145"/>
    <mergeCell ref="B96:C96"/>
    <mergeCell ref="H140:K140"/>
    <mergeCell ref="L140:O140"/>
    <mergeCell ref="B100:I101"/>
    <mergeCell ref="B94:F94"/>
    <mergeCell ref="A87:X87"/>
    <mergeCell ref="H217:I217"/>
    <mergeCell ref="J217:K217"/>
    <mergeCell ref="L217:M217"/>
    <mergeCell ref="N217:O217"/>
    <mergeCell ref="P217:Q217"/>
    <mergeCell ref="R217:S217"/>
    <mergeCell ref="H215:K215"/>
    <mergeCell ref="L215:O215"/>
    <mergeCell ref="P215:S215"/>
    <mergeCell ref="H216:K216"/>
    <mergeCell ref="L216:O216"/>
    <mergeCell ref="P216:S216"/>
    <mergeCell ref="H67:I67"/>
    <mergeCell ref="J67:L67"/>
    <mergeCell ref="M67:O67"/>
    <mergeCell ref="P67:R67"/>
    <mergeCell ref="T85:V85"/>
    <mergeCell ref="L211:O211"/>
    <mergeCell ref="P211:S211"/>
    <mergeCell ref="F150:T150"/>
    <mergeCell ref="F151:T151"/>
    <mergeCell ref="F152:T152"/>
    <mergeCell ref="H146:K146"/>
    <mergeCell ref="L146:O146"/>
    <mergeCell ref="P146:S146"/>
    <mergeCell ref="H147:I147"/>
    <mergeCell ref="J147:K147"/>
    <mergeCell ref="L147:M147"/>
    <mergeCell ref="N147:O147"/>
    <mergeCell ref="P147:Q147"/>
    <mergeCell ref="R147:S147"/>
    <mergeCell ref="M156:Q156"/>
    <mergeCell ref="A158:X158"/>
    <mergeCell ref="H210:K210"/>
    <mergeCell ref="L210:O210"/>
    <mergeCell ref="P210:S210"/>
    <mergeCell ref="W85:X85"/>
    <mergeCell ref="M85:Q85"/>
    <mergeCell ref="C61:G61"/>
    <mergeCell ref="H61:L61"/>
    <mergeCell ref="M61:R61"/>
    <mergeCell ref="C65:G65"/>
    <mergeCell ref="H65:L65"/>
    <mergeCell ref="M65:R65"/>
    <mergeCell ref="A47:G47"/>
    <mergeCell ref="H47:I47"/>
    <mergeCell ref="J47:K47"/>
    <mergeCell ref="C60:G60"/>
    <mergeCell ref="H60:L60"/>
    <mergeCell ref="M60:R60"/>
    <mergeCell ref="A85:D85"/>
    <mergeCell ref="A69:C73"/>
    <mergeCell ref="F79:T79"/>
    <mergeCell ref="F80:T80"/>
    <mergeCell ref="F81:T81"/>
    <mergeCell ref="C66:G66"/>
    <mergeCell ref="H66:L66"/>
    <mergeCell ref="M66:R66"/>
    <mergeCell ref="C67:D67"/>
    <mergeCell ref="E67:G67"/>
    <mergeCell ref="A45:G45"/>
    <mergeCell ref="H45:I45"/>
    <mergeCell ref="J45:K45"/>
    <mergeCell ref="A46:G46"/>
    <mergeCell ref="H46:I46"/>
    <mergeCell ref="J46:K46"/>
    <mergeCell ref="A43:G43"/>
    <mergeCell ref="H43:I43"/>
    <mergeCell ref="J43:K43"/>
    <mergeCell ref="A44:G44"/>
    <mergeCell ref="H44:I44"/>
    <mergeCell ref="J44:K44"/>
    <mergeCell ref="N37:U37"/>
    <mergeCell ref="V37:X37"/>
    <mergeCell ref="N38:U38"/>
    <mergeCell ref="V38:X38"/>
    <mergeCell ref="A42:G42"/>
    <mergeCell ref="H42:I42"/>
    <mergeCell ref="J42:K42"/>
    <mergeCell ref="A35:I35"/>
    <mergeCell ref="J35:L35"/>
    <mergeCell ref="N35:U35"/>
    <mergeCell ref="V35:X35"/>
    <mergeCell ref="A36:I36"/>
    <mergeCell ref="J36:L36"/>
    <mergeCell ref="N36:U36"/>
    <mergeCell ref="V36:X36"/>
    <mergeCell ref="N18:R19"/>
    <mergeCell ref="S18:X19"/>
    <mergeCell ref="N20:R21"/>
    <mergeCell ref="S20:X21"/>
    <mergeCell ref="A33:I33"/>
    <mergeCell ref="J33:L33"/>
    <mergeCell ref="N33:U33"/>
    <mergeCell ref="V33:X33"/>
    <mergeCell ref="A34:I34"/>
    <mergeCell ref="J34:L34"/>
    <mergeCell ref="N34:U34"/>
    <mergeCell ref="V34:X34"/>
    <mergeCell ref="A26:T26"/>
    <mergeCell ref="U26:U27"/>
    <mergeCell ref="V26:X27"/>
    <mergeCell ref="A27:T27"/>
    <mergeCell ref="N22:R23"/>
    <mergeCell ref="S22:X23"/>
    <mergeCell ref="F1:T1"/>
    <mergeCell ref="F2:T2"/>
    <mergeCell ref="F3:T3"/>
    <mergeCell ref="A6:D6"/>
    <mergeCell ref="A7:D7"/>
    <mergeCell ref="T7:V7"/>
    <mergeCell ref="A17:L17"/>
    <mergeCell ref="M7:Q7"/>
    <mergeCell ref="N13:R13"/>
    <mergeCell ref="S13:X13"/>
    <mergeCell ref="N14:R14"/>
    <mergeCell ref="S14:X14"/>
    <mergeCell ref="N15:R16"/>
    <mergeCell ref="S15:X16"/>
    <mergeCell ref="N17:R17"/>
    <mergeCell ref="S17:X17"/>
    <mergeCell ref="A9:L9"/>
    <mergeCell ref="A12:L12"/>
    <mergeCell ref="N12:X12"/>
    <mergeCell ref="W7:X7"/>
    <mergeCell ref="A13:D13"/>
    <mergeCell ref="E13:L13"/>
    <mergeCell ref="A14:D14"/>
    <mergeCell ref="E14:L14"/>
  </mergeCells>
  <conditionalFormatting sqref="B96:I98">
    <cfRule type="expression" dxfId="141" priority="1">
      <formula>$B96&lt;&gt;""</formula>
    </cfRule>
  </conditionalFormatting>
  <pageMargins left="0.72" right="0.47" top="0.59" bottom="0.51" header="0.28000000000000003" footer="0.28000000000000003"/>
  <pageSetup paperSize="9" scale="68" orientation="portrait" r:id="rId1"/>
  <rowBreaks count="2" manualBreakCount="2">
    <brk id="78" max="23" man="1"/>
    <brk id="149" max="23" man="1"/>
  </rowBreaks>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76F5-9FAE-444E-8F18-45235196225A}">
  <dimension ref="A1:AF317"/>
  <sheetViews>
    <sheetView topLeftCell="J5" zoomScale="62" zoomScaleNormal="62" workbookViewId="0">
      <selection activeCell="AB15" sqref="AB15:AF28"/>
    </sheetView>
  </sheetViews>
  <sheetFormatPr defaultColWidth="11" defaultRowHeight="15.75"/>
  <sheetData>
    <row r="1" spans="1:32" ht="18">
      <c r="A1" s="708" t="s">
        <v>701</v>
      </c>
      <c r="B1" s="708"/>
      <c r="C1" s="708"/>
      <c r="D1" s="708"/>
      <c r="E1" s="708"/>
      <c r="F1" s="708"/>
      <c r="G1" s="708"/>
      <c r="H1" s="708"/>
      <c r="I1" s="708"/>
      <c r="J1" s="708"/>
      <c r="K1" s="708"/>
      <c r="L1" s="708"/>
      <c r="M1" s="708"/>
      <c r="N1" s="708"/>
      <c r="O1" s="708"/>
      <c r="P1" s="708"/>
      <c r="Q1" s="708"/>
      <c r="R1" s="708"/>
      <c r="S1" s="708"/>
      <c r="T1" s="708"/>
    </row>
    <row r="2" spans="1:32" ht="23.25">
      <c r="A2" s="663" t="s">
        <v>1327</v>
      </c>
      <c r="B2" s="663"/>
      <c r="C2" s="663"/>
      <c r="D2" s="663"/>
      <c r="E2" s="663"/>
      <c r="F2" s="663"/>
      <c r="G2" s="663"/>
      <c r="H2" s="663"/>
      <c r="I2" s="663"/>
      <c r="J2" s="663"/>
      <c r="K2" s="663"/>
      <c r="L2" s="663"/>
      <c r="M2" s="663"/>
      <c r="N2" s="663"/>
      <c r="O2" s="663"/>
      <c r="P2" s="663"/>
      <c r="Q2" s="663"/>
      <c r="R2" s="663"/>
      <c r="S2" s="663"/>
      <c r="T2" s="663"/>
    </row>
    <row r="3" spans="1:32" ht="23.25">
      <c r="A3" s="664" t="s">
        <v>1329</v>
      </c>
      <c r="B3" s="662"/>
      <c r="C3" s="662"/>
      <c r="D3" s="662"/>
      <c r="E3" s="662"/>
      <c r="F3" s="662"/>
      <c r="G3" s="662"/>
      <c r="H3" s="662"/>
      <c r="I3" s="662"/>
      <c r="J3" s="662"/>
      <c r="K3" s="662"/>
      <c r="L3" s="662"/>
      <c r="M3" s="662"/>
      <c r="N3" s="662"/>
      <c r="O3" s="662"/>
      <c r="P3" s="662"/>
      <c r="Q3" s="662"/>
      <c r="R3" s="662"/>
      <c r="S3" s="662"/>
      <c r="T3" s="662"/>
    </row>
    <row r="4" spans="1:32">
      <c r="A4" s="709"/>
      <c r="B4" s="709"/>
      <c r="C4" s="709"/>
      <c r="D4" s="709"/>
      <c r="E4" s="709"/>
      <c r="F4" s="709"/>
      <c r="G4" s="709"/>
      <c r="H4" s="709"/>
      <c r="I4" s="709"/>
      <c r="J4" s="709"/>
      <c r="K4" s="709"/>
      <c r="L4" s="709"/>
      <c r="M4" s="709"/>
      <c r="N4" s="709"/>
      <c r="O4" s="709"/>
      <c r="P4" s="709"/>
      <c r="Q4" s="709"/>
      <c r="R4" s="709"/>
      <c r="S4" s="709"/>
      <c r="T4" s="709"/>
    </row>
    <row r="5" spans="1:32">
      <c r="A5" s="335" t="s">
        <v>1328</v>
      </c>
      <c r="B5" s="335"/>
      <c r="C5" s="335"/>
      <c r="D5" s="335"/>
      <c r="E5" s="335"/>
      <c r="F5" s="335"/>
      <c r="G5" s="335"/>
      <c r="H5" s="335"/>
      <c r="I5" s="335"/>
      <c r="J5" s="335"/>
      <c r="K5" s="335"/>
      <c r="L5" s="335"/>
      <c r="M5" s="335"/>
      <c r="N5" s="335"/>
      <c r="O5" s="335"/>
      <c r="P5" s="335"/>
      <c r="Q5" s="335"/>
      <c r="R5" s="335"/>
      <c r="S5" s="335"/>
      <c r="T5" s="335"/>
    </row>
    <row r="6" spans="1:32">
      <c r="A6" s="335"/>
      <c r="B6" s="335"/>
      <c r="C6" s="335"/>
      <c r="D6" s="335"/>
      <c r="E6" s="335"/>
      <c r="F6" s="335"/>
      <c r="G6" s="335"/>
      <c r="H6" s="335"/>
      <c r="I6" s="335"/>
      <c r="J6" s="335"/>
      <c r="K6" s="335"/>
      <c r="L6" s="335"/>
      <c r="M6" s="335"/>
      <c r="N6" s="335"/>
      <c r="O6" s="335"/>
      <c r="P6" s="335"/>
      <c r="Q6" s="335"/>
      <c r="R6" s="335"/>
      <c r="S6" s="335"/>
      <c r="T6" s="335"/>
    </row>
    <row r="7" spans="1:32">
      <c r="A7" s="1" t="s">
        <v>775</v>
      </c>
      <c r="B7" s="1"/>
      <c r="C7" s="1"/>
      <c r="D7" s="539" t="str">
        <f>IFERROR(INDEX('DATA INDUK'!$H$27:$H$152,MATCH(ROW(D1),'DATA INDUK'!$BI$27:$BI$152,0)),"")</f>
        <v>26-001-DS-001</v>
      </c>
      <c r="E7" s="13"/>
      <c r="F7" s="13"/>
      <c r="G7" s="13"/>
      <c r="H7" s="15"/>
      <c r="I7" s="15"/>
      <c r="J7" s="15"/>
      <c r="K7" s="15"/>
      <c r="L7" s="15"/>
      <c r="M7" s="15"/>
      <c r="N7" s="15"/>
      <c r="O7" s="15"/>
      <c r="P7" s="15"/>
      <c r="Q7" s="15"/>
      <c r="R7" s="15"/>
      <c r="S7" s="15"/>
      <c r="T7" s="335"/>
    </row>
    <row r="8" spans="1:32">
      <c r="A8" s="13"/>
      <c r="B8" s="13"/>
      <c r="C8" s="13"/>
      <c r="D8" s="540"/>
      <c r="E8" s="15"/>
      <c r="F8" s="15"/>
      <c r="G8" s="15"/>
      <c r="H8" s="15"/>
      <c r="I8" s="15"/>
      <c r="J8" s="15"/>
      <c r="K8" s="15"/>
      <c r="L8" s="15"/>
      <c r="M8" s="15"/>
      <c r="N8" s="15"/>
      <c r="O8" s="15"/>
      <c r="P8" s="15"/>
      <c r="Q8" s="15"/>
      <c r="R8" s="15"/>
      <c r="S8" s="15"/>
      <c r="T8" s="15"/>
    </row>
    <row r="9" spans="1:32">
      <c r="A9" s="1" t="s">
        <v>776</v>
      </c>
      <c r="B9" s="1"/>
      <c r="C9" s="1"/>
      <c r="D9" s="13" t="str">
        <f>IFERROR(INDEX('DATA INDUK'!$C$27:$C$152,MATCH(ROW(D1),'DATA INDUK'!$BI$27:$BI$152,0)),"")</f>
        <v>BH-04R1-SPT 15</v>
      </c>
      <c r="E9" s="15"/>
      <c r="F9" s="15"/>
      <c r="G9" s="15"/>
      <c r="H9" s="15"/>
      <c r="I9" s="15"/>
      <c r="J9" s="15"/>
      <c r="K9" s="15"/>
      <c r="L9" s="1" t="s">
        <v>703</v>
      </c>
      <c r="M9" s="1"/>
      <c r="N9" s="1"/>
      <c r="O9" s="15" t="str">
        <f>IF($D$7="","",P9)</f>
        <v>RAFLY</v>
      </c>
      <c r="P9" s="588" t="s">
        <v>1054</v>
      </c>
      <c r="Q9" s="15"/>
      <c r="R9" s="15"/>
      <c r="S9" s="15"/>
      <c r="T9" s="15" t="str">
        <f>"TTD_"&amp;O9&amp;""</f>
        <v>TTD_RAFLY</v>
      </c>
    </row>
    <row r="10" spans="1:32">
      <c r="A10" s="1" t="s">
        <v>777</v>
      </c>
      <c r="B10" s="1"/>
      <c r="C10" s="1"/>
      <c r="D10" s="782"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 t="s">
        <v>704</v>
      </c>
      <c r="M10" s="1"/>
      <c r="N10" s="1"/>
      <c r="O10" s="15" t="str">
        <f t="shared" ref="O10:O11" si="0">IF($D$7="","",P10)</f>
        <v>NOUFAL</v>
      </c>
      <c r="P10" s="15" t="s">
        <v>1051</v>
      </c>
      <c r="Q10" s="15"/>
      <c r="R10" s="15"/>
      <c r="S10" s="15"/>
      <c r="T10" s="15" t="str">
        <f>IF(O9=O10,"TTD_","TTD_"&amp;O10&amp;"")</f>
        <v>TTD_NOUFAL</v>
      </c>
    </row>
    <row r="11" spans="1:32">
      <c r="A11" s="1" t="s">
        <v>778</v>
      </c>
      <c r="B11" s="1"/>
      <c r="C11" s="1"/>
      <c r="D11" s="13" t="str">
        <f>IFERROR(INDEX('DATA INDUK'!$D$27:$D$152,MATCH(ROW(D1),'DATA INDUK'!$BI$27:$BI$152,0)),"")</f>
        <v>Disturbed Sample</v>
      </c>
      <c r="E11" s="13"/>
      <c r="F11" s="1520" t="s">
        <v>1659</v>
      </c>
      <c r="G11" s="15"/>
      <c r="H11" s="15"/>
      <c r="I11" s="15"/>
      <c r="J11" s="15"/>
      <c r="K11" s="15"/>
      <c r="L11" s="13" t="s">
        <v>716</v>
      </c>
      <c r="M11" s="15"/>
      <c r="N11" s="15"/>
      <c r="O11" s="15" t="str">
        <f t="shared" si="0"/>
        <v>A.SUMARTADJI</v>
      </c>
      <c r="P11" s="15" t="s">
        <v>766</v>
      </c>
      <c r="Q11" s="15"/>
      <c r="R11" s="15"/>
      <c r="S11" s="15"/>
      <c r="T11" s="15" t="str">
        <f>"TTD_"&amp;O11&amp;""</f>
        <v>TTD_A.SUMARTADJI</v>
      </c>
    </row>
    <row r="12" spans="1:32">
      <c r="A12" s="1" t="s">
        <v>779</v>
      </c>
      <c r="B12" s="1"/>
      <c r="C12" s="1"/>
      <c r="D12" s="1573" t="s">
        <v>1648</v>
      </c>
      <c r="E12" s="15"/>
      <c r="F12" s="1520" t="str">
        <f>IFERROR(INDEX($AB$17:$AB$28,
MATCH(D12,$AE$17:$AE$28,0)),
"CHECK DESKRIPSI")</f>
        <v>SDS</v>
      </c>
      <c r="G12" s="15"/>
      <c r="H12" s="15"/>
      <c r="I12" s="15"/>
      <c r="J12" s="15"/>
      <c r="K12" s="15"/>
      <c r="L12" s="1" t="s">
        <v>705</v>
      </c>
      <c r="M12" s="1"/>
      <c r="N12" s="1"/>
      <c r="O12" s="715"/>
      <c r="P12" s="15"/>
      <c r="Q12" s="15"/>
      <c r="R12" s="15"/>
      <c r="S12" s="15"/>
      <c r="T12" s="335"/>
    </row>
    <row r="13" spans="1:32">
      <c r="A13" s="1" t="s">
        <v>780</v>
      </c>
      <c r="B13" s="1"/>
      <c r="C13" s="1"/>
      <c r="D13" s="714"/>
      <c r="E13" s="15"/>
      <c r="F13" s="15"/>
      <c r="G13" s="15"/>
      <c r="H13" s="15"/>
      <c r="I13" s="15"/>
      <c r="J13" s="15"/>
      <c r="K13" s="15"/>
      <c r="L13" s="15"/>
      <c r="M13" s="15"/>
      <c r="N13" s="15"/>
      <c r="O13" s="15"/>
      <c r="P13" s="15"/>
      <c r="Q13" s="15"/>
      <c r="R13" s="15"/>
      <c r="S13" s="15"/>
      <c r="T13" s="335"/>
    </row>
    <row r="14" spans="1:32" ht="16.5" thickBot="1">
      <c r="A14" s="716"/>
      <c r="B14" s="716"/>
      <c r="C14" s="716"/>
      <c r="D14" s="717" t="str">
        <f>IFERROR(INDEX('DATA INDUK'!$H$27:$H$38,MATCH(ROW(D9),'DATA INDUK'!$Z$27:$Z$38,0)),"")</f>
        <v/>
      </c>
      <c r="E14" s="717"/>
      <c r="F14" s="717"/>
      <c r="G14" s="717"/>
      <c r="H14" s="717"/>
      <c r="I14" s="717"/>
      <c r="J14" s="717"/>
      <c r="K14" s="717"/>
      <c r="L14" s="717"/>
      <c r="M14" s="717"/>
      <c r="N14" s="717"/>
      <c r="O14" s="717"/>
      <c r="P14" s="717"/>
      <c r="Q14" s="717"/>
      <c r="R14" s="717"/>
      <c r="S14" s="717"/>
      <c r="T14" s="668"/>
    </row>
    <row r="15" spans="1:32">
      <c r="AB15" s="370" t="s">
        <v>1641</v>
      </c>
      <c r="AC15" s="370"/>
      <c r="AD15" s="370"/>
      <c r="AE15" s="370"/>
      <c r="AF15" s="370"/>
    </row>
    <row r="16" spans="1:32">
      <c r="C16" t="s">
        <v>973</v>
      </c>
      <c r="O16" t="s">
        <v>974</v>
      </c>
      <c r="P16" t="s">
        <v>2</v>
      </c>
      <c r="AB16" s="370" t="s">
        <v>1611</v>
      </c>
      <c r="AC16" s="370" t="s">
        <v>1642</v>
      </c>
      <c r="AD16" s="370" t="s">
        <v>1632</v>
      </c>
      <c r="AE16" s="370" t="s">
        <v>1633</v>
      </c>
      <c r="AF16" s="370"/>
    </row>
    <row r="17" spans="3:32">
      <c r="D17" t="s">
        <v>1010</v>
      </c>
      <c r="E17" t="s">
        <v>975</v>
      </c>
      <c r="F17" t="str">
        <f>IFERROR(VLOOKUP(E17,$O$17:$P$18,2,0),"")</f>
        <v>1743:2008</v>
      </c>
      <c r="O17" t="s">
        <v>528</v>
      </c>
      <c r="P17" t="str">
        <f>CONCATENATE("SNI"," ",'DATA INDUK'!$BS$49)</f>
        <v>SNI 1742:2008</v>
      </c>
      <c r="Q17">
        <v>594</v>
      </c>
      <c r="AB17" s="370" t="s">
        <v>1612</v>
      </c>
      <c r="AC17" s="370" t="s">
        <v>1613</v>
      </c>
      <c r="AD17" s="370" t="s">
        <v>1610</v>
      </c>
      <c r="AE17" s="370" t="s">
        <v>1510</v>
      </c>
      <c r="AF17" s="370"/>
    </row>
    <row r="18" spans="3:32">
      <c r="D18" t="s">
        <v>956</v>
      </c>
      <c r="E18" s="102">
        <v>1.24</v>
      </c>
      <c r="O18" t="s">
        <v>975</v>
      </c>
      <c r="P18" t="str">
        <f>'DATA INDUK'!$BS$50</f>
        <v>1743:2008</v>
      </c>
      <c r="Q18">
        <v>2700</v>
      </c>
      <c r="AB18" s="370" t="s">
        <v>1614</v>
      </c>
      <c r="AC18" s="370" t="s">
        <v>1615</v>
      </c>
      <c r="AD18" s="370" t="s">
        <v>1634</v>
      </c>
      <c r="AE18" s="370" t="s">
        <v>1635</v>
      </c>
      <c r="AF18" s="370"/>
    </row>
    <row r="19" spans="3:32">
      <c r="D19" t="s">
        <v>957</v>
      </c>
      <c r="E19" s="102">
        <v>16.5</v>
      </c>
      <c r="AB19" s="370" t="s">
        <v>1617</v>
      </c>
      <c r="AC19" s="370" t="s">
        <v>1618</v>
      </c>
      <c r="AD19" s="370" t="s">
        <v>1636</v>
      </c>
      <c r="AE19" s="370" t="s">
        <v>1637</v>
      </c>
      <c r="AF19" s="370"/>
    </row>
    <row r="20" spans="3:32">
      <c r="D20" t="s">
        <v>1011</v>
      </c>
      <c r="E20">
        <f>VLOOKUP(E17,$O$17:$Q$18,3,0)</f>
        <v>2700</v>
      </c>
      <c r="AB20" s="370" t="s">
        <v>1643</v>
      </c>
      <c r="AC20" s="370" t="s">
        <v>1644</v>
      </c>
      <c r="AD20" s="370" t="s">
        <v>1645</v>
      </c>
      <c r="AE20" s="370" t="s">
        <v>1646</v>
      </c>
      <c r="AF20" s="370"/>
    </row>
    <row r="21" spans="3:32">
      <c r="U21" s="1062" t="s">
        <v>72</v>
      </c>
      <c r="V21" s="1062"/>
      <c r="W21" s="1062"/>
      <c r="X21" s="1062"/>
      <c r="AB21" s="370" t="s">
        <v>1620</v>
      </c>
      <c r="AC21" s="370" t="s">
        <v>1616</v>
      </c>
      <c r="AD21" s="370" t="s">
        <v>509</v>
      </c>
      <c r="AE21" s="370" t="s">
        <v>1638</v>
      </c>
      <c r="AF21" s="370"/>
    </row>
    <row r="22" spans="3:32">
      <c r="U22" s="983"/>
      <c r="V22" s="987"/>
      <c r="W22" s="987"/>
      <c r="X22" s="987"/>
      <c r="AB22" s="370" t="s">
        <v>1621</v>
      </c>
      <c r="AC22" s="370" t="s">
        <v>1622</v>
      </c>
      <c r="AD22" s="370" t="s">
        <v>1639</v>
      </c>
      <c r="AE22" s="370" t="s">
        <v>1640</v>
      </c>
      <c r="AF22" s="370"/>
    </row>
    <row r="23" spans="3:32">
      <c r="U23" t="s">
        <v>1001</v>
      </c>
      <c r="V23" s="979" t="s">
        <v>968</v>
      </c>
      <c r="W23" s="979" t="s">
        <v>969</v>
      </c>
      <c r="X23" s="979" t="s">
        <v>970</v>
      </c>
      <c r="Y23" s="983" t="s">
        <v>976</v>
      </c>
      <c r="Z23" s="983" t="s">
        <v>977</v>
      </c>
      <c r="AB23" s="370" t="s">
        <v>1623</v>
      </c>
      <c r="AC23" s="370" t="s">
        <v>1624</v>
      </c>
      <c r="AD23" s="370" t="s">
        <v>1647</v>
      </c>
      <c r="AE23" s="370" t="s">
        <v>1648</v>
      </c>
      <c r="AF23" s="370"/>
    </row>
    <row r="24" spans="3:32">
      <c r="U24" s="980" t="s">
        <v>185</v>
      </c>
      <c r="V24" s="1007">
        <v>152.30000000000001</v>
      </c>
      <c r="W24" s="1007">
        <v>178</v>
      </c>
      <c r="X24" s="1007">
        <v>7048.0999999999995</v>
      </c>
      <c r="Y24" s="1063">
        <f>PI()*(V24/2)^2</f>
        <v>18217.5381654712</v>
      </c>
      <c r="Z24" s="1063">
        <f>PI()*(V24/2)^2*W24/1000</f>
        <v>3242.7217934538735</v>
      </c>
      <c r="AB24" s="370" t="s">
        <v>1649</v>
      </c>
      <c r="AC24" s="370" t="s">
        <v>1650</v>
      </c>
      <c r="AD24" s="370" t="s">
        <v>1651</v>
      </c>
      <c r="AE24" s="370" t="s">
        <v>1652</v>
      </c>
      <c r="AF24" s="370"/>
    </row>
    <row r="25" spans="3:32">
      <c r="U25" s="980" t="s">
        <v>237</v>
      </c>
      <c r="V25" s="1007">
        <v>152.19999999999999</v>
      </c>
      <c r="W25" s="1007">
        <v>177.8</v>
      </c>
      <c r="X25" s="1007">
        <v>6940.2</v>
      </c>
      <c r="Y25" s="1063">
        <f>PI()*(V25/2)^2</f>
        <v>18193.622791395745</v>
      </c>
      <c r="Z25" s="1063">
        <f>PI()*(V25/2)^2*W25/1000</f>
        <v>3234.8261323101638</v>
      </c>
      <c r="AB25" s="370" t="s">
        <v>1690</v>
      </c>
      <c r="AC25" s="370" t="s">
        <v>1619</v>
      </c>
      <c r="AD25" s="370" t="s">
        <v>510</v>
      </c>
      <c r="AE25" s="370" t="s">
        <v>1197</v>
      </c>
      <c r="AF25" s="370"/>
    </row>
    <row r="26" spans="3:32">
      <c r="U26" s="980" t="s">
        <v>249</v>
      </c>
      <c r="V26" s="1007">
        <v>152</v>
      </c>
      <c r="W26" s="1007">
        <v>177.7</v>
      </c>
      <c r="X26" s="1007">
        <v>7031.6</v>
      </c>
      <c r="Y26" s="1063">
        <f>PI()*(V26/2)^2</f>
        <v>18145.839167134644</v>
      </c>
      <c r="Z26" s="1063">
        <f>PI()*(V26/2)^2*W26/1000</f>
        <v>3224.515619999826</v>
      </c>
      <c r="AB26" s="370" t="s">
        <v>1626</v>
      </c>
      <c r="AC26" s="370" t="s">
        <v>1627</v>
      </c>
      <c r="AD26" s="370" t="s">
        <v>1653</v>
      </c>
      <c r="AE26" s="370" t="s">
        <v>1654</v>
      </c>
      <c r="AF26" s="370"/>
    </row>
    <row r="27" spans="3:32">
      <c r="AB27" s="370" t="s">
        <v>1628</v>
      </c>
      <c r="AC27" s="370" t="s">
        <v>1629</v>
      </c>
      <c r="AD27" s="370" t="s">
        <v>1655</v>
      </c>
      <c r="AE27" s="370" t="s">
        <v>1656</v>
      </c>
      <c r="AF27" s="370"/>
    </row>
    <row r="28" spans="3:32">
      <c r="U28" s="1064" t="s">
        <v>978</v>
      </c>
      <c r="V28" s="1065"/>
      <c r="W28" s="1065"/>
      <c r="AB28" s="370" t="s">
        <v>1630</v>
      </c>
      <c r="AC28" s="370" t="s">
        <v>1631</v>
      </c>
      <c r="AD28" s="370" t="s">
        <v>1657</v>
      </c>
      <c r="AE28" s="370" t="s">
        <v>1658</v>
      </c>
      <c r="AF28" s="370"/>
    </row>
    <row r="29" spans="3:32">
      <c r="U29" s="979" t="s">
        <v>979</v>
      </c>
      <c r="V29" s="980">
        <v>7.36</v>
      </c>
      <c r="W29" s="980">
        <v>7.34</v>
      </c>
    </row>
    <row r="30" spans="3:32">
      <c r="C30" s="1012"/>
      <c r="D30" s="1012"/>
      <c r="E30" s="1012"/>
      <c r="F30" s="2107">
        <v>10</v>
      </c>
      <c r="G30" s="2107"/>
      <c r="H30" s="2107">
        <v>25</v>
      </c>
      <c r="I30" s="2107"/>
      <c r="J30" s="2107">
        <v>56</v>
      </c>
      <c r="K30" s="2107"/>
    </row>
    <row r="31" spans="3:32">
      <c r="C31" s="531" t="s">
        <v>38</v>
      </c>
      <c r="D31" s="531"/>
      <c r="E31" s="335"/>
      <c r="F31" s="2108" t="s">
        <v>39</v>
      </c>
      <c r="G31" s="2108" t="s">
        <v>40</v>
      </c>
      <c r="H31" s="2108" t="s">
        <v>39</v>
      </c>
      <c r="I31" s="2108" t="s">
        <v>40</v>
      </c>
      <c r="J31" s="2108" t="s">
        <v>39</v>
      </c>
      <c r="K31" s="2108" t="s">
        <v>40</v>
      </c>
    </row>
    <row r="32" spans="3:32">
      <c r="C32" s="335"/>
      <c r="D32" s="335"/>
      <c r="E32" s="335"/>
      <c r="F32" s="2109"/>
      <c r="G32" s="2109"/>
      <c r="H32" s="2109"/>
      <c r="I32" s="2109"/>
      <c r="J32" s="2109"/>
      <c r="K32" s="2109"/>
      <c r="R32" s="987"/>
    </row>
    <row r="33" spans="3:23">
      <c r="C33" s="1013" t="s">
        <v>41</v>
      </c>
      <c r="D33" s="1014"/>
      <c r="E33" s="1015" t="s">
        <v>22</v>
      </c>
      <c r="F33" s="1016">
        <v>12106</v>
      </c>
      <c r="G33" s="1016">
        <v>10596</v>
      </c>
      <c r="H33" s="1017">
        <v>12612</v>
      </c>
      <c r="I33" s="1017">
        <v>12623</v>
      </c>
      <c r="J33" s="1098">
        <v>12846</v>
      </c>
      <c r="K33" s="1099">
        <v>10639</v>
      </c>
      <c r="R33" s="987"/>
      <c r="V33" s="975" t="s">
        <v>366</v>
      </c>
      <c r="W33" s="975"/>
    </row>
    <row r="34" spans="3:23">
      <c r="C34" s="1067" t="s">
        <v>932</v>
      </c>
      <c r="D34" s="1068"/>
      <c r="E34" s="1069"/>
      <c r="F34" s="1100" t="s">
        <v>237</v>
      </c>
      <c r="G34" s="1100" t="s">
        <v>237</v>
      </c>
      <c r="H34" s="1101" t="s">
        <v>237</v>
      </c>
      <c r="I34" s="1101" t="s">
        <v>237</v>
      </c>
      <c r="J34" s="1102" t="s">
        <v>237</v>
      </c>
      <c r="K34" s="1103" t="s">
        <v>237</v>
      </c>
      <c r="O34" s="983"/>
      <c r="P34" s="987"/>
      <c r="Q34" s="987"/>
      <c r="R34" s="987"/>
      <c r="V34" s="975"/>
      <c r="W34" s="975"/>
    </row>
    <row r="35" spans="3:23">
      <c r="C35" s="1018" t="s">
        <v>42</v>
      </c>
      <c r="D35" s="1019"/>
      <c r="E35" s="1020" t="s">
        <v>22</v>
      </c>
      <c r="F35" s="1021">
        <f>IFERROR(VLOOKUP(F34,$U$23:$Z$26,4,0),"")</f>
        <v>6940.2</v>
      </c>
      <c r="G35" s="1021">
        <f t="shared" ref="G35:K35" si="1">IFERROR(VLOOKUP(G34,$U$23:$Z$26,4,0),"")</f>
        <v>6940.2</v>
      </c>
      <c r="H35" s="1021">
        <f t="shared" si="1"/>
        <v>6940.2</v>
      </c>
      <c r="I35" s="1021">
        <f t="shared" si="1"/>
        <v>6940.2</v>
      </c>
      <c r="J35" s="1021">
        <f t="shared" si="1"/>
        <v>6940.2</v>
      </c>
      <c r="K35" s="1021">
        <f t="shared" si="1"/>
        <v>6940.2</v>
      </c>
      <c r="V35" s="383">
        <v>1</v>
      </c>
      <c r="W35" s="384">
        <v>9.0299999999999994</v>
      </c>
    </row>
    <row r="36" spans="3:23">
      <c r="C36" s="1018" t="s">
        <v>43</v>
      </c>
      <c r="D36" s="1019"/>
      <c r="E36" s="1020" t="s">
        <v>22</v>
      </c>
      <c r="F36" s="1022">
        <f>+F33-F35</f>
        <v>5165.8</v>
      </c>
      <c r="G36" s="1022">
        <f>+G33-G35</f>
        <v>3655.8</v>
      </c>
      <c r="H36" s="1105">
        <f>+H33-H35</f>
        <v>5671.8</v>
      </c>
      <c r="I36" s="1105">
        <f>+I33-I35</f>
        <v>5682.8</v>
      </c>
      <c r="J36" s="1105">
        <f t="shared" ref="J36:K36" si="2">+J33-J35</f>
        <v>5905.8</v>
      </c>
      <c r="K36" s="1105">
        <f t="shared" si="2"/>
        <v>3698.8</v>
      </c>
      <c r="V36" s="385">
        <v>2</v>
      </c>
      <c r="W36" s="386">
        <v>8.8420000000000005</v>
      </c>
    </row>
    <row r="37" spans="3:23">
      <c r="C37" s="335" t="s">
        <v>1023</v>
      </c>
      <c r="F37" s="1116">
        <f>IFERROR(VLOOKUP(F34,$U$23:$Z$26,2,0),"")</f>
        <v>152.19999999999999</v>
      </c>
      <c r="G37" s="1116">
        <f t="shared" ref="G37:K37" si="3">IFERROR(VLOOKUP(G34,$U$23:$Z$26,2,0),"")</f>
        <v>152.19999999999999</v>
      </c>
      <c r="H37" s="1116">
        <f t="shared" si="3"/>
        <v>152.19999999999999</v>
      </c>
      <c r="I37" s="1116">
        <f t="shared" si="3"/>
        <v>152.19999999999999</v>
      </c>
      <c r="J37" s="1116">
        <f t="shared" si="3"/>
        <v>152.19999999999999</v>
      </c>
      <c r="K37" s="1116">
        <f t="shared" si="3"/>
        <v>152.19999999999999</v>
      </c>
      <c r="V37" s="385">
        <v>3</v>
      </c>
      <c r="W37" s="387">
        <v>9.0410000000000004</v>
      </c>
    </row>
    <row r="38" spans="3:23">
      <c r="C38" s="1018" t="s">
        <v>44</v>
      </c>
      <c r="D38" s="1019"/>
      <c r="E38" s="1020" t="s">
        <v>45</v>
      </c>
      <c r="F38" s="1116">
        <f>IFERROR(VLOOKUP(F34,$U$23:$Z$26,3,0),"")</f>
        <v>177.8</v>
      </c>
      <c r="G38" s="1116">
        <f t="shared" ref="G38:K38" si="4">IFERROR(VLOOKUP(G34,$U$23:$Z$26,3,0),"")</f>
        <v>177.8</v>
      </c>
      <c r="H38" s="1116">
        <f t="shared" si="4"/>
        <v>177.8</v>
      </c>
      <c r="I38" s="1116">
        <f t="shared" si="4"/>
        <v>177.8</v>
      </c>
      <c r="J38" s="1116">
        <f t="shared" si="4"/>
        <v>177.8</v>
      </c>
      <c r="K38" s="1116">
        <f t="shared" si="4"/>
        <v>177.8</v>
      </c>
      <c r="N38" s="80"/>
      <c r="V38" s="388">
        <v>4</v>
      </c>
      <c r="W38" s="389">
        <v>8.9359999999999999</v>
      </c>
    </row>
    <row r="39" spans="3:23">
      <c r="C39" s="1018" t="s">
        <v>127</v>
      </c>
      <c r="D39" s="1019"/>
      <c r="E39" s="1020" t="s">
        <v>971</v>
      </c>
      <c r="F39" s="1021">
        <f t="shared" ref="F39:K39" si="5">IFERROR(VLOOKUP(F34,$U$23:$Z$26,6,0),"")</f>
        <v>3234.8261323101638</v>
      </c>
      <c r="G39" s="1021">
        <f t="shared" si="5"/>
        <v>3234.8261323101638</v>
      </c>
      <c r="H39" s="1021">
        <f t="shared" si="5"/>
        <v>3234.8261323101638</v>
      </c>
      <c r="I39" s="1021">
        <f t="shared" si="5"/>
        <v>3234.8261323101638</v>
      </c>
      <c r="J39" s="1021">
        <f t="shared" si="5"/>
        <v>3234.8261323101638</v>
      </c>
      <c r="K39" s="1021">
        <f t="shared" si="5"/>
        <v>3234.8261323101638</v>
      </c>
      <c r="V39" s="388">
        <v>5</v>
      </c>
      <c r="W39" s="389">
        <v>8.8559999999999999</v>
      </c>
    </row>
    <row r="40" spans="3:23">
      <c r="C40" s="1018" t="s">
        <v>46</v>
      </c>
      <c r="D40" s="1019"/>
      <c r="E40" s="1020" t="s">
        <v>972</v>
      </c>
      <c r="F40" s="1023">
        <f t="shared" ref="F40:K40" si="6">+F36/F39</f>
        <v>1.5969328145345554</v>
      </c>
      <c r="G40" s="1023">
        <f t="shared" si="6"/>
        <v>1.1301380199340718</v>
      </c>
      <c r="H40" s="1024">
        <f t="shared" si="6"/>
        <v>1.753355441069552</v>
      </c>
      <c r="I40" s="1024">
        <f t="shared" si="6"/>
        <v>1.7567559329507476</v>
      </c>
      <c r="J40" s="1025">
        <f t="shared" si="6"/>
        <v>1.8256931774513487</v>
      </c>
      <c r="K40" s="1026">
        <f t="shared" si="6"/>
        <v>1.143430851833291</v>
      </c>
      <c r="V40" s="388">
        <v>6</v>
      </c>
      <c r="W40" s="389">
        <v>8.7260000000000009</v>
      </c>
    </row>
    <row r="41" spans="3:23">
      <c r="C41" s="1018" t="s">
        <v>47</v>
      </c>
      <c r="D41" s="1019"/>
      <c r="E41" s="1020" t="s">
        <v>34</v>
      </c>
      <c r="F41" s="1022">
        <f t="shared" ref="F41:K41" si="7">F52</f>
        <v>35.057597539156902</v>
      </c>
      <c r="G41" s="1022">
        <f t="shared" si="7"/>
        <v>47.683653209794826</v>
      </c>
      <c r="H41" s="1022">
        <f t="shared" si="7"/>
        <v>46.047410723369602</v>
      </c>
      <c r="I41" s="1022">
        <f t="shared" si="7"/>
        <v>47.683653209794826</v>
      </c>
      <c r="J41" s="1025">
        <f t="shared" si="7"/>
        <v>46.047410723369602</v>
      </c>
      <c r="K41" s="1026">
        <f t="shared" si="7"/>
        <v>47.683653209794826</v>
      </c>
      <c r="V41" s="388">
        <v>7</v>
      </c>
      <c r="W41" s="389">
        <v>8.8819999999999997</v>
      </c>
    </row>
    <row r="42" spans="3:23">
      <c r="C42" s="1027" t="s">
        <v>48</v>
      </c>
      <c r="D42" s="1028"/>
      <c r="E42" s="1029" t="s">
        <v>972</v>
      </c>
      <c r="F42" s="1030">
        <f t="shared" ref="F42:K42" si="8">+F40/(1+(F41/100))</f>
        <v>1.1824087231164917</v>
      </c>
      <c r="G42" s="1031">
        <f t="shared" si="8"/>
        <v>0.7652424593862347</v>
      </c>
      <c r="H42" s="1031">
        <f t="shared" si="8"/>
        <v>1.2005385322377311</v>
      </c>
      <c r="I42" s="1031">
        <f t="shared" si="8"/>
        <v>1.1895398676623705</v>
      </c>
      <c r="J42" s="1032">
        <f t="shared" si="8"/>
        <v>1.250068842993334</v>
      </c>
      <c r="K42" s="1032">
        <f t="shared" si="8"/>
        <v>0.77424334175223075</v>
      </c>
      <c r="V42" s="388">
        <v>8</v>
      </c>
      <c r="W42" s="389">
        <v>8.8179999999999996</v>
      </c>
    </row>
    <row r="43" spans="3:23">
      <c r="V43" s="388">
        <v>9</v>
      </c>
      <c r="W43" s="389">
        <v>8.7989999999999995</v>
      </c>
    </row>
    <row r="44" spans="3:23">
      <c r="C44" s="19"/>
      <c r="D44" s="19"/>
      <c r="E44" s="19"/>
      <c r="F44" s="19">
        <v>10</v>
      </c>
      <c r="G44" s="19"/>
      <c r="H44">
        <f>H30</f>
        <v>25</v>
      </c>
      <c r="J44">
        <v>56</v>
      </c>
      <c r="V44" s="383">
        <v>10</v>
      </c>
      <c r="W44" s="384">
        <v>8.7929999999999993</v>
      </c>
    </row>
    <row r="45" spans="3:23">
      <c r="C45" s="1070" t="s">
        <v>47</v>
      </c>
      <c r="D45" s="1071"/>
      <c r="E45" s="1072"/>
      <c r="F45" s="1073" t="s">
        <v>39</v>
      </c>
      <c r="G45" s="1074" t="s">
        <v>40</v>
      </c>
      <c r="H45" s="1073" t="s">
        <v>39</v>
      </c>
      <c r="I45" s="1074" t="s">
        <v>40</v>
      </c>
      <c r="J45" s="1073" t="s">
        <v>39</v>
      </c>
      <c r="K45" s="1074" t="s">
        <v>40</v>
      </c>
      <c r="V45" s="383">
        <v>11</v>
      </c>
      <c r="W45" s="384">
        <v>8.8040000000000003</v>
      </c>
    </row>
    <row r="46" spans="3:23">
      <c r="C46" s="1075" t="s">
        <v>65</v>
      </c>
      <c r="D46" s="1076"/>
      <c r="E46" s="1077" t="s">
        <v>22</v>
      </c>
      <c r="F46" s="1106">
        <v>52.058</v>
      </c>
      <c r="G46" s="1106">
        <v>53.66</v>
      </c>
      <c r="H46" s="1106">
        <v>52.094999999999999</v>
      </c>
      <c r="I46" s="1106">
        <v>53.66</v>
      </c>
      <c r="J46" s="1106">
        <v>52.094999999999999</v>
      </c>
      <c r="K46" s="1106">
        <v>53.66</v>
      </c>
      <c r="V46" s="383">
        <v>12</v>
      </c>
      <c r="W46" s="384">
        <v>8.9280000000000008</v>
      </c>
    </row>
    <row r="47" spans="3:23">
      <c r="C47" s="1078" t="s">
        <v>66</v>
      </c>
      <c r="D47" s="1079"/>
      <c r="E47" s="1080" t="s">
        <v>22</v>
      </c>
      <c r="F47" s="1107">
        <v>40.889000000000003</v>
      </c>
      <c r="G47" s="1107">
        <v>39.25</v>
      </c>
      <c r="H47" s="1107">
        <v>38.517000000000003</v>
      </c>
      <c r="I47" s="1107">
        <v>39.25</v>
      </c>
      <c r="J47" s="1107">
        <v>38.517000000000003</v>
      </c>
      <c r="K47" s="1107">
        <v>39.25</v>
      </c>
      <c r="V47" s="383">
        <v>13</v>
      </c>
      <c r="W47" s="384">
        <v>8.8770000000000007</v>
      </c>
    </row>
    <row r="48" spans="3:23">
      <c r="C48" s="1078" t="s">
        <v>67</v>
      </c>
      <c r="D48" s="1079"/>
      <c r="E48" s="1080" t="s">
        <v>22</v>
      </c>
      <c r="F48" s="1082">
        <f t="shared" ref="F48:K48" si="9">+F46-F47</f>
        <v>11.168999999999997</v>
      </c>
      <c r="G48" s="1082">
        <f t="shared" si="9"/>
        <v>14.409999999999997</v>
      </c>
      <c r="H48" s="1082">
        <f t="shared" si="9"/>
        <v>13.577999999999996</v>
      </c>
      <c r="I48" s="1082">
        <f t="shared" si="9"/>
        <v>14.409999999999997</v>
      </c>
      <c r="J48" s="1082">
        <f t="shared" si="9"/>
        <v>13.577999999999996</v>
      </c>
      <c r="K48" s="1082">
        <f t="shared" si="9"/>
        <v>14.409999999999997</v>
      </c>
      <c r="V48" s="383">
        <v>14</v>
      </c>
      <c r="W48" s="384">
        <v>8.8919999999999995</v>
      </c>
    </row>
    <row r="49" spans="3:23">
      <c r="C49" s="1012" t="s">
        <v>628</v>
      </c>
      <c r="D49" s="1012"/>
      <c r="E49" s="1012"/>
      <c r="F49" s="1104">
        <v>1</v>
      </c>
      <c r="G49" s="1104">
        <v>1</v>
      </c>
      <c r="H49" s="1104">
        <v>1</v>
      </c>
      <c r="I49" s="1104">
        <v>1</v>
      </c>
      <c r="J49" s="1104">
        <v>1</v>
      </c>
      <c r="K49" s="1104">
        <v>1</v>
      </c>
      <c r="V49" s="383">
        <v>15</v>
      </c>
      <c r="W49" s="384">
        <v>8.9930000000000003</v>
      </c>
    </row>
    <row r="50" spans="3:23">
      <c r="C50" s="1078" t="s">
        <v>1002</v>
      </c>
      <c r="D50" s="1079"/>
      <c r="E50" s="1080" t="s">
        <v>22</v>
      </c>
      <c r="F50" s="1081">
        <f>IFERROR(VLOOKUP(F49,$V$35:$W$156,2,0),"")</f>
        <v>9.0299999999999994</v>
      </c>
      <c r="G50" s="1081">
        <f t="shared" ref="G50:K50" si="10">IFERROR(VLOOKUP(G49,$V$35:$W$156,2,0),"")</f>
        <v>9.0299999999999994</v>
      </c>
      <c r="H50" s="1081">
        <f t="shared" si="10"/>
        <v>9.0299999999999994</v>
      </c>
      <c r="I50" s="1081">
        <f t="shared" si="10"/>
        <v>9.0299999999999994</v>
      </c>
      <c r="J50" s="1081">
        <f t="shared" si="10"/>
        <v>9.0299999999999994</v>
      </c>
      <c r="K50" s="1081">
        <f t="shared" si="10"/>
        <v>9.0299999999999994</v>
      </c>
      <c r="V50" s="383">
        <v>16</v>
      </c>
      <c r="W50" s="384">
        <v>8.9090000000000007</v>
      </c>
    </row>
    <row r="51" spans="3:23">
      <c r="C51" s="1078" t="s">
        <v>68</v>
      </c>
      <c r="D51" s="1079"/>
      <c r="E51" s="1080" t="s">
        <v>22</v>
      </c>
      <c r="F51" s="1082">
        <f t="shared" ref="F51:K51" si="11">+F47-F50</f>
        <v>31.859000000000002</v>
      </c>
      <c r="G51" s="1082">
        <f t="shared" si="11"/>
        <v>30.22</v>
      </c>
      <c r="H51" s="1082">
        <f t="shared" si="11"/>
        <v>29.487000000000002</v>
      </c>
      <c r="I51" s="1082">
        <f t="shared" si="11"/>
        <v>30.22</v>
      </c>
      <c r="J51" s="1082">
        <f t="shared" si="11"/>
        <v>29.487000000000002</v>
      </c>
      <c r="K51" s="1082">
        <f t="shared" si="11"/>
        <v>30.22</v>
      </c>
      <c r="L51" s="1012"/>
      <c r="M51" s="1012"/>
      <c r="N51" s="1012"/>
      <c r="O51" s="1012"/>
      <c r="P51" s="1012"/>
      <c r="Q51" s="1012"/>
      <c r="R51" s="1012"/>
      <c r="S51" s="1012"/>
      <c r="V51" s="383">
        <v>17</v>
      </c>
      <c r="W51" s="384">
        <v>9.0489999999999995</v>
      </c>
    </row>
    <row r="52" spans="3:23">
      <c r="C52" s="1083" t="s">
        <v>69</v>
      </c>
      <c r="D52" s="1084"/>
      <c r="E52" s="1085" t="s">
        <v>34</v>
      </c>
      <c r="F52" s="1086">
        <f t="shared" ref="F52:K52" si="12">+(F48/F51)*100</f>
        <v>35.057597539156902</v>
      </c>
      <c r="G52" s="1086">
        <f t="shared" si="12"/>
        <v>47.683653209794826</v>
      </c>
      <c r="H52" s="1086">
        <f t="shared" si="12"/>
        <v>46.047410723369602</v>
      </c>
      <c r="I52" s="1086">
        <f t="shared" si="12"/>
        <v>47.683653209794826</v>
      </c>
      <c r="J52" s="1086">
        <f t="shared" si="12"/>
        <v>46.047410723369602</v>
      </c>
      <c r="K52" s="1086">
        <f t="shared" si="12"/>
        <v>47.683653209794826</v>
      </c>
      <c r="L52" s="1012"/>
      <c r="M52" s="1012"/>
      <c r="N52" s="1012"/>
      <c r="O52" s="1012"/>
      <c r="P52" s="1012"/>
      <c r="Q52" s="1012"/>
      <c r="R52" s="1012"/>
      <c r="S52" s="1012"/>
      <c r="V52" s="383">
        <v>18</v>
      </c>
      <c r="W52" s="384">
        <v>8.9339999999999993</v>
      </c>
    </row>
    <row r="53" spans="3:23">
      <c r="L53" s="1012"/>
      <c r="M53" s="1012"/>
      <c r="N53" s="1012"/>
      <c r="O53" s="1012"/>
      <c r="P53" s="1012"/>
      <c r="Q53" s="1012"/>
      <c r="R53" s="1012"/>
      <c r="S53" s="1012"/>
      <c r="V53" s="388">
        <v>19</v>
      </c>
      <c r="W53" s="389">
        <v>8.9610000000000003</v>
      </c>
    </row>
    <row r="54" spans="3:23">
      <c r="L54" s="1012"/>
      <c r="M54" s="1012"/>
      <c r="N54" s="1012"/>
      <c r="O54" s="1012"/>
      <c r="P54" s="1012"/>
      <c r="Q54" s="1012"/>
      <c r="R54" s="1012"/>
      <c r="S54" s="1012"/>
      <c r="V54" s="388">
        <v>20</v>
      </c>
      <c r="W54" s="389">
        <v>8.7759999999999998</v>
      </c>
    </row>
    <row r="55" spans="3:23">
      <c r="L55" s="1012"/>
      <c r="M55" s="1012"/>
      <c r="N55" s="1012"/>
      <c r="O55" s="1012"/>
      <c r="P55" s="1012"/>
      <c r="Q55" s="1012"/>
      <c r="R55" s="1012"/>
      <c r="S55" s="1012"/>
      <c r="V55" s="388">
        <v>21</v>
      </c>
      <c r="W55" s="389">
        <v>8.9030000000000005</v>
      </c>
    </row>
    <row r="56" spans="3:23">
      <c r="L56" s="1012"/>
      <c r="M56" s="1012"/>
      <c r="N56" s="1012"/>
      <c r="O56" s="1012"/>
      <c r="P56" s="1012"/>
      <c r="Q56" s="1012"/>
      <c r="R56" s="1012"/>
      <c r="S56" s="1012"/>
      <c r="V56" s="388">
        <v>22</v>
      </c>
      <c r="W56" s="389">
        <v>8.843</v>
      </c>
    </row>
    <row r="57" spans="3:23">
      <c r="L57" s="1012"/>
      <c r="M57" s="1012"/>
      <c r="N57" s="1012"/>
      <c r="O57" s="1012"/>
      <c r="P57" s="1012"/>
      <c r="Q57" s="1012"/>
      <c r="R57" s="1012"/>
      <c r="S57" s="1012"/>
      <c r="V57" s="388">
        <v>23</v>
      </c>
      <c r="W57" s="389">
        <v>8.84</v>
      </c>
    </row>
    <row r="58" spans="3:23">
      <c r="L58" s="1012"/>
      <c r="M58" s="1012"/>
      <c r="N58" s="1012"/>
      <c r="O58" s="1012"/>
      <c r="P58" s="1012"/>
      <c r="Q58" s="1012"/>
      <c r="R58" s="1012"/>
      <c r="S58" s="1012"/>
      <c r="V58" s="390">
        <v>24</v>
      </c>
      <c r="W58" s="389">
        <v>9.01</v>
      </c>
    </row>
    <row r="59" spans="3:23">
      <c r="L59" s="1012"/>
      <c r="M59" s="1012"/>
      <c r="N59" s="1012"/>
      <c r="O59" s="1012"/>
      <c r="P59" s="1012"/>
      <c r="Q59" s="1012"/>
      <c r="R59" s="1012"/>
      <c r="S59" s="1012"/>
      <c r="V59" s="388">
        <v>25</v>
      </c>
      <c r="W59" s="389">
        <v>8.8119999999999994</v>
      </c>
    </row>
    <row r="60" spans="3:23">
      <c r="C60" s="531" t="s">
        <v>49</v>
      </c>
      <c r="L60" s="1012"/>
      <c r="M60" s="1012"/>
      <c r="N60" s="1012"/>
      <c r="O60" s="1012"/>
      <c r="P60" s="1012"/>
      <c r="Q60" s="1012"/>
      <c r="R60" s="1012"/>
      <c r="S60" s="1012"/>
      <c r="V60" s="388">
        <v>26</v>
      </c>
      <c r="W60" s="389">
        <v>8.8460000000000001</v>
      </c>
    </row>
    <row r="61" spans="3:23">
      <c r="L61" s="1012"/>
      <c r="M61" s="1012"/>
      <c r="N61" s="1012"/>
      <c r="O61" s="1012"/>
      <c r="P61" s="1012"/>
      <c r="Q61" s="1012"/>
      <c r="R61" s="1012"/>
      <c r="S61" s="1012"/>
      <c r="V61" s="388">
        <v>27</v>
      </c>
      <c r="W61" s="389">
        <v>8.9139999999999997</v>
      </c>
    </row>
    <row r="62" spans="3:23">
      <c r="L62" s="1012"/>
      <c r="M62" s="1012"/>
      <c r="N62" s="1012"/>
      <c r="O62" s="1012"/>
      <c r="P62" s="1012"/>
      <c r="Q62" s="1012"/>
      <c r="R62" s="1012"/>
      <c r="S62" s="1012"/>
      <c r="V62" s="388">
        <v>28</v>
      </c>
      <c r="W62" s="389">
        <v>9.9</v>
      </c>
    </row>
    <row r="63" spans="3:23">
      <c r="C63" t="s">
        <v>1015</v>
      </c>
      <c r="E63">
        <v>49.63</v>
      </c>
      <c r="F63" t="s">
        <v>75</v>
      </c>
      <c r="L63" s="1012"/>
      <c r="M63" s="1012"/>
      <c r="N63" s="1012"/>
      <c r="O63" s="1012"/>
      <c r="P63" s="1012"/>
      <c r="Q63" s="1012"/>
      <c r="R63" s="1012"/>
      <c r="S63" s="1012"/>
      <c r="V63" s="388">
        <v>29</v>
      </c>
      <c r="W63" s="389">
        <v>8.9</v>
      </c>
    </row>
    <row r="64" spans="3:23">
      <c r="C64" t="s">
        <v>1016</v>
      </c>
      <c r="D64" s="335"/>
      <c r="E64" s="1033">
        <v>19.350000000000001</v>
      </c>
      <c r="F64" s="1115" t="s">
        <v>1019</v>
      </c>
      <c r="H64" s="1012"/>
      <c r="I64" s="1012"/>
      <c r="J64" s="1012"/>
      <c r="K64" s="1012"/>
      <c r="L64" s="1012"/>
      <c r="M64" s="1012"/>
      <c r="N64" s="1012"/>
      <c r="O64" s="1012"/>
      <c r="P64" s="1012"/>
      <c r="Q64" s="1012"/>
      <c r="R64" s="1012"/>
      <c r="S64" s="1012"/>
      <c r="V64" s="385">
        <v>30</v>
      </c>
      <c r="W64" s="391">
        <v>8.8539999999999992</v>
      </c>
    </row>
    <row r="65" spans="3:23">
      <c r="C65" t="s">
        <v>1017</v>
      </c>
      <c r="D65" s="531"/>
      <c r="E65" s="335">
        <v>1.27</v>
      </c>
      <c r="F65" s="335" t="s">
        <v>199</v>
      </c>
      <c r="G65" s="1033"/>
      <c r="H65" s="1012"/>
      <c r="I65" s="1012"/>
      <c r="J65" s="1012"/>
      <c r="K65" s="1012"/>
      <c r="L65" s="1012"/>
      <c r="M65" s="1012"/>
      <c r="N65" s="1012"/>
      <c r="O65" s="1012"/>
      <c r="P65" s="1012"/>
      <c r="Q65" s="1012"/>
      <c r="R65" s="1012"/>
      <c r="S65" s="1012"/>
      <c r="V65" s="388">
        <v>31</v>
      </c>
      <c r="W65" s="389">
        <v>8.8149999999999995</v>
      </c>
    </row>
    <row r="66" spans="3:23">
      <c r="C66" s="335" t="s">
        <v>50</v>
      </c>
      <c r="D66" s="335"/>
      <c r="E66" s="1034">
        <v>28.7926</v>
      </c>
      <c r="F66" s="335" t="s">
        <v>51</v>
      </c>
      <c r="G66" s="335"/>
      <c r="H66" s="1012"/>
      <c r="I66" s="1012"/>
      <c r="J66" s="1012"/>
      <c r="K66" s="1012"/>
      <c r="L66" s="1012"/>
      <c r="M66" s="1012"/>
      <c r="N66" s="1012"/>
      <c r="O66" s="1012"/>
      <c r="P66" s="1012"/>
      <c r="Q66" s="1012"/>
      <c r="R66" s="1012"/>
      <c r="S66" s="1012"/>
      <c r="V66" s="388">
        <v>32</v>
      </c>
      <c r="W66" s="389">
        <v>8.9849999999999994</v>
      </c>
    </row>
    <row r="67" spans="3:23">
      <c r="C67" s="335" t="s">
        <v>52</v>
      </c>
      <c r="D67" s="1035" t="s">
        <v>53</v>
      </c>
      <c r="E67" s="1036">
        <f>(48.62/25.4)^2*0.7854</f>
        <v>2.8777520549321101</v>
      </c>
      <c r="F67" s="1037" t="s">
        <v>54</v>
      </c>
      <c r="G67" s="335"/>
      <c r="H67" s="1012"/>
      <c r="I67" s="1012"/>
      <c r="J67" s="1012"/>
      <c r="K67" s="1012"/>
      <c r="L67" s="1012"/>
      <c r="M67" s="1012"/>
      <c r="N67" s="1012"/>
      <c r="O67" s="1012"/>
      <c r="P67" s="1012"/>
      <c r="Q67" s="1012"/>
      <c r="R67" s="1012"/>
      <c r="S67" s="1012"/>
      <c r="V67" s="388">
        <v>33</v>
      </c>
      <c r="W67" s="389">
        <v>8.8970000000000002</v>
      </c>
    </row>
    <row r="68" spans="3:23">
      <c r="C68" s="531"/>
      <c r="D68" s="531"/>
      <c r="E68" s="335"/>
      <c r="F68" s="335"/>
      <c r="G68" s="335"/>
      <c r="H68" s="1012"/>
      <c r="I68" s="1012"/>
      <c r="J68" s="1012"/>
      <c r="K68" s="1012"/>
      <c r="L68" s="1012"/>
      <c r="M68" s="1012"/>
      <c r="N68" s="1012"/>
      <c r="O68" s="1012"/>
      <c r="P68" s="1012"/>
      <c r="Q68" s="1012"/>
      <c r="R68" s="1012"/>
      <c r="S68" s="1012"/>
      <c r="V68" s="388">
        <v>34</v>
      </c>
      <c r="W68" s="389">
        <v>8.91</v>
      </c>
    </row>
    <row r="69" spans="3:23">
      <c r="C69" s="2110" t="s">
        <v>55</v>
      </c>
      <c r="D69" s="2110" t="s">
        <v>56</v>
      </c>
      <c r="E69" s="2112" t="s">
        <v>57</v>
      </c>
      <c r="F69" s="2110" t="s">
        <v>58</v>
      </c>
      <c r="G69" s="2110" t="s">
        <v>59</v>
      </c>
      <c r="H69" s="1012"/>
      <c r="I69" s="2110" t="s">
        <v>55</v>
      </c>
      <c r="J69" s="2110" t="s">
        <v>56</v>
      </c>
      <c r="K69" s="2112" t="s">
        <v>57</v>
      </c>
      <c r="L69" s="2110" t="s">
        <v>58</v>
      </c>
      <c r="M69" s="2110" t="s">
        <v>59</v>
      </c>
      <c r="N69" s="1012"/>
      <c r="O69" s="2110" t="s">
        <v>55</v>
      </c>
      <c r="P69" s="2110" t="s">
        <v>56</v>
      </c>
      <c r="Q69" s="2112" t="s">
        <v>57</v>
      </c>
      <c r="R69" s="2110" t="s">
        <v>58</v>
      </c>
      <c r="S69" s="2110" t="s">
        <v>59</v>
      </c>
      <c r="V69" s="383">
        <v>35</v>
      </c>
      <c r="W69" s="384">
        <v>8.7249999999999996</v>
      </c>
    </row>
    <row r="70" spans="3:23">
      <c r="C70" s="2111"/>
      <c r="D70" s="2111"/>
      <c r="E70" s="2113"/>
      <c r="F70" s="2111"/>
      <c r="G70" s="2111"/>
      <c r="H70" s="1012"/>
      <c r="I70" s="2111"/>
      <c r="J70" s="2111"/>
      <c r="K70" s="2113"/>
      <c r="L70" s="2111"/>
      <c r="M70" s="2111"/>
      <c r="N70" s="1012"/>
      <c r="O70" s="2111"/>
      <c r="P70" s="2111"/>
      <c r="Q70" s="2113"/>
      <c r="R70" s="2111"/>
      <c r="S70" s="2111"/>
      <c r="V70" s="383">
        <v>36</v>
      </c>
      <c r="W70" s="384">
        <v>8.7149999999999999</v>
      </c>
    </row>
    <row r="71" spans="3:23">
      <c r="C71" s="2111"/>
      <c r="D71" s="2111"/>
      <c r="E71" s="2113"/>
      <c r="F71" s="2111"/>
      <c r="G71" s="2111"/>
      <c r="H71" s="1012"/>
      <c r="I71" s="2111"/>
      <c r="J71" s="2111"/>
      <c r="K71" s="2113"/>
      <c r="L71" s="2111"/>
      <c r="M71" s="2111"/>
      <c r="N71" s="1012"/>
      <c r="O71" s="2111"/>
      <c r="P71" s="2111"/>
      <c r="Q71" s="2113"/>
      <c r="R71" s="2111"/>
      <c r="S71" s="2111"/>
      <c r="V71" s="383">
        <v>37</v>
      </c>
      <c r="W71" s="384">
        <v>8.7520000000000007</v>
      </c>
    </row>
    <row r="72" spans="3:23">
      <c r="C72" s="1038" t="s">
        <v>60</v>
      </c>
      <c r="D72" s="1038" t="s">
        <v>61</v>
      </c>
      <c r="E72" s="1039" t="s">
        <v>62</v>
      </c>
      <c r="F72" s="1040" t="s">
        <v>63</v>
      </c>
      <c r="G72" s="1040" t="s">
        <v>64</v>
      </c>
      <c r="H72" s="1012"/>
      <c r="I72" s="1038" t="s">
        <v>60</v>
      </c>
      <c r="J72" s="1038" t="s">
        <v>61</v>
      </c>
      <c r="K72" s="1039" t="s">
        <v>62</v>
      </c>
      <c r="L72" s="1040" t="s">
        <v>63</v>
      </c>
      <c r="M72" s="1040" t="s">
        <v>64</v>
      </c>
      <c r="N72" s="1012"/>
      <c r="O72" s="1038" t="s">
        <v>60</v>
      </c>
      <c r="P72" s="1038" t="s">
        <v>61</v>
      </c>
      <c r="Q72" s="1039" t="s">
        <v>62</v>
      </c>
      <c r="R72" s="1040" t="s">
        <v>63</v>
      </c>
      <c r="S72" s="1040" t="s">
        <v>64</v>
      </c>
      <c r="V72" s="383">
        <v>38</v>
      </c>
      <c r="W72" s="384">
        <v>8.73</v>
      </c>
    </row>
    <row r="73" spans="3:23">
      <c r="C73" s="1041">
        <v>0</v>
      </c>
      <c r="D73" s="1042">
        <f>0*25.4</f>
        <v>0</v>
      </c>
      <c r="E73" s="1043">
        <v>0</v>
      </c>
      <c r="F73" s="1044">
        <f t="shared" ref="F73:F83" si="13">E73*$E$66</f>
        <v>0</v>
      </c>
      <c r="G73" s="1045">
        <f>IF($D$7="",NA(),F73/$E$67)</f>
        <v>0</v>
      </c>
      <c r="H73" s="1012"/>
      <c r="I73" s="1041">
        <v>0</v>
      </c>
      <c r="J73" s="1042">
        <f>0*25.4</f>
        <v>0</v>
      </c>
      <c r="K73" s="1043">
        <v>0</v>
      </c>
      <c r="L73" s="1046">
        <f t="shared" ref="L73:L83" si="14">K73*$E$66</f>
        <v>0</v>
      </c>
      <c r="M73" s="1045">
        <f>IF($D$7="",NA(),L73/$E$67)</f>
        <v>0</v>
      </c>
      <c r="N73" s="1012"/>
      <c r="O73" s="1041">
        <v>0</v>
      </c>
      <c r="P73" s="1042">
        <f>0*25.4</f>
        <v>0</v>
      </c>
      <c r="Q73" s="1043">
        <v>0</v>
      </c>
      <c r="R73" s="1046">
        <f t="shared" ref="R73:R83" si="15">Q73*$E$66</f>
        <v>0</v>
      </c>
      <c r="S73" s="1045">
        <f>IF($D$7="",NA(),R73/$E$67)</f>
        <v>0</v>
      </c>
      <c r="V73" s="383">
        <v>39</v>
      </c>
      <c r="W73" s="384">
        <v>8.8610000000000007</v>
      </c>
    </row>
    <row r="74" spans="3:23">
      <c r="C74" s="1047">
        <v>0.25</v>
      </c>
      <c r="D74" s="1048">
        <f>0.0125*25.4</f>
        <v>0.3175</v>
      </c>
      <c r="E74" s="1049">
        <v>5</v>
      </c>
      <c r="F74" s="1044">
        <f t="shared" si="13"/>
        <v>143.96299999999999</v>
      </c>
      <c r="G74" s="1045">
        <f t="shared" ref="G74:G83" si="16">IF($D$7="",NA(),F74/$E$67)</f>
        <v>50.026200051969475</v>
      </c>
      <c r="H74" s="1012"/>
      <c r="I74" s="1047">
        <v>0.25</v>
      </c>
      <c r="J74" s="1048">
        <f>0.0125*25.4</f>
        <v>0.3175</v>
      </c>
      <c r="K74" s="1049">
        <v>3</v>
      </c>
      <c r="L74" s="1046">
        <f t="shared" si="14"/>
        <v>86.377800000000008</v>
      </c>
      <c r="M74" s="1045">
        <f t="shared" ref="M74:M83" si="17">IF($D$7="",NA(),L74/$E$67)</f>
        <v>30.01572003118169</v>
      </c>
      <c r="N74" s="1012"/>
      <c r="O74" s="1047">
        <v>0.25</v>
      </c>
      <c r="P74" s="1048">
        <f>0.0125*25.4</f>
        <v>0.3175</v>
      </c>
      <c r="Q74" s="1049">
        <v>4</v>
      </c>
      <c r="R74" s="1046">
        <f t="shared" si="15"/>
        <v>115.1704</v>
      </c>
      <c r="S74" s="1045">
        <f t="shared" ref="S74:S83" si="18">IF($D$7="",NA(),R74/$E$67)</f>
        <v>40.020960041575584</v>
      </c>
      <c r="V74" s="383">
        <v>40</v>
      </c>
      <c r="W74" s="384">
        <v>8.8580000000000005</v>
      </c>
    </row>
    <row r="75" spans="3:23">
      <c r="C75" s="1047">
        <v>0.5</v>
      </c>
      <c r="D75" s="1048">
        <f>0.025*25.4</f>
        <v>0.63500000000000001</v>
      </c>
      <c r="E75" s="1049">
        <v>9</v>
      </c>
      <c r="F75" s="1044">
        <f t="shared" si="13"/>
        <v>259.13339999999999</v>
      </c>
      <c r="G75" s="1045">
        <f t="shared" si="16"/>
        <v>90.04716009354506</v>
      </c>
      <c r="H75" s="1012"/>
      <c r="I75" s="1047">
        <v>0.5</v>
      </c>
      <c r="J75" s="1048">
        <f>0.025*25.4</f>
        <v>0.63500000000000001</v>
      </c>
      <c r="K75" s="1049">
        <v>6</v>
      </c>
      <c r="L75" s="1046">
        <f t="shared" si="14"/>
        <v>172.75560000000002</v>
      </c>
      <c r="M75" s="1045">
        <f t="shared" si="17"/>
        <v>60.03144006236338</v>
      </c>
      <c r="N75" s="1012"/>
      <c r="O75" s="1047">
        <v>0.5</v>
      </c>
      <c r="P75" s="1048">
        <f>0.025*25.4</f>
        <v>0.63500000000000001</v>
      </c>
      <c r="Q75" s="1049">
        <v>8</v>
      </c>
      <c r="R75" s="1046">
        <f t="shared" si="15"/>
        <v>230.3408</v>
      </c>
      <c r="S75" s="1045">
        <f t="shared" si="18"/>
        <v>80.041920083151169</v>
      </c>
      <c r="V75" s="383">
        <v>41</v>
      </c>
      <c r="W75" s="384">
        <v>8.7590000000000003</v>
      </c>
    </row>
    <row r="76" spans="3:23">
      <c r="C76" s="1047">
        <v>1</v>
      </c>
      <c r="D76" s="1048">
        <f>0.05*25.4</f>
        <v>1.27</v>
      </c>
      <c r="E76" s="1049">
        <v>15</v>
      </c>
      <c r="F76" s="1044">
        <f t="shared" si="13"/>
        <v>431.88900000000001</v>
      </c>
      <c r="G76" s="1045">
        <f t="shared" si="16"/>
        <v>150.07860015590845</v>
      </c>
      <c r="H76" s="1012"/>
      <c r="I76" s="1047">
        <v>1</v>
      </c>
      <c r="J76" s="1048">
        <f>0.05*25.4</f>
        <v>1.27</v>
      </c>
      <c r="K76" s="1049">
        <v>12</v>
      </c>
      <c r="L76" s="1046">
        <f t="shared" si="14"/>
        <v>345.51120000000003</v>
      </c>
      <c r="M76" s="1045">
        <f t="shared" si="17"/>
        <v>120.06288012472676</v>
      </c>
      <c r="N76" s="1012"/>
      <c r="O76" s="1047">
        <v>1</v>
      </c>
      <c r="P76" s="1048">
        <f>0.05*25.4</f>
        <v>1.27</v>
      </c>
      <c r="Q76" s="1049">
        <v>14</v>
      </c>
      <c r="R76" s="1046">
        <f t="shared" si="15"/>
        <v>403.09640000000002</v>
      </c>
      <c r="S76" s="1045">
        <f t="shared" si="18"/>
        <v>140.07336014551456</v>
      </c>
      <c r="V76" s="383">
        <v>42</v>
      </c>
      <c r="W76" s="384">
        <v>8.8000000000000007</v>
      </c>
    </row>
    <row r="77" spans="3:23">
      <c r="C77" s="1047">
        <v>1.5</v>
      </c>
      <c r="D77" s="1048">
        <f>0.075*25.4</f>
        <v>1.9049999999999998</v>
      </c>
      <c r="E77" s="1049">
        <v>20</v>
      </c>
      <c r="F77" s="1044">
        <f t="shared" si="13"/>
        <v>575.85199999999998</v>
      </c>
      <c r="G77" s="1045">
        <f t="shared" si="16"/>
        <v>200.1048002078779</v>
      </c>
      <c r="H77" s="1012"/>
      <c r="I77" s="1047">
        <v>1.5</v>
      </c>
      <c r="J77" s="1048">
        <f>0.075*25.4</f>
        <v>1.9049999999999998</v>
      </c>
      <c r="K77" s="1049">
        <v>18</v>
      </c>
      <c r="L77" s="1046">
        <f t="shared" si="14"/>
        <v>518.26679999999999</v>
      </c>
      <c r="M77" s="1045">
        <f t="shared" si="17"/>
        <v>180.09432018709012</v>
      </c>
      <c r="N77" s="1012"/>
      <c r="O77" s="1047">
        <v>1.5</v>
      </c>
      <c r="P77" s="1048">
        <f>0.075*25.4</f>
        <v>1.9049999999999998</v>
      </c>
      <c r="Q77" s="1049">
        <v>20</v>
      </c>
      <c r="R77" s="1046">
        <f t="shared" si="15"/>
        <v>575.85199999999998</v>
      </c>
      <c r="S77" s="1045">
        <f t="shared" si="18"/>
        <v>200.1048002078779</v>
      </c>
      <c r="V77" s="383">
        <v>43</v>
      </c>
      <c r="W77" s="384">
        <v>8.8610000000000007</v>
      </c>
    </row>
    <row r="78" spans="3:23">
      <c r="C78" s="1047">
        <v>2</v>
      </c>
      <c r="D78" s="1048">
        <f>0.1*25.4</f>
        <v>2.54</v>
      </c>
      <c r="E78" s="1049">
        <v>25</v>
      </c>
      <c r="F78" s="1044">
        <f t="shared" si="13"/>
        <v>719.81500000000005</v>
      </c>
      <c r="G78" s="1045">
        <f t="shared" si="16"/>
        <v>250.13100025984741</v>
      </c>
      <c r="H78" s="1012"/>
      <c r="I78" s="1047">
        <v>2</v>
      </c>
      <c r="J78" s="1048">
        <f>0.1*25.4</f>
        <v>2.54</v>
      </c>
      <c r="K78" s="1049">
        <v>23</v>
      </c>
      <c r="L78" s="1046">
        <f t="shared" si="14"/>
        <v>662.22979999999995</v>
      </c>
      <c r="M78" s="1045">
        <f t="shared" si="17"/>
        <v>230.1205202390596</v>
      </c>
      <c r="N78" s="1012"/>
      <c r="O78" s="1047">
        <v>2</v>
      </c>
      <c r="P78" s="1048">
        <f>0.1*25.4</f>
        <v>2.54</v>
      </c>
      <c r="Q78" s="1049">
        <v>26</v>
      </c>
      <c r="R78" s="1046">
        <f t="shared" si="15"/>
        <v>748.60760000000005</v>
      </c>
      <c r="S78" s="1045">
        <f t="shared" si="18"/>
        <v>260.13624027024133</v>
      </c>
      <c r="V78" s="383">
        <v>44</v>
      </c>
      <c r="W78" s="384">
        <v>8.8780000000000001</v>
      </c>
    </row>
    <row r="79" spans="3:23">
      <c r="C79" s="1047">
        <v>3</v>
      </c>
      <c r="D79" s="1048">
        <f>0.15*25.4</f>
        <v>3.8099999999999996</v>
      </c>
      <c r="E79" s="1049">
        <v>37</v>
      </c>
      <c r="F79" s="1044">
        <f t="shared" si="13"/>
        <v>1065.3262</v>
      </c>
      <c r="G79" s="1045">
        <f t="shared" si="16"/>
        <v>370.19388038457413</v>
      </c>
      <c r="H79" s="1012"/>
      <c r="I79" s="1047">
        <v>3</v>
      </c>
      <c r="J79" s="1048">
        <f>0.15*25.4</f>
        <v>3.8099999999999996</v>
      </c>
      <c r="K79" s="1049">
        <v>36</v>
      </c>
      <c r="L79" s="1046">
        <f t="shared" si="14"/>
        <v>1036.5336</v>
      </c>
      <c r="M79" s="1045">
        <f t="shared" si="17"/>
        <v>360.18864037418024</v>
      </c>
      <c r="N79" s="1012"/>
      <c r="O79" s="1047">
        <v>3</v>
      </c>
      <c r="P79" s="1048">
        <f>0.15*25.4</f>
        <v>3.8099999999999996</v>
      </c>
      <c r="Q79" s="1049">
        <v>37</v>
      </c>
      <c r="R79" s="1046">
        <f t="shared" si="15"/>
        <v>1065.3262</v>
      </c>
      <c r="S79" s="1045">
        <f t="shared" si="18"/>
        <v>370.19388038457413</v>
      </c>
      <c r="V79" s="383">
        <v>45</v>
      </c>
      <c r="W79" s="384">
        <v>8.9410000000000007</v>
      </c>
    </row>
    <row r="80" spans="3:23">
      <c r="C80" s="1047">
        <v>4</v>
      </c>
      <c r="D80" s="1048">
        <f>0.2*25.4</f>
        <v>5.08</v>
      </c>
      <c r="E80" s="1049">
        <v>44</v>
      </c>
      <c r="F80" s="1044">
        <f t="shared" si="13"/>
        <v>1266.8743999999999</v>
      </c>
      <c r="G80" s="1045">
        <f t="shared" si="16"/>
        <v>440.23056045733136</v>
      </c>
      <c r="H80" s="1012"/>
      <c r="I80" s="1047">
        <v>4</v>
      </c>
      <c r="J80" s="1048">
        <f>0.2*25.4</f>
        <v>5.08</v>
      </c>
      <c r="K80" s="1049">
        <v>45</v>
      </c>
      <c r="L80" s="1046">
        <f t="shared" si="14"/>
        <v>1295.6669999999999</v>
      </c>
      <c r="M80" s="1045">
        <f t="shared" si="17"/>
        <v>450.23580046772531</v>
      </c>
      <c r="N80" s="1012"/>
      <c r="O80" s="1047">
        <v>4</v>
      </c>
      <c r="P80" s="1048">
        <f>0.2*25.4</f>
        <v>5.08</v>
      </c>
      <c r="Q80" s="1049">
        <v>46</v>
      </c>
      <c r="R80" s="1046">
        <f t="shared" si="15"/>
        <v>1324.4595999999999</v>
      </c>
      <c r="S80" s="1045">
        <f t="shared" si="18"/>
        <v>460.2410404781192</v>
      </c>
      <c r="V80" s="383">
        <v>46</v>
      </c>
      <c r="W80" s="384">
        <v>9.01</v>
      </c>
    </row>
    <row r="81" spans="3:23">
      <c r="C81" s="1047">
        <v>6</v>
      </c>
      <c r="D81" s="1048">
        <f>0.3*25.4</f>
        <v>7.6199999999999992</v>
      </c>
      <c r="E81" s="1049">
        <v>50</v>
      </c>
      <c r="F81" s="1044">
        <f t="shared" si="13"/>
        <v>1439.63</v>
      </c>
      <c r="G81" s="1045">
        <f t="shared" si="16"/>
        <v>500.26200051969482</v>
      </c>
      <c r="H81" s="1012"/>
      <c r="I81" s="1047">
        <v>6</v>
      </c>
      <c r="J81" s="1048">
        <f>0.3*25.4</f>
        <v>7.6199999999999992</v>
      </c>
      <c r="K81" s="1049">
        <v>65</v>
      </c>
      <c r="L81" s="1046">
        <f t="shared" si="14"/>
        <v>1871.519</v>
      </c>
      <c r="M81" s="1045">
        <f t="shared" si="17"/>
        <v>650.34060067560324</v>
      </c>
      <c r="N81" s="1012"/>
      <c r="O81" s="1047">
        <v>6</v>
      </c>
      <c r="P81" s="1048">
        <f>0.3*25.4</f>
        <v>7.6199999999999992</v>
      </c>
      <c r="Q81" s="1049">
        <v>65</v>
      </c>
      <c r="R81" s="1046">
        <f t="shared" si="15"/>
        <v>1871.519</v>
      </c>
      <c r="S81" s="1045">
        <f t="shared" si="18"/>
        <v>650.34060067560324</v>
      </c>
      <c r="V81" s="383">
        <v>47</v>
      </c>
      <c r="W81" s="384">
        <v>8.8993000000000002</v>
      </c>
    </row>
    <row r="82" spans="3:23">
      <c r="C82" s="1047">
        <v>8</v>
      </c>
      <c r="D82" s="1048">
        <f>0.4*25.4</f>
        <v>10.16</v>
      </c>
      <c r="E82" s="1049">
        <v>53</v>
      </c>
      <c r="F82" s="1044">
        <f t="shared" si="13"/>
        <v>1526.0078000000001</v>
      </c>
      <c r="G82" s="1045">
        <f t="shared" si="16"/>
        <v>530.27772055087655</v>
      </c>
      <c r="H82" s="1012"/>
      <c r="I82" s="1047">
        <v>8</v>
      </c>
      <c r="J82" s="1048">
        <f>0.4*25.4</f>
        <v>10.16</v>
      </c>
      <c r="K82" s="1049">
        <v>73</v>
      </c>
      <c r="L82" s="1046">
        <f t="shared" si="14"/>
        <v>2101.8598000000002</v>
      </c>
      <c r="M82" s="1045">
        <f t="shared" si="17"/>
        <v>730.38252075875448</v>
      </c>
      <c r="N82" s="1012"/>
      <c r="O82" s="1047">
        <v>8</v>
      </c>
      <c r="P82" s="1048">
        <f>0.4*25.4</f>
        <v>10.16</v>
      </c>
      <c r="Q82" s="1049">
        <v>79</v>
      </c>
      <c r="R82" s="1046">
        <f t="shared" si="15"/>
        <v>2274.6154000000001</v>
      </c>
      <c r="S82" s="1045">
        <f t="shared" si="18"/>
        <v>790.41396082111783</v>
      </c>
      <c r="V82" s="383">
        <v>48</v>
      </c>
      <c r="W82" s="384">
        <v>8.7490000000000006</v>
      </c>
    </row>
    <row r="83" spans="3:23">
      <c r="C83" s="1050">
        <v>10</v>
      </c>
      <c r="D83" s="1051">
        <f>0.5*25.4</f>
        <v>12.7</v>
      </c>
      <c r="E83" s="1052">
        <v>53.5</v>
      </c>
      <c r="F83" s="1044">
        <f t="shared" si="13"/>
        <v>1540.4041</v>
      </c>
      <c r="G83" s="1045">
        <f t="shared" si="16"/>
        <v>535.28034055607338</v>
      </c>
      <c r="H83" s="1012"/>
      <c r="I83" s="1050">
        <v>10</v>
      </c>
      <c r="J83" s="1051">
        <f>0.5*25.4</f>
        <v>12.7</v>
      </c>
      <c r="K83" s="1052">
        <v>75</v>
      </c>
      <c r="L83" s="1046">
        <f t="shared" si="14"/>
        <v>2159.4450000000002</v>
      </c>
      <c r="M83" s="1045">
        <f t="shared" si="17"/>
        <v>750.39300077954226</v>
      </c>
      <c r="N83" s="1012"/>
      <c r="O83" s="1050">
        <v>10</v>
      </c>
      <c r="P83" s="1051">
        <f>0.5*25.4</f>
        <v>12.7</v>
      </c>
      <c r="Q83" s="1052">
        <v>80</v>
      </c>
      <c r="R83" s="1046">
        <f t="shared" si="15"/>
        <v>2303.4079999999999</v>
      </c>
      <c r="S83" s="1045">
        <f t="shared" si="18"/>
        <v>800.4192008315116</v>
      </c>
      <c r="V83" s="383">
        <v>49</v>
      </c>
      <c r="W83" s="384">
        <v>8.8219999999999992</v>
      </c>
    </row>
    <row r="84" spans="3:23">
      <c r="C84" s="1053"/>
      <c r="D84" s="1053">
        <f>COUNTIF(D73:D83,0.1)</f>
        <v>0</v>
      </c>
      <c r="E84" s="1054"/>
      <c r="F84" s="1055"/>
      <c r="G84" s="1056"/>
      <c r="H84" s="1012"/>
      <c r="I84" s="1012"/>
      <c r="J84" s="1012"/>
      <c r="K84" s="1012"/>
      <c r="L84" s="1012"/>
      <c r="M84" s="1012"/>
      <c r="N84" s="1012"/>
      <c r="O84" s="1012"/>
      <c r="P84" s="1012"/>
      <c r="Q84" s="1012"/>
      <c r="R84" s="1012"/>
      <c r="S84" s="1012"/>
      <c r="V84" s="383">
        <v>50</v>
      </c>
      <c r="W84" s="384">
        <v>8.7810000000000006</v>
      </c>
    </row>
    <row r="85" spans="3:23">
      <c r="C85" s="335"/>
      <c r="D85" s="335" t="s">
        <v>1003</v>
      </c>
      <c r="E85" s="335"/>
      <c r="F85" s="335"/>
      <c r="G85" s="335"/>
      <c r="H85" s="1012"/>
      <c r="I85" s="1012"/>
      <c r="J85" s="1012"/>
      <c r="K85" s="1012"/>
      <c r="L85" s="1012"/>
      <c r="M85" s="1012"/>
      <c r="N85" s="1012"/>
      <c r="O85" s="1012"/>
      <c r="P85" s="1012"/>
      <c r="Q85" s="1012"/>
      <c r="R85" s="1012"/>
      <c r="S85" s="1012"/>
      <c r="V85" s="383">
        <v>51</v>
      </c>
      <c r="W85" s="384">
        <v>8.843</v>
      </c>
    </row>
    <row r="86" spans="3:23">
      <c r="C86" s="1012"/>
      <c r="D86" s="1012"/>
      <c r="E86" s="1012"/>
      <c r="F86" s="1012"/>
      <c r="G86" s="1012"/>
      <c r="H86" s="1012"/>
      <c r="I86" s="1012"/>
      <c r="J86" s="1012"/>
      <c r="K86" s="1012"/>
      <c r="L86" s="1012"/>
      <c r="M86" s="1012"/>
      <c r="N86" s="1012"/>
      <c r="O86" s="1012"/>
      <c r="P86" s="1012"/>
      <c r="Q86" s="1012"/>
      <c r="R86" s="1012"/>
      <c r="V86" s="383">
        <v>52</v>
      </c>
      <c r="W86" s="384">
        <v>8.8580000000000005</v>
      </c>
    </row>
    <row r="87" spans="3:23">
      <c r="C87" s="1012"/>
      <c r="D87" s="1012"/>
      <c r="E87" s="1012"/>
      <c r="F87" s="1012"/>
      <c r="G87" s="1012"/>
      <c r="H87" s="1012"/>
      <c r="I87" s="1012"/>
      <c r="J87" s="1012"/>
      <c r="K87" s="1012"/>
      <c r="L87" s="1012"/>
      <c r="M87" s="1012"/>
      <c r="N87" s="1012"/>
      <c r="O87" s="1012"/>
      <c r="P87" s="1012"/>
      <c r="Q87" s="1012"/>
      <c r="R87" s="1012"/>
      <c r="S87" s="1012"/>
      <c r="V87" s="383">
        <v>53</v>
      </c>
      <c r="W87" s="384">
        <v>8.7810000000000006</v>
      </c>
    </row>
    <row r="88" spans="3:23">
      <c r="C88" s="1057"/>
      <c r="D88" s="1012"/>
      <c r="E88" s="1012"/>
      <c r="F88" s="1012"/>
      <c r="G88" s="1012"/>
      <c r="H88" s="1012"/>
      <c r="I88" s="1012"/>
      <c r="J88" s="1012"/>
      <c r="K88" s="1012"/>
      <c r="L88" s="1012"/>
      <c r="M88" s="1012"/>
      <c r="N88" s="1012"/>
      <c r="O88" s="1012"/>
      <c r="P88" s="1012"/>
      <c r="Q88" s="1012"/>
      <c r="R88" s="1012"/>
      <c r="S88" s="1012"/>
      <c r="V88" s="383">
        <v>54</v>
      </c>
      <c r="W88" s="384">
        <v>8.9179999999999993</v>
      </c>
    </row>
    <row r="89" spans="3:23">
      <c r="C89" s="1058"/>
      <c r="D89" s="1012"/>
      <c r="E89" s="1012"/>
      <c r="F89" s="1012"/>
      <c r="G89" s="1012"/>
      <c r="H89" s="1012"/>
      <c r="I89" s="1012"/>
      <c r="J89" s="1012"/>
      <c r="K89" s="1012"/>
      <c r="L89" s="1012"/>
      <c r="M89" s="1012"/>
      <c r="N89" s="1012"/>
      <c r="O89" s="1012"/>
      <c r="P89" s="1012"/>
      <c r="Q89" s="1012"/>
      <c r="R89" s="1012"/>
      <c r="S89" s="1012"/>
      <c r="V89" s="383">
        <v>55</v>
      </c>
      <c r="W89" s="384">
        <v>9.0299999999999994</v>
      </c>
    </row>
    <row r="90" spans="3:23">
      <c r="C90" s="1059"/>
      <c r="D90" s="1012"/>
      <c r="E90" s="1012"/>
      <c r="F90" s="1012"/>
      <c r="G90" s="1012"/>
      <c r="H90" s="1012"/>
      <c r="I90" s="1012"/>
      <c r="J90" s="1012"/>
      <c r="K90" s="1012"/>
      <c r="L90" s="1012"/>
      <c r="M90" s="1012"/>
      <c r="N90" s="1012"/>
      <c r="O90" s="1012"/>
      <c r="P90" s="1012"/>
      <c r="Q90" s="1012"/>
      <c r="R90" s="1012"/>
      <c r="S90" s="1012"/>
      <c r="V90" s="383">
        <v>56</v>
      </c>
      <c r="W90" s="384">
        <v>8.9239999999999995</v>
      </c>
    </row>
    <row r="91" spans="3:23">
      <c r="C91" s="1059"/>
      <c r="D91" s="1012"/>
      <c r="E91" s="1012"/>
      <c r="F91" s="1012"/>
      <c r="G91" s="1012"/>
      <c r="H91" s="1012"/>
      <c r="I91" s="1012"/>
      <c r="J91" s="1012"/>
      <c r="K91" s="1012"/>
      <c r="L91" s="1012"/>
      <c r="M91" s="1012"/>
      <c r="N91" s="1012"/>
      <c r="O91" s="1012"/>
      <c r="P91" s="1012"/>
      <c r="Q91" s="1012"/>
      <c r="R91" s="1012"/>
      <c r="S91" s="1012"/>
      <c r="V91" s="383">
        <v>57</v>
      </c>
      <c r="W91" s="384">
        <v>9.0109999999999992</v>
      </c>
    </row>
    <row r="92" spans="3:23">
      <c r="C92" s="1059"/>
      <c r="D92" s="1012"/>
      <c r="E92" s="1012"/>
      <c r="F92" s="1012"/>
      <c r="G92" s="1012"/>
      <c r="H92" s="1012"/>
      <c r="I92" s="1012"/>
      <c r="J92" s="1012"/>
      <c r="K92" s="1012"/>
      <c r="L92" s="1012"/>
      <c r="M92" s="1012"/>
      <c r="N92" s="1012"/>
      <c r="O92" s="1012"/>
      <c r="P92" s="1012"/>
      <c r="Q92" s="1012"/>
      <c r="R92" s="1012"/>
      <c r="S92" s="1012"/>
      <c r="V92" s="383">
        <v>58</v>
      </c>
      <c r="W92" s="384">
        <v>8.8539999999999992</v>
      </c>
    </row>
    <row r="93" spans="3:23">
      <c r="C93" s="1012"/>
      <c r="D93" s="1012"/>
      <c r="E93" s="1012"/>
      <c r="F93" s="1012"/>
      <c r="G93" s="1012"/>
      <c r="H93" s="1012"/>
      <c r="I93" s="1012"/>
      <c r="J93" s="1012"/>
      <c r="K93" s="1012"/>
      <c r="L93" s="1012"/>
      <c r="M93" s="1012"/>
      <c r="N93" s="1012"/>
      <c r="O93" s="1012"/>
      <c r="P93" s="1012"/>
      <c r="Q93" s="1012"/>
      <c r="R93" s="1012"/>
      <c r="S93" s="1012"/>
      <c r="V93" s="383">
        <v>59</v>
      </c>
      <c r="W93" s="384">
        <v>8.8989999999999991</v>
      </c>
    </row>
    <row r="94" spans="3:23">
      <c r="C94" s="1012"/>
      <c r="D94" s="1012"/>
      <c r="E94" s="1012"/>
      <c r="F94" s="1012"/>
      <c r="G94" s="1012"/>
      <c r="H94" s="1012"/>
      <c r="I94" s="1012"/>
      <c r="J94" s="1012"/>
      <c r="K94" s="1012"/>
      <c r="L94" s="1060"/>
      <c r="M94" s="1061"/>
      <c r="N94" s="1012"/>
      <c r="O94" s="1012"/>
      <c r="P94" s="1012"/>
      <c r="Q94" s="1012"/>
      <c r="R94" s="1012"/>
      <c r="S94" s="1012"/>
      <c r="V94" s="383">
        <v>60</v>
      </c>
      <c r="W94" s="384">
        <v>8.8209999999999997</v>
      </c>
    </row>
    <row r="95" spans="3:23">
      <c r="V95" s="383">
        <v>61</v>
      </c>
      <c r="W95" s="384">
        <v>8.8450000000000006</v>
      </c>
    </row>
    <row r="96" spans="3:23">
      <c r="V96" s="383">
        <v>62</v>
      </c>
      <c r="W96" s="384">
        <v>8.76</v>
      </c>
    </row>
    <row r="97" spans="3:23">
      <c r="V97" s="383">
        <v>63</v>
      </c>
      <c r="W97" s="384">
        <v>8.86</v>
      </c>
    </row>
    <row r="98" spans="3:23">
      <c r="V98" s="383">
        <v>64</v>
      </c>
      <c r="W98" s="384">
        <v>8.8089999999999993</v>
      </c>
    </row>
    <row r="99" spans="3:23">
      <c r="V99" s="383">
        <v>65</v>
      </c>
      <c r="W99" s="384">
        <v>8.8840000000000003</v>
      </c>
    </row>
    <row r="100" spans="3:23">
      <c r="V100" s="383">
        <v>66</v>
      </c>
      <c r="W100" s="384">
        <v>8.923</v>
      </c>
    </row>
    <row r="101" spans="3:23">
      <c r="V101" s="383">
        <v>67</v>
      </c>
      <c r="W101" s="384">
        <v>8.9600000000000009</v>
      </c>
    </row>
    <row r="102" spans="3:23">
      <c r="V102" s="383">
        <v>68</v>
      </c>
      <c r="W102" s="384">
        <v>8.9870000000000001</v>
      </c>
    </row>
    <row r="103" spans="3:23">
      <c r="V103" s="383">
        <v>69</v>
      </c>
      <c r="W103" s="384">
        <v>8.8239999999999998</v>
      </c>
    </row>
    <row r="104" spans="3:23">
      <c r="V104" s="383">
        <v>70</v>
      </c>
      <c r="W104" s="384">
        <v>8.923</v>
      </c>
    </row>
    <row r="105" spans="3:23">
      <c r="V105" s="383">
        <v>71</v>
      </c>
      <c r="W105" s="384">
        <v>8.8940000000000001</v>
      </c>
    </row>
    <row r="106" spans="3:23">
      <c r="C106" t="s">
        <v>601</v>
      </c>
      <c r="D106" t="s">
        <v>133</v>
      </c>
      <c r="I106" t="s">
        <v>601</v>
      </c>
      <c r="J106" t="s">
        <v>133</v>
      </c>
      <c r="O106" t="s">
        <v>601</v>
      </c>
      <c r="P106" t="s">
        <v>133</v>
      </c>
      <c r="V106" s="383">
        <v>72</v>
      </c>
      <c r="W106" s="384">
        <v>8.8279999999999994</v>
      </c>
    </row>
    <row r="107" spans="3:23">
      <c r="C107" s="519">
        <f>D78</f>
        <v>2.54</v>
      </c>
      <c r="D107">
        <v>0</v>
      </c>
      <c r="I107" s="519">
        <f>J78</f>
        <v>2.54</v>
      </c>
      <c r="J107">
        <v>0</v>
      </c>
      <c r="O107" s="519">
        <f>P78</f>
        <v>2.54</v>
      </c>
      <c r="P107">
        <v>0</v>
      </c>
      <c r="V107" s="383">
        <v>73</v>
      </c>
      <c r="W107" s="384">
        <v>8.8030000000000008</v>
      </c>
    </row>
    <row r="108" spans="3:23">
      <c r="C108" s="519">
        <f>D78</f>
        <v>2.54</v>
      </c>
      <c r="D108" s="42">
        <f>INDEX(G73:G83,MATCH(C108,D73:D83,0))</f>
        <v>250.13100025984741</v>
      </c>
      <c r="I108" s="519">
        <f>I107</f>
        <v>2.54</v>
      </c>
      <c r="J108" s="42">
        <f>IF($D$7="",NA(),INDEX(M73:M83,MATCH(I108,J73:J83,0)))</f>
        <v>230.1205202390596</v>
      </c>
      <c r="O108" s="519">
        <f>O107</f>
        <v>2.54</v>
      </c>
      <c r="P108" s="42">
        <f>IF($D$7="",NA(),INDEX(S73:S83,MATCH(O108,P73:P83,0)))</f>
        <v>260.13624027024133</v>
      </c>
      <c r="V108" s="383">
        <v>74</v>
      </c>
      <c r="W108" s="384">
        <v>8.9489999999999998</v>
      </c>
    </row>
    <row r="109" spans="3:23">
      <c r="C109">
        <v>0</v>
      </c>
      <c r="D109" s="42">
        <f>D108</f>
        <v>250.13100025984741</v>
      </c>
      <c r="E109" s="19"/>
      <c r="F109" s="19"/>
      <c r="G109" s="19"/>
      <c r="I109">
        <v>0</v>
      </c>
      <c r="J109" s="42">
        <f>J108</f>
        <v>230.1205202390596</v>
      </c>
      <c r="O109">
        <v>0</v>
      </c>
      <c r="P109" s="42">
        <f>P108</f>
        <v>260.13624027024133</v>
      </c>
      <c r="V109" s="383">
        <v>75</v>
      </c>
      <c r="W109" s="384">
        <v>8.8510000000000009</v>
      </c>
    </row>
    <row r="110" spans="3:23">
      <c r="C110" s="19"/>
      <c r="D110" s="19"/>
      <c r="E110" s="19"/>
      <c r="F110" s="1087"/>
      <c r="G110" s="1087" t="str">
        <f>"CBR @2.5 mm Penetration"</f>
        <v>CBR @2.5 mm Penetration</v>
      </c>
      <c r="I110" s="19"/>
      <c r="J110" s="19"/>
      <c r="L110" s="1087"/>
      <c r="M110" s="1087"/>
      <c r="O110" s="19"/>
      <c r="P110" s="19"/>
      <c r="V110" s="383">
        <v>76</v>
      </c>
      <c r="W110" s="384">
        <v>8.7460000000000004</v>
      </c>
    </row>
    <row r="111" spans="3:23">
      <c r="C111" s="519">
        <f>D80</f>
        <v>5.08</v>
      </c>
      <c r="D111">
        <v>0</v>
      </c>
      <c r="E111" s="1088"/>
      <c r="F111" s="1089"/>
      <c r="G111" s="1087" t="str">
        <f>"CBR @5.0 mm Penetration"</f>
        <v>CBR @5.0 mm Penetration</v>
      </c>
      <c r="I111" s="519">
        <f>J80</f>
        <v>5.08</v>
      </c>
      <c r="J111">
        <v>0</v>
      </c>
      <c r="L111" s="1089"/>
      <c r="M111" s="1091"/>
      <c r="O111" s="519">
        <f>P80</f>
        <v>5.08</v>
      </c>
      <c r="P111">
        <v>0</v>
      </c>
      <c r="V111" s="383">
        <v>77</v>
      </c>
      <c r="W111" s="384">
        <v>8.843</v>
      </c>
    </row>
    <row r="112" spans="3:23">
      <c r="C112" s="519">
        <f>D80</f>
        <v>5.08</v>
      </c>
      <c r="D112" s="42">
        <f>INDEX(G74:G84,MATCH(C112,D74:D84,0))</f>
        <v>440.23056045733136</v>
      </c>
      <c r="E112" s="1088"/>
      <c r="F112" s="1089"/>
      <c r="G112" s="1089"/>
      <c r="I112" s="519">
        <f>I111</f>
        <v>5.08</v>
      </c>
      <c r="J112" s="42">
        <f>IF($D$7="",NA(),INDEX(M73:M83,MATCH(I112,J73:J83,0)))</f>
        <v>450.23580046772531</v>
      </c>
      <c r="L112" s="1089"/>
      <c r="M112" s="1091"/>
      <c r="O112" s="519">
        <f>O111</f>
        <v>5.08</v>
      </c>
      <c r="P112" s="42">
        <f>IF($D$7="",NA(),INDEX(S73:S83,MATCH(O112,P73:P83,0)))</f>
        <v>460.2410404781192</v>
      </c>
      <c r="V112" s="383">
        <v>78</v>
      </c>
      <c r="W112" s="384">
        <v>8.8279999999999994</v>
      </c>
    </row>
    <row r="113" spans="1:23">
      <c r="C113">
        <v>0</v>
      </c>
      <c r="D113" s="42">
        <f>D112</f>
        <v>440.23056045733136</v>
      </c>
      <c r="E113" s="1088"/>
      <c r="F113" s="1093"/>
      <c r="G113" s="1093"/>
      <c r="I113">
        <v>0</v>
      </c>
      <c r="J113" s="42">
        <f>J112</f>
        <v>450.23580046772531</v>
      </c>
      <c r="L113" s="1093"/>
      <c r="M113" s="1095"/>
      <c r="O113">
        <v>0</v>
      </c>
      <c r="P113" s="42">
        <f>P112</f>
        <v>460.2410404781192</v>
      </c>
      <c r="V113" s="383">
        <v>79</v>
      </c>
      <c r="W113" s="384">
        <v>8.9149999999999991</v>
      </c>
    </row>
    <row r="114" spans="1:23">
      <c r="E114" s="1088"/>
      <c r="F114" s="1089"/>
      <c r="G114" s="1089"/>
      <c r="I114" s="1090"/>
      <c r="J114" s="1090"/>
      <c r="L114" s="1089"/>
      <c r="M114" s="1091"/>
      <c r="V114" s="383">
        <v>80</v>
      </c>
      <c r="W114" s="384">
        <v>8.8130000000000006</v>
      </c>
    </row>
    <row r="115" spans="1:23">
      <c r="C115" s="1092"/>
      <c r="D115" s="1092"/>
      <c r="E115" s="1088"/>
      <c r="F115" s="1093"/>
      <c r="G115" s="1093"/>
      <c r="I115" s="1094"/>
      <c r="J115" s="1094"/>
      <c r="L115" s="1096"/>
      <c r="M115" s="1097"/>
      <c r="V115" s="383">
        <v>81</v>
      </c>
      <c r="W115" s="384">
        <v>8.9649999999999999</v>
      </c>
    </row>
    <row r="116" spans="1:23">
      <c r="C116" s="2114" t="s">
        <v>70</v>
      </c>
      <c r="D116" s="2117" t="s">
        <v>56</v>
      </c>
      <c r="E116" s="2117" t="s">
        <v>59</v>
      </c>
      <c r="F116" s="2117" t="s">
        <v>71</v>
      </c>
      <c r="G116" s="2117" t="s">
        <v>72</v>
      </c>
      <c r="I116" s="2114" t="s">
        <v>70</v>
      </c>
      <c r="J116" s="2117" t="s">
        <v>56</v>
      </c>
      <c r="K116" s="2117" t="s">
        <v>59</v>
      </c>
      <c r="L116" s="2117" t="s">
        <v>71</v>
      </c>
      <c r="M116" s="2117" t="s">
        <v>72</v>
      </c>
      <c r="O116" s="2114" t="s">
        <v>70</v>
      </c>
      <c r="P116" s="2117" t="s">
        <v>56</v>
      </c>
      <c r="Q116" s="2117" t="s">
        <v>59</v>
      </c>
      <c r="R116" s="2117" t="s">
        <v>71</v>
      </c>
      <c r="S116" s="2117" t="s">
        <v>72</v>
      </c>
      <c r="V116" s="383">
        <v>82</v>
      </c>
      <c r="W116" s="384">
        <v>8.7970000000000006</v>
      </c>
    </row>
    <row r="117" spans="1:23">
      <c r="C117" s="2115"/>
      <c r="D117" s="2118"/>
      <c r="E117" s="2111"/>
      <c r="F117" s="2111"/>
      <c r="G117" s="2111"/>
      <c r="I117" s="2115"/>
      <c r="J117" s="2118"/>
      <c r="K117" s="2111"/>
      <c r="L117" s="2111"/>
      <c r="M117" s="2111"/>
      <c r="O117" s="2115"/>
      <c r="P117" s="2118"/>
      <c r="Q117" s="2111"/>
      <c r="R117" s="2111"/>
      <c r="S117" s="2111"/>
      <c r="V117" s="383">
        <v>83</v>
      </c>
      <c r="W117" s="384">
        <v>8.9280000000000008</v>
      </c>
    </row>
    <row r="118" spans="1:23">
      <c r="C118" s="2115"/>
      <c r="D118" s="40" t="s">
        <v>61</v>
      </c>
      <c r="E118" s="40" t="s">
        <v>64</v>
      </c>
      <c r="F118" s="40"/>
      <c r="G118" s="40" t="s">
        <v>34</v>
      </c>
      <c r="I118" s="2115"/>
      <c r="J118" s="40" t="s">
        <v>61</v>
      </c>
      <c r="K118" s="40" t="s">
        <v>64</v>
      </c>
      <c r="L118" s="40"/>
      <c r="M118" s="40" t="s">
        <v>34</v>
      </c>
      <c r="O118" s="2115"/>
      <c r="P118" s="40" t="s">
        <v>61</v>
      </c>
      <c r="Q118" s="40" t="s">
        <v>64</v>
      </c>
      <c r="R118" s="40"/>
      <c r="S118" s="40" t="s">
        <v>34</v>
      </c>
      <c r="V118" s="383">
        <v>84</v>
      </c>
      <c r="W118" s="384">
        <v>8.9039999999999999</v>
      </c>
    </row>
    <row r="119" spans="1:23">
      <c r="C119" s="2115"/>
      <c r="D119" s="1108">
        <v>0.1</v>
      </c>
      <c r="E119" s="1109">
        <f>D108</f>
        <v>250.13100025984741</v>
      </c>
      <c r="F119" s="1110">
        <v>1000</v>
      </c>
      <c r="G119" s="1111">
        <f>+E119/F119*100</f>
        <v>25.013100025984741</v>
      </c>
      <c r="I119" s="2115"/>
      <c r="J119" s="1108">
        <v>0.1</v>
      </c>
      <c r="K119" s="1109">
        <f>J108</f>
        <v>230.1205202390596</v>
      </c>
      <c r="L119" s="1110">
        <v>1000</v>
      </c>
      <c r="M119" s="1111">
        <f>+K119/L119*100</f>
        <v>23.012052023905959</v>
      </c>
      <c r="O119" s="2115"/>
      <c r="P119" s="1108">
        <v>0.1</v>
      </c>
      <c r="Q119" s="1109">
        <f>P108</f>
        <v>260.13624027024133</v>
      </c>
      <c r="R119" s="1110">
        <v>1000</v>
      </c>
      <c r="S119" s="1111">
        <f>+Q119/R119*100</f>
        <v>26.013624027024136</v>
      </c>
      <c r="V119" s="383">
        <v>85</v>
      </c>
      <c r="W119" s="384">
        <v>8.7690000000000001</v>
      </c>
    </row>
    <row r="120" spans="1:23">
      <c r="C120" s="2116"/>
      <c r="D120" s="1112">
        <v>0.2</v>
      </c>
      <c r="E120" s="1113">
        <f>D112</f>
        <v>440.23056045733136</v>
      </c>
      <c r="F120" s="1113">
        <v>1500</v>
      </c>
      <c r="G120" s="1114">
        <f>+E120/F120*100</f>
        <v>29.348704030488758</v>
      </c>
      <c r="I120" s="2116"/>
      <c r="J120" s="1112">
        <v>0.2</v>
      </c>
      <c r="K120" s="1113">
        <f>J112</f>
        <v>450.23580046772531</v>
      </c>
      <c r="L120" s="1113">
        <v>1500</v>
      </c>
      <c r="M120" s="1114">
        <f>+K120/L120*100</f>
        <v>30.015720031181687</v>
      </c>
      <c r="O120" s="2116"/>
      <c r="P120" s="1112">
        <v>0.2</v>
      </c>
      <c r="Q120" s="1113">
        <f>P112</f>
        <v>460.2410404781192</v>
      </c>
      <c r="R120" s="1113">
        <v>1500</v>
      </c>
      <c r="S120" s="1114">
        <f>+Q120/R120*100</f>
        <v>30.682736031874612</v>
      </c>
      <c r="V120" s="383">
        <v>86</v>
      </c>
      <c r="W120" s="384">
        <v>8.8079999999999998</v>
      </c>
    </row>
    <row r="121" spans="1:23">
      <c r="V121" s="383">
        <v>87</v>
      </c>
      <c r="W121" s="384">
        <v>8.8320000000000007</v>
      </c>
    </row>
    <row r="122" spans="1:23">
      <c r="A122" t="s">
        <v>1005</v>
      </c>
      <c r="B122" t="s">
        <v>1020</v>
      </c>
      <c r="E122" t="s">
        <v>594</v>
      </c>
      <c r="F122" t="s">
        <v>595</v>
      </c>
      <c r="G122" t="s">
        <v>596</v>
      </c>
      <c r="N122" t="s">
        <v>956</v>
      </c>
      <c r="O122">
        <f>IF($D$7="","",B175)</f>
        <v>1.24</v>
      </c>
      <c r="W122" s="384">
        <v>8.9280000000000008</v>
      </c>
    </row>
    <row r="123" spans="1:23">
      <c r="A123" s="1122">
        <f>C190</f>
        <v>1.1824087231164917</v>
      </c>
      <c r="B123" s="1124">
        <f>IF($D$7="",NA(),C194)</f>
        <v>29.348704030488758</v>
      </c>
      <c r="E123" s="43" cm="1">
        <f t="array" ref="E123:G123">LINEST(B123:B125,A123:A125^{1,2})</f>
        <v>-344.72738970510215</v>
      </c>
      <c r="F123" s="43">
        <v>858.2583081214932</v>
      </c>
      <c r="G123" s="43">
        <v>-503.50335597948941</v>
      </c>
      <c r="J123" s="519">
        <f>MIN($A$123:$A$125)</f>
        <v>1.1824087231164917</v>
      </c>
      <c r="K123" s="42">
        <f t="shared" ref="K123:K170" si="19">IF($D$7="",NA(),$E$123*(J123^2)+$F$123*J123+$G$123)</f>
        <v>29.348704030488705</v>
      </c>
      <c r="L123" s="519">
        <f>MAX(MAX($A$123:$A$125,$D$127))</f>
        <v>1.250068842993334</v>
      </c>
      <c r="N123" t="s">
        <v>1024</v>
      </c>
      <c r="O123" s="102">
        <v>100</v>
      </c>
      <c r="Q123">
        <f>O124</f>
        <v>1.24</v>
      </c>
      <c r="R123">
        <f>IF(D7="",NA(),$E$123*(Q123^2)+$F$123*Q123+$G$123)</f>
        <v>30.684111680597027</v>
      </c>
      <c r="T123" s="116"/>
      <c r="U123" s="116"/>
      <c r="W123" s="384">
        <v>9.0719999999999992</v>
      </c>
    </row>
    <row r="124" spans="1:23">
      <c r="A124" s="1123">
        <f>D190</f>
        <v>1.2005385322377311</v>
      </c>
      <c r="B124" s="1124">
        <f>IF($D$7="",NA(),D194)</f>
        <v>30.015720031181687</v>
      </c>
      <c r="J124" s="519">
        <f>IF(J123+0.005&gt;$L$123,NA(),J123+0.01)</f>
        <v>1.1924087231164917</v>
      </c>
      <c r="K124" s="42">
        <f t="shared" si="19"/>
        <v>29.74464091904332</v>
      </c>
      <c r="N124" t="s">
        <v>1021</v>
      </c>
      <c r="O124">
        <f>IF(D7="","",O122*O123/100)</f>
        <v>1.24</v>
      </c>
      <c r="W124" s="384">
        <v>8.9060000000000006</v>
      </c>
    </row>
    <row r="125" spans="1:23">
      <c r="A125" s="1123">
        <f>E190</f>
        <v>1.250068842993334</v>
      </c>
      <c r="B125" s="1124">
        <f>IF($D$7="",NA(),E194)</f>
        <v>30.682736031874612</v>
      </c>
      <c r="J125" s="519">
        <f t="shared" ref="J125:J135" si="20">IF(J124+0.005&gt;$L$123,NA(),J124+0.01)</f>
        <v>1.2024087231164917</v>
      </c>
      <c r="K125" s="42">
        <f t="shared" si="19"/>
        <v>30.071632329657007</v>
      </c>
      <c r="N125" t="s">
        <v>1022</v>
      </c>
      <c r="O125">
        <f>IF($D$7="","",$E$123*(O124^2)+$F$123*O124+$G$123)</f>
        <v>30.684111680597027</v>
      </c>
      <c r="W125" s="384">
        <v>8.8390000000000004</v>
      </c>
    </row>
    <row r="126" spans="1:23">
      <c r="J126" s="519">
        <f t="shared" si="20"/>
        <v>1.2124087231164917</v>
      </c>
      <c r="K126" s="42">
        <f t="shared" si="19"/>
        <v>30.329678262329423</v>
      </c>
      <c r="W126" s="384">
        <v>8.8219999999999992</v>
      </c>
    </row>
    <row r="127" spans="1:23">
      <c r="J127" s="519">
        <f t="shared" si="20"/>
        <v>1.2224087231164917</v>
      </c>
      <c r="K127" s="42">
        <f t="shared" si="19"/>
        <v>30.518778717061139</v>
      </c>
      <c r="N127" t="s">
        <v>1024</v>
      </c>
      <c r="O127" s="877">
        <f>IF($D$7="","",O123)</f>
        <v>100</v>
      </c>
      <c r="W127" s="384">
        <v>8.8539999999999992</v>
      </c>
    </row>
    <row r="128" spans="1:23">
      <c r="C128" t="s">
        <v>956</v>
      </c>
      <c r="D128">
        <f>E18</f>
        <v>1.24</v>
      </c>
      <c r="J128" s="519">
        <f t="shared" si="20"/>
        <v>1.2324087231164917</v>
      </c>
      <c r="K128" s="42">
        <f t="shared" si="19"/>
        <v>30.63893369385147</v>
      </c>
      <c r="W128" s="384">
        <v>8.8260000000000005</v>
      </c>
    </row>
    <row r="129" spans="3:23">
      <c r="J129" s="519">
        <f t="shared" si="20"/>
        <v>1.2424087231164918</v>
      </c>
      <c r="K129" s="42">
        <f t="shared" si="19"/>
        <v>30.690143192700987</v>
      </c>
      <c r="W129" s="384">
        <v>8.8789999999999996</v>
      </c>
    </row>
    <row r="130" spans="3:23">
      <c r="J130" s="519">
        <f t="shared" si="20"/>
        <v>1.2524087231164918</v>
      </c>
      <c r="K130" s="42">
        <f t="shared" si="19"/>
        <v>30.672407213609574</v>
      </c>
      <c r="T130">
        <f>IF(D7="",NA(),O124)</f>
        <v>1.24</v>
      </c>
      <c r="U130">
        <v>0</v>
      </c>
      <c r="W130" s="384">
        <v>11.742000000000001</v>
      </c>
    </row>
    <row r="131" spans="3:23">
      <c r="C131" t="s">
        <v>1269</v>
      </c>
      <c r="J131" s="519" t="e">
        <f t="shared" si="20"/>
        <v>#N/A</v>
      </c>
      <c r="K131" s="42" t="e">
        <f t="shared" si="19"/>
        <v>#N/A</v>
      </c>
      <c r="T131">
        <f>IF($D$7="",NA(),T130)</f>
        <v>1.24</v>
      </c>
      <c r="U131">
        <f>O125</f>
        <v>30.684111680597027</v>
      </c>
      <c r="W131" s="384">
        <v>11.648</v>
      </c>
    </row>
    <row r="132" spans="3:23">
      <c r="C132" t="s">
        <v>1271</v>
      </c>
      <c r="D132" t="s">
        <v>1272</v>
      </c>
      <c r="E132" t="s">
        <v>1273</v>
      </c>
      <c r="F132" t="s">
        <v>1274</v>
      </c>
      <c r="G132" t="s">
        <v>1275</v>
      </c>
      <c r="H132" t="s">
        <v>1270</v>
      </c>
      <c r="J132" s="519" t="e">
        <f t="shared" si="20"/>
        <v>#N/A</v>
      </c>
      <c r="K132" s="42" t="e">
        <f t="shared" si="19"/>
        <v>#N/A</v>
      </c>
      <c r="T132">
        <f>IF(D7="",NA(),0)</f>
        <v>0</v>
      </c>
      <c r="U132">
        <f>O125</f>
        <v>30.684111680597027</v>
      </c>
      <c r="W132" s="384">
        <v>11.9</v>
      </c>
    </row>
    <row r="133" spans="3:23">
      <c r="C133" s="102">
        <v>100</v>
      </c>
      <c r="D133">
        <f>$D$128*C133/100</f>
        <v>1.24</v>
      </c>
      <c r="E133">
        <f>IF($D$7="","",$E$123*(D133^2)+$F$123*D133+$G$123)</f>
        <v>30.684111680597027</v>
      </c>
      <c r="F133" t="str">
        <f>IF(OR(D133&lt;MIN($A$123:$A$125),D133&gt;MAX($A$123:$A$125)),
"OUT OF TEST RANGE",
"OK")</f>
        <v>OK</v>
      </c>
      <c r="G133">
        <f>IF(OR(D133&lt;MIN($A$123:$A$125),D133&gt;MAX($A$123:A$125)),
"ND",E133
)</f>
        <v>30.684111680597027</v>
      </c>
      <c r="H133">
        <f>IF(F133="OK",G133,NA())</f>
        <v>30.684111680597027</v>
      </c>
      <c r="J133" s="519" t="e">
        <f t="shared" si="20"/>
        <v>#N/A</v>
      </c>
      <c r="K133" s="42" t="e">
        <f t="shared" si="19"/>
        <v>#N/A</v>
      </c>
      <c r="W133" s="384">
        <v>11.936</v>
      </c>
    </row>
    <row r="134" spans="3:23">
      <c r="C134" s="102">
        <v>98</v>
      </c>
      <c r="D134">
        <f t="shared" ref="D134:D135" si="21">$D$128*C134/100</f>
        <v>1.2152000000000001</v>
      </c>
      <c r="E134">
        <f t="shared" ref="E134:E135" si="22">IF($D$7="","",$E$123*(D134^2)+$F$123*D134+$G$123)</f>
        <v>30.389397881842399</v>
      </c>
      <c r="F134" t="str">
        <f t="shared" ref="F134:F135" si="23">IF(OR(D134&lt;MIN($A$123:$A$125),D134&gt;MAX($A$123:$A$125)),
"OUT OF TEST RANGE",
"OK")</f>
        <v>OK</v>
      </c>
      <c r="G134">
        <f>IF(OR(D134&lt;MIN($A$123:$A$125),D134&gt;MAX($A$123:A$125)),
"ND",E134
)</f>
        <v>30.389397881842399</v>
      </c>
      <c r="H134">
        <f t="shared" ref="H134:H135" si="24">IF(F134="OK",G134,NA())</f>
        <v>30.389397881842399</v>
      </c>
      <c r="J134" s="519" t="e">
        <f t="shared" si="20"/>
        <v>#N/A</v>
      </c>
      <c r="K134" s="42" t="e">
        <f t="shared" si="19"/>
        <v>#N/A</v>
      </c>
      <c r="T134">
        <f>O123</f>
        <v>100</v>
      </c>
      <c r="U134" t="str">
        <f>IF($D$7="","",""&amp;T134&amp;" % MDD")</f>
        <v>100 % MDD</v>
      </c>
      <c r="W134" s="384">
        <v>11.704000000000001</v>
      </c>
    </row>
    <row r="135" spans="3:23">
      <c r="C135" s="102"/>
      <c r="D135">
        <f t="shared" si="21"/>
        <v>0</v>
      </c>
      <c r="E135">
        <f t="shared" si="22"/>
        <v>-503.50335597948941</v>
      </c>
      <c r="F135" t="str">
        <f t="shared" si="23"/>
        <v>OUT OF TEST RANGE</v>
      </c>
      <c r="G135" t="str">
        <f>IF(OR(D135&lt;MIN($A$123:$A$125),D135&gt;MAX($A$123:A$125)),
"ND",E135
)</f>
        <v>ND</v>
      </c>
      <c r="H135" t="e">
        <f t="shared" si="24"/>
        <v>#N/A</v>
      </c>
      <c r="J135" s="519" t="e">
        <f t="shared" si="20"/>
        <v>#N/A</v>
      </c>
      <c r="K135" s="42" t="e">
        <f t="shared" si="19"/>
        <v>#N/A</v>
      </c>
      <c r="T135">
        <f>O125</f>
        <v>30.684111680597027</v>
      </c>
      <c r="U135" t="str">
        <f>IF(D7="","","CBR @ "&amp;T134&amp;" % MDD = "&amp;TEXT(T135,"0.0")&amp;" %")</f>
        <v>CBR @ 100 % MDD = 30.7 %</v>
      </c>
      <c r="W135" s="384">
        <v>11.682</v>
      </c>
    </row>
    <row r="136" spans="3:23">
      <c r="J136" s="519" t="e">
        <f t="shared" ref="J136:J170" si="25">IF(J135+0.01&gt;$L$123,NA(),J135+0.01)</f>
        <v>#N/A</v>
      </c>
      <c r="K136" s="42" t="e">
        <f t="shared" si="19"/>
        <v>#N/A</v>
      </c>
      <c r="W136" s="384">
        <v>11.487</v>
      </c>
    </row>
    <row r="137" spans="3:23">
      <c r="J137" s="519" t="e">
        <f t="shared" si="25"/>
        <v>#N/A</v>
      </c>
      <c r="K137" s="42" t="e">
        <f t="shared" si="19"/>
        <v>#N/A</v>
      </c>
      <c r="W137" s="384">
        <v>11.670999999999999</v>
      </c>
    </row>
    <row r="138" spans="3:23">
      <c r="J138" s="519" t="e">
        <f t="shared" si="25"/>
        <v>#N/A</v>
      </c>
      <c r="K138" s="42" t="e">
        <f t="shared" si="19"/>
        <v>#N/A</v>
      </c>
      <c r="W138" s="384">
        <v>11.765000000000001</v>
      </c>
    </row>
    <row r="139" spans="3:23">
      <c r="J139" s="519" t="e">
        <f t="shared" si="25"/>
        <v>#N/A</v>
      </c>
      <c r="K139" s="42" t="e">
        <f t="shared" si="19"/>
        <v>#N/A</v>
      </c>
      <c r="W139" s="384">
        <v>11.739000000000001</v>
      </c>
    </row>
    <row r="140" spans="3:23">
      <c r="J140" s="519" t="e">
        <f t="shared" si="25"/>
        <v>#N/A</v>
      </c>
      <c r="K140" s="42" t="e">
        <f t="shared" si="19"/>
        <v>#N/A</v>
      </c>
      <c r="W140" s="384">
        <v>11.691000000000001</v>
      </c>
    </row>
    <row r="141" spans="3:23">
      <c r="J141" s="519" t="e">
        <f t="shared" si="25"/>
        <v>#N/A</v>
      </c>
      <c r="K141" s="42" t="e">
        <f t="shared" si="19"/>
        <v>#N/A</v>
      </c>
      <c r="W141" s="384">
        <v>11.662000000000001</v>
      </c>
    </row>
    <row r="142" spans="3:23">
      <c r="J142" s="519" t="e">
        <f t="shared" si="25"/>
        <v>#N/A</v>
      </c>
      <c r="K142" s="42" t="e">
        <f t="shared" si="19"/>
        <v>#N/A</v>
      </c>
      <c r="W142" s="384">
        <v>11.763999999999999</v>
      </c>
    </row>
    <row r="143" spans="3:23">
      <c r="J143" s="519" t="e">
        <f t="shared" si="25"/>
        <v>#N/A</v>
      </c>
      <c r="K143" s="42" t="e">
        <f t="shared" si="19"/>
        <v>#N/A</v>
      </c>
      <c r="M143" t="s">
        <v>1278</v>
      </c>
      <c r="P143" t="str">
        <f>IF(ISNA(H133),"",C133&amp;" % MDD")</f>
        <v>100 % MDD</v>
      </c>
      <c r="W143" s="384">
        <v>11.73</v>
      </c>
    </row>
    <row r="144" spans="3:23">
      <c r="C144" t="s">
        <v>1276</v>
      </c>
      <c r="J144" s="519" t="e">
        <f t="shared" si="25"/>
        <v>#N/A</v>
      </c>
      <c r="K144" s="42" t="e">
        <f t="shared" si="19"/>
        <v>#N/A</v>
      </c>
      <c r="M144" t="str">
        <f>IF(ISNA(H133),"","CBR Design @"&amp;C133&amp;" % MDD")</f>
        <v>CBR Design @100 % MDD</v>
      </c>
      <c r="P144">
        <f>IF(ISNA(H133),NA(),D133)</f>
        <v>1.24</v>
      </c>
      <c r="Q144">
        <v>0</v>
      </c>
      <c r="W144" s="384">
        <v>11.663</v>
      </c>
    </row>
    <row r="145" spans="3:23">
      <c r="C145" t="s">
        <v>1271</v>
      </c>
      <c r="D145" t="s">
        <v>206</v>
      </c>
      <c r="E145" t="s">
        <v>1277</v>
      </c>
      <c r="J145" s="519" t="e">
        <f t="shared" si="25"/>
        <v>#N/A</v>
      </c>
      <c r="K145" s="42" t="e">
        <f t="shared" si="19"/>
        <v>#N/A</v>
      </c>
      <c r="M145" t="str">
        <f>IF(ISNA(H134),"","CBR Design @"&amp;C134&amp;" % MDD")</f>
        <v>CBR Design @98 % MDD</v>
      </c>
      <c r="P145">
        <f>IF(ISNA(H133),NA(),D133)</f>
        <v>1.24</v>
      </c>
      <c r="Q145">
        <f>IF(ISNA(H133),NA(),H133)</f>
        <v>30.684111680597027</v>
      </c>
      <c r="W145" s="384">
        <v>11.741</v>
      </c>
    </row>
    <row r="146" spans="3:23">
      <c r="C146">
        <f>IF(C133="","",C133)</f>
        <v>100</v>
      </c>
      <c r="D146" s="1260">
        <f>IF(OR(D133&lt;MIN($A$123:$A$125),D133&gt;MAX($A$123:$A$125)),
"ND",
ROUND(D133,2))</f>
        <v>1.24</v>
      </c>
      <c r="E146" s="21">
        <f>IF(F133="OK",ROUND(E133,1),"ND")</f>
        <v>30.7</v>
      </c>
      <c r="J146" s="519" t="e">
        <f t="shared" si="25"/>
        <v>#N/A</v>
      </c>
      <c r="K146" s="42" t="e">
        <f t="shared" si="19"/>
        <v>#N/A</v>
      </c>
      <c r="M146" t="str">
        <f>IF(ISNA(H135),"","CBR Design @"&amp;C135&amp;" % MDD")</f>
        <v/>
      </c>
      <c r="P146">
        <v>0</v>
      </c>
      <c r="Q146">
        <f>IF(ISNA(H133),NA(),H133)</f>
        <v>30.684111680597027</v>
      </c>
      <c r="W146" s="384">
        <v>11.68</v>
      </c>
    </row>
    <row r="147" spans="3:23">
      <c r="C147">
        <f t="shared" ref="C147:C148" si="26">IF(C134="","",C134)</f>
        <v>98</v>
      </c>
      <c r="D147" s="1260">
        <f t="shared" ref="D147:D148" si="27">IF(OR(D134&lt;MIN($A$123:$A$125),D134&gt;MAX($A$123:$A$125)),
"ND",
ROUND(D134,2))</f>
        <v>1.22</v>
      </c>
      <c r="E147" s="21">
        <f t="shared" ref="E147:E148" si="28">IF(F134="OK",ROUND(E134,1),"ND")</f>
        <v>30.4</v>
      </c>
      <c r="J147" s="519" t="e">
        <f t="shared" si="25"/>
        <v>#N/A</v>
      </c>
      <c r="K147" s="42" t="e">
        <f t="shared" si="19"/>
        <v>#N/A</v>
      </c>
      <c r="W147" s="384">
        <v>8.9589999999999996</v>
      </c>
    </row>
    <row r="148" spans="3:23">
      <c r="C148" t="str">
        <f t="shared" si="26"/>
        <v/>
      </c>
      <c r="D148" s="1260" t="str">
        <f t="shared" si="27"/>
        <v>ND</v>
      </c>
      <c r="E148" s="21" t="str">
        <f t="shared" si="28"/>
        <v>ND</v>
      </c>
      <c r="J148" s="519" t="e">
        <f t="shared" si="25"/>
        <v>#N/A</v>
      </c>
      <c r="K148" s="42" t="e">
        <f t="shared" si="19"/>
        <v>#N/A</v>
      </c>
      <c r="P148" t="str">
        <f>IF(ISNA(H134),"",C134&amp;" % MDD")</f>
        <v>98 % MDD</v>
      </c>
      <c r="W148" s="384">
        <v>8.8190000000000008</v>
      </c>
    </row>
    <row r="149" spans="3:23">
      <c r="J149" s="519" t="e">
        <f t="shared" si="25"/>
        <v>#N/A</v>
      </c>
      <c r="K149" s="42" t="e">
        <f t="shared" si="19"/>
        <v>#N/A</v>
      </c>
      <c r="P149">
        <f>IF(ISNA(H134),NA(),D134)</f>
        <v>1.2152000000000001</v>
      </c>
      <c r="Q149">
        <v>0</v>
      </c>
      <c r="W149" s="393">
        <v>11.619</v>
      </c>
    </row>
    <row r="150" spans="3:23">
      <c r="J150" s="519" t="e">
        <f t="shared" si="25"/>
        <v>#N/A</v>
      </c>
      <c r="K150" s="42" t="e">
        <f t="shared" si="19"/>
        <v>#N/A</v>
      </c>
      <c r="P150">
        <f>IF(ISNA(H134),NA(),D134)</f>
        <v>1.2152000000000001</v>
      </c>
      <c r="Q150">
        <f>IF(ISNA(H134),NA(),H134)</f>
        <v>30.389397881842399</v>
      </c>
      <c r="W150" s="393">
        <v>8.8699999999999992</v>
      </c>
    </row>
    <row r="151" spans="3:23">
      <c r="J151" s="519" t="e">
        <f t="shared" si="25"/>
        <v>#N/A</v>
      </c>
      <c r="K151" s="42" t="e">
        <f t="shared" si="19"/>
        <v>#N/A</v>
      </c>
      <c r="P151">
        <v>0</v>
      </c>
      <c r="Q151">
        <f>IF(ISNA(H134),NA(),H134)</f>
        <v>30.389397881842399</v>
      </c>
      <c r="W151" s="393">
        <v>9</v>
      </c>
    </row>
    <row r="152" spans="3:23">
      <c r="J152" s="519" t="e">
        <f t="shared" si="25"/>
        <v>#N/A</v>
      </c>
      <c r="K152" s="42" t="e">
        <f t="shared" si="19"/>
        <v>#N/A</v>
      </c>
      <c r="W152" s="393">
        <v>8.8339999999999996</v>
      </c>
    </row>
    <row r="153" spans="3:23">
      <c r="J153" s="519" t="e">
        <f t="shared" si="25"/>
        <v>#N/A</v>
      </c>
      <c r="K153" s="42" t="e">
        <f t="shared" si="19"/>
        <v>#N/A</v>
      </c>
      <c r="P153" t="str">
        <f>IF(ISNA(H135),"",C135&amp;" % MDD")</f>
        <v/>
      </c>
      <c r="W153" s="393">
        <v>8.9469999999999992</v>
      </c>
    </row>
    <row r="154" spans="3:23">
      <c r="J154" s="519" t="e">
        <f t="shared" si="25"/>
        <v>#N/A</v>
      </c>
      <c r="K154" s="42" t="e">
        <f t="shared" si="19"/>
        <v>#N/A</v>
      </c>
      <c r="P154" t="e">
        <f>IF(ISNA(H135),NA(),D135)</f>
        <v>#N/A</v>
      </c>
      <c r="Q154">
        <v>0</v>
      </c>
      <c r="W154" s="393">
        <v>11.666</v>
      </c>
    </row>
    <row r="155" spans="3:23">
      <c r="J155" s="519" t="e">
        <f t="shared" si="25"/>
        <v>#N/A</v>
      </c>
      <c r="K155" s="42" t="e">
        <f t="shared" si="19"/>
        <v>#N/A</v>
      </c>
      <c r="P155" t="e">
        <f>IF(ISNA(H135),NA(),D135)</f>
        <v>#N/A</v>
      </c>
      <c r="Q155" t="e">
        <f>IF(ISNA(H135),NA(),H135)</f>
        <v>#N/A</v>
      </c>
      <c r="W155" s="393">
        <v>8.7379999999999995</v>
      </c>
    </row>
    <row r="156" spans="3:23">
      <c r="J156" s="519" t="e">
        <f t="shared" si="25"/>
        <v>#N/A</v>
      </c>
      <c r="K156" s="42" t="e">
        <f t="shared" si="19"/>
        <v>#N/A</v>
      </c>
      <c r="P156">
        <v>0</v>
      </c>
      <c r="Q156" t="e">
        <f>IF(ISNA(H135),NA(),H135)</f>
        <v>#N/A</v>
      </c>
      <c r="W156" s="393">
        <v>8.9849999999999994</v>
      </c>
    </row>
    <row r="157" spans="3:23">
      <c r="J157" s="519" t="e">
        <f t="shared" si="25"/>
        <v>#N/A</v>
      </c>
      <c r="K157" s="42" t="e">
        <f t="shared" si="19"/>
        <v>#N/A</v>
      </c>
    </row>
    <row r="158" spans="3:23">
      <c r="J158" s="519" t="e">
        <f t="shared" si="25"/>
        <v>#N/A</v>
      </c>
      <c r="K158" s="42" t="e">
        <f t="shared" si="19"/>
        <v>#N/A</v>
      </c>
    </row>
    <row r="159" spans="3:23">
      <c r="J159" s="519" t="e">
        <f t="shared" si="25"/>
        <v>#N/A</v>
      </c>
      <c r="K159" s="42" t="e">
        <f t="shared" si="19"/>
        <v>#N/A</v>
      </c>
    </row>
    <row r="160" spans="3:23">
      <c r="J160" s="519" t="e">
        <f t="shared" si="25"/>
        <v>#N/A</v>
      </c>
      <c r="K160" s="42" t="e">
        <f t="shared" si="19"/>
        <v>#N/A</v>
      </c>
    </row>
    <row r="161" spans="1:11">
      <c r="J161" s="519" t="e">
        <f t="shared" si="25"/>
        <v>#N/A</v>
      </c>
      <c r="K161" s="42" t="e">
        <f t="shared" si="19"/>
        <v>#N/A</v>
      </c>
    </row>
    <row r="162" spans="1:11">
      <c r="J162" s="519" t="e">
        <f t="shared" si="25"/>
        <v>#N/A</v>
      </c>
      <c r="K162" s="42" t="e">
        <f t="shared" si="19"/>
        <v>#N/A</v>
      </c>
    </row>
    <row r="163" spans="1:11">
      <c r="J163" s="519" t="e">
        <f t="shared" si="25"/>
        <v>#N/A</v>
      </c>
      <c r="K163" s="42" t="e">
        <f t="shared" si="19"/>
        <v>#N/A</v>
      </c>
    </row>
    <row r="164" spans="1:11">
      <c r="J164" s="519" t="e">
        <f t="shared" si="25"/>
        <v>#N/A</v>
      </c>
      <c r="K164" s="42" t="e">
        <f t="shared" si="19"/>
        <v>#N/A</v>
      </c>
    </row>
    <row r="165" spans="1:11">
      <c r="J165" s="519" t="e">
        <f t="shared" si="25"/>
        <v>#N/A</v>
      </c>
      <c r="K165" s="42" t="e">
        <f t="shared" si="19"/>
        <v>#N/A</v>
      </c>
    </row>
    <row r="166" spans="1:11">
      <c r="J166" s="519" t="e">
        <f t="shared" si="25"/>
        <v>#N/A</v>
      </c>
      <c r="K166" s="42" t="e">
        <f t="shared" si="19"/>
        <v>#N/A</v>
      </c>
    </row>
    <row r="167" spans="1:11">
      <c r="J167" s="519" t="e">
        <f t="shared" si="25"/>
        <v>#N/A</v>
      </c>
      <c r="K167" s="42" t="e">
        <f t="shared" si="19"/>
        <v>#N/A</v>
      </c>
    </row>
    <row r="168" spans="1:11">
      <c r="J168" s="519" t="e">
        <f t="shared" si="25"/>
        <v>#N/A</v>
      </c>
      <c r="K168" s="42" t="e">
        <f t="shared" si="19"/>
        <v>#N/A</v>
      </c>
    </row>
    <row r="169" spans="1:11">
      <c r="J169" s="519" t="e">
        <f t="shared" si="25"/>
        <v>#N/A</v>
      </c>
      <c r="K169" s="42" t="e">
        <f t="shared" si="19"/>
        <v>#N/A</v>
      </c>
    </row>
    <row r="170" spans="1:11">
      <c r="J170" s="519" t="e">
        <f t="shared" si="25"/>
        <v>#N/A</v>
      </c>
      <c r="K170" s="42" t="e">
        <f t="shared" si="19"/>
        <v>#N/A</v>
      </c>
    </row>
    <row r="172" spans="1:11">
      <c r="A172" t="s">
        <v>973</v>
      </c>
    </row>
    <row r="173" spans="1:11">
      <c r="A173" s="116" t="s">
        <v>575</v>
      </c>
      <c r="B173" s="116" t="s">
        <v>760</v>
      </c>
    </row>
    <row r="174" spans="1:11">
      <c r="A174" t="s">
        <v>1010</v>
      </c>
      <c r="B174" t="str">
        <f>IF($D$7="","",E17)</f>
        <v>Modified Proctor</v>
      </c>
    </row>
    <row r="175" spans="1:11">
      <c r="A175" t="s">
        <v>956</v>
      </c>
      <c r="B175">
        <f>IF($D$7="","",E18)</f>
        <v>1.24</v>
      </c>
    </row>
    <row r="176" spans="1:11">
      <c r="A176" t="s">
        <v>957</v>
      </c>
      <c r="B176">
        <f t="shared" ref="B176:B177" si="29">IF($D$7="","",E19)</f>
        <v>16.5</v>
      </c>
    </row>
    <row r="177" spans="1:5">
      <c r="A177" t="s">
        <v>1011</v>
      </c>
      <c r="B177">
        <f t="shared" si="29"/>
        <v>2700</v>
      </c>
    </row>
    <row r="179" spans="1:5">
      <c r="A179" t="s">
        <v>1018</v>
      </c>
    </row>
    <row r="180" spans="1:5">
      <c r="A180" s="116" t="s">
        <v>575</v>
      </c>
      <c r="C180" s="116" t="s">
        <v>760</v>
      </c>
    </row>
    <row r="181" spans="1:5">
      <c r="A181" t="s">
        <v>1012</v>
      </c>
      <c r="C181">
        <f>IF($D$7="","",F37)</f>
        <v>152.19999999999999</v>
      </c>
    </row>
    <row r="182" spans="1:5">
      <c r="A182" t="s">
        <v>1013</v>
      </c>
      <c r="C182">
        <f t="shared" ref="C182:C183" si="30">IF($D$7="","",F38)</f>
        <v>177.8</v>
      </c>
    </row>
    <row r="183" spans="1:5">
      <c r="A183" t="s">
        <v>1014</v>
      </c>
      <c r="C183">
        <f t="shared" si="30"/>
        <v>3234.8261323101638</v>
      </c>
    </row>
    <row r="184" spans="1:5">
      <c r="A184" t="s">
        <v>1015</v>
      </c>
      <c r="C184">
        <f>IF($D$7="","",E63)</f>
        <v>49.63</v>
      </c>
    </row>
    <row r="185" spans="1:5">
      <c r="A185" t="s">
        <v>1016</v>
      </c>
      <c r="C185">
        <f t="shared" ref="C185:C186" si="31">IF($D$7="","",E64)</f>
        <v>19.350000000000001</v>
      </c>
    </row>
    <row r="186" spans="1:5">
      <c r="A186" t="s">
        <v>1017</v>
      </c>
      <c r="C186">
        <f t="shared" si="31"/>
        <v>1.27</v>
      </c>
    </row>
    <row r="189" spans="1:5">
      <c r="A189" s="116" t="s">
        <v>575</v>
      </c>
      <c r="C189" s="116">
        <v>10</v>
      </c>
      <c r="D189" s="116">
        <v>25</v>
      </c>
      <c r="E189" s="116">
        <v>56</v>
      </c>
    </row>
    <row r="190" spans="1:5">
      <c r="A190" t="s">
        <v>1005</v>
      </c>
      <c r="C190" s="519">
        <f>IF(D7="","",F42)</f>
        <v>1.1824087231164917</v>
      </c>
      <c r="D190" s="42">
        <f>IF($D$7="","",H42)</f>
        <v>1.2005385322377311</v>
      </c>
      <c r="E190" s="42">
        <f>IF($D$7="","",J42)</f>
        <v>1.250068842993334</v>
      </c>
    </row>
    <row r="191" spans="1:5">
      <c r="A191" t="s">
        <v>1006</v>
      </c>
      <c r="C191" s="42">
        <f>IF($D$7="","",F52)</f>
        <v>35.057597539156902</v>
      </c>
      <c r="D191" s="42">
        <f>IF($D$7="","",H52)</f>
        <v>46.047410723369602</v>
      </c>
      <c r="E191" s="42">
        <f>IF($D$7="","",J52)</f>
        <v>46.047410723369602</v>
      </c>
    </row>
    <row r="192" spans="1:5">
      <c r="A192" t="s">
        <v>1007</v>
      </c>
      <c r="C192" s="111">
        <f>IF($D$7="","",G119)</f>
        <v>25.013100025984741</v>
      </c>
      <c r="D192" s="111">
        <f>IF($D$7="","",M119)</f>
        <v>23.012052023905959</v>
      </c>
      <c r="E192" s="111">
        <f>IF($D$7="","",S119)</f>
        <v>26.013624027024136</v>
      </c>
    </row>
    <row r="193" spans="1:21">
      <c r="A193" t="s">
        <v>1008</v>
      </c>
      <c r="C193" s="111">
        <f>IF($D$7="","",G120)</f>
        <v>29.348704030488758</v>
      </c>
      <c r="D193" s="111">
        <f>IF($D$7="","",M120)</f>
        <v>30.015720031181687</v>
      </c>
      <c r="E193" s="111">
        <f>IF($D$7="","",S120)</f>
        <v>30.682736031874612</v>
      </c>
    </row>
    <row r="194" spans="1:21">
      <c r="A194" t="s">
        <v>1009</v>
      </c>
      <c r="C194" s="111">
        <f>IF($D$7="","",MAX(C192:C193))</f>
        <v>29.348704030488758</v>
      </c>
      <c r="D194" s="111">
        <f>IF($D$7="","",MAX(D192:D193))</f>
        <v>30.015720031181687</v>
      </c>
      <c r="E194" s="111">
        <f>IF($D$7="","",MAX(E192:E193))</f>
        <v>30.682736031874612</v>
      </c>
    </row>
    <row r="200" spans="1:21">
      <c r="A200" s="1566" t="s">
        <v>1719</v>
      </c>
      <c r="B200" s="862"/>
      <c r="C200" s="14"/>
      <c r="D200" s="370"/>
      <c r="E200" s="370"/>
    </row>
    <row r="201" spans="1:21">
      <c r="A201" s="1570" t="s">
        <v>2118</v>
      </c>
      <c r="B201" s="862"/>
      <c r="C201" s="14"/>
      <c r="D201" s="370"/>
      <c r="E201" s="370"/>
    </row>
    <row r="202" spans="1:21">
      <c r="A202" s="1566" t="s">
        <v>1719</v>
      </c>
      <c r="B202" s="862"/>
      <c r="C202" s="14"/>
      <c r="D202" s="370"/>
      <c r="E202" s="370"/>
    </row>
    <row r="203" spans="1:21">
      <c r="A203" s="1566"/>
      <c r="B203" s="862"/>
      <c r="C203" s="14"/>
      <c r="D203" s="370"/>
      <c r="E203" s="370"/>
    </row>
    <row r="204" spans="1:21">
      <c r="B204" t="s">
        <v>1611</v>
      </c>
      <c r="C204" s="299" t="str">
        <f>F12</f>
        <v>SDS</v>
      </c>
    </row>
    <row r="205" spans="1:21">
      <c r="B205" s="116"/>
      <c r="H205" s="116"/>
      <c r="N205" s="116"/>
    </row>
    <row r="206" spans="1:21">
      <c r="B206" s="116" t="s">
        <v>1793</v>
      </c>
      <c r="H206" s="116"/>
      <c r="N206" s="116"/>
    </row>
    <row r="207" spans="1:21">
      <c r="B207" s="1866" t="s">
        <v>124</v>
      </c>
      <c r="C207" s="1866"/>
      <c r="D207" s="1866" t="s">
        <v>1783</v>
      </c>
      <c r="E207" s="1867" t="s">
        <v>1788</v>
      </c>
      <c r="F207" s="1867"/>
      <c r="G207" s="1868" t="s">
        <v>1789</v>
      </c>
      <c r="H207" s="1868"/>
      <c r="I207" s="1868"/>
      <c r="J207" s="1868"/>
      <c r="K207" s="1868"/>
      <c r="L207" s="1868"/>
      <c r="M207" s="1868"/>
      <c r="N207" s="1868"/>
    </row>
    <row r="208" spans="1:21">
      <c r="B208" s="1866"/>
      <c r="C208" s="1866"/>
      <c r="D208" s="1866"/>
      <c r="E208" s="1581" t="s">
        <v>1598</v>
      </c>
      <c r="F208" s="1581" t="s">
        <v>1718</v>
      </c>
      <c r="G208" s="1579" t="s">
        <v>1790</v>
      </c>
      <c r="H208" s="1579" t="s">
        <v>1684</v>
      </c>
      <c r="I208" s="1580" t="s">
        <v>1794</v>
      </c>
      <c r="J208" s="1580" t="s">
        <v>438</v>
      </c>
      <c r="K208" s="1580" t="s">
        <v>1791</v>
      </c>
      <c r="L208" s="1580" t="s">
        <v>1598</v>
      </c>
      <c r="M208" s="1580" t="s">
        <v>1792</v>
      </c>
      <c r="N208" s="1580" t="s">
        <v>1718</v>
      </c>
      <c r="R208" t="s">
        <v>575</v>
      </c>
      <c r="S208" t="s">
        <v>1607</v>
      </c>
      <c r="T208" t="s">
        <v>1608</v>
      </c>
      <c r="U208" t="s">
        <v>1715</v>
      </c>
    </row>
    <row r="209" spans="1:25" ht="173.25">
      <c r="B209" s="326" t="s">
        <v>2119</v>
      </c>
      <c r="C209" s="326"/>
      <c r="D209" s="1425">
        <f>E146</f>
        <v>30.7</v>
      </c>
      <c r="E209" s="3" t="str">
        <f>IF(D209="","CHECK",
IFERROR(
IF(AND(
D209&gt;=INDEX($S$209:$S$210,MATCH(B209,$R$209:$R$210,0)),
D209&lt;=INDEX($T$209:$T$210,MATCH(B209,$R$209:$R$210,0))
),
"PASS",
"REVIEW"),
"CHECK"))</f>
        <v>PASS</v>
      </c>
      <c r="F209" s="5" t="str">
        <f>IFERROR(
INDEX($U$209:$U$210,
MATCH(B209,$R$209:$R$210,0)),
"")</f>
        <v>ASTM D1883</v>
      </c>
      <c r="G209" s="1569" t="str" cm="1">
        <f t="array" ref="G209">IFERROR(
INDEX(R214:R219,
MATCH(1,
($Q$214:$Q$219=B209)*
($T$214:$T$219&gt;=D209)*
($S$214:$S$219&lt;=D209),
0)),
"")</f>
        <v>Very High Bearing Capacity</v>
      </c>
      <c r="H209" s="1569"/>
      <c r="I209" s="1569" t="str" cm="1">
        <f t="array" ref="I209">IFERROR(
INDEX($S$228:$S$239,
MATCH(1,
($Q$228:$Q$239=$C$204)*
($R$228:$R$239=B209),
0)),
"")</f>
        <v>Tinggi</v>
      </c>
      <c r="J209" s="1569" cm="1">
        <f t="array" ref="J209">IFERROR(
INDEX($T$228:$T$239,
MATCH(1,
($Q$228:$Q$239=$C$204)*
($R$228:$R$239=B209),
0)),
"")</f>
        <v>15</v>
      </c>
      <c r="K209" s="1569" cm="1">
        <f t="array" ref="K209">IFERROR(
INDEX($U$228:$U$239,
MATCH(1,
($Q$228:$Q$239=$C$204)*
($R$228:$R$239=B209),
0)),
"")</f>
        <v>40</v>
      </c>
      <c r="L209" s="3" t="str">
        <f>IF(D209="","CHECK",
IF(AND(D209&gt;=J209,D209&lt;K209),"PASS","REVIEW"))</f>
        <v>PASS</v>
      </c>
      <c r="M209" s="1569" t="str" cm="1">
        <f t="array" ref="M209">IFERROR(
INDEX($V$228:$V$239,
MATCH(1,
($Q$228:$Q$239=$C$204)*
($R$228:$R$239=B209),
0)),
"")</f>
        <v>Pasir berlanau umumnya menghasilkan CBR sedang hingga tinggi bergantung kepadatan.</v>
      </c>
      <c r="N209" s="1569" t="str" cm="1">
        <f t="array" ref="N209">IFERROR(
INDEX($W$228:$W$239,
MATCH(1,
($Q$228:$Q$239=$C$204)*
($R$228:$R$239=B209),
0)),
"")</f>
        <v>ASTM D1883</v>
      </c>
      <c r="R209" s="326" t="s">
        <v>2119</v>
      </c>
      <c r="S209" s="326">
        <v>0</v>
      </c>
      <c r="T209" s="326">
        <v>300</v>
      </c>
      <c r="U209" s="326" t="s">
        <v>2120</v>
      </c>
    </row>
    <row r="210" spans="1:25" ht="94.5">
      <c r="B210" s="326" t="s">
        <v>2121</v>
      </c>
      <c r="C210" s="326"/>
      <c r="D210" s="1425">
        <v>1</v>
      </c>
      <c r="E210" s="3" t="str">
        <f>IF(D210="","CHECK",
IFERROR(
IF(AND(
D210&gt;=INDEX($S$209:$S$210,MATCH(B210,$R$209:$R$210,0)),
D210&lt;=INDEX($T$209:$T$210,MATCH(B210,$R$209:$R$210,0))
),
"PASS",
"REVIEW"),
"CHECK"))</f>
        <v>PASS</v>
      </c>
      <c r="F210" s="5" t="str">
        <f>IFERROR(
INDEX($U$209:$U$210,
MATCH(B210,$R$209:$R$210,0)),
"")</f>
        <v>ASTM D1883</v>
      </c>
      <c r="G210" s="1569" t="str" cm="1">
        <f t="array" ref="G210">IFERROR(
INDEX(R214:R224,
MATCH(1,
($Q$214:$Q$224=B210)*
($T$214:$T$224&gt;=D210)*
($S$214:$S$224&lt;=D210),
0)),
"")</f>
        <v>Rendah</v>
      </c>
      <c r="H210" s="1569"/>
      <c r="I210" s="1569" t="str" cm="1">
        <f t="array" ref="I210">IFERROR(
INDEX($S$228:$S$251,
MATCH(1,
($Q$228:$Q$251=$C$204)*
($R$228:$R$251=B210),
0)),
"")</f>
        <v>Rendah</v>
      </c>
      <c r="J210" s="1569" cm="1">
        <f t="array" ref="J210">IFERROR(
INDEX($T$228:$T$251,
MATCH(1,
($Q$228:$Q$251=$C$204)*
($R$228:$R$251=B210),
0)),
"")</f>
        <v>0</v>
      </c>
      <c r="K210" s="1569" cm="1">
        <f t="array" ref="K210">IFERROR(
INDEX($U$228:$U$251,
MATCH(1,
($Q$228:$Q$251=$C$204)*
($R$228:$R$251=B210),
0)),
"")</f>
        <v>2</v>
      </c>
      <c r="L210" s="3" t="str">
        <f>IF(D210="","CHECK",
IF(AND(D210&gt;=J210,D210&lt;K210),"PASS","REVIEW"))</f>
        <v>PASS</v>
      </c>
      <c r="M210" s="1569" t="str" cm="1">
        <f t="array" ref="M210">IFERROR(
INDEX($V$228:$V$251,
MATCH(1,
($Q$228:$Q$251=$C$204)*
($R$228:$R$251=B210),
0)),
"")</f>
        <v>Pasir berlanau umumnya mempunyai swelling rendah.</v>
      </c>
      <c r="N210" s="1569" t="str" cm="1">
        <f t="array" ref="N210">IFERROR(
INDEX($W$228:$W$251,
MATCH(1,
($Q$228:$Q$251=$C$204)*
($R$228:$R$251=B210),
0)),
"")</f>
        <v>ASTM D1883</v>
      </c>
      <c r="R210" s="326" t="s">
        <v>2121</v>
      </c>
      <c r="S210" s="326">
        <v>0</v>
      </c>
      <c r="T210" s="326">
        <v>15</v>
      </c>
      <c r="U210" s="326" t="s">
        <v>2120</v>
      </c>
    </row>
    <row r="212" spans="1:25">
      <c r="A212" s="116" t="s">
        <v>1795</v>
      </c>
      <c r="Q212" t="s">
        <v>1797</v>
      </c>
    </row>
    <row r="213" spans="1:25">
      <c r="A213" t="s">
        <v>1831</v>
      </c>
      <c r="D213" s="1583" t="str">
        <f>IF(COUNTIF(E209:E210,"REVIEW")&gt;0,
"REVIEW",
"PASS")</f>
        <v>PASS</v>
      </c>
      <c r="Q213" t="s">
        <v>575</v>
      </c>
      <c r="R213" t="s">
        <v>2030</v>
      </c>
      <c r="S213" t="s">
        <v>1607</v>
      </c>
      <c r="T213" t="s">
        <v>1608</v>
      </c>
    </row>
    <row r="214" spans="1:25">
      <c r="A214" t="s">
        <v>1832</v>
      </c>
      <c r="D214" s="1583" t="str">
        <f>IF(COUNTIF(L209:L210,"REVIEW")&gt;0,
"REVIEW",
"PASS")</f>
        <v>PASS</v>
      </c>
      <c r="Q214" s="326" t="s">
        <v>2119</v>
      </c>
      <c r="R214" t="s">
        <v>2122</v>
      </c>
      <c r="S214">
        <v>0</v>
      </c>
      <c r="T214">
        <v>3</v>
      </c>
    </row>
    <row r="215" spans="1:25">
      <c r="A215" t="s">
        <v>1605</v>
      </c>
      <c r="D215" s="1583" t="str">
        <f>IF(AND(D213="PASS",D214="PASS"),
"PASS",
IF(AND(D213="PASS",D214="REVIEW"),
"REVIEW",
IF(AND(D213="REVIEW",D214="PASS"),
"REVIEW",
"RE-ANALYZE")))</f>
        <v>PASS</v>
      </c>
      <c r="Q215" s="326" t="s">
        <v>2119</v>
      </c>
      <c r="R215" t="s">
        <v>2123</v>
      </c>
      <c r="S215">
        <v>3</v>
      </c>
      <c r="T215">
        <v>5</v>
      </c>
    </row>
    <row r="216" spans="1:25">
      <c r="Q216" s="326" t="s">
        <v>2119</v>
      </c>
      <c r="R216" t="s">
        <v>2124</v>
      </c>
      <c r="S216">
        <v>5</v>
      </c>
      <c r="T216">
        <v>10</v>
      </c>
    </row>
    <row r="217" spans="1:25">
      <c r="Q217" s="326" t="s">
        <v>2119</v>
      </c>
      <c r="R217" t="s">
        <v>2125</v>
      </c>
      <c r="S217">
        <v>10</v>
      </c>
      <c r="T217">
        <v>20</v>
      </c>
      <c r="X217" t="s">
        <v>2030</v>
      </c>
      <c r="Y217" t="s">
        <v>2149</v>
      </c>
    </row>
    <row r="218" spans="1:25">
      <c r="A218" s="116" t="s">
        <v>2145</v>
      </c>
      <c r="Q218" s="326" t="s">
        <v>2119</v>
      </c>
      <c r="R218" t="s">
        <v>2126</v>
      </c>
      <c r="S218">
        <v>20</v>
      </c>
      <c r="T218">
        <v>50</v>
      </c>
      <c r="Y218" t="s">
        <v>2150</v>
      </c>
    </row>
    <row r="219" spans="1:25">
      <c r="B219" s="1814" t="str" cm="1">
        <f t="array" ref="B219">IFERROR(
INDEX($T$259:$T$262,
MATCH(1,
($Q$259:$Q$262=D213)*
($R$259:$R$262=D214),
0)),
"")</f>
        <v>Nilai Design CBR dan Swelling berada dalam kisaran yang sesuai dengan karakteristik umum jenis tanah berdasarkan evaluasi engineering. Hasil pengujian menunjukkan konsistensi dengan kondisi pemadatan yang digunakan sebagai acuan (Standard/Modified Proctor) serta tidak ditemukan indikasi yang memerlukan evaluasi lanjutan. Hasil dapat diterima sebagai representasi karakteristik daya dukung dan perilaku pengembangan material setelah perendaman.</v>
      </c>
      <c r="C219" s="1814"/>
      <c r="D219" s="1814"/>
      <c r="E219" s="1814"/>
      <c r="F219" s="1814"/>
      <c r="G219" s="1814"/>
      <c r="H219" s="1814"/>
      <c r="I219" s="1814"/>
      <c r="J219" s="1814"/>
      <c r="K219" s="1814"/>
      <c r="L219" s="1523"/>
      <c r="Q219" s="326" t="s">
        <v>2119</v>
      </c>
      <c r="R219" t="s">
        <v>2127</v>
      </c>
      <c r="S219">
        <v>50</v>
      </c>
      <c r="T219">
        <v>300</v>
      </c>
      <c r="Y219" t="s">
        <v>2151</v>
      </c>
    </row>
    <row r="220" spans="1:25">
      <c r="B220" s="1814"/>
      <c r="C220" s="1814"/>
      <c r="D220" s="1814"/>
      <c r="E220" s="1814"/>
      <c r="F220" s="1814"/>
      <c r="G220" s="1814"/>
      <c r="H220" s="1814"/>
      <c r="I220" s="1814"/>
      <c r="J220" s="1814"/>
      <c r="K220" s="1814"/>
      <c r="L220" s="1578"/>
      <c r="Q220" t="s">
        <v>2121</v>
      </c>
      <c r="R220" t="s">
        <v>1680</v>
      </c>
      <c r="S220">
        <v>0</v>
      </c>
      <c r="T220">
        <v>0.5</v>
      </c>
      <c r="Y220" t="s">
        <v>2152</v>
      </c>
    </row>
    <row r="221" spans="1:25">
      <c r="Q221" t="s">
        <v>2121</v>
      </c>
      <c r="R221" t="s">
        <v>1670</v>
      </c>
      <c r="S221">
        <v>0.5</v>
      </c>
      <c r="T221">
        <v>1</v>
      </c>
      <c r="Y221" t="s">
        <v>2153</v>
      </c>
    </row>
    <row r="222" spans="1:25">
      <c r="Q222" t="s">
        <v>2121</v>
      </c>
      <c r="R222" t="s">
        <v>1672</v>
      </c>
      <c r="S222">
        <v>1</v>
      </c>
      <c r="T222">
        <v>2</v>
      </c>
      <c r="Y222" t="s">
        <v>2154</v>
      </c>
    </row>
    <row r="223" spans="1:25">
      <c r="A223" s="116" t="s">
        <v>2176</v>
      </c>
      <c r="Q223" t="s">
        <v>2121</v>
      </c>
      <c r="R223" t="s">
        <v>338</v>
      </c>
      <c r="S223">
        <v>2</v>
      </c>
      <c r="T223">
        <v>5</v>
      </c>
    </row>
    <row r="224" spans="1:25">
      <c r="A224" t="s">
        <v>2074</v>
      </c>
      <c r="D224" t="s">
        <v>1598</v>
      </c>
      <c r="Q224" t="s">
        <v>2121</v>
      </c>
      <c r="R224" t="s">
        <v>1681</v>
      </c>
      <c r="S224">
        <v>5</v>
      </c>
      <c r="T224">
        <v>15</v>
      </c>
    </row>
    <row r="225" spans="1:28">
      <c r="A225" t="s">
        <v>2177</v>
      </c>
      <c r="D225" s="1583" t="str" cm="1">
        <f t="array" ref="D225">IFERROR(
INDEX($S$266:$S$295,
MATCH(1,
($Q$266:$Q$295=$G$209)*
($R$266:$R$295=$G$210),
0)),
"")</f>
        <v>PASS</v>
      </c>
    </row>
    <row r="226" spans="1:28">
      <c r="A226" t="s">
        <v>2178</v>
      </c>
      <c r="D226" s="1583" t="str" cm="1">
        <f t="array" ref="D226">IFERROR(
INDEX($S$266:$S$295,
MATCH(1,
($Q$266:$Q$295=$G$209)*
($R$266:$R$295=$G$210),
0)),
"")</f>
        <v>PASS</v>
      </c>
      <c r="Q226" t="s">
        <v>1798</v>
      </c>
    </row>
    <row r="227" spans="1:28">
      <c r="A227" t="s">
        <v>2179</v>
      </c>
      <c r="D227" s="1583" t="str" cm="1">
        <f t="array" ref="D227">IFERROR(
INDEX($S$266:$S$295,
MATCH(1,
($Q$266:$Q$295=$G$209)*
($R$266:$R$295=$G$210),
0)),
"")</f>
        <v>PASS</v>
      </c>
      <c r="M227" s="1578"/>
      <c r="Q227" t="s">
        <v>1611</v>
      </c>
      <c r="R227" t="s">
        <v>575</v>
      </c>
      <c r="S227" t="s">
        <v>1683</v>
      </c>
      <c r="T227" t="s">
        <v>2128</v>
      </c>
      <c r="U227" t="s">
        <v>2129</v>
      </c>
      <c r="V227" t="s">
        <v>1685</v>
      </c>
      <c r="W227" t="s">
        <v>1715</v>
      </c>
    </row>
    <row r="228" spans="1:28">
      <c r="A228" t="s">
        <v>2180</v>
      </c>
      <c r="C228" s="5"/>
      <c r="D228" s="1583" t="str" cm="1">
        <f t="array" ref="D228">IFERROR(
INDEX($S$266:$S$295,
MATCH(1,
($Q$266:$Q$295=$G$209)*
($R$266:$R$295=$G$210),
0)),
"")</f>
        <v>PASS</v>
      </c>
      <c r="F228" s="5"/>
      <c r="G228" s="5"/>
      <c r="H228" s="5"/>
      <c r="I228" s="5"/>
      <c r="J228" s="5"/>
      <c r="K228" s="5"/>
      <c r="L228" s="5"/>
      <c r="M228" s="5"/>
      <c r="Q228" t="s">
        <v>1612</v>
      </c>
      <c r="R228" t="s">
        <v>2119</v>
      </c>
      <c r="S228" t="s">
        <v>1670</v>
      </c>
      <c r="T228">
        <v>3</v>
      </c>
      <c r="U228">
        <v>10</v>
      </c>
      <c r="V228" t="s">
        <v>2130</v>
      </c>
      <c r="W228" t="s">
        <v>2131</v>
      </c>
    </row>
    <row r="229" spans="1:28">
      <c r="A229" t="s">
        <v>2181</v>
      </c>
      <c r="D229" s="1583" t="str" cm="1">
        <f t="array" ref="D229">IFERROR(
INDEX($S$266:$S$295,
MATCH(1,
($Q$266:$Q$295=$G$209)*
($R$266:$R$295=$G$210),
0)),
"")</f>
        <v>PASS</v>
      </c>
      <c r="K229" s="5"/>
      <c r="L229" s="5"/>
      <c r="M229" s="5"/>
      <c r="Q229" t="s">
        <v>1614</v>
      </c>
      <c r="R229" t="s">
        <v>2119</v>
      </c>
      <c r="S229" t="s">
        <v>1672</v>
      </c>
      <c r="T229">
        <v>5</v>
      </c>
      <c r="U229">
        <v>15</v>
      </c>
      <c r="V229" t="s">
        <v>2132</v>
      </c>
      <c r="W229" t="s">
        <v>1716</v>
      </c>
    </row>
    <row r="230" spans="1:28">
      <c r="K230" s="5"/>
      <c r="L230" s="5"/>
      <c r="M230" s="5"/>
      <c r="Q230" t="s">
        <v>1617</v>
      </c>
      <c r="R230" t="s">
        <v>2119</v>
      </c>
      <c r="S230" t="s">
        <v>1672</v>
      </c>
      <c r="T230">
        <v>4</v>
      </c>
      <c r="U230">
        <v>12</v>
      </c>
      <c r="V230" t="s">
        <v>2133</v>
      </c>
      <c r="W230" t="s">
        <v>1716</v>
      </c>
    </row>
    <row r="231" spans="1:28">
      <c r="A231" t="s">
        <v>2194</v>
      </c>
      <c r="K231" s="5"/>
      <c r="L231" s="5"/>
      <c r="M231" s="5"/>
      <c r="Q231" t="s">
        <v>1643</v>
      </c>
      <c r="R231" t="s">
        <v>2119</v>
      </c>
      <c r="S231" t="s">
        <v>338</v>
      </c>
      <c r="T231">
        <v>10</v>
      </c>
      <c r="U231">
        <v>30</v>
      </c>
      <c r="V231" t="s">
        <v>2134</v>
      </c>
      <c r="W231" t="s">
        <v>2135</v>
      </c>
    </row>
    <row r="232" spans="1:28">
      <c r="A232" t="s">
        <v>124</v>
      </c>
      <c r="E232" t="s">
        <v>760</v>
      </c>
      <c r="F232" t="s">
        <v>2193</v>
      </c>
      <c r="G232" t="s">
        <v>1598</v>
      </c>
      <c r="H232" t="s">
        <v>2185</v>
      </c>
      <c r="K232" s="5"/>
      <c r="L232" s="5"/>
      <c r="M232" s="5"/>
      <c r="Q232" t="s">
        <v>1620</v>
      </c>
      <c r="R232" t="s">
        <v>2119</v>
      </c>
      <c r="S232" t="s">
        <v>1681</v>
      </c>
      <c r="T232">
        <v>20</v>
      </c>
      <c r="U232">
        <v>60</v>
      </c>
      <c r="V232" t="s">
        <v>2136</v>
      </c>
      <c r="W232" t="s">
        <v>2137</v>
      </c>
    </row>
    <row r="233" spans="1:28" ht="18">
      <c r="A233" s="1618" t="s">
        <v>2184</v>
      </c>
      <c r="G233" s="1583" t="str">
        <f>IF(OR(N235="",N236=""),"CHECK",
IF(N236&gt;N235,"RE-ANALYZE",
IF(N235&gt;=N236*(1-N238),"REVIEW",
"PASS")))</f>
        <v>REVIEW</v>
      </c>
      <c r="H233" s="1619" t="s">
        <v>2186</v>
      </c>
      <c r="K233" s="5"/>
      <c r="L233" s="5"/>
      <c r="M233" s="5"/>
      <c r="Q233" t="s">
        <v>1621</v>
      </c>
      <c r="R233" t="s">
        <v>2119</v>
      </c>
      <c r="S233" t="s">
        <v>338</v>
      </c>
      <c r="T233">
        <v>10</v>
      </c>
      <c r="U233">
        <v>30</v>
      </c>
      <c r="V233" t="s">
        <v>2138</v>
      </c>
      <c r="W233" t="s">
        <v>1716</v>
      </c>
    </row>
    <row r="234" spans="1:28" ht="34.5" customHeight="1">
      <c r="A234" t="s">
        <v>2190</v>
      </c>
      <c r="E234">
        <f>IF(OR($N$235="",$N$236="",$N$235=0),"",
MAX(0,($N$235-$N$236)/$N$235*100))</f>
        <v>0</v>
      </c>
      <c r="F234" s="861" t="str" cm="1">
        <f t="array" ref="F234">IF(E234="","",
IF(E234&gt;=100,"Sangat Tinggi",IFERROR(
INDEX($M$300:$M$304,
MATCH(1,
($L$300:$L$304=$A$236)*
($N$300:$N$304&lt;=E234)*
($O$300:$O$304&gt;E234),
0)),
"")))</f>
        <v>Sangat Rendah</v>
      </c>
      <c r="H234" s="861"/>
      <c r="K234" s="5"/>
      <c r="L234" s="5"/>
      <c r="M234" s="5"/>
      <c r="Q234" t="s">
        <v>1623</v>
      </c>
      <c r="R234" t="s">
        <v>2119</v>
      </c>
      <c r="S234" t="s">
        <v>338</v>
      </c>
      <c r="T234">
        <v>15</v>
      </c>
      <c r="U234">
        <v>40</v>
      </c>
      <c r="V234" t="s">
        <v>2139</v>
      </c>
      <c r="W234" t="s">
        <v>2120</v>
      </c>
    </row>
    <row r="235" spans="1:28">
      <c r="L235" s="2125" t="s">
        <v>2187</v>
      </c>
      <c r="M235" s="2125"/>
      <c r="N235" s="5">
        <f>'WS-CBR unsoaked'!D209</f>
        <v>30.7</v>
      </c>
      <c r="Q235" t="s">
        <v>1649</v>
      </c>
      <c r="R235" t="s">
        <v>2119</v>
      </c>
      <c r="S235" t="s">
        <v>1681</v>
      </c>
      <c r="T235">
        <v>30</v>
      </c>
      <c r="U235">
        <v>80</v>
      </c>
      <c r="V235" t="s">
        <v>2140</v>
      </c>
      <c r="W235" t="s">
        <v>1843</v>
      </c>
    </row>
    <row r="236" spans="1:28">
      <c r="A236" t="s">
        <v>2176</v>
      </c>
      <c r="G236" s="1583" t="str" cm="1">
        <f t="array" ref="G236">IFERROR(
INDEX($W$300:$W$317,
MATCH(1,
($V$300:$V$317=$G$210)*
($U$300:$U$317=F234),
0)),
"")</f>
        <v>PASS</v>
      </c>
      <c r="L236" s="2126" t="s">
        <v>2188</v>
      </c>
      <c r="M236" s="2126"/>
      <c r="N236" s="111">
        <f>D209</f>
        <v>30.7</v>
      </c>
      <c r="Q236" t="s">
        <v>1690</v>
      </c>
      <c r="R236" t="s">
        <v>2119</v>
      </c>
      <c r="S236" t="s">
        <v>1672</v>
      </c>
      <c r="T236">
        <v>5</v>
      </c>
      <c r="U236">
        <v>15</v>
      </c>
      <c r="V236" t="s">
        <v>2141</v>
      </c>
      <c r="W236" t="s">
        <v>2120</v>
      </c>
    </row>
    <row r="237" spans="1:28">
      <c r="Q237" t="s">
        <v>1626</v>
      </c>
      <c r="R237" t="s">
        <v>2119</v>
      </c>
      <c r="S237" t="s">
        <v>1672</v>
      </c>
      <c r="T237">
        <v>5</v>
      </c>
      <c r="U237">
        <v>15</v>
      </c>
      <c r="V237" t="s">
        <v>2142</v>
      </c>
      <c r="W237" t="s">
        <v>1716</v>
      </c>
    </row>
    <row r="238" spans="1:28">
      <c r="L238" t="s">
        <v>2192</v>
      </c>
      <c r="N238" s="1617">
        <v>0.05</v>
      </c>
      <c r="Q238" t="s">
        <v>1628</v>
      </c>
      <c r="R238" t="s">
        <v>2119</v>
      </c>
      <c r="S238" t="s">
        <v>338</v>
      </c>
      <c r="T238">
        <v>10</v>
      </c>
      <c r="U238">
        <v>25</v>
      </c>
      <c r="V238" t="s">
        <v>2143</v>
      </c>
      <c r="W238" t="s">
        <v>2120</v>
      </c>
    </row>
    <row r="239" spans="1:28">
      <c r="A239" t="s">
        <v>2191</v>
      </c>
      <c r="G239" s="1583" t="str">
        <f>IF(OR($G$233="CHECK",$G$236="CHECK"),"CHECK",
IF(OR($G$233="RE-ANALYZE",$G$236="RE-ANALYZE"),"RE-ANALYZE",
IF(OR($G$233="REVIEW",$G$236="REVIEW"),"REVIEW",
"PASS")))</f>
        <v>REVIEW</v>
      </c>
      <c r="Q239" t="s">
        <v>1630</v>
      </c>
      <c r="R239" t="s">
        <v>2119</v>
      </c>
      <c r="S239" t="s">
        <v>1681</v>
      </c>
      <c r="T239">
        <v>40</v>
      </c>
      <c r="U239">
        <v>100</v>
      </c>
      <c r="V239" t="s">
        <v>2144</v>
      </c>
      <c r="W239" t="s">
        <v>2137</v>
      </c>
      <c r="AA239" s="1578" t="s">
        <v>1611</v>
      </c>
      <c r="AB239" s="1578" t="s">
        <v>1480</v>
      </c>
    </row>
    <row r="240" spans="1:28">
      <c r="Q240" t="s">
        <v>1612</v>
      </c>
      <c r="R240" t="s">
        <v>2121</v>
      </c>
      <c r="S240" t="s">
        <v>1672</v>
      </c>
      <c r="T240">
        <v>0</v>
      </c>
      <c r="U240">
        <v>6</v>
      </c>
      <c r="V240" t="s">
        <v>2155</v>
      </c>
      <c r="W240" t="s">
        <v>2131</v>
      </c>
      <c r="AA240" s="5" t="s">
        <v>1630</v>
      </c>
      <c r="AB240" s="5" t="s">
        <v>2170</v>
      </c>
    </row>
    <row r="241" spans="3:28">
      <c r="Q241" t="s">
        <v>1614</v>
      </c>
      <c r="R241" t="s">
        <v>2121</v>
      </c>
      <c r="S241" t="s">
        <v>1670</v>
      </c>
      <c r="T241">
        <v>0</v>
      </c>
      <c r="U241">
        <v>5</v>
      </c>
      <c r="V241" t="s">
        <v>2156</v>
      </c>
      <c r="W241" t="s">
        <v>1716</v>
      </c>
      <c r="AA241" s="5" t="s">
        <v>1620</v>
      </c>
      <c r="AB241" s="5" t="s">
        <v>2170</v>
      </c>
    </row>
    <row r="242" spans="3:28" ht="15.75" customHeight="1">
      <c r="C242" s="1617"/>
      <c r="Q242" t="s">
        <v>1617</v>
      </c>
      <c r="R242" t="s">
        <v>2121</v>
      </c>
      <c r="S242" t="s">
        <v>1672</v>
      </c>
      <c r="T242">
        <v>0</v>
      </c>
      <c r="U242">
        <v>5</v>
      </c>
      <c r="V242" t="s">
        <v>2157</v>
      </c>
      <c r="W242" t="s">
        <v>1716</v>
      </c>
      <c r="AA242" s="5" t="s">
        <v>1649</v>
      </c>
      <c r="AB242" s="5" t="s">
        <v>2170</v>
      </c>
    </row>
    <row r="243" spans="3:28">
      <c r="Q243" t="s">
        <v>1643</v>
      </c>
      <c r="R243" t="s">
        <v>2121</v>
      </c>
      <c r="S243" t="s">
        <v>1670</v>
      </c>
      <c r="T243">
        <v>0</v>
      </c>
      <c r="U243">
        <v>4</v>
      </c>
      <c r="V243" t="s">
        <v>2158</v>
      </c>
      <c r="W243" t="s">
        <v>2120</v>
      </c>
      <c r="AA243" s="5" t="s">
        <v>1623</v>
      </c>
      <c r="AB243" s="5" t="s">
        <v>2171</v>
      </c>
    </row>
    <row r="244" spans="3:28">
      <c r="Q244" t="s">
        <v>1620</v>
      </c>
      <c r="R244" t="s">
        <v>2121</v>
      </c>
      <c r="S244" t="s">
        <v>1680</v>
      </c>
      <c r="T244">
        <v>0</v>
      </c>
      <c r="U244">
        <v>1</v>
      </c>
      <c r="V244" t="s">
        <v>2159</v>
      </c>
      <c r="W244" t="s">
        <v>2137</v>
      </c>
      <c r="AA244" s="5" t="s">
        <v>1621</v>
      </c>
      <c r="AB244" s="5" t="s">
        <v>2172</v>
      </c>
    </row>
    <row r="245" spans="3:28">
      <c r="Q245" t="s">
        <v>1621</v>
      </c>
      <c r="R245" t="s">
        <v>2121</v>
      </c>
      <c r="S245" t="s">
        <v>1670</v>
      </c>
      <c r="T245">
        <v>0</v>
      </c>
      <c r="U245">
        <v>3</v>
      </c>
      <c r="V245" t="s">
        <v>2160</v>
      </c>
      <c r="W245" t="s">
        <v>1716</v>
      </c>
      <c r="AA245" s="5" t="s">
        <v>1690</v>
      </c>
      <c r="AB245" s="5" t="s">
        <v>2172</v>
      </c>
    </row>
    <row r="246" spans="3:28">
      <c r="Q246" t="s">
        <v>1623</v>
      </c>
      <c r="R246" t="s">
        <v>2121</v>
      </c>
      <c r="S246" t="s">
        <v>1670</v>
      </c>
      <c r="T246">
        <v>0</v>
      </c>
      <c r="U246">
        <v>2</v>
      </c>
      <c r="V246" t="s">
        <v>2161</v>
      </c>
      <c r="W246" t="s">
        <v>2120</v>
      </c>
      <c r="AA246" s="5" t="s">
        <v>1628</v>
      </c>
      <c r="AB246" s="5" t="s">
        <v>2172</v>
      </c>
    </row>
    <row r="247" spans="3:28">
      <c r="Q247" t="s">
        <v>1649</v>
      </c>
      <c r="R247" t="s">
        <v>2121</v>
      </c>
      <c r="S247" t="s">
        <v>1680</v>
      </c>
      <c r="T247">
        <v>0</v>
      </c>
      <c r="U247">
        <v>1</v>
      </c>
      <c r="V247" t="s">
        <v>2162</v>
      </c>
      <c r="W247" t="s">
        <v>1716</v>
      </c>
      <c r="AA247" s="5" t="s">
        <v>1614</v>
      </c>
      <c r="AB247" s="5" t="s">
        <v>2173</v>
      </c>
    </row>
    <row r="248" spans="3:28">
      <c r="Q248" t="s">
        <v>1690</v>
      </c>
      <c r="R248" t="s">
        <v>2121</v>
      </c>
      <c r="S248" t="s">
        <v>1670</v>
      </c>
      <c r="T248">
        <v>0</v>
      </c>
      <c r="U248">
        <v>3</v>
      </c>
      <c r="V248" t="s">
        <v>2163</v>
      </c>
      <c r="W248" t="s">
        <v>2120</v>
      </c>
      <c r="AA248" s="5" t="s">
        <v>1617</v>
      </c>
      <c r="AB248" s="5" t="s">
        <v>2173</v>
      </c>
    </row>
    <row r="249" spans="3:28">
      <c r="Q249" t="s">
        <v>1626</v>
      </c>
      <c r="R249" t="s">
        <v>2121</v>
      </c>
      <c r="S249" t="s">
        <v>1672</v>
      </c>
      <c r="T249">
        <v>0</v>
      </c>
      <c r="U249">
        <v>5</v>
      </c>
      <c r="V249" t="s">
        <v>2164</v>
      </c>
      <c r="W249" t="s">
        <v>1716</v>
      </c>
      <c r="AA249" s="5" t="s">
        <v>1626</v>
      </c>
      <c r="AB249" s="5" t="s">
        <v>2173</v>
      </c>
    </row>
    <row r="250" spans="3:28">
      <c r="Q250" t="s">
        <v>1628</v>
      </c>
      <c r="R250" t="s">
        <v>2121</v>
      </c>
      <c r="S250" t="s">
        <v>1670</v>
      </c>
      <c r="T250">
        <v>0</v>
      </c>
      <c r="U250">
        <v>3</v>
      </c>
      <c r="V250" t="s">
        <v>2165</v>
      </c>
      <c r="W250" t="s">
        <v>2120</v>
      </c>
      <c r="AA250" s="5" t="s">
        <v>1612</v>
      </c>
      <c r="AB250" s="5" t="s">
        <v>2174</v>
      </c>
    </row>
    <row r="251" spans="3:28">
      <c r="Q251" t="s">
        <v>1630</v>
      </c>
      <c r="R251" t="s">
        <v>2121</v>
      </c>
      <c r="S251" t="s">
        <v>1680</v>
      </c>
      <c r="T251">
        <v>0</v>
      </c>
      <c r="U251">
        <v>1</v>
      </c>
      <c r="V251" t="s">
        <v>2166</v>
      </c>
      <c r="W251" t="s">
        <v>2137</v>
      </c>
      <c r="AA251" s="5" t="s">
        <v>1643</v>
      </c>
      <c r="AB251" s="5" t="s">
        <v>2175</v>
      </c>
    </row>
    <row r="258" spans="17:20">
      <c r="Q258" t="s">
        <v>1822</v>
      </c>
      <c r="R258" t="s">
        <v>1823</v>
      </c>
      <c r="S258" t="s">
        <v>1824</v>
      </c>
      <c r="T258" t="s">
        <v>1786</v>
      </c>
    </row>
    <row r="259" spans="17:20">
      <c r="Q259" t="s">
        <v>1733</v>
      </c>
      <c r="R259" t="s">
        <v>1733</v>
      </c>
      <c r="S259" t="s">
        <v>1733</v>
      </c>
      <c r="T259" t="s">
        <v>2167</v>
      </c>
    </row>
    <row r="260" spans="17:20">
      <c r="Q260" t="s">
        <v>1733</v>
      </c>
      <c r="R260" t="s">
        <v>1735</v>
      </c>
      <c r="S260" t="s">
        <v>1735</v>
      </c>
      <c r="T260" t="s">
        <v>2168</v>
      </c>
    </row>
    <row r="261" spans="17:20">
      <c r="Q261" t="s">
        <v>1735</v>
      </c>
      <c r="R261" t="s">
        <v>1733</v>
      </c>
      <c r="S261" t="s">
        <v>1735</v>
      </c>
      <c r="T261" t="s">
        <v>2168</v>
      </c>
    </row>
    <row r="262" spans="17:20">
      <c r="Q262" t="s">
        <v>1735</v>
      </c>
      <c r="R262" t="s">
        <v>1735</v>
      </c>
      <c r="S262" t="s">
        <v>1829</v>
      </c>
      <c r="T262" t="s">
        <v>2169</v>
      </c>
    </row>
    <row r="265" spans="17:20">
      <c r="Q265" t="s">
        <v>2182</v>
      </c>
      <c r="R265" t="s">
        <v>2183</v>
      </c>
      <c r="S265" t="s">
        <v>1598</v>
      </c>
    </row>
    <row r="266" spans="17:20">
      <c r="Q266" t="s">
        <v>2127</v>
      </c>
      <c r="R266" t="s">
        <v>1680</v>
      </c>
      <c r="S266" t="s">
        <v>1733</v>
      </c>
    </row>
    <row r="267" spans="17:20">
      <c r="Q267" t="s">
        <v>2127</v>
      </c>
      <c r="R267" t="s">
        <v>1670</v>
      </c>
      <c r="S267" t="s">
        <v>1733</v>
      </c>
    </row>
    <row r="268" spans="17:20">
      <c r="Q268" t="s">
        <v>2127</v>
      </c>
      <c r="R268" t="s">
        <v>1672</v>
      </c>
      <c r="S268" t="s">
        <v>1733</v>
      </c>
    </row>
    <row r="269" spans="17:20">
      <c r="Q269" t="s">
        <v>2127</v>
      </c>
      <c r="R269" t="s">
        <v>338</v>
      </c>
      <c r="S269" t="s">
        <v>1735</v>
      </c>
    </row>
    <row r="270" spans="17:20">
      <c r="Q270" t="s">
        <v>2127</v>
      </c>
      <c r="R270" t="s">
        <v>1681</v>
      </c>
      <c r="S270" t="s">
        <v>1829</v>
      </c>
    </row>
    <row r="271" spans="17:20">
      <c r="Q271" t="s">
        <v>2126</v>
      </c>
      <c r="R271" t="s">
        <v>1680</v>
      </c>
      <c r="S271" t="s">
        <v>1733</v>
      </c>
    </row>
    <row r="272" spans="17:20">
      <c r="Q272" t="s">
        <v>2126</v>
      </c>
      <c r="R272" t="s">
        <v>1670</v>
      </c>
      <c r="S272" t="s">
        <v>1733</v>
      </c>
    </row>
    <row r="273" spans="17:19">
      <c r="Q273" t="s">
        <v>2126</v>
      </c>
      <c r="R273" t="s">
        <v>1672</v>
      </c>
      <c r="S273" t="s">
        <v>1733</v>
      </c>
    </row>
    <row r="274" spans="17:19">
      <c r="Q274" t="s">
        <v>2126</v>
      </c>
      <c r="R274" t="s">
        <v>338</v>
      </c>
      <c r="S274" t="s">
        <v>1735</v>
      </c>
    </row>
    <row r="275" spans="17:19">
      <c r="Q275" t="s">
        <v>2126</v>
      </c>
      <c r="R275" t="s">
        <v>1681</v>
      </c>
      <c r="S275" t="s">
        <v>1829</v>
      </c>
    </row>
    <row r="276" spans="17:19">
      <c r="Q276" t="s">
        <v>2125</v>
      </c>
      <c r="R276" t="s">
        <v>1680</v>
      </c>
      <c r="S276" t="s">
        <v>1733</v>
      </c>
    </row>
    <row r="277" spans="17:19">
      <c r="Q277" t="s">
        <v>2125</v>
      </c>
      <c r="R277" t="s">
        <v>1670</v>
      </c>
      <c r="S277" t="s">
        <v>1733</v>
      </c>
    </row>
    <row r="278" spans="17:19">
      <c r="Q278" t="s">
        <v>2125</v>
      </c>
      <c r="R278" t="s">
        <v>1672</v>
      </c>
      <c r="S278" t="s">
        <v>1733</v>
      </c>
    </row>
    <row r="279" spans="17:19">
      <c r="Q279" t="s">
        <v>2125</v>
      </c>
      <c r="R279" t="s">
        <v>338</v>
      </c>
      <c r="S279" t="s">
        <v>1735</v>
      </c>
    </row>
    <row r="280" spans="17:19">
      <c r="Q280" t="s">
        <v>2125</v>
      </c>
      <c r="R280" t="s">
        <v>1681</v>
      </c>
      <c r="S280" t="s">
        <v>1829</v>
      </c>
    </row>
    <row r="281" spans="17:19">
      <c r="Q281" t="s">
        <v>2124</v>
      </c>
      <c r="R281" t="s">
        <v>1680</v>
      </c>
      <c r="S281" t="s">
        <v>1735</v>
      </c>
    </row>
    <row r="282" spans="17:19">
      <c r="Q282" t="s">
        <v>2124</v>
      </c>
      <c r="R282" t="s">
        <v>1670</v>
      </c>
      <c r="S282" t="s">
        <v>1733</v>
      </c>
    </row>
    <row r="283" spans="17:19">
      <c r="Q283" t="s">
        <v>2124</v>
      </c>
      <c r="R283" t="s">
        <v>1672</v>
      </c>
      <c r="S283" t="s">
        <v>1733</v>
      </c>
    </row>
    <row r="284" spans="17:19">
      <c r="Q284" t="s">
        <v>2124</v>
      </c>
      <c r="R284" t="s">
        <v>338</v>
      </c>
      <c r="S284" t="s">
        <v>1733</v>
      </c>
    </row>
    <row r="285" spans="17:19">
      <c r="Q285" t="s">
        <v>2124</v>
      </c>
      <c r="R285" t="s">
        <v>1681</v>
      </c>
      <c r="S285" t="s">
        <v>1735</v>
      </c>
    </row>
    <row r="286" spans="17:19">
      <c r="Q286" t="s">
        <v>2123</v>
      </c>
      <c r="R286" t="s">
        <v>1680</v>
      </c>
      <c r="S286" t="s">
        <v>1735</v>
      </c>
    </row>
    <row r="287" spans="17:19">
      <c r="Q287" t="s">
        <v>2123</v>
      </c>
      <c r="R287" t="s">
        <v>1670</v>
      </c>
      <c r="S287" t="s">
        <v>1733</v>
      </c>
    </row>
    <row r="288" spans="17:19">
      <c r="Q288" t="s">
        <v>2123</v>
      </c>
      <c r="R288" t="s">
        <v>1672</v>
      </c>
      <c r="S288" t="s">
        <v>1733</v>
      </c>
    </row>
    <row r="289" spans="12:23">
      <c r="Q289" t="s">
        <v>2123</v>
      </c>
      <c r="R289" t="s">
        <v>338</v>
      </c>
      <c r="S289" t="s">
        <v>1733</v>
      </c>
    </row>
    <row r="290" spans="12:23">
      <c r="Q290" t="s">
        <v>2123</v>
      </c>
      <c r="R290" t="s">
        <v>1681</v>
      </c>
      <c r="S290" t="s">
        <v>1733</v>
      </c>
    </row>
    <row r="291" spans="12:23">
      <c r="Q291" t="s">
        <v>2122</v>
      </c>
      <c r="R291" t="s">
        <v>1680</v>
      </c>
      <c r="S291" t="s">
        <v>1735</v>
      </c>
    </row>
    <row r="292" spans="12:23">
      <c r="Q292" t="s">
        <v>2122</v>
      </c>
      <c r="R292" t="s">
        <v>1670</v>
      </c>
      <c r="S292" t="s">
        <v>1735</v>
      </c>
    </row>
    <row r="293" spans="12:23">
      <c r="Q293" t="s">
        <v>2122</v>
      </c>
      <c r="R293" t="s">
        <v>1672</v>
      </c>
      <c r="S293" t="s">
        <v>1733</v>
      </c>
    </row>
    <row r="294" spans="12:23">
      <c r="Q294" t="s">
        <v>2122</v>
      </c>
      <c r="R294" t="s">
        <v>338</v>
      </c>
      <c r="S294" t="s">
        <v>1733</v>
      </c>
    </row>
    <row r="295" spans="12:23">
      <c r="Q295" t="s">
        <v>2122</v>
      </c>
      <c r="R295" t="s">
        <v>1681</v>
      </c>
      <c r="S295" t="s">
        <v>1733</v>
      </c>
    </row>
    <row r="299" spans="12:23">
      <c r="L299" t="s">
        <v>575</v>
      </c>
      <c r="M299" t="s">
        <v>2030</v>
      </c>
      <c r="N299" t="s">
        <v>1607</v>
      </c>
      <c r="O299" t="s">
        <v>1608</v>
      </c>
      <c r="Q299" s="1578"/>
      <c r="R299" s="1578"/>
      <c r="U299" t="s">
        <v>2189</v>
      </c>
      <c r="V299" t="s">
        <v>2183</v>
      </c>
      <c r="W299" t="s">
        <v>1598</v>
      </c>
    </row>
    <row r="300" spans="12:23">
      <c r="L300" t="s">
        <v>2176</v>
      </c>
      <c r="M300" t="s">
        <v>1680</v>
      </c>
      <c r="N300">
        <v>0</v>
      </c>
      <c r="O300">
        <v>20</v>
      </c>
      <c r="Q300" s="5"/>
      <c r="R300" s="5"/>
      <c r="U300" t="s">
        <v>1680</v>
      </c>
      <c r="V300" t="s">
        <v>1680</v>
      </c>
      <c r="W300" t="s">
        <v>1733</v>
      </c>
    </row>
    <row r="301" spans="12:23">
      <c r="L301" t="s">
        <v>2176</v>
      </c>
      <c r="M301" t="s">
        <v>1670</v>
      </c>
      <c r="N301">
        <v>20</v>
      </c>
      <c r="O301">
        <v>40</v>
      </c>
      <c r="Q301" s="5"/>
      <c r="R301" s="5"/>
      <c r="U301" t="s">
        <v>1680</v>
      </c>
      <c r="V301" t="s">
        <v>1670</v>
      </c>
      <c r="W301" t="s">
        <v>1733</v>
      </c>
    </row>
    <row r="302" spans="12:23">
      <c r="L302" t="s">
        <v>2176</v>
      </c>
      <c r="M302" t="s">
        <v>1672</v>
      </c>
      <c r="N302">
        <v>40</v>
      </c>
      <c r="O302">
        <v>60</v>
      </c>
      <c r="Q302" s="5"/>
      <c r="R302" s="5"/>
      <c r="U302" t="s">
        <v>1680</v>
      </c>
      <c r="V302" t="s">
        <v>1672</v>
      </c>
      <c r="W302" t="s">
        <v>1735</v>
      </c>
    </row>
    <row r="303" spans="12:23">
      <c r="L303" t="s">
        <v>2176</v>
      </c>
      <c r="M303" t="s">
        <v>338</v>
      </c>
      <c r="N303">
        <v>60</v>
      </c>
      <c r="O303">
        <v>80</v>
      </c>
      <c r="Q303" s="5"/>
      <c r="R303" s="5"/>
      <c r="U303" t="s">
        <v>1680</v>
      </c>
      <c r="V303" t="s">
        <v>338</v>
      </c>
      <c r="W303" t="s">
        <v>1829</v>
      </c>
    </row>
    <row r="304" spans="12:23">
      <c r="L304" t="s">
        <v>2176</v>
      </c>
      <c r="M304" t="s">
        <v>1681</v>
      </c>
      <c r="N304">
        <v>80</v>
      </c>
      <c r="O304">
        <v>100</v>
      </c>
      <c r="Q304" s="5"/>
      <c r="R304" s="5"/>
      <c r="U304" t="s">
        <v>1680</v>
      </c>
      <c r="V304" t="s">
        <v>1681</v>
      </c>
      <c r="W304" t="s">
        <v>1829</v>
      </c>
    </row>
    <row r="305" spans="21:23">
      <c r="U305" t="s">
        <v>1670</v>
      </c>
      <c r="V305" t="s">
        <v>1680</v>
      </c>
      <c r="W305" t="s">
        <v>1733</v>
      </c>
    </row>
    <row r="306" spans="21:23">
      <c r="U306" t="s">
        <v>1670</v>
      </c>
      <c r="V306" t="s">
        <v>1670</v>
      </c>
      <c r="W306" t="s">
        <v>1733</v>
      </c>
    </row>
    <row r="307" spans="21:23">
      <c r="U307" t="s">
        <v>1670</v>
      </c>
      <c r="V307" t="s">
        <v>1672</v>
      </c>
      <c r="W307" t="s">
        <v>1733</v>
      </c>
    </row>
    <row r="308" spans="21:23">
      <c r="U308" t="s">
        <v>1670</v>
      </c>
      <c r="V308" t="s">
        <v>338</v>
      </c>
      <c r="W308" t="s">
        <v>1735</v>
      </c>
    </row>
    <row r="309" spans="21:23">
      <c r="U309" t="s">
        <v>1670</v>
      </c>
      <c r="V309" t="s">
        <v>1681</v>
      </c>
      <c r="W309" t="s">
        <v>1829</v>
      </c>
    </row>
    <row r="310" spans="21:23">
      <c r="U310" t="s">
        <v>1672</v>
      </c>
      <c r="V310" t="s">
        <v>1670</v>
      </c>
      <c r="W310" t="s">
        <v>1733</v>
      </c>
    </row>
    <row r="311" spans="21:23">
      <c r="U311" t="s">
        <v>1672</v>
      </c>
      <c r="V311" t="s">
        <v>1672</v>
      </c>
      <c r="W311" t="s">
        <v>1733</v>
      </c>
    </row>
    <row r="312" spans="21:23">
      <c r="U312" t="s">
        <v>1672</v>
      </c>
      <c r="V312" t="s">
        <v>338</v>
      </c>
      <c r="W312" t="s">
        <v>1733</v>
      </c>
    </row>
    <row r="313" spans="21:23">
      <c r="U313" t="s">
        <v>338</v>
      </c>
      <c r="V313" t="s">
        <v>1672</v>
      </c>
      <c r="W313" t="s">
        <v>1733</v>
      </c>
    </row>
    <row r="314" spans="21:23">
      <c r="U314" t="s">
        <v>338</v>
      </c>
      <c r="V314" t="s">
        <v>338</v>
      </c>
      <c r="W314" t="s">
        <v>1733</v>
      </c>
    </row>
    <row r="315" spans="21:23">
      <c r="U315" t="s">
        <v>338</v>
      </c>
      <c r="V315" t="s">
        <v>1681</v>
      </c>
      <c r="W315" t="s">
        <v>1733</v>
      </c>
    </row>
    <row r="316" spans="21:23">
      <c r="U316" t="s">
        <v>1681</v>
      </c>
      <c r="V316" t="s">
        <v>338</v>
      </c>
      <c r="W316" t="s">
        <v>1733</v>
      </c>
    </row>
    <row r="317" spans="21:23">
      <c r="U317" t="s">
        <v>1681</v>
      </c>
      <c r="V317" t="s">
        <v>1681</v>
      </c>
      <c r="W317" t="s">
        <v>1733</v>
      </c>
    </row>
  </sheetData>
  <mergeCells count="55">
    <mergeCell ref="A11:C11"/>
    <mergeCell ref="A7:C7"/>
    <mergeCell ref="A9:C9"/>
    <mergeCell ref="L9:N9"/>
    <mergeCell ref="A10:C10"/>
    <mergeCell ref="L10:N10"/>
    <mergeCell ref="J31:J32"/>
    <mergeCell ref="K31:K32"/>
    <mergeCell ref="A12:C12"/>
    <mergeCell ref="L12:N12"/>
    <mergeCell ref="A13:C13"/>
    <mergeCell ref="F30:G30"/>
    <mergeCell ref="H30:I30"/>
    <mergeCell ref="J30:K30"/>
    <mergeCell ref="I69:I71"/>
    <mergeCell ref="F31:F32"/>
    <mergeCell ref="G31:G32"/>
    <mergeCell ref="H31:H32"/>
    <mergeCell ref="I31:I32"/>
    <mergeCell ref="C69:C71"/>
    <mergeCell ref="D69:D71"/>
    <mergeCell ref="E69:E71"/>
    <mergeCell ref="F69:F71"/>
    <mergeCell ref="G69:G71"/>
    <mergeCell ref="Q69:Q71"/>
    <mergeCell ref="R69:R71"/>
    <mergeCell ref="S69:S71"/>
    <mergeCell ref="C116:C120"/>
    <mergeCell ref="D116:D117"/>
    <mergeCell ref="E116:E117"/>
    <mergeCell ref="F116:F117"/>
    <mergeCell ref="G116:G117"/>
    <mergeCell ref="I116:I120"/>
    <mergeCell ref="J116:J117"/>
    <mergeCell ref="J69:J71"/>
    <mergeCell ref="K69:K71"/>
    <mergeCell ref="L69:L71"/>
    <mergeCell ref="M69:M71"/>
    <mergeCell ref="O69:O71"/>
    <mergeCell ref="P69:P71"/>
    <mergeCell ref="R116:R117"/>
    <mergeCell ref="S116:S117"/>
    <mergeCell ref="K116:K117"/>
    <mergeCell ref="L116:L117"/>
    <mergeCell ref="M116:M117"/>
    <mergeCell ref="O116:O120"/>
    <mergeCell ref="P116:P117"/>
    <mergeCell ref="Q116:Q117"/>
    <mergeCell ref="L235:M235"/>
    <mergeCell ref="L236:M236"/>
    <mergeCell ref="B207:C208"/>
    <mergeCell ref="D207:D208"/>
    <mergeCell ref="E207:F207"/>
    <mergeCell ref="G207:N207"/>
    <mergeCell ref="B219:K220"/>
  </mergeCells>
  <conditionalFormatting sqref="D213:D215">
    <cfRule type="expression" dxfId="140" priority="17">
      <formula>ISNUMBER(SEARCH("RE-ANALYZE",$D213))</formula>
    </cfRule>
    <cfRule type="expression" dxfId="139" priority="18">
      <formula>ISNUMBER(SEARCH("REVIEW",$D213))</formula>
    </cfRule>
    <cfRule type="expression" dxfId="138" priority="19">
      <formula>ISNUMBER(SEARCH("CHECK",$D213))</formula>
    </cfRule>
    <cfRule type="expression" dxfId="137" priority="20">
      <formula>ISNUMBER(SEARCH("PASS",$D213))</formula>
    </cfRule>
  </conditionalFormatting>
  <conditionalFormatting sqref="D225:D229">
    <cfRule type="expression" dxfId="136" priority="13">
      <formula>ISNUMBER(SEARCH("RE-ANALYZE",$D225))</formula>
    </cfRule>
    <cfRule type="expression" dxfId="135" priority="14">
      <formula>ISNUMBER(SEARCH("REVIEW",$D225))</formula>
    </cfRule>
    <cfRule type="expression" dxfId="134" priority="15">
      <formula>ISNUMBER(SEARCH("CHECK",$D225))</formula>
    </cfRule>
    <cfRule type="expression" dxfId="133" priority="16">
      <formula>ISNUMBER(SEARCH("PASS",$D225))</formula>
    </cfRule>
  </conditionalFormatting>
  <conditionalFormatting sqref="E209:E210">
    <cfRule type="expression" dxfId="132" priority="25">
      <formula>ISNUMBER(SEARCH("RE-ANALYZE",$E209))</formula>
    </cfRule>
    <cfRule type="expression" dxfId="131" priority="26">
      <formula>ISNUMBER(SEARCH("REVIEW",$E209))</formula>
    </cfRule>
    <cfRule type="expression" dxfId="130" priority="27">
      <formula>ISNUMBER(SEARCH("CHECK",$E209))</formula>
    </cfRule>
    <cfRule type="expression" dxfId="129" priority="28">
      <formula>ISNUMBER(SEARCH("PASS",$E209))</formula>
    </cfRule>
  </conditionalFormatting>
  <conditionalFormatting sqref="G233">
    <cfRule type="expression" dxfId="128" priority="9">
      <formula>ISNUMBER(SEARCH("RE-ANALYZE",$G233))</formula>
    </cfRule>
    <cfRule type="expression" dxfId="127" priority="10">
      <formula>ISNUMBER(SEARCH("REVIEW",$G233))</formula>
    </cfRule>
    <cfRule type="expression" dxfId="126" priority="11">
      <formula>ISNUMBER(SEARCH("CHECK",$G233))</formula>
    </cfRule>
    <cfRule type="expression" dxfId="125" priority="12">
      <formula>ISNUMBER(SEARCH("PASS",$G233))</formula>
    </cfRule>
  </conditionalFormatting>
  <conditionalFormatting sqref="G236">
    <cfRule type="expression" dxfId="124" priority="5">
      <formula>ISNUMBER(SEARCH("RE-ANALYZE",$G236))</formula>
    </cfRule>
    <cfRule type="expression" dxfId="123" priority="6">
      <formula>ISNUMBER(SEARCH("REVIEW",$G236))</formula>
    </cfRule>
    <cfRule type="expression" dxfId="122" priority="7">
      <formula>ISNUMBER(SEARCH("CHECK",$G236))</formula>
    </cfRule>
    <cfRule type="expression" dxfId="121" priority="8">
      <formula>ISNUMBER(SEARCH("PASS",$G236))</formula>
    </cfRule>
  </conditionalFormatting>
  <conditionalFormatting sqref="G239">
    <cfRule type="expression" dxfId="120" priority="1">
      <formula>ISNUMBER(SEARCH("RE-ANALYZE",$G239))</formula>
    </cfRule>
    <cfRule type="expression" dxfId="119" priority="2">
      <formula>ISNUMBER(SEARCH("REVIEW",$G239))</formula>
    </cfRule>
    <cfRule type="expression" dxfId="118" priority="3">
      <formula>ISNUMBER(SEARCH("CHECK",$G239))</formula>
    </cfRule>
    <cfRule type="expression" dxfId="117" priority="4">
      <formula>ISNUMBER(SEARCH("PASS",$G239))</formula>
    </cfRule>
  </conditionalFormatting>
  <conditionalFormatting sqref="L209:L210">
    <cfRule type="expression" dxfId="116" priority="21">
      <formula>ISNUMBER(SEARCH("RE-ANALYZE",$L209))</formula>
    </cfRule>
    <cfRule type="expression" dxfId="115" priority="22">
      <formula>ISNUMBER(SEARCH("REVIEW",$L209))</formula>
    </cfRule>
    <cfRule type="expression" dxfId="114" priority="23">
      <formula>ISNUMBER(SEARCH("CHECK",$L209))</formula>
    </cfRule>
    <cfRule type="expression" dxfId="113" priority="24">
      <formula>ISNUMBER(SEARCH("PASS",$L209))</formula>
    </cfRule>
  </conditionalFormatting>
  <dataValidations count="4">
    <dataValidation type="list" allowBlank="1" showInputMessage="1" showErrorMessage="1" sqref="E17" xr:uid="{623AD9FE-8ACD-42C8-9706-A9471A6C755A}">
      <formula1>$O$17:$O$18</formula1>
    </dataValidation>
    <dataValidation type="list" allowBlank="1" showInputMessage="1" showErrorMessage="1" sqref="E11" xr:uid="{1213E1A1-5D94-4F74-BE5A-7056840341BB}">
      <formula1>$F$10:$F$11</formula1>
    </dataValidation>
    <dataValidation type="list" allowBlank="1" showInputMessage="1" showErrorMessage="1" sqref="P9" xr:uid="{BD256931-2C5C-427F-8D24-D3E36DB505DB}">
      <formula1>"RAFLY,RIZKI,NOUFAL"</formula1>
    </dataValidation>
    <dataValidation type="list" allowBlank="1" showInputMessage="1" showErrorMessage="1" sqref="D12" xr:uid="{06122DFD-B485-4DF1-824D-ACFA42826D75}">
      <formula1>$AE$17:$AE$28</formula1>
    </dataValidation>
  </dataValidations>
  <pageMargins left="0.7" right="0.7" top="0.75" bottom="0.75" header="0.3" footer="0.3"/>
  <pageSetup paperSize="14" orientation="portrait" horizontalDpi="0" verticalDpi="0"/>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AFAD-5AC7-46DC-89C2-4FF03C5080F7}">
  <sheetPr>
    <tabColor theme="9" tint="-0.249977111117893"/>
  </sheetPr>
  <dimension ref="A1:AA220"/>
  <sheetViews>
    <sheetView showGridLines="0" topLeftCell="A49" zoomScale="89" zoomScaleNormal="89" zoomScalePageLayoutView="128" workbookViewId="0">
      <selection activeCell="A44" sqref="A44:G44"/>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81" t="s">
        <v>302</v>
      </c>
      <c r="G1" s="1681"/>
      <c r="H1" s="1681"/>
      <c r="I1" s="1681"/>
      <c r="J1" s="1681"/>
      <c r="K1" s="1681"/>
      <c r="L1" s="1681"/>
      <c r="M1" s="1681"/>
      <c r="N1" s="1681"/>
      <c r="O1" s="1681"/>
      <c r="P1" s="1681"/>
      <c r="Q1" s="1681"/>
      <c r="R1" s="1681"/>
      <c r="S1" s="1681"/>
      <c r="T1" s="1681"/>
    </row>
    <row r="2" spans="1:25" ht="20.25">
      <c r="F2" s="1682" t="s">
        <v>1582</v>
      </c>
      <c r="G2" s="1682"/>
      <c r="H2" s="1682"/>
      <c r="I2" s="1682"/>
      <c r="J2" s="1682"/>
      <c r="K2" s="1682"/>
      <c r="L2" s="1682"/>
      <c r="M2" s="1682"/>
      <c r="N2" s="1682"/>
      <c r="O2" s="1682"/>
      <c r="P2" s="1682"/>
      <c r="Q2" s="1682"/>
      <c r="R2" s="1682"/>
      <c r="S2" s="1682"/>
      <c r="T2" s="1682"/>
    </row>
    <row r="3" spans="1:25">
      <c r="A3" s="333"/>
      <c r="B3" s="333"/>
      <c r="C3" s="333"/>
      <c r="D3" s="333"/>
      <c r="E3" s="333"/>
      <c r="F3" s="1745" t="s">
        <v>304</v>
      </c>
      <c r="G3" s="1745"/>
      <c r="H3" s="1745"/>
      <c r="I3" s="1745"/>
      <c r="J3" s="1745"/>
      <c r="K3" s="1745"/>
      <c r="L3" s="1745"/>
      <c r="M3" s="1745"/>
      <c r="N3" s="1745"/>
      <c r="O3" s="1745"/>
      <c r="P3" s="1745"/>
      <c r="Q3" s="1745"/>
      <c r="R3" s="1745"/>
      <c r="S3" s="1745"/>
      <c r="T3" s="1745"/>
      <c r="U3" s="333"/>
      <c r="V3" s="333"/>
      <c r="W3" s="333"/>
      <c r="X3" s="333"/>
    </row>
    <row r="4" spans="1:25" ht="8.1" customHeight="1">
      <c r="A4" s="333"/>
      <c r="B4" s="333"/>
      <c r="C4" s="333"/>
      <c r="D4" s="333"/>
      <c r="E4" s="333"/>
      <c r="F4" s="333"/>
      <c r="G4" s="333"/>
      <c r="H4" s="333"/>
      <c r="I4" s="337"/>
      <c r="J4" s="333"/>
      <c r="K4" s="333"/>
      <c r="L4" s="333"/>
      <c r="M4" s="333"/>
      <c r="N4" s="333"/>
      <c r="O4" s="333"/>
      <c r="P4" s="333"/>
      <c r="Q4" s="333"/>
      <c r="R4" s="333"/>
      <c r="S4" s="333"/>
      <c r="T4" s="333"/>
      <c r="U4" s="333"/>
      <c r="V4" s="333"/>
      <c r="W4" s="333"/>
      <c r="X4" s="333"/>
    </row>
    <row r="5" spans="1:25" ht="8.1" customHeight="1">
      <c r="A5" s="328"/>
      <c r="B5" s="329"/>
      <c r="C5" s="329"/>
      <c r="D5" s="329"/>
      <c r="E5" s="329"/>
      <c r="F5" s="329"/>
      <c r="G5" s="329"/>
      <c r="H5" s="329"/>
      <c r="I5" s="654"/>
      <c r="J5" s="329"/>
      <c r="K5" s="329"/>
      <c r="L5" s="329"/>
      <c r="M5" s="329"/>
      <c r="N5" s="329"/>
      <c r="O5" s="329"/>
      <c r="P5" s="329"/>
      <c r="Q5" s="329"/>
      <c r="R5" s="329"/>
      <c r="S5" s="329"/>
      <c r="T5" s="329"/>
      <c r="U5" s="329"/>
      <c r="V5" s="329"/>
      <c r="W5" s="329"/>
      <c r="X5" s="330"/>
    </row>
    <row r="6" spans="1:25" ht="15.95" customHeight="1">
      <c r="A6" s="1680" t="s">
        <v>1280</v>
      </c>
      <c r="B6" s="1680"/>
      <c r="C6" s="1680"/>
      <c r="D6" s="1680"/>
      <c r="E6" s="656" t="str">
        <f>IF('DATA INDUK'!H17="","",'DATA INDUK'!H17)</f>
        <v>23/MGS/53/II/2026</v>
      </c>
      <c r="G6" s="340"/>
      <c r="H6" s="340"/>
      <c r="I6" s="16"/>
      <c r="J6" s="340"/>
      <c r="K6" s="335"/>
      <c r="L6" s="335"/>
      <c r="M6" s="335"/>
      <c r="N6" s="335"/>
      <c r="O6" s="335"/>
      <c r="P6" s="335"/>
      <c r="Q6" s="335"/>
      <c r="R6" s="335"/>
      <c r="S6" s="335"/>
      <c r="T6" s="335"/>
      <c r="U6" s="335"/>
      <c r="V6" s="335"/>
      <c r="W6" s="335"/>
      <c r="X6" s="676"/>
    </row>
    <row r="7" spans="1:25">
      <c r="A7" s="1635" t="s">
        <v>1281</v>
      </c>
      <c r="B7" s="1635"/>
      <c r="C7" s="1635"/>
      <c r="D7" s="1635"/>
      <c r="E7" s="794" t="str">
        <f>IF('DATA INDUK'!H18="","",'DATA INDUK'!H18)</f>
        <v>R0</v>
      </c>
      <c r="G7" s="672"/>
      <c r="H7" s="672"/>
      <c r="I7" s="1127"/>
      <c r="J7" s="672" t="s">
        <v>1282</v>
      </c>
      <c r="K7" s="672"/>
      <c r="L7" s="672"/>
      <c r="M7" s="1243"/>
      <c r="N7" s="1636">
        <f>IF('DATA INDUK'!H19="","",'DATA INDUK'!H19)</f>
        <v>46051</v>
      </c>
      <c r="O7" s="1636"/>
      <c r="P7" s="1636"/>
      <c r="Q7" s="1636"/>
      <c r="R7" s="1194"/>
      <c r="S7" s="1127"/>
      <c r="T7" s="1635" t="s">
        <v>1283</v>
      </c>
      <c r="U7" s="1635"/>
      <c r="V7" s="1635"/>
      <c r="W7" s="1635" t="s">
        <v>37</v>
      </c>
      <c r="X7" s="1895"/>
      <c r="Y7" s="327"/>
    </row>
    <row r="8" spans="1:25" ht="8.1" customHeight="1">
      <c r="A8" s="342"/>
      <c r="B8" s="343"/>
      <c r="C8" s="343"/>
      <c r="D8" s="343"/>
      <c r="E8" s="343"/>
      <c r="F8" s="343"/>
      <c r="G8" s="343"/>
      <c r="H8" s="343"/>
      <c r="I8" s="344"/>
      <c r="J8" s="343"/>
      <c r="K8" s="343"/>
      <c r="L8" s="343"/>
      <c r="M8" s="343"/>
      <c r="N8" s="343"/>
      <c r="O8" s="343"/>
      <c r="P8" s="343"/>
      <c r="Q8" s="343"/>
      <c r="R8" s="343"/>
      <c r="S8" s="343"/>
      <c r="T8" s="343"/>
      <c r="U8" s="343"/>
      <c r="V8" s="343"/>
      <c r="W8" s="343"/>
      <c r="X8" s="345"/>
    </row>
    <row r="9" spans="1:25" ht="9.9499999999999993" customHeight="1">
      <c r="A9" s="652"/>
      <c r="B9" s="652"/>
      <c r="C9" s="652"/>
      <c r="D9" s="652"/>
      <c r="E9" s="652"/>
      <c r="F9" s="652"/>
      <c r="G9" s="652"/>
      <c r="H9" s="652"/>
      <c r="I9" s="653"/>
      <c r="J9" s="652"/>
      <c r="K9" s="652"/>
      <c r="L9" s="652"/>
      <c r="M9" s="339"/>
      <c r="N9" s="339"/>
      <c r="O9" s="339"/>
      <c r="P9" s="339"/>
      <c r="Q9" s="339"/>
      <c r="R9" s="339"/>
      <c r="S9" s="339"/>
      <c r="T9" s="339"/>
      <c r="U9" s="339"/>
      <c r="V9" s="339"/>
      <c r="W9" s="339"/>
      <c r="X9" s="339"/>
    </row>
    <row r="10" spans="1:25">
      <c r="A10" s="2143" t="s">
        <v>281</v>
      </c>
      <c r="B10" s="2144"/>
      <c r="C10" s="2144"/>
      <c r="D10" s="2144"/>
      <c r="E10" s="2144"/>
      <c r="F10" s="2144"/>
      <c r="G10" s="2144"/>
      <c r="H10" s="2144"/>
      <c r="I10" s="2144"/>
      <c r="J10" s="2144"/>
      <c r="K10" s="2144"/>
      <c r="L10" s="2145"/>
      <c r="M10" s="340"/>
      <c r="N10" s="1242" t="s">
        <v>282</v>
      </c>
      <c r="O10" s="346"/>
      <c r="P10" s="352"/>
      <c r="Q10" s="346"/>
      <c r="R10" s="346"/>
      <c r="S10" s="346"/>
      <c r="T10" s="346"/>
      <c r="U10" s="346"/>
      <c r="V10" s="346"/>
      <c r="W10" s="346"/>
      <c r="X10" s="347"/>
      <c r="Y10" s="335"/>
    </row>
    <row r="11" spans="1:25" ht="8.1" customHeight="1">
      <c r="A11" s="348"/>
      <c r="B11" s="340"/>
      <c r="C11" s="340"/>
      <c r="D11" s="340"/>
      <c r="E11" s="340"/>
      <c r="F11" s="340"/>
      <c r="G11" s="340"/>
      <c r="H11" s="340"/>
      <c r="I11" s="16"/>
      <c r="J11" s="340"/>
      <c r="K11" s="340"/>
      <c r="L11" s="341"/>
      <c r="M11" s="340"/>
      <c r="N11" s="348"/>
      <c r="O11" s="340"/>
      <c r="P11" s="340"/>
      <c r="Q11" s="340"/>
      <c r="R11" s="340"/>
      <c r="S11" s="340"/>
      <c r="T11" s="340"/>
      <c r="U11" s="340"/>
      <c r="V11" s="340"/>
      <c r="W11" s="340"/>
      <c r="X11" s="341"/>
    </row>
    <row r="12" spans="1:25">
      <c r="A12" s="335" t="s">
        <v>1243</v>
      </c>
      <c r="B12" s="340"/>
      <c r="C12" s="340"/>
      <c r="D12" s="340"/>
      <c r="E12" s="340"/>
      <c r="F12" s="340"/>
      <c r="G12" s="340"/>
      <c r="H12" s="340"/>
      <c r="I12" s="16"/>
      <c r="J12" s="340"/>
      <c r="K12" s="340"/>
      <c r="L12" s="341"/>
      <c r="M12" s="340"/>
      <c r="N12" s="348" t="s">
        <v>532</v>
      </c>
      <c r="O12" s="339"/>
      <c r="P12" s="340"/>
      <c r="Q12" s="340"/>
      <c r="R12" s="340"/>
      <c r="S12" s="340"/>
      <c r="T12" s="340"/>
      <c r="U12" s="340"/>
      <c r="V12" s="340"/>
      <c r="W12" s="340"/>
      <c r="X12" s="341"/>
    </row>
    <row r="13" spans="1:25">
      <c r="A13" s="2146" t="str">
        <f>IF('DATA INDUK'!H2="","",'DATA INDUK'!H2)</f>
        <v>BSI Candrian Waste Dump Extension Study</v>
      </c>
      <c r="B13" s="1708"/>
      <c r="C13" s="1708"/>
      <c r="D13" s="1708"/>
      <c r="E13" s="1708"/>
      <c r="F13" s="1708"/>
      <c r="G13" s="1708"/>
      <c r="H13" s="1708"/>
      <c r="I13" s="1708"/>
      <c r="J13" s="1708"/>
      <c r="K13" s="1708"/>
      <c r="L13" s="2147"/>
      <c r="M13" s="340"/>
      <c r="N13" s="2148" t="str">
        <f>'WS-CBRSoaked'!D7</f>
        <v>26-001-DS-001</v>
      </c>
      <c r="O13" s="2149"/>
      <c r="P13" s="2149"/>
      <c r="Q13" s="2149"/>
      <c r="R13" s="2149"/>
      <c r="S13" s="2149"/>
      <c r="T13" s="2149"/>
      <c r="U13" s="2149"/>
      <c r="V13" s="2149"/>
      <c r="W13" s="2149"/>
      <c r="X13" s="2150"/>
    </row>
    <row r="14" spans="1:25">
      <c r="A14" s="1912" t="s">
        <v>1287</v>
      </c>
      <c r="B14" s="1912"/>
      <c r="C14" s="1912"/>
      <c r="D14" s="1912"/>
      <c r="E14" s="1912" t="str">
        <f>IF('DATA INDUK'!H3="","",'DATA INDUK'!H3)</f>
        <v>Banyuwangi - JAWA TIMUR</v>
      </c>
      <c r="F14" s="1912"/>
      <c r="G14" s="1912"/>
      <c r="H14" s="1912"/>
      <c r="I14" s="1912"/>
      <c r="J14" s="1912"/>
      <c r="K14" s="1912"/>
      <c r="L14" s="2142"/>
      <c r="M14" s="340"/>
      <c r="N14" s="2135" t="s">
        <v>1284</v>
      </c>
      <c r="O14" s="1912"/>
      <c r="P14" s="1912"/>
      <c r="Q14" s="1912"/>
      <c r="R14" s="1912"/>
      <c r="S14" s="1912"/>
      <c r="T14" s="1912" t="str">
        <f>'WS-CBRSoaked'!D9</f>
        <v>BH-04R1-SPT 15</v>
      </c>
      <c r="U14" s="1912"/>
      <c r="V14" s="1912"/>
      <c r="W14" s="1912"/>
      <c r="X14" s="2142"/>
    </row>
    <row r="15" spans="1:25">
      <c r="A15" s="1912" t="s">
        <v>1288</v>
      </c>
      <c r="B15" s="1912"/>
      <c r="C15" s="1912"/>
      <c r="D15" s="1912"/>
      <c r="E15" s="1912" t="str">
        <f>IF('DATA INDUK'!H9="","",'DATA INDUK'!H9)</f>
        <v>PO-GQT-001</v>
      </c>
      <c r="F15" s="1912"/>
      <c r="G15" s="1912"/>
      <c r="H15" s="1912"/>
      <c r="I15" s="1912"/>
      <c r="J15" s="1912"/>
      <c r="K15" s="1912"/>
      <c r="L15" s="2142"/>
      <c r="M15" s="340"/>
      <c r="N15" s="2135" t="s">
        <v>1289</v>
      </c>
      <c r="O15" s="1912"/>
      <c r="P15" s="1912"/>
      <c r="Q15" s="1912"/>
      <c r="R15" s="1912"/>
      <c r="S15" s="1912"/>
      <c r="T15" s="1912" t="e">
        <f>'WS-CBRSoaked'!D10</f>
        <v>#N/A</v>
      </c>
      <c r="U15" s="1912"/>
      <c r="V15" s="1912"/>
      <c r="W15" s="1912"/>
      <c r="X15" s="2142"/>
    </row>
    <row r="16" spans="1:25" ht="8.1" customHeight="1">
      <c r="A16" s="332"/>
      <c r="B16" s="350"/>
      <c r="C16" s="350"/>
      <c r="D16" s="350"/>
      <c r="E16" s="350"/>
      <c r="F16" s="350"/>
      <c r="G16" s="350"/>
      <c r="H16" s="350"/>
      <c r="I16" s="350"/>
      <c r="J16" s="350"/>
      <c r="K16" s="350"/>
      <c r="L16" s="351"/>
      <c r="M16" s="340"/>
      <c r="N16" s="2135" t="s">
        <v>1294</v>
      </c>
      <c r="O16" s="1912"/>
      <c r="P16" s="1912"/>
      <c r="Q16" s="1912"/>
      <c r="R16" s="1912"/>
      <c r="S16" s="1912"/>
      <c r="T16" s="1912" t="str">
        <f>'WS-CBRSoaked'!D11</f>
        <v>Disturbed Sample</v>
      </c>
      <c r="U16" s="1912"/>
      <c r="V16" s="1912"/>
      <c r="W16" s="1912"/>
      <c r="X16" s="2142"/>
    </row>
    <row r="17" spans="1:24" ht="8.1" customHeight="1">
      <c r="B17" s="340"/>
      <c r="C17" s="340"/>
      <c r="D17" s="340"/>
      <c r="E17" s="340"/>
      <c r="F17" s="340"/>
      <c r="G17" s="340"/>
      <c r="H17" s="340"/>
      <c r="I17" s="340"/>
      <c r="J17" s="340"/>
      <c r="K17" s="340"/>
      <c r="L17" s="340"/>
      <c r="M17" s="340"/>
      <c r="N17" s="2135"/>
      <c r="O17" s="1912"/>
      <c r="P17" s="1912"/>
      <c r="Q17" s="1912"/>
      <c r="R17" s="1912"/>
      <c r="S17" s="1912"/>
      <c r="T17" s="1912"/>
      <c r="U17" s="1912"/>
      <c r="V17" s="1912"/>
      <c r="W17" s="1912"/>
      <c r="X17" s="2142"/>
    </row>
    <row r="18" spans="1:24">
      <c r="A18" s="2139" t="s">
        <v>1279</v>
      </c>
      <c r="B18" s="2140"/>
      <c r="C18" s="2140"/>
      <c r="D18" s="2140"/>
      <c r="E18" s="2140"/>
      <c r="F18" s="2140"/>
      <c r="G18" s="2140"/>
      <c r="H18" s="2140"/>
      <c r="I18" s="2140"/>
      <c r="J18" s="2140"/>
      <c r="K18" s="2140"/>
      <c r="L18" s="2141"/>
      <c r="M18" s="340"/>
      <c r="N18" s="2135" t="s">
        <v>1293</v>
      </c>
      <c r="O18" s="1912"/>
      <c r="P18" s="1912"/>
      <c r="Q18" s="1912"/>
      <c r="R18" s="1912"/>
      <c r="S18" s="1912"/>
      <c r="T18" s="1912" t="str">
        <f>IF('WS-CBRSoaked'!D12="","",'WS-CBRSoaked'!D12)</f>
        <v>Pasir Lanauan / Silty Sand</v>
      </c>
      <c r="U18" s="1912"/>
      <c r="V18" s="1912"/>
      <c r="W18" s="1912"/>
      <c r="X18" s="2142"/>
    </row>
    <row r="19" spans="1:24" ht="8.1" customHeight="1">
      <c r="A19" s="357"/>
      <c r="B19" s="550"/>
      <c r="C19" s="550"/>
      <c r="D19" s="550"/>
      <c r="E19" s="550"/>
      <c r="F19" s="550"/>
      <c r="G19" s="550"/>
      <c r="H19" s="550"/>
      <c r="I19" s="550"/>
      <c r="J19" s="550"/>
      <c r="K19" s="550"/>
      <c r="L19" s="660"/>
      <c r="M19" s="340"/>
      <c r="N19" s="2135" t="s">
        <v>1290</v>
      </c>
      <c r="O19" s="1912"/>
      <c r="P19" s="1912"/>
      <c r="Q19" s="1912"/>
      <c r="R19" s="1912"/>
      <c r="S19" s="1912"/>
      <c r="T19" s="1912" t="str">
        <f>IF('WS-CBRSoaked'!D13="","",'WS-CBRSoaked'!D13)</f>
        <v/>
      </c>
      <c r="U19" s="1912"/>
      <c r="V19" s="1912"/>
      <c r="W19" s="1912"/>
      <c r="X19" s="2142"/>
    </row>
    <row r="20" spans="1:24" ht="8.1" customHeight="1">
      <c r="A20" s="2135" t="s">
        <v>1285</v>
      </c>
      <c r="B20" s="1912"/>
      <c r="C20" s="1912"/>
      <c r="D20" s="1912"/>
      <c r="E20" s="2133" t="str">
        <f>IF('DATA INDUK'!H4="","",'DATA INDUK'!H4)</f>
        <v>PT. GEOLAND QUATRO TECHNOLAB</v>
      </c>
      <c r="F20" s="2133"/>
      <c r="G20" s="2133"/>
      <c r="H20" s="2133"/>
      <c r="I20" s="2133"/>
      <c r="J20" s="2133"/>
      <c r="K20" s="2133"/>
      <c r="L20" s="2134"/>
      <c r="M20" s="340"/>
      <c r="N20" s="2135"/>
      <c r="O20" s="1912"/>
      <c r="P20" s="1912"/>
      <c r="Q20" s="1912"/>
      <c r="R20" s="1912"/>
      <c r="S20" s="1912"/>
      <c r="T20" s="1912"/>
      <c r="U20" s="1912"/>
      <c r="V20" s="1912"/>
      <c r="W20" s="1912"/>
      <c r="X20" s="2142"/>
    </row>
    <row r="21" spans="1:24" ht="8.1" customHeight="1">
      <c r="A21" s="2135"/>
      <c r="B21" s="1912"/>
      <c r="C21" s="1912"/>
      <c r="D21" s="1912"/>
      <c r="E21" s="2133"/>
      <c r="F21" s="2133"/>
      <c r="G21" s="2133"/>
      <c r="H21" s="2133"/>
      <c r="I21" s="2133"/>
      <c r="J21" s="2133"/>
      <c r="K21" s="2133"/>
      <c r="L21" s="2134"/>
      <c r="M21" s="340"/>
      <c r="N21" s="2135" t="s">
        <v>1291</v>
      </c>
      <c r="O21" s="1912"/>
      <c r="P21" s="1912"/>
      <c r="Q21" s="1912"/>
      <c r="R21" s="1912"/>
      <c r="S21" s="1912"/>
      <c r="T21" s="2136">
        <f>IF('DATA INDUK'!H13="","",'DATA INDUK'!H13)</f>
        <v>46027</v>
      </c>
      <c r="U21" s="2136"/>
      <c r="V21" s="2136"/>
      <c r="W21" s="2136"/>
      <c r="X21" s="2137"/>
    </row>
    <row r="22" spans="1:24" ht="8.1" customHeight="1">
      <c r="A22" s="2135" t="s">
        <v>1286</v>
      </c>
      <c r="B22" s="1912"/>
      <c r="C22" s="1912"/>
      <c r="D22" s="1912"/>
      <c r="E22" s="2133" t="str">
        <f>IF('DATA INDUK'!H6="","",'DATA INDUK'!H6)</f>
        <v>Kab. Bandung - JAWA BARAT</v>
      </c>
      <c r="F22" s="2133"/>
      <c r="G22" s="2133"/>
      <c r="H22" s="2133"/>
      <c r="I22" s="2133"/>
      <c r="J22" s="2133"/>
      <c r="K22" s="2133"/>
      <c r="L22" s="2134"/>
      <c r="M22" s="340"/>
      <c r="N22" s="2135"/>
      <c r="O22" s="1912"/>
      <c r="P22" s="1912"/>
      <c r="Q22" s="1912"/>
      <c r="R22" s="1912"/>
      <c r="S22" s="1912"/>
      <c r="T22" s="2136"/>
      <c r="U22" s="2136"/>
      <c r="V22" s="2136"/>
      <c r="W22" s="2136"/>
      <c r="X22" s="2137"/>
    </row>
    <row r="23" spans="1:24" ht="8.1" customHeight="1">
      <c r="A23" s="2135"/>
      <c r="B23" s="1912"/>
      <c r="C23" s="1912"/>
      <c r="D23" s="1912"/>
      <c r="E23" s="2133"/>
      <c r="F23" s="2133"/>
      <c r="G23" s="2133"/>
      <c r="H23" s="2133"/>
      <c r="I23" s="2133"/>
      <c r="J23" s="2133"/>
      <c r="K23" s="2133"/>
      <c r="L23" s="2134"/>
      <c r="M23" s="340"/>
      <c r="N23" s="2135" t="s">
        <v>1292</v>
      </c>
      <c r="O23" s="1912"/>
      <c r="P23" s="1912"/>
      <c r="Q23" s="1912"/>
      <c r="R23" s="1912"/>
      <c r="S23" s="1912"/>
      <c r="T23" s="2136" t="str">
        <f>IF('WS-CBRSoaked'!O12="","",'WS-CBRSoaked'!O12)</f>
        <v/>
      </c>
      <c r="U23" s="2136"/>
      <c r="V23" s="2136"/>
      <c r="W23" s="2136"/>
      <c r="X23" s="2137"/>
    </row>
    <row r="24" spans="1:24" ht="8.1" customHeight="1">
      <c r="A24" s="349"/>
      <c r="B24" s="350"/>
      <c r="C24" s="350"/>
      <c r="D24" s="350"/>
      <c r="E24" s="350"/>
      <c r="F24" s="350"/>
      <c r="G24" s="350"/>
      <c r="H24" s="350"/>
      <c r="I24" s="350"/>
      <c r="J24" s="350"/>
      <c r="K24" s="350"/>
      <c r="L24" s="351"/>
      <c r="M24" s="340"/>
      <c r="N24" s="1786"/>
      <c r="O24" s="1787"/>
      <c r="P24" s="1787"/>
      <c r="Q24" s="1787"/>
      <c r="R24" s="1787"/>
      <c r="S24" s="1787"/>
      <c r="T24" s="1795"/>
      <c r="U24" s="1795"/>
      <c r="V24" s="1795"/>
      <c r="W24" s="1795"/>
      <c r="X24" s="2138"/>
    </row>
    <row r="25" spans="1:24" ht="8.1" customHeight="1">
      <c r="A25" s="340"/>
      <c r="B25" s="340"/>
      <c r="C25" s="340"/>
      <c r="D25" s="340"/>
      <c r="E25" s="340"/>
      <c r="F25" s="340"/>
      <c r="G25" s="340"/>
      <c r="H25" s="340"/>
      <c r="I25" s="340"/>
      <c r="J25" s="340"/>
      <c r="K25" s="340"/>
      <c r="L25" s="340"/>
      <c r="M25" s="340"/>
      <c r="O25" s="340"/>
      <c r="P25" s="340"/>
      <c r="Q25" s="340"/>
      <c r="R25" s="340"/>
      <c r="S25" s="340"/>
      <c r="T25" s="340"/>
      <c r="U25" s="340"/>
      <c r="V25" s="340"/>
      <c r="W25" s="340"/>
      <c r="X25" s="340"/>
    </row>
    <row r="26" spans="1:24" ht="8.1" customHeight="1">
      <c r="A26" s="340"/>
      <c r="B26" s="340"/>
      <c r="C26" s="340"/>
      <c r="D26" s="340"/>
      <c r="E26" s="340"/>
      <c r="F26" s="340"/>
      <c r="G26" s="340"/>
      <c r="H26" s="340"/>
      <c r="I26" s="16"/>
      <c r="J26" s="340"/>
      <c r="K26" s="340"/>
      <c r="L26" s="340"/>
      <c r="M26" s="340"/>
      <c r="O26" s="340"/>
      <c r="P26" s="340"/>
      <c r="Q26" s="340"/>
      <c r="R26" s="340"/>
      <c r="S26" s="340"/>
      <c r="T26" s="340"/>
      <c r="U26" s="340"/>
      <c r="V26" s="340"/>
      <c r="W26" s="340"/>
      <c r="X26" s="340"/>
    </row>
    <row r="27" spans="1:24">
      <c r="A27" s="1706" t="str">
        <f>'WS-CBRSoaked'!A2</f>
        <v>UJI CALIFORNIA BEARING RATIO (CBR) DENGAN PERENDAMAN</v>
      </c>
      <c r="B27" s="1706"/>
      <c r="C27" s="1706"/>
      <c r="D27" s="1706"/>
      <c r="E27" s="1706"/>
      <c r="F27" s="1706"/>
      <c r="G27" s="1706"/>
      <c r="H27" s="1706"/>
      <c r="I27" s="1706"/>
      <c r="J27" s="1706"/>
      <c r="K27" s="1706"/>
      <c r="L27" s="1706"/>
      <c r="M27" s="1706"/>
      <c r="N27" s="1706"/>
      <c r="O27" s="1706"/>
      <c r="P27" s="1706"/>
      <c r="Q27" s="1706"/>
      <c r="R27" s="1706"/>
      <c r="S27" s="1706"/>
      <c r="T27" s="1706"/>
      <c r="U27" s="1705" t="s">
        <v>2</v>
      </c>
      <c r="V27" s="1704" t="str">
        <f>'DATA INDUK'!$BS$52</f>
        <v>1744:2012</v>
      </c>
      <c r="W27" s="1704"/>
      <c r="X27" s="1704"/>
    </row>
    <row r="28" spans="1:24">
      <c r="A28" s="1650" t="str">
        <f>'WS-CBRSoaked'!A3</f>
        <v>CALIFORNIA BEARING RATIO (CBR) - SOAKED CONDITION TEST</v>
      </c>
      <c r="B28" s="1650"/>
      <c r="C28" s="1650"/>
      <c r="D28" s="1650"/>
      <c r="E28" s="1650"/>
      <c r="F28" s="1650"/>
      <c r="G28" s="1650"/>
      <c r="H28" s="1650"/>
      <c r="I28" s="1650"/>
      <c r="J28" s="1650"/>
      <c r="K28" s="1650"/>
      <c r="L28" s="1650"/>
      <c r="M28" s="1650"/>
      <c r="N28" s="1650"/>
      <c r="O28" s="1650"/>
      <c r="P28" s="1650"/>
      <c r="Q28" s="1650"/>
      <c r="R28" s="1650"/>
      <c r="S28" s="1650"/>
      <c r="T28" s="1650"/>
      <c r="U28" s="1705"/>
      <c r="V28" s="1704"/>
      <c r="W28" s="1704"/>
      <c r="X28" s="1704"/>
    </row>
    <row r="29" spans="1:24" ht="8.1" customHeight="1">
      <c r="A29" s="335"/>
      <c r="B29" s="335"/>
      <c r="C29" s="335"/>
      <c r="D29" s="335"/>
      <c r="E29" s="335"/>
      <c r="F29" s="335"/>
      <c r="G29" s="335"/>
      <c r="H29" s="335"/>
      <c r="I29" s="338"/>
      <c r="J29" s="335"/>
      <c r="K29" s="335"/>
      <c r="L29" s="335"/>
      <c r="M29" s="335"/>
      <c r="N29" s="335"/>
      <c r="O29" s="335"/>
      <c r="P29" s="335"/>
      <c r="Q29" s="335"/>
      <c r="R29" s="335"/>
      <c r="S29" s="335"/>
      <c r="T29" s="335"/>
      <c r="U29" s="335"/>
      <c r="V29" s="335"/>
      <c r="W29" s="335"/>
      <c r="X29" s="335"/>
    </row>
    <row r="30" spans="1:24">
      <c r="M30" s="335"/>
      <c r="O30" s="335"/>
      <c r="P30" s="335"/>
      <c r="Q30" s="335"/>
      <c r="R30" s="335"/>
      <c r="S30" s="335"/>
      <c r="T30" s="335"/>
      <c r="U30" s="335"/>
      <c r="V30" s="335"/>
      <c r="W30" s="335"/>
      <c r="X30" s="335"/>
    </row>
    <row r="31" spans="1:24">
      <c r="M31" s="335"/>
      <c r="O31" s="335"/>
      <c r="P31" s="335"/>
      <c r="Q31" s="335"/>
      <c r="R31" s="335"/>
      <c r="S31" s="335"/>
      <c r="T31" s="335"/>
      <c r="U31" s="335"/>
      <c r="V31" s="335"/>
      <c r="W31" s="335"/>
      <c r="X31" s="335"/>
    </row>
    <row r="32" spans="1:24">
      <c r="M32" s="335"/>
      <c r="O32" s="335"/>
      <c r="P32" s="335"/>
      <c r="Q32" s="335"/>
      <c r="R32" s="335"/>
      <c r="S32" s="335"/>
      <c r="T32" s="335"/>
      <c r="U32" s="335"/>
      <c r="V32" s="335"/>
      <c r="W32" s="335"/>
      <c r="X32" s="335"/>
    </row>
    <row r="33" spans="1:24">
      <c r="A33" s="1117" t="s">
        <v>1295</v>
      </c>
      <c r="B33" s="1117"/>
      <c r="C33" s="1117"/>
      <c r="D33" s="1117"/>
      <c r="E33" s="1117"/>
      <c r="F33" s="1117"/>
      <c r="G33" s="1117"/>
      <c r="H33" s="1117"/>
      <c r="I33" s="1117"/>
      <c r="J33" s="1117"/>
      <c r="K33" s="1117"/>
      <c r="L33" s="1117"/>
      <c r="M33" s="335"/>
      <c r="N33" s="1117" t="s">
        <v>1296</v>
      </c>
      <c r="O33" s="1117"/>
      <c r="P33" s="1117"/>
      <c r="Q33" s="1117"/>
      <c r="R33" s="1117"/>
      <c r="S33" s="1117"/>
      <c r="T33" s="1117"/>
      <c r="U33" s="1117"/>
      <c r="V33" s="1117"/>
      <c r="W33" s="1117"/>
      <c r="X33" s="1117"/>
    </row>
    <row r="34" spans="1:24">
      <c r="A34" s="1" t="s">
        <v>1297</v>
      </c>
      <c r="B34" s="1"/>
      <c r="C34" s="1"/>
      <c r="D34" s="1"/>
      <c r="E34" s="1"/>
      <c r="F34" s="1"/>
      <c r="G34" s="1"/>
      <c r="H34" s="1"/>
      <c r="I34" s="1"/>
      <c r="J34" s="1993" t="str">
        <f>'WS-CBRSoaked'!B174</f>
        <v>Modified Proctor</v>
      </c>
      <c r="K34" s="1993"/>
      <c r="L34" s="1993"/>
      <c r="M34" s="335"/>
      <c r="N34" s="1" t="s">
        <v>1298</v>
      </c>
      <c r="O34" s="1"/>
      <c r="P34" s="1"/>
      <c r="Q34" s="1"/>
      <c r="R34" s="1"/>
      <c r="S34" s="1"/>
      <c r="T34" s="1"/>
      <c r="U34" s="1"/>
      <c r="V34" s="1918">
        <f>'WS-CBRSoaked'!C181</f>
        <v>152.19999999999999</v>
      </c>
      <c r="W34" s="1918"/>
      <c r="X34" s="1918"/>
    </row>
    <row r="35" spans="1:24">
      <c r="A35" s="1" t="s">
        <v>1299</v>
      </c>
      <c r="B35" s="1"/>
      <c r="C35" s="1"/>
      <c r="D35" s="1"/>
      <c r="E35" s="1"/>
      <c r="F35" s="1"/>
      <c r="G35" s="1"/>
      <c r="H35" s="1"/>
      <c r="I35" s="1"/>
      <c r="J35" s="1993">
        <f>'WS-CBRSoaked'!B175</f>
        <v>1.24</v>
      </c>
      <c r="K35" s="1993"/>
      <c r="L35" s="1993"/>
      <c r="M35" s="335"/>
      <c r="N35" s="1" t="s">
        <v>1300</v>
      </c>
      <c r="O35" s="1"/>
      <c r="P35" s="1"/>
      <c r="Q35" s="1"/>
      <c r="R35" s="1"/>
      <c r="S35" s="1"/>
      <c r="T35" s="1"/>
      <c r="U35" s="1"/>
      <c r="V35" s="1918">
        <f>'WS-CBRSoaked'!C182</f>
        <v>177.8</v>
      </c>
      <c r="W35" s="1918"/>
      <c r="X35" s="1918"/>
    </row>
    <row r="36" spans="1:24">
      <c r="A36" s="1" t="s">
        <v>1301</v>
      </c>
      <c r="B36" s="1"/>
      <c r="C36" s="1"/>
      <c r="D36" s="1"/>
      <c r="E36" s="1"/>
      <c r="F36" s="1"/>
      <c r="G36" s="1"/>
      <c r="H36" s="1"/>
      <c r="I36" s="1"/>
      <c r="J36" s="1993">
        <f>'WS-CBRSoaked'!B176</f>
        <v>16.5</v>
      </c>
      <c r="K36" s="1993"/>
      <c r="L36" s="1993"/>
      <c r="M36" s="335"/>
      <c r="N36" s="1" t="s">
        <v>1302</v>
      </c>
      <c r="O36" s="1"/>
      <c r="P36" s="1"/>
      <c r="Q36" s="1"/>
      <c r="R36" s="1"/>
      <c r="S36" s="1"/>
      <c r="T36" s="1"/>
      <c r="U36" s="1"/>
      <c r="V36" s="1918">
        <f>'WS-CBRSoaked'!C183</f>
        <v>3234.8261323101638</v>
      </c>
      <c r="W36" s="1918"/>
      <c r="X36" s="1918"/>
    </row>
    <row r="37" spans="1:24">
      <c r="A37" s="1" t="s">
        <v>1303</v>
      </c>
      <c r="B37" s="1"/>
      <c r="C37" s="1"/>
      <c r="D37" s="1"/>
      <c r="E37" s="1"/>
      <c r="F37" s="1"/>
      <c r="G37" s="1"/>
      <c r="H37" s="1"/>
      <c r="I37" s="1"/>
      <c r="J37" s="1993">
        <f>'WS-CBRSoaked'!B177</f>
        <v>2700</v>
      </c>
      <c r="K37" s="1993"/>
      <c r="L37" s="1993"/>
      <c r="M37" s="335"/>
      <c r="N37" s="1" t="s">
        <v>1304</v>
      </c>
      <c r="O37" s="1"/>
      <c r="P37" s="1"/>
      <c r="Q37" s="1"/>
      <c r="R37" s="1"/>
      <c r="S37" s="1"/>
      <c r="T37" s="1"/>
      <c r="U37" s="1"/>
      <c r="V37" s="1918">
        <f>'WS-CBRSoaked'!C184</f>
        <v>49.63</v>
      </c>
      <c r="W37" s="1918"/>
      <c r="X37" s="1918"/>
    </row>
    <row r="38" spans="1:24">
      <c r="B38" s="1005"/>
      <c r="C38" s="1005"/>
      <c r="D38" s="1005"/>
      <c r="E38" s="1005"/>
      <c r="F38" s="1005"/>
      <c r="H38" s="335"/>
      <c r="I38" s="338"/>
      <c r="J38" s="335"/>
      <c r="K38" s="335"/>
      <c r="L38" s="335"/>
      <c r="N38" s="1" t="s">
        <v>1305</v>
      </c>
      <c r="O38" s="1"/>
      <c r="P38" s="1"/>
      <c r="Q38" s="1"/>
      <c r="R38" s="1"/>
      <c r="S38" s="1"/>
      <c r="T38" s="1"/>
      <c r="U38" s="1"/>
      <c r="V38" s="1918">
        <f>'WS-CBRSoaked'!C185</f>
        <v>19.350000000000001</v>
      </c>
      <c r="W38" s="1918"/>
      <c r="X38" s="1918"/>
    </row>
    <row r="39" spans="1:24">
      <c r="A39" s="335"/>
      <c r="B39" s="335"/>
      <c r="C39" s="335"/>
      <c r="D39" s="335"/>
      <c r="E39" s="335"/>
      <c r="F39" s="335"/>
      <c r="G39" s="335"/>
      <c r="H39" s="335"/>
      <c r="I39" s="338"/>
      <c r="J39" s="335"/>
      <c r="K39" s="335"/>
      <c r="L39" s="335"/>
      <c r="N39" s="1" t="s">
        <v>1307</v>
      </c>
      <c r="O39" s="1"/>
      <c r="P39" s="1"/>
      <c r="Q39" s="1"/>
      <c r="R39" s="1"/>
      <c r="S39" s="1"/>
      <c r="T39" s="1"/>
      <c r="U39" s="1"/>
      <c r="V39" s="1918">
        <f>'WS-CBRSoaked'!C186</f>
        <v>1.27</v>
      </c>
      <c r="W39" s="1918"/>
      <c r="X39" s="1918"/>
    </row>
    <row r="40" spans="1:24">
      <c r="A40" s="335"/>
      <c r="B40" s="335"/>
      <c r="C40" s="335"/>
      <c r="D40" s="335"/>
      <c r="E40" s="335"/>
      <c r="F40" s="335"/>
      <c r="G40" s="335"/>
      <c r="H40" s="335"/>
      <c r="I40" s="338"/>
      <c r="J40" s="335"/>
      <c r="K40" s="335"/>
      <c r="L40" s="335"/>
      <c r="O40" s="1005"/>
      <c r="P40" s="1005"/>
      <c r="Q40" s="1005"/>
      <c r="R40" s="1005"/>
      <c r="S40" s="1005"/>
      <c r="U40" s="589"/>
      <c r="V40" s="589"/>
    </row>
    <row r="42" spans="1:24">
      <c r="A42" s="1244" t="s">
        <v>1308</v>
      </c>
      <c r="B42" s="1244"/>
      <c r="C42" s="1244"/>
      <c r="D42" s="1244"/>
      <c r="E42" s="1244"/>
      <c r="F42" s="1244"/>
      <c r="G42" s="1244"/>
      <c r="H42" s="1244"/>
      <c r="I42" s="1245"/>
      <c r="J42" s="1244"/>
      <c r="K42" s="1244"/>
      <c r="L42" s="1244"/>
      <c r="M42" s="531"/>
    </row>
    <row r="43" spans="1:24">
      <c r="A43" s="1960" t="s">
        <v>1309</v>
      </c>
      <c r="B43" s="1960"/>
      <c r="C43" s="1960"/>
      <c r="D43" s="1960"/>
      <c r="E43" s="1960"/>
      <c r="F43" s="1960"/>
      <c r="G43" s="1960"/>
      <c r="H43" s="1987">
        <f>'WS-CBRSoaked'!C189</f>
        <v>10</v>
      </c>
      <c r="I43" s="1987"/>
      <c r="J43" s="1987">
        <f>'WS-CBRSoaked'!D189</f>
        <v>25</v>
      </c>
      <c r="K43" s="1987"/>
      <c r="L43" s="677">
        <f>'WS-CBRSoaked'!E189</f>
        <v>56</v>
      </c>
      <c r="M43" s="15"/>
    </row>
    <row r="44" spans="1:24">
      <c r="A44" s="1960" t="s">
        <v>1110</v>
      </c>
      <c r="B44" s="1960"/>
      <c r="C44" s="1960"/>
      <c r="D44" s="1960"/>
      <c r="E44" s="1960"/>
      <c r="F44" s="1960"/>
      <c r="G44" s="1960"/>
      <c r="H44" s="1817">
        <f>'WS-CBRSoaked'!C190</f>
        <v>1.1824087231164917</v>
      </c>
      <c r="I44" s="1817"/>
      <c r="J44" s="1817">
        <f>'WS-CBRSoaked'!D190</f>
        <v>1.2005385322377311</v>
      </c>
      <c r="K44" s="1817"/>
      <c r="L44" s="1246">
        <f>'WS-CBRSoaked'!E190</f>
        <v>1.250068842993334</v>
      </c>
      <c r="M44" s="15"/>
    </row>
    <row r="45" spans="1:24">
      <c r="A45" s="1960" t="s">
        <v>1310</v>
      </c>
      <c r="B45" s="1960"/>
      <c r="C45" s="1960"/>
      <c r="D45" s="1960"/>
      <c r="E45" s="1960"/>
      <c r="F45" s="1960"/>
      <c r="G45" s="1960"/>
      <c r="H45" s="1817">
        <f>'WS-CBRSoaked'!C191</f>
        <v>35.057597539156902</v>
      </c>
      <c r="I45" s="1817"/>
      <c r="J45" s="1817">
        <f>'WS-CBRSoaked'!D191</f>
        <v>46.047410723369602</v>
      </c>
      <c r="K45" s="1817"/>
      <c r="L45" s="1246">
        <f>'WS-CBRSoaked'!E191</f>
        <v>46.047410723369602</v>
      </c>
      <c r="M45" s="15"/>
    </row>
    <row r="46" spans="1:24">
      <c r="A46" s="1960" t="s">
        <v>1311</v>
      </c>
      <c r="B46" s="1960"/>
      <c r="C46" s="1960"/>
      <c r="D46" s="1960"/>
      <c r="E46" s="1960"/>
      <c r="F46" s="1960"/>
      <c r="G46" s="1960"/>
      <c r="H46" s="1817">
        <f>'WS-CBRSoaked'!C192</f>
        <v>25.013100025984741</v>
      </c>
      <c r="I46" s="1817"/>
      <c r="J46" s="1817">
        <f>'WS-CBRSoaked'!D192</f>
        <v>23.012052023905959</v>
      </c>
      <c r="K46" s="1817"/>
      <c r="L46" s="1246">
        <f>'WS-CBRSoaked'!E192</f>
        <v>26.013624027024136</v>
      </c>
      <c r="M46" s="15"/>
    </row>
    <row r="47" spans="1:24">
      <c r="A47" s="1960" t="s">
        <v>1312</v>
      </c>
      <c r="B47" s="1960"/>
      <c r="C47" s="1960"/>
      <c r="D47" s="1960"/>
      <c r="E47" s="1960"/>
      <c r="F47" s="1960"/>
      <c r="G47" s="1960"/>
      <c r="H47" s="1817">
        <f>'WS-CBRSoaked'!C193</f>
        <v>29.348704030488758</v>
      </c>
      <c r="I47" s="1817"/>
      <c r="J47" s="1817">
        <f>'WS-CBRSoaked'!D193</f>
        <v>30.015720031181687</v>
      </c>
      <c r="K47" s="1817"/>
      <c r="L47" s="1246">
        <f>'WS-CBRSoaked'!E193</f>
        <v>30.682736031874612</v>
      </c>
      <c r="M47" s="15"/>
    </row>
    <row r="48" spans="1:24">
      <c r="A48" s="1960" t="s">
        <v>1313</v>
      </c>
      <c r="B48" s="1960"/>
      <c r="C48" s="1960"/>
      <c r="D48" s="1960"/>
      <c r="E48" s="1960"/>
      <c r="F48" s="1960"/>
      <c r="G48" s="1960"/>
      <c r="H48" s="1817">
        <f>'WS-CBRSoaked'!C194</f>
        <v>29.348704030488758</v>
      </c>
      <c r="I48" s="1817"/>
      <c r="J48" s="1817">
        <f>'WS-CBRSoaked'!D194</f>
        <v>30.015720031181687</v>
      </c>
      <c r="K48" s="1817"/>
      <c r="L48" s="1246">
        <f>'WS-CBRSoaked'!E194</f>
        <v>30.682736031874612</v>
      </c>
      <c r="M48" s="15"/>
    </row>
    <row r="49" spans="2:23">
      <c r="B49" s="13"/>
      <c r="C49" s="13"/>
      <c r="D49" s="13"/>
      <c r="F49" s="589"/>
      <c r="G49" s="589"/>
      <c r="M49" s="15"/>
    </row>
    <row r="61" spans="2:23">
      <c r="C61" s="1768" t="s">
        <v>623</v>
      </c>
      <c r="D61" s="1769"/>
      <c r="E61" s="1769"/>
      <c r="F61" s="1769"/>
      <c r="G61" s="1770"/>
      <c r="H61" s="1768" t="s">
        <v>292</v>
      </c>
      <c r="I61" s="1769"/>
      <c r="J61" s="1769"/>
      <c r="K61" s="1769"/>
      <c r="L61" s="1769"/>
      <c r="M61" s="1768" t="s">
        <v>294</v>
      </c>
      <c r="N61" s="1769"/>
      <c r="O61" s="1769"/>
      <c r="P61" s="1769"/>
      <c r="Q61" s="1769"/>
      <c r="R61" s="1770"/>
      <c r="T61" s="328"/>
      <c r="U61" s="329"/>
      <c r="V61" s="329"/>
      <c r="W61" s="330"/>
    </row>
    <row r="62" spans="2:23" ht="15.95" customHeight="1">
      <c r="C62" s="1771" t="s">
        <v>624</v>
      </c>
      <c r="D62" s="1646"/>
      <c r="E62" s="1646"/>
      <c r="F62" s="1646"/>
      <c r="G62" s="1772"/>
      <c r="H62" s="1773" t="s">
        <v>293</v>
      </c>
      <c r="I62" s="1652"/>
      <c r="J62" s="1652"/>
      <c r="K62" s="1652"/>
      <c r="L62" s="1652"/>
      <c r="M62" s="1773" t="s">
        <v>295</v>
      </c>
      <c r="N62" s="1652"/>
      <c r="O62" s="1652"/>
      <c r="P62" s="1652"/>
      <c r="Q62" s="1652"/>
      <c r="R62" s="1774"/>
      <c r="T62" s="357"/>
      <c r="W62" s="331"/>
    </row>
    <row r="63" spans="2:23" ht="15.95" customHeight="1">
      <c r="C63" s="357"/>
      <c r="D63" s="359"/>
      <c r="E63" s="359"/>
      <c r="F63" s="359"/>
      <c r="G63" s="360"/>
      <c r="H63" s="357"/>
      <c r="I63"/>
      <c r="K63" s="4"/>
      <c r="M63" s="357"/>
      <c r="R63" s="331"/>
      <c r="T63" s="357"/>
      <c r="W63" s="331"/>
    </row>
    <row r="64" spans="2:23">
      <c r="C64" s="357"/>
      <c r="G64" s="331"/>
      <c r="H64" s="357"/>
      <c r="I64"/>
      <c r="K64" s="4"/>
      <c r="M64" s="357"/>
      <c r="R64" s="331"/>
      <c r="T64" s="357"/>
      <c r="W64" s="331"/>
    </row>
    <row r="65" spans="1:24">
      <c r="C65" s="357"/>
      <c r="G65" s="331"/>
      <c r="H65" s="357"/>
      <c r="I65"/>
      <c r="K65" s="4"/>
      <c r="M65" s="357"/>
      <c r="R65" s="331"/>
      <c r="T65" s="357"/>
      <c r="W65" s="331"/>
    </row>
    <row r="66" spans="1:24">
      <c r="C66" s="1777" t="str">
        <f>'WS-CBRSoaked'!O9</f>
        <v>RAFLY</v>
      </c>
      <c r="D66" s="1632"/>
      <c r="E66" s="1632"/>
      <c r="F66" s="1632"/>
      <c r="G66" s="1778"/>
      <c r="H66" s="1777" t="str">
        <f>IF(C66='WS-CBRSoaked'!O10," - ",'WS-CBRSoaked'!O10)</f>
        <v>NOUFAL</v>
      </c>
      <c r="I66" s="1632"/>
      <c r="J66" s="1632"/>
      <c r="K66" s="1632"/>
      <c r="L66" s="1632"/>
      <c r="M66" s="1777" t="str">
        <f>'WS-CBRSoaked'!O11</f>
        <v>A.SUMARTADJI</v>
      </c>
      <c r="N66" s="1632"/>
      <c r="O66" s="1632"/>
      <c r="P66" s="1632"/>
      <c r="Q66" s="1632"/>
      <c r="R66" s="1778"/>
      <c r="T66" s="357"/>
      <c r="W66" s="331"/>
    </row>
    <row r="67" spans="1:24" s="15" customFormat="1" ht="12">
      <c r="C67" s="1779" t="s">
        <v>299</v>
      </c>
      <c r="D67" s="1685"/>
      <c r="E67" s="1685"/>
      <c r="F67" s="1685"/>
      <c r="G67" s="1780"/>
      <c r="H67" s="1779" t="s">
        <v>305</v>
      </c>
      <c r="I67" s="1685"/>
      <c r="J67" s="1685"/>
      <c r="K67" s="1685"/>
      <c r="L67" s="1685"/>
      <c r="M67" s="1779" t="s">
        <v>298</v>
      </c>
      <c r="N67" s="1685"/>
      <c r="O67" s="1685"/>
      <c r="P67" s="1685"/>
      <c r="Q67" s="1685"/>
      <c r="R67" s="1780"/>
      <c r="S67" s="364"/>
      <c r="T67" s="366"/>
      <c r="U67" s="364"/>
      <c r="V67" s="364"/>
      <c r="W67" s="365"/>
      <c r="X67" s="364"/>
    </row>
    <row r="68" spans="1:24" ht="15.95" customHeight="1">
      <c r="C68" s="1781" t="s">
        <v>291</v>
      </c>
      <c r="D68" s="1782"/>
      <c r="E68" s="2025">
        <v>46050</v>
      </c>
      <c r="F68" s="2025"/>
      <c r="G68" s="2026"/>
      <c r="H68" s="1783" t="s">
        <v>291</v>
      </c>
      <c r="I68" s="1784"/>
      <c r="J68" s="1775">
        <v>46050</v>
      </c>
      <c r="K68" s="1775"/>
      <c r="L68" s="1776"/>
      <c r="M68" s="1783" t="s">
        <v>291</v>
      </c>
      <c r="N68" s="1784"/>
      <c r="O68" s="1784"/>
      <c r="P68" s="1775">
        <v>46050</v>
      </c>
      <c r="Q68" s="1775"/>
      <c r="R68" s="1776"/>
      <c r="T68" s="332"/>
      <c r="U68" s="333"/>
      <c r="V68" s="333"/>
      <c r="W68" s="334"/>
    </row>
    <row r="69" spans="1:24" ht="8.1" customHeight="1">
      <c r="A69" s="897"/>
      <c r="B69" s="898"/>
      <c r="C69" s="898"/>
      <c r="D69" s="898"/>
      <c r="E69" s="898"/>
      <c r="F69" s="898"/>
      <c r="G69" s="898"/>
      <c r="H69" s="897"/>
      <c r="I69" s="899"/>
      <c r="J69" s="898"/>
      <c r="K69" s="898"/>
      <c r="L69" s="898"/>
      <c r="M69" s="898"/>
      <c r="N69" s="898"/>
      <c r="O69" s="898"/>
      <c r="P69" s="900"/>
      <c r="Q69" s="897"/>
      <c r="R69" s="897"/>
      <c r="S69" s="897"/>
      <c r="T69" s="897"/>
      <c r="U69" s="897"/>
      <c r="V69" s="897"/>
      <c r="W69" s="897"/>
      <c r="X69" s="897"/>
    </row>
    <row r="70" spans="1:24" ht="15.95" customHeight="1">
      <c r="A70" s="1691" t="s">
        <v>899</v>
      </c>
      <c r="B70" s="1692"/>
      <c r="C70" s="1693"/>
      <c r="D70" s="965" t="s">
        <v>895</v>
      </c>
      <c r="E70" s="915"/>
      <c r="F70" s="916"/>
      <c r="G70" s="916"/>
      <c r="H70" s="916"/>
      <c r="I70" s="917"/>
      <c r="J70" s="916"/>
      <c r="K70" s="916"/>
      <c r="L70" s="918"/>
      <c r="M70" s="951" t="s">
        <v>90</v>
      </c>
      <c r="N70" s="916" t="s">
        <v>891</v>
      </c>
      <c r="O70" s="920"/>
      <c r="P70" s="920"/>
      <c r="Q70" s="920"/>
      <c r="R70" s="921"/>
      <c r="S70" s="921"/>
      <c r="T70" s="921"/>
      <c r="U70" s="921"/>
      <c r="V70" s="921"/>
      <c r="W70" s="921"/>
      <c r="X70" s="922"/>
    </row>
    <row r="71" spans="1:24">
      <c r="A71" s="1694"/>
      <c r="B71" s="1695"/>
      <c r="C71" s="1696"/>
      <c r="D71" s="966" t="s">
        <v>904</v>
      </c>
      <c r="E71" s="923"/>
      <c r="F71" s="923"/>
      <c r="G71" s="923"/>
      <c r="H71" s="923"/>
      <c r="I71" s="923"/>
      <c r="J71" s="923"/>
      <c r="K71" s="923"/>
      <c r="L71" s="924"/>
      <c r="M71" s="952" t="s">
        <v>90</v>
      </c>
      <c r="N71" s="926" t="s">
        <v>912</v>
      </c>
      <c r="O71" s="927"/>
      <c r="P71" s="927"/>
      <c r="Q71" s="927"/>
      <c r="R71" s="928"/>
      <c r="S71" s="928"/>
      <c r="T71" s="928"/>
      <c r="U71" s="928"/>
      <c r="V71" s="928"/>
      <c r="W71" s="928"/>
      <c r="X71" s="929"/>
    </row>
    <row r="72" spans="1:24" ht="15.95" customHeight="1">
      <c r="A72" s="1694"/>
      <c r="B72" s="1695"/>
      <c r="C72" s="1696"/>
      <c r="D72" s="966" t="s">
        <v>1584</v>
      </c>
      <c r="E72" s="923"/>
      <c r="F72" s="923"/>
      <c r="G72" s="923"/>
      <c r="H72" s="923"/>
      <c r="I72" s="923"/>
      <c r="J72" s="923"/>
      <c r="K72" s="923"/>
      <c r="L72" s="924"/>
      <c r="M72" s="953"/>
      <c r="N72" s="926" t="s">
        <v>1581</v>
      </c>
      <c r="O72" s="927"/>
      <c r="P72" s="927"/>
      <c r="Q72" s="927"/>
      <c r="R72" s="928"/>
      <c r="S72" s="928"/>
      <c r="T72" s="928"/>
      <c r="U72" s="928"/>
      <c r="V72" s="928"/>
      <c r="W72" s="928"/>
      <c r="X72" s="929"/>
    </row>
    <row r="73" spans="1:24" ht="15.95" customHeight="1">
      <c r="A73" s="1694"/>
      <c r="B73" s="1695"/>
      <c r="C73" s="1696"/>
      <c r="D73" s="966" t="s">
        <v>1322</v>
      </c>
      <c r="E73" s="923"/>
      <c r="F73" s="923"/>
      <c r="G73" s="923"/>
      <c r="H73" s="923"/>
      <c r="I73" s="923"/>
      <c r="J73" s="923"/>
      <c r="K73" s="923"/>
      <c r="L73" s="924"/>
      <c r="M73" s="952" t="s">
        <v>90</v>
      </c>
      <c r="N73" s="926" t="s">
        <v>898</v>
      </c>
      <c r="O73" s="931"/>
      <c r="P73" s="932"/>
      <c r="Q73" s="933"/>
      <c r="R73" s="934"/>
      <c r="S73" s="934"/>
      <c r="T73" s="934"/>
      <c r="U73" s="934"/>
      <c r="V73" s="934"/>
      <c r="W73" s="934"/>
      <c r="X73" s="935"/>
    </row>
    <row r="74" spans="1:24" ht="15.95" customHeight="1">
      <c r="A74" s="1697"/>
      <c r="B74" s="1698"/>
      <c r="C74" s="1699"/>
      <c r="D74" s="967" t="s">
        <v>897</v>
      </c>
      <c r="E74" s="936"/>
      <c r="F74" s="936"/>
      <c r="G74" s="936"/>
      <c r="H74" s="936"/>
      <c r="I74" s="936"/>
      <c r="J74" s="936"/>
      <c r="K74" s="936"/>
      <c r="L74" s="937"/>
      <c r="M74" s="954"/>
      <c r="N74" s="939" t="s">
        <v>894</v>
      </c>
      <c r="O74" s="940"/>
      <c r="P74" s="940"/>
      <c r="Q74" s="940"/>
      <c r="R74" s="940"/>
      <c r="S74" s="941"/>
      <c r="T74" s="940"/>
      <c r="U74" s="940"/>
      <c r="V74" s="941"/>
      <c r="W74" s="941"/>
      <c r="X74" s="942"/>
    </row>
    <row r="75" spans="1:24" ht="12" customHeight="1">
      <c r="B75" s="353"/>
      <c r="C75" s="353"/>
      <c r="D75" s="353"/>
      <c r="E75" s="353"/>
      <c r="F75" s="353"/>
      <c r="G75" s="353"/>
      <c r="J75" s="353"/>
      <c r="K75" s="353"/>
      <c r="L75" s="353"/>
      <c r="M75" s="353"/>
      <c r="N75" s="353"/>
      <c r="O75" s="353"/>
      <c r="P75" s="19"/>
      <c r="T75" s="1266" t="str">
        <f>'DATA INDUK'!$BT$52</f>
        <v>23-MINEARTH-RM-LHU-CBR-S-R0</v>
      </c>
    </row>
    <row r="76" spans="1:24" s="326" customFormat="1" ht="15" customHeight="1">
      <c r="A76" s="361" t="s">
        <v>892</v>
      </c>
      <c r="B76" s="893"/>
      <c r="C76" s="893"/>
      <c r="D76" s="893"/>
      <c r="E76" s="893"/>
      <c r="F76" s="893"/>
      <c r="G76" s="893"/>
      <c r="H76" s="893"/>
      <c r="I76" s="894"/>
      <c r="J76" s="893"/>
      <c r="K76" s="361" t="s">
        <v>284</v>
      </c>
      <c r="L76" s="893"/>
      <c r="M76" s="893"/>
      <c r="N76" s="893"/>
      <c r="O76" s="893"/>
      <c r="P76" s="893"/>
      <c r="Q76" s="893"/>
      <c r="R76" s="893"/>
      <c r="S76" s="361" t="s">
        <v>285</v>
      </c>
      <c r="T76" s="893"/>
      <c r="U76" s="895"/>
      <c r="V76" s="893"/>
      <c r="W76" s="893"/>
      <c r="X76" s="893"/>
    </row>
    <row r="77" spans="1:24" ht="15" customHeight="1">
      <c r="A77" s="361" t="s">
        <v>283</v>
      </c>
      <c r="B77" s="892"/>
      <c r="C77" s="892"/>
      <c r="D77" s="892"/>
      <c r="E77" s="892"/>
      <c r="F77" s="892"/>
      <c r="G77" s="892"/>
      <c r="H77" s="892"/>
      <c r="I77" s="891"/>
      <c r="J77" s="892"/>
      <c r="K77" s="361" t="s">
        <v>296</v>
      </c>
      <c r="L77" s="892"/>
      <c r="M77" s="892"/>
      <c r="N77" s="892"/>
      <c r="O77" s="892"/>
      <c r="P77" s="892"/>
      <c r="Q77" s="892"/>
      <c r="R77" s="892"/>
      <c r="S77" s="361" t="s">
        <v>289</v>
      </c>
      <c r="T77" s="892"/>
      <c r="U77" s="892"/>
      <c r="V77" s="892"/>
      <c r="W77" s="892"/>
      <c r="X77" s="892"/>
    </row>
    <row r="78" spans="1:24">
      <c r="A78" s="892"/>
      <c r="B78" s="361"/>
      <c r="C78" s="361"/>
      <c r="D78" s="361"/>
      <c r="E78" s="361"/>
      <c r="F78" s="361"/>
      <c r="G78" s="361"/>
      <c r="H78" s="336"/>
      <c r="I78" s="891"/>
      <c r="J78" s="336"/>
      <c r="K78" s="892"/>
      <c r="L78" s="336"/>
      <c r="M78" s="336"/>
      <c r="N78" s="336"/>
      <c r="O78" s="336"/>
      <c r="P78" s="892"/>
      <c r="Q78" s="336"/>
      <c r="R78" s="892"/>
      <c r="S78" s="892"/>
      <c r="T78" s="336"/>
      <c r="U78" s="336"/>
      <c r="V78" s="336"/>
      <c r="W78" s="336"/>
      <c r="X78" s="336"/>
    </row>
    <row r="79" spans="1:24" ht="8.1" customHeight="1">
      <c r="A79" s="892"/>
      <c r="B79" s="892"/>
      <c r="C79" s="892"/>
      <c r="D79" s="892"/>
      <c r="E79" s="892"/>
      <c r="F79" s="892"/>
      <c r="G79" s="892"/>
      <c r="H79" s="892"/>
      <c r="I79" s="891"/>
      <c r="J79" s="892"/>
      <c r="K79" s="892"/>
      <c r="L79" s="892"/>
      <c r="M79" s="892"/>
      <c r="N79" s="892"/>
      <c r="O79" s="892"/>
      <c r="P79" s="892"/>
      <c r="Q79" s="892"/>
      <c r="R79" s="892"/>
      <c r="S79" s="892"/>
      <c r="T79" s="892"/>
      <c r="U79" s="892"/>
      <c r="V79" s="892"/>
      <c r="W79" s="892"/>
      <c r="X79" s="892"/>
    </row>
    <row r="80" spans="1:24" ht="23.25">
      <c r="F80" s="1681" t="s">
        <v>302</v>
      </c>
      <c r="G80" s="1681"/>
      <c r="H80" s="1681"/>
      <c r="I80" s="1681"/>
      <c r="J80" s="1681"/>
      <c r="K80" s="1681"/>
      <c r="L80" s="1681"/>
      <c r="M80" s="1681"/>
      <c r="N80" s="1681"/>
      <c r="O80" s="1681"/>
      <c r="P80" s="1681"/>
      <c r="Q80" s="1681"/>
      <c r="R80" s="1681"/>
      <c r="S80" s="1681"/>
      <c r="T80" s="1681"/>
    </row>
    <row r="81" spans="1:24" ht="20.25">
      <c r="F81" s="1682" t="s">
        <v>1582</v>
      </c>
      <c r="G81" s="1682"/>
      <c r="H81" s="1682"/>
      <c r="I81" s="1682"/>
      <c r="J81" s="1682"/>
      <c r="K81" s="1682"/>
      <c r="L81" s="1682"/>
      <c r="M81" s="1682"/>
      <c r="N81" s="1682"/>
      <c r="O81" s="1682"/>
      <c r="P81" s="1682"/>
      <c r="Q81" s="1682"/>
      <c r="R81" s="1682"/>
      <c r="S81" s="1682"/>
      <c r="T81" s="1682"/>
    </row>
    <row r="82" spans="1:24">
      <c r="F82" s="1683" t="s">
        <v>304</v>
      </c>
      <c r="G82" s="1683"/>
      <c r="H82" s="1683"/>
      <c r="I82" s="1683"/>
      <c r="J82" s="1683"/>
      <c r="K82" s="1683"/>
      <c r="L82" s="1683"/>
      <c r="M82" s="1683"/>
      <c r="N82" s="1683"/>
      <c r="O82" s="1683"/>
      <c r="P82" s="1683"/>
      <c r="Q82" s="1683"/>
      <c r="R82" s="1683"/>
      <c r="S82" s="1683"/>
      <c r="T82" s="1683"/>
    </row>
    <row r="83" spans="1:24" ht="8.1" customHeight="1">
      <c r="A83" s="333"/>
      <c r="B83" s="333"/>
      <c r="C83" s="333"/>
      <c r="D83" s="333"/>
      <c r="E83" s="333"/>
      <c r="F83" s="333"/>
      <c r="G83" s="333"/>
      <c r="H83" s="333"/>
      <c r="I83" s="337"/>
      <c r="J83" s="333"/>
      <c r="K83" s="333"/>
      <c r="L83" s="333"/>
      <c r="M83" s="333"/>
      <c r="N83" s="333"/>
      <c r="O83" s="333"/>
      <c r="P83" s="333"/>
      <c r="Q83" s="333"/>
      <c r="R83" s="333"/>
      <c r="S83" s="333"/>
      <c r="T83" s="333"/>
      <c r="U83" s="333"/>
      <c r="V83" s="333"/>
      <c r="W83" s="333"/>
      <c r="X83" s="333"/>
    </row>
    <row r="84" spans="1:24" ht="8.1" customHeight="1"/>
    <row r="85" spans="1:24">
      <c r="A85" s="2129" t="s">
        <v>1280</v>
      </c>
      <c r="B85" s="2130"/>
      <c r="C85" s="2130"/>
      <c r="D85" s="2130"/>
      <c r="E85" s="1254" t="str">
        <f>E6</f>
        <v>23/MGS/53/II/2026</v>
      </c>
      <c r="F85" s="905"/>
      <c r="G85" s="1255"/>
      <c r="H85" s="1255"/>
      <c r="I85" s="1256"/>
      <c r="J85" s="1255"/>
      <c r="K85" s="1257"/>
      <c r="L85" s="1257"/>
      <c r="M85" s="1257"/>
      <c r="N85" s="1257"/>
      <c r="O85" s="1257"/>
      <c r="P85" s="1257"/>
      <c r="Q85" s="1257"/>
      <c r="R85" s="1257"/>
      <c r="S85" s="1257"/>
      <c r="T85" s="1257"/>
      <c r="U85" s="1257"/>
      <c r="V85" s="1257"/>
      <c r="W85" s="1257"/>
      <c r="X85" s="1258"/>
    </row>
    <row r="86" spans="1:24">
      <c r="A86" s="2131" t="s">
        <v>1281</v>
      </c>
      <c r="B86" s="2127"/>
      <c r="C86" s="2127"/>
      <c r="D86" s="2127"/>
      <c r="E86" s="1251" t="str">
        <f>E7</f>
        <v>R0</v>
      </c>
      <c r="F86" s="897"/>
      <c r="G86" s="1252"/>
      <c r="H86" s="1252"/>
      <c r="I86" s="896"/>
      <c r="J86" s="1252" t="s">
        <v>1282</v>
      </c>
      <c r="K86" s="1252"/>
      <c r="L86" s="1252"/>
      <c r="M86" s="1253"/>
      <c r="N86" s="2132">
        <f>N7</f>
        <v>46051</v>
      </c>
      <c r="O86" s="2132"/>
      <c r="P86" s="2132"/>
      <c r="Q86" s="2132"/>
      <c r="R86" s="1250"/>
      <c r="S86" s="896"/>
      <c r="T86" s="2127" t="s">
        <v>1283</v>
      </c>
      <c r="U86" s="2127"/>
      <c r="V86" s="2127"/>
      <c r="W86" s="2127" t="s">
        <v>827</v>
      </c>
      <c r="X86" s="2128"/>
    </row>
    <row r="87" spans="1:24" ht="8.1" customHeight="1"/>
    <row r="88" spans="1:24" ht="21" customHeight="1">
      <c r="A88" s="1878" t="s">
        <v>288</v>
      </c>
      <c r="B88" s="1878"/>
      <c r="C88" s="1878"/>
      <c r="D88" s="1878"/>
      <c r="E88" s="1878"/>
      <c r="F88" s="1878"/>
      <c r="G88" s="1878"/>
      <c r="H88" s="1878"/>
      <c r="I88" s="1878"/>
      <c r="J88" s="1878"/>
      <c r="K88" s="1878"/>
      <c r="L88" s="1878"/>
      <c r="M88" s="1878"/>
      <c r="N88" s="1878"/>
      <c r="O88" s="1878"/>
      <c r="P88" s="1878"/>
      <c r="Q88" s="1878"/>
      <c r="R88" s="1878"/>
      <c r="S88" s="1878"/>
      <c r="T88" s="1878"/>
      <c r="U88" s="1878"/>
      <c r="V88" s="1878"/>
      <c r="W88" s="1878"/>
      <c r="X88" s="1878"/>
    </row>
    <row r="90" spans="1:24">
      <c r="A90" s="710"/>
      <c r="B90" s="576"/>
      <c r="C90" s="576"/>
    </row>
    <row r="92" spans="1:24">
      <c r="A92" s="540" t="s">
        <v>1323</v>
      </c>
      <c r="B92" s="540"/>
      <c r="C92" s="540"/>
      <c r="D92" s="540"/>
      <c r="E92" s="540"/>
      <c r="F92" s="540"/>
      <c r="G92" s="540"/>
      <c r="H92" s="540"/>
      <c r="I92" s="976"/>
      <c r="J92" s="540"/>
      <c r="K92" s="540" t="s">
        <v>1314</v>
      </c>
      <c r="L92" s="540"/>
      <c r="M92" s="540"/>
      <c r="N92" s="540"/>
      <c r="P92" s="1247"/>
      <c r="Q92" s="1247"/>
      <c r="R92" s="1247"/>
      <c r="S92" s="1247"/>
      <c r="T92" s="1247"/>
      <c r="W92" s="4"/>
      <c r="X92" s="540"/>
    </row>
    <row r="93" spans="1:24" ht="15.95" customHeight="1">
      <c r="A93" s="1262" t="s">
        <v>1324</v>
      </c>
      <c r="H93" s="1226"/>
      <c r="K93" s="1248" t="s">
        <v>1317</v>
      </c>
      <c r="P93" s="1127"/>
      <c r="Q93" s="1127"/>
      <c r="R93" s="1127"/>
      <c r="S93" s="1127"/>
      <c r="T93" s="1127"/>
      <c r="U93" s="13"/>
      <c r="V93" s="13"/>
      <c r="W93" s="15"/>
    </row>
    <row r="94" spans="1:24" ht="15.95" customHeight="1">
      <c r="H94" s="1226"/>
      <c r="J94" s="15"/>
      <c r="Q94" s="13"/>
      <c r="R94" s="13"/>
      <c r="S94" s="13"/>
      <c r="T94" s="13"/>
      <c r="U94" s="13"/>
      <c r="V94" s="13"/>
      <c r="W94" s="15"/>
    </row>
    <row r="95" spans="1:24" ht="15.95" customHeight="1">
      <c r="B95" s="1914" t="s">
        <v>1325</v>
      </c>
      <c r="C95" s="1914"/>
      <c r="D95" s="1914"/>
      <c r="E95" s="1914"/>
      <c r="F95" s="1914"/>
      <c r="G95" s="1914" t="s">
        <v>1326</v>
      </c>
      <c r="H95" s="1914"/>
      <c r="I95" s="1914"/>
      <c r="J95" s="15"/>
      <c r="Q95" s="13"/>
      <c r="R95" s="13"/>
      <c r="S95" s="13"/>
      <c r="T95" s="13"/>
      <c r="U95" s="13"/>
      <c r="V95" s="13"/>
      <c r="W95" s="15"/>
    </row>
    <row r="96" spans="1:24">
      <c r="B96" s="1914" t="s">
        <v>1315</v>
      </c>
      <c r="C96" s="1914"/>
      <c r="D96" s="1914" t="s">
        <v>1316</v>
      </c>
      <c r="E96" s="1914"/>
      <c r="F96" s="1914"/>
      <c r="G96" s="1914" t="s">
        <v>1020</v>
      </c>
      <c r="H96" s="1914"/>
      <c r="I96" s="1914"/>
      <c r="J96" s="15"/>
      <c r="Q96" s="13"/>
      <c r="R96" s="13"/>
      <c r="S96" s="13"/>
      <c r="T96" s="13"/>
      <c r="U96" s="13"/>
      <c r="V96" s="13"/>
      <c r="W96" s="589"/>
    </row>
    <row r="97" spans="1:24">
      <c r="A97" s="15"/>
      <c r="B97" s="1914">
        <f>'WS-CBRSoaked'!C146</f>
        <v>100</v>
      </c>
      <c r="C97" s="1914"/>
      <c r="D97" s="1914">
        <f>IF(B97="","",'WS-CBRSoaked'!D146)</f>
        <v>1.24</v>
      </c>
      <c r="E97" s="1914"/>
      <c r="F97" s="1914"/>
      <c r="G97" s="1914">
        <f>IF(B97="","",'WS-CBRSoaked'!E146)</f>
        <v>30.7</v>
      </c>
      <c r="H97" s="1914"/>
      <c r="I97" s="1914"/>
      <c r="J97" s="589"/>
    </row>
    <row r="98" spans="1:24">
      <c r="A98" s="15"/>
      <c r="B98" s="1914">
        <f>'WS-CBRSoaked'!C147</f>
        <v>98</v>
      </c>
      <c r="C98" s="1914"/>
      <c r="D98" s="1914">
        <f>IF(B98="","",'WS-CBRSoaked'!D147)</f>
        <v>1.22</v>
      </c>
      <c r="E98" s="1914"/>
      <c r="F98" s="1914"/>
      <c r="G98" s="1914">
        <f>IF(B98="","",'WS-CBRSoaked'!E147)</f>
        <v>30.4</v>
      </c>
      <c r="H98" s="1914"/>
      <c r="I98" s="1914"/>
    </row>
    <row r="99" spans="1:24">
      <c r="A99" s="15"/>
      <c r="B99" s="1914" t="str">
        <f>'WS-CBRSoaked'!C148</f>
        <v/>
      </c>
      <c r="C99" s="1914"/>
      <c r="D99" s="1914" t="str">
        <f>IF(B99="","",'WS-CBRSoaked'!D148)</f>
        <v/>
      </c>
      <c r="E99" s="1914"/>
      <c r="F99" s="1914"/>
      <c r="G99" s="1914" t="str">
        <f>IF(B99="","",'WS-CBRSoaked'!E148)</f>
        <v/>
      </c>
      <c r="H99" s="1914"/>
      <c r="I99" s="1914"/>
    </row>
    <row r="100" spans="1:24" ht="21.95" customHeight="1">
      <c r="B100" s="1261"/>
      <c r="C100" s="1261"/>
      <c r="D100" s="1261"/>
      <c r="E100" s="1261"/>
      <c r="F100" s="1261"/>
      <c r="G100" s="1261"/>
      <c r="H100" s="1261"/>
      <c r="I100" s="1261"/>
    </row>
    <row r="101" spans="1:24" ht="15.75" customHeight="1">
      <c r="B101" s="2121" t="str">
        <f>IF(OR(COUNTIF(D97:F99,"*ND*")&gt;0,COUNTIF(G97:I99,"*ND*")&gt;0),"ND = Tidak dapat ditentukan karena target kepadatan berada di luar rentang data pengujian. / ND = Not determined because the target density is outside the tested data range.","")</f>
        <v/>
      </c>
      <c r="C101" s="2121"/>
      <c r="D101" s="2121"/>
      <c r="E101" s="2121"/>
      <c r="F101" s="2121"/>
      <c r="G101" s="2121"/>
      <c r="H101" s="2121"/>
      <c r="I101" s="2121"/>
    </row>
    <row r="102" spans="1:24">
      <c r="B102" s="2121"/>
      <c r="C102" s="2121"/>
      <c r="D102" s="2121"/>
      <c r="E102" s="2121"/>
      <c r="F102" s="2121"/>
      <c r="G102" s="2121"/>
      <c r="H102" s="2121"/>
      <c r="I102" s="2121"/>
    </row>
    <row r="109" spans="1:24">
      <c r="A109" s="710"/>
      <c r="B109" s="576"/>
      <c r="C109" s="576"/>
    </row>
    <row r="110" spans="1:24">
      <c r="A110" s="540" t="s">
        <v>1318</v>
      </c>
    </row>
    <row r="111" spans="1:24">
      <c r="A111" s="1248" t="s">
        <v>1319</v>
      </c>
      <c r="B111" s="540"/>
      <c r="C111" s="540"/>
      <c r="D111" s="540"/>
      <c r="E111" s="540"/>
      <c r="F111" s="540"/>
      <c r="G111" s="540"/>
      <c r="H111" s="540"/>
      <c r="I111" s="540"/>
      <c r="J111" s="540"/>
      <c r="K111" s="540"/>
      <c r="L111" s="540"/>
      <c r="M111" s="540"/>
      <c r="N111" s="540"/>
      <c r="O111" s="540"/>
      <c r="P111" s="540"/>
      <c r="Q111" s="540"/>
      <c r="R111" s="540"/>
      <c r="S111" s="540"/>
      <c r="T111" s="540"/>
      <c r="U111" s="540"/>
      <c r="V111" s="540"/>
      <c r="W111" s="540"/>
      <c r="X111" s="540"/>
    </row>
    <row r="137" spans="1:24" ht="9" customHeight="1"/>
    <row r="140" spans="1:24">
      <c r="H140" s="686"/>
      <c r="I140" s="687"/>
      <c r="J140" s="686"/>
      <c r="K140" s="686"/>
      <c r="L140" s="686"/>
      <c r="M140" s="686"/>
      <c r="N140" s="686"/>
      <c r="O140" s="686"/>
      <c r="P140" s="686"/>
      <c r="Q140" s="686"/>
      <c r="R140" s="686"/>
      <c r="S140" s="686"/>
      <c r="U140" s="686"/>
      <c r="V140" s="686"/>
      <c r="W140" s="686"/>
      <c r="X140" s="686"/>
    </row>
    <row r="141" spans="1:24">
      <c r="A141" s="700" t="s">
        <v>297</v>
      </c>
      <c r="B141" s="338"/>
      <c r="C141" s="338"/>
      <c r="D141" s="4"/>
      <c r="E141" s="4"/>
      <c r="F141" s="4"/>
      <c r="G141" s="690"/>
      <c r="H141" s="1798" t="s">
        <v>623</v>
      </c>
      <c r="I141" s="1798"/>
      <c r="J141" s="1798"/>
      <c r="K141" s="1799"/>
      <c r="L141" s="1800" t="s">
        <v>292</v>
      </c>
      <c r="M141" s="1800"/>
      <c r="N141" s="1800"/>
      <c r="O141" s="1801"/>
      <c r="P141" s="1802" t="s">
        <v>294</v>
      </c>
      <c r="Q141" s="1798"/>
      <c r="R141" s="1798"/>
      <c r="S141" s="1799"/>
      <c r="U141" s="698"/>
      <c r="V141" s="688"/>
      <c r="W141" s="688"/>
      <c r="X141" s="694"/>
    </row>
    <row r="142" spans="1:24" ht="15.95" customHeight="1">
      <c r="G142" s="691"/>
      <c r="H142" s="1675" t="s">
        <v>624</v>
      </c>
      <c r="I142" s="1675"/>
      <c r="J142" s="1675"/>
      <c r="K142" s="1785"/>
      <c r="L142" s="1675" t="s">
        <v>293</v>
      </c>
      <c r="M142" s="1675"/>
      <c r="N142" s="1675"/>
      <c r="O142" s="1785"/>
      <c r="P142" s="1794" t="s">
        <v>295</v>
      </c>
      <c r="Q142" s="1675"/>
      <c r="R142" s="1675"/>
      <c r="S142" s="1785"/>
      <c r="U142" s="697"/>
      <c r="X142" s="691"/>
    </row>
    <row r="143" spans="1:24">
      <c r="G143" s="691"/>
      <c r="I143" s="911"/>
      <c r="J143" s="911"/>
      <c r="K143" s="1121"/>
      <c r="O143" s="690"/>
      <c r="P143" s="697"/>
      <c r="S143" s="691"/>
      <c r="U143" s="697"/>
      <c r="X143" s="691"/>
    </row>
    <row r="144" spans="1:24">
      <c r="G144" s="691"/>
      <c r="H144" s="911"/>
      <c r="I144" s="911"/>
      <c r="J144" s="911"/>
      <c r="K144" s="1121"/>
      <c r="O144" s="690"/>
      <c r="P144" s="697"/>
      <c r="S144" s="691"/>
      <c r="U144" s="697"/>
      <c r="X144" s="691"/>
    </row>
    <row r="145" spans="1:27">
      <c r="G145" s="691"/>
      <c r="H145" s="911"/>
      <c r="I145" s="911"/>
      <c r="J145" s="911"/>
      <c r="K145" s="1121"/>
      <c r="O145" s="690"/>
      <c r="P145" s="697"/>
      <c r="S145" s="691"/>
      <c r="U145" s="697"/>
      <c r="X145" s="691"/>
    </row>
    <row r="146" spans="1:27">
      <c r="G146" s="691"/>
      <c r="H146" s="1797" t="str">
        <f>C66</f>
        <v>RAFLY</v>
      </c>
      <c r="I146" s="1665"/>
      <c r="J146" s="1665"/>
      <c r="K146" s="1796"/>
      <c r="L146" s="1665" t="str">
        <f>H66</f>
        <v>NOUFAL</v>
      </c>
      <c r="M146" s="1665"/>
      <c r="N146" s="1665"/>
      <c r="O146" s="1796"/>
      <c r="P146" s="1797" t="str">
        <f>M66</f>
        <v>A.SUMARTADJI</v>
      </c>
      <c r="Q146" s="1665"/>
      <c r="R146" s="1665"/>
      <c r="S146" s="1796"/>
      <c r="U146" s="697"/>
      <c r="X146" s="691"/>
    </row>
    <row r="147" spans="1:27">
      <c r="G147" s="691"/>
      <c r="H147" s="1668" t="str">
        <f>C67</f>
        <v>Teknisi/Analis</v>
      </c>
      <c r="I147" s="1668"/>
      <c r="J147" s="1668"/>
      <c r="K147" s="1755"/>
      <c r="L147" s="1668" t="str">
        <f>H67</f>
        <v>Koordinator Teknis</v>
      </c>
      <c r="M147" s="1668"/>
      <c r="N147" s="1668"/>
      <c r="O147" s="1755"/>
      <c r="P147" s="1754" t="str">
        <f>M67</f>
        <v>Kepala Laboratorium</v>
      </c>
      <c r="Q147" s="1668"/>
      <c r="R147" s="1668"/>
      <c r="S147" s="1755"/>
      <c r="U147" s="699"/>
      <c r="V147" s="358"/>
      <c r="W147" s="358"/>
      <c r="X147" s="695"/>
      <c r="Y147" s="358"/>
      <c r="Z147" s="358"/>
      <c r="AA147" s="358"/>
    </row>
    <row r="148" spans="1:27" ht="15.95" customHeight="1">
      <c r="G148" s="691"/>
      <c r="H148" s="1803" t="s">
        <v>291</v>
      </c>
      <c r="I148" s="1803"/>
      <c r="J148" s="1804">
        <f>E68</f>
        <v>46050</v>
      </c>
      <c r="K148" s="1805"/>
      <c r="L148" s="1806" t="s">
        <v>300</v>
      </c>
      <c r="M148" s="1806"/>
      <c r="N148" s="1807">
        <f>J68</f>
        <v>46050</v>
      </c>
      <c r="O148" s="1808"/>
      <c r="P148" s="1809" t="s">
        <v>301</v>
      </c>
      <c r="Q148" s="1810"/>
      <c r="R148" s="1792">
        <f>P68</f>
        <v>46050</v>
      </c>
      <c r="S148" s="1793"/>
      <c r="U148" s="692"/>
      <c r="V148" s="693"/>
      <c r="W148" s="693"/>
      <c r="X148" s="696"/>
    </row>
    <row r="149" spans="1:27" ht="8.1" customHeight="1">
      <c r="H149" s="688"/>
      <c r="I149" s="689"/>
      <c r="J149" s="688"/>
      <c r="K149" s="688"/>
      <c r="L149" s="688"/>
      <c r="M149" s="688"/>
      <c r="N149" s="688"/>
      <c r="O149" s="688"/>
      <c r="P149" s="688"/>
      <c r="Q149" s="688"/>
      <c r="R149" s="688"/>
      <c r="S149" s="688"/>
    </row>
    <row r="150" spans="1:27" ht="18" customHeight="1">
      <c r="B150" s="356"/>
      <c r="C150" s="356"/>
      <c r="D150" s="356"/>
      <c r="E150" s="356"/>
      <c r="T150" s="1265" t="str">
        <f>$T$75</f>
        <v>23-MINEARTH-RM-LHU-CBR-S-R0</v>
      </c>
      <c r="U150" s="367"/>
      <c r="V150" s="367"/>
      <c r="W150" s="367"/>
      <c r="X150" s="367"/>
    </row>
    <row r="151" spans="1:27" ht="18" customHeight="1">
      <c r="F151" s="1681" t="s">
        <v>302</v>
      </c>
      <c r="G151" s="1681"/>
      <c r="H151" s="1681"/>
      <c r="I151" s="1681"/>
      <c r="J151" s="1681"/>
      <c r="K151" s="1681"/>
      <c r="L151" s="1681"/>
      <c r="M151" s="1681"/>
      <c r="N151" s="1681"/>
      <c r="O151" s="1681"/>
      <c r="P151" s="1681"/>
      <c r="Q151" s="1681"/>
      <c r="R151" s="1681"/>
      <c r="S151" s="1681"/>
      <c r="T151" s="1681"/>
    </row>
    <row r="152" spans="1:27" ht="17.100000000000001" customHeight="1">
      <c r="F152" s="1682" t="s">
        <v>1582</v>
      </c>
      <c r="G152" s="1682"/>
      <c r="H152" s="1682"/>
      <c r="I152" s="1682"/>
      <c r="J152" s="1682"/>
      <c r="K152" s="1682"/>
      <c r="L152" s="1682"/>
      <c r="M152" s="1682"/>
      <c r="N152" s="1682"/>
      <c r="O152" s="1682"/>
      <c r="P152" s="1682"/>
      <c r="Q152" s="1682"/>
      <c r="R152" s="1682"/>
      <c r="S152" s="1682"/>
      <c r="T152" s="1682"/>
    </row>
    <row r="153" spans="1:27">
      <c r="F153" s="1683" t="s">
        <v>304</v>
      </c>
      <c r="G153" s="1683"/>
      <c r="H153" s="1683"/>
      <c r="I153" s="1683"/>
      <c r="J153" s="1683"/>
      <c r="K153" s="1683"/>
      <c r="L153" s="1683"/>
      <c r="M153" s="1683"/>
      <c r="N153" s="1683"/>
      <c r="O153" s="1683"/>
      <c r="P153" s="1683"/>
      <c r="Q153" s="1683"/>
      <c r="R153" s="1683"/>
      <c r="S153" s="1683"/>
      <c r="T153" s="1683"/>
    </row>
    <row r="154" spans="1:27" ht="8.1" customHeight="1">
      <c r="A154" s="333"/>
      <c r="B154" s="333"/>
      <c r="C154" s="333"/>
      <c r="D154" s="333"/>
      <c r="E154" s="333"/>
      <c r="F154" s="333"/>
      <c r="G154" s="333"/>
      <c r="H154" s="333"/>
      <c r="I154" s="337"/>
      <c r="J154" s="333"/>
      <c r="K154" s="333"/>
      <c r="L154" s="333"/>
      <c r="M154" s="333"/>
      <c r="N154" s="333"/>
      <c r="O154" s="333"/>
      <c r="P154" s="333"/>
      <c r="Q154" s="333"/>
      <c r="R154" s="333"/>
      <c r="S154" s="333"/>
      <c r="T154" s="333"/>
      <c r="U154" s="333"/>
      <c r="V154" s="333"/>
      <c r="W154" s="333"/>
      <c r="X154" s="333"/>
    </row>
    <row r="155" spans="1:27" ht="8.1" customHeight="1"/>
    <row r="156" spans="1:27">
      <c r="A156" s="2129" t="s">
        <v>1280</v>
      </c>
      <c r="B156" s="2130"/>
      <c r="C156" s="2130"/>
      <c r="D156" s="2130"/>
      <c r="E156" s="1254" t="str">
        <f>E85</f>
        <v>23/MGS/53/II/2026</v>
      </c>
      <c r="F156" s="905"/>
      <c r="G156" s="1255"/>
      <c r="H156" s="1255"/>
      <c r="I156" s="1256"/>
      <c r="J156" s="1255"/>
      <c r="K156" s="1257"/>
      <c r="L156" s="1257"/>
      <c r="M156" s="1257"/>
      <c r="N156" s="1257"/>
      <c r="O156" s="1257"/>
      <c r="P156" s="1257"/>
      <c r="Q156" s="1257"/>
      <c r="R156" s="1257"/>
      <c r="S156" s="1257"/>
      <c r="T156" s="1257"/>
      <c r="U156" s="1257"/>
      <c r="V156" s="1257"/>
      <c r="W156" s="1257"/>
      <c r="X156" s="1258"/>
    </row>
    <row r="157" spans="1:27">
      <c r="A157" s="2131" t="s">
        <v>1281</v>
      </c>
      <c r="B157" s="2127"/>
      <c r="C157" s="2127"/>
      <c r="D157" s="2127"/>
      <c r="E157" s="1251" t="str">
        <f>E86</f>
        <v>R0</v>
      </c>
      <c r="F157" s="897"/>
      <c r="G157" s="1252"/>
      <c r="H157" s="1252"/>
      <c r="I157" s="896"/>
      <c r="J157" s="1252" t="s">
        <v>1282</v>
      </c>
      <c r="K157" s="1252"/>
      <c r="L157" s="1252"/>
      <c r="M157" s="1253"/>
      <c r="N157" s="2132">
        <f>N86</f>
        <v>46051</v>
      </c>
      <c r="O157" s="2132"/>
      <c r="P157" s="2132"/>
      <c r="Q157" s="2132"/>
      <c r="R157" s="1250"/>
      <c r="S157" s="896"/>
      <c r="T157" s="2127" t="s">
        <v>1283</v>
      </c>
      <c r="U157" s="2127"/>
      <c r="V157" s="2127"/>
      <c r="W157" s="2127" t="s">
        <v>826</v>
      </c>
      <c r="X157" s="2128"/>
    </row>
    <row r="159" spans="1:27">
      <c r="A159" s="1679" t="s">
        <v>288</v>
      </c>
      <c r="B159" s="1679"/>
      <c r="C159" s="1679"/>
      <c r="D159" s="1679"/>
      <c r="E159" s="1679"/>
      <c r="F159" s="1679"/>
      <c r="G159" s="1679"/>
      <c r="H159" s="1679"/>
      <c r="I159" s="1679"/>
      <c r="J159" s="1679"/>
      <c r="K159" s="1679"/>
      <c r="L159" s="1679"/>
      <c r="M159" s="1679"/>
      <c r="N159" s="1679"/>
      <c r="O159" s="1679"/>
      <c r="P159" s="1679"/>
      <c r="Q159" s="1679"/>
      <c r="R159" s="1679"/>
      <c r="S159" s="1679"/>
      <c r="T159" s="1679"/>
      <c r="U159" s="1679"/>
      <c r="V159" s="1679"/>
      <c r="W159" s="1679"/>
      <c r="X159" s="1679"/>
    </row>
    <row r="161" spans="1:3">
      <c r="A161" s="710"/>
      <c r="B161" s="576"/>
      <c r="C161" s="576"/>
    </row>
    <row r="210" spans="1:24">
      <c r="H210" s="686"/>
      <c r="I210" s="687"/>
      <c r="J210" s="686"/>
      <c r="K210" s="686"/>
      <c r="L210" s="686"/>
      <c r="M210" s="686"/>
      <c r="N210" s="686"/>
      <c r="O210" s="686"/>
      <c r="P210" s="686"/>
      <c r="Q210" s="686"/>
      <c r="R210" s="686"/>
      <c r="S210" s="686"/>
      <c r="U210" s="686"/>
      <c r="V210" s="686"/>
      <c r="W210" s="686"/>
      <c r="X210" s="686"/>
    </row>
    <row r="211" spans="1:24">
      <c r="A211" s="700" t="s">
        <v>297</v>
      </c>
      <c r="B211" s="338"/>
      <c r="C211" s="338"/>
      <c r="D211" s="4"/>
      <c r="E211" s="4"/>
      <c r="F211" s="4"/>
      <c r="G211" s="690"/>
      <c r="H211" s="1798" t="s">
        <v>623</v>
      </c>
      <c r="I211" s="1798"/>
      <c r="J211" s="1798"/>
      <c r="K211" s="1799"/>
      <c r="L211" s="1800" t="s">
        <v>292</v>
      </c>
      <c r="M211" s="1800"/>
      <c r="N211" s="1800"/>
      <c r="O211" s="1801"/>
      <c r="P211" s="1802" t="s">
        <v>294</v>
      </c>
      <c r="Q211" s="1798"/>
      <c r="R211" s="1798"/>
      <c r="S211" s="1799"/>
      <c r="U211" s="698"/>
      <c r="V211" s="688"/>
      <c r="W211" s="688"/>
      <c r="X211" s="694"/>
    </row>
    <row r="212" spans="1:24">
      <c r="G212" s="691"/>
      <c r="H212" s="1675" t="s">
        <v>624</v>
      </c>
      <c r="I212" s="1675"/>
      <c r="J212" s="1675"/>
      <c r="K212" s="1785"/>
      <c r="L212" s="1675" t="s">
        <v>293</v>
      </c>
      <c r="M212" s="1675"/>
      <c r="N212" s="1675"/>
      <c r="O212" s="1785"/>
      <c r="P212" s="1794" t="s">
        <v>295</v>
      </c>
      <c r="Q212" s="1675"/>
      <c r="R212" s="1675"/>
      <c r="S212" s="1785"/>
      <c r="U212" s="697"/>
      <c r="X212" s="691"/>
    </row>
    <row r="213" spans="1:24">
      <c r="G213" s="691"/>
      <c r="I213" s="911"/>
      <c r="J213" s="911"/>
      <c r="K213" s="1121"/>
      <c r="O213" s="690"/>
      <c r="P213" s="697"/>
      <c r="S213" s="691"/>
      <c r="U213" s="697"/>
      <c r="X213" s="691"/>
    </row>
    <row r="214" spans="1:24">
      <c r="G214" s="691"/>
      <c r="H214" s="911"/>
      <c r="I214" s="911"/>
      <c r="J214" s="911"/>
      <c r="K214" s="1121"/>
      <c r="O214" s="690"/>
      <c r="P214" s="697"/>
      <c r="S214" s="691"/>
      <c r="U214" s="697"/>
      <c r="X214" s="691"/>
    </row>
    <row r="215" spans="1:24">
      <c r="G215" s="691"/>
      <c r="H215" s="911"/>
      <c r="I215" s="911"/>
      <c r="J215" s="911"/>
      <c r="K215" s="1121"/>
      <c r="O215" s="690"/>
      <c r="P215" s="697"/>
      <c r="S215" s="691"/>
      <c r="U215" s="697"/>
      <c r="X215" s="691"/>
    </row>
    <row r="216" spans="1:24">
      <c r="G216" s="691"/>
      <c r="H216" s="1797" t="str">
        <f>H146</f>
        <v>RAFLY</v>
      </c>
      <c r="I216" s="1665"/>
      <c r="J216" s="1665"/>
      <c r="K216" s="1796"/>
      <c r="L216" s="1665" t="str">
        <f>L146</f>
        <v>NOUFAL</v>
      </c>
      <c r="M216" s="1665"/>
      <c r="N216" s="1665"/>
      <c r="O216" s="1796"/>
      <c r="P216" s="1797" t="str">
        <f>P146</f>
        <v>A.SUMARTADJI</v>
      </c>
      <c r="Q216" s="1665"/>
      <c r="R216" s="1665"/>
      <c r="S216" s="1796"/>
      <c r="U216" s="697"/>
      <c r="X216" s="691"/>
    </row>
    <row r="217" spans="1:24">
      <c r="G217" s="691"/>
      <c r="H217" s="1668" t="str">
        <f>H147</f>
        <v>Teknisi/Analis</v>
      </c>
      <c r="I217" s="1668"/>
      <c r="J217" s="1668"/>
      <c r="K217" s="1755"/>
      <c r="L217" s="1668" t="str">
        <f>L147</f>
        <v>Koordinator Teknis</v>
      </c>
      <c r="M217" s="1668"/>
      <c r="N217" s="1668"/>
      <c r="O217" s="1755"/>
      <c r="P217" s="1754" t="str">
        <f>P147</f>
        <v>Kepala Laboratorium</v>
      </c>
      <c r="Q217" s="1668"/>
      <c r="R217" s="1668"/>
      <c r="S217" s="1755"/>
      <c r="U217" s="699"/>
      <c r="V217" s="358"/>
      <c r="W217" s="358"/>
      <c r="X217" s="695"/>
    </row>
    <row r="218" spans="1:24">
      <c r="G218" s="691"/>
      <c r="H218" s="1803" t="s">
        <v>291</v>
      </c>
      <c r="I218" s="1803"/>
      <c r="J218" s="1804">
        <f>J148</f>
        <v>46050</v>
      </c>
      <c r="K218" s="1805"/>
      <c r="L218" s="1806" t="s">
        <v>300</v>
      </c>
      <c r="M218" s="1806"/>
      <c r="N218" s="1807">
        <f>N148</f>
        <v>46050</v>
      </c>
      <c r="O218" s="1808"/>
      <c r="P218" s="1809" t="s">
        <v>301</v>
      </c>
      <c r="Q218" s="1810"/>
      <c r="R218" s="1792">
        <f>R148</f>
        <v>46050</v>
      </c>
      <c r="S218" s="1793"/>
      <c r="U218" s="692"/>
      <c r="V218" s="693"/>
      <c r="W218" s="693"/>
      <c r="X218" s="696"/>
    </row>
    <row r="219" spans="1:24">
      <c r="H219" s="688"/>
      <c r="I219" s="689"/>
      <c r="J219" s="688"/>
      <c r="K219" s="688"/>
      <c r="L219" s="688"/>
      <c r="M219" s="688"/>
      <c r="N219" s="688"/>
      <c r="O219" s="688"/>
      <c r="P219" s="688"/>
      <c r="Q219" s="688"/>
      <c r="R219" s="688"/>
      <c r="S219" s="688"/>
    </row>
    <row r="220" spans="1:24">
      <c r="B220" s="356"/>
      <c r="C220" s="356"/>
      <c r="D220" s="356"/>
      <c r="E220" s="356"/>
      <c r="T220" s="1265" t="str">
        <f>$T$75</f>
        <v>23-MINEARTH-RM-LHU-CBR-S-R0</v>
      </c>
      <c r="U220" s="367"/>
      <c r="V220" s="367"/>
      <c r="W220" s="367"/>
      <c r="X220" s="367"/>
    </row>
  </sheetData>
  <mergeCells count="164">
    <mergeCell ref="F1:T1"/>
    <mergeCell ref="F2:T2"/>
    <mergeCell ref="F3:T3"/>
    <mergeCell ref="A6:D6"/>
    <mergeCell ref="A7:D7"/>
    <mergeCell ref="N7:Q7"/>
    <mergeCell ref="T7:V7"/>
    <mergeCell ref="A15:D15"/>
    <mergeCell ref="E15:L15"/>
    <mergeCell ref="N15:S15"/>
    <mergeCell ref="T15:X15"/>
    <mergeCell ref="N16:S17"/>
    <mergeCell ref="T16:X17"/>
    <mergeCell ref="W7:X7"/>
    <mergeCell ref="A10:L10"/>
    <mergeCell ref="A13:L13"/>
    <mergeCell ref="N13:X13"/>
    <mergeCell ref="A14:D14"/>
    <mergeCell ref="E14:L14"/>
    <mergeCell ref="N14:S14"/>
    <mergeCell ref="T14:X14"/>
    <mergeCell ref="A18:L18"/>
    <mergeCell ref="N18:S18"/>
    <mergeCell ref="T18:X18"/>
    <mergeCell ref="N19:S20"/>
    <mergeCell ref="T19:X20"/>
    <mergeCell ref="A20:D21"/>
    <mergeCell ref="E20:L21"/>
    <mergeCell ref="N21:S22"/>
    <mergeCell ref="T21:X22"/>
    <mergeCell ref="A22:D23"/>
    <mergeCell ref="A34:I34"/>
    <mergeCell ref="J34:L34"/>
    <mergeCell ref="N34:U34"/>
    <mergeCell ref="V34:X34"/>
    <mergeCell ref="A35:I35"/>
    <mergeCell ref="J35:L35"/>
    <mergeCell ref="N35:U35"/>
    <mergeCell ref="V35:X35"/>
    <mergeCell ref="E22:L23"/>
    <mergeCell ref="N23:S24"/>
    <mergeCell ref="T23:X24"/>
    <mergeCell ref="A27:T27"/>
    <mergeCell ref="U27:U28"/>
    <mergeCell ref="V27:X28"/>
    <mergeCell ref="A28:T28"/>
    <mergeCell ref="N38:U38"/>
    <mergeCell ref="V38:X38"/>
    <mergeCell ref="N39:U39"/>
    <mergeCell ref="V39:X39"/>
    <mergeCell ref="A43:G43"/>
    <mergeCell ref="H43:I43"/>
    <mergeCell ref="J43:K43"/>
    <mergeCell ref="A36:I36"/>
    <mergeCell ref="J36:L36"/>
    <mergeCell ref="N36:U36"/>
    <mergeCell ref="V36:X36"/>
    <mergeCell ref="A37:I37"/>
    <mergeCell ref="J37:L37"/>
    <mergeCell ref="N37:U37"/>
    <mergeCell ref="V37:X37"/>
    <mergeCell ref="A46:G46"/>
    <mergeCell ref="H46:I46"/>
    <mergeCell ref="J46:K46"/>
    <mergeCell ref="A47:G47"/>
    <mergeCell ref="H47:I47"/>
    <mergeCell ref="J47:K47"/>
    <mergeCell ref="A44:G44"/>
    <mergeCell ref="H44:I44"/>
    <mergeCell ref="J44:K44"/>
    <mergeCell ref="A45:G45"/>
    <mergeCell ref="H45:I45"/>
    <mergeCell ref="J45:K45"/>
    <mergeCell ref="C62:G62"/>
    <mergeCell ref="H62:L62"/>
    <mergeCell ref="M62:R62"/>
    <mergeCell ref="C66:G66"/>
    <mergeCell ref="H66:L66"/>
    <mergeCell ref="M66:R66"/>
    <mergeCell ref="A48:G48"/>
    <mergeCell ref="H48:I48"/>
    <mergeCell ref="J48:K48"/>
    <mergeCell ref="C61:G61"/>
    <mergeCell ref="H61:L61"/>
    <mergeCell ref="M61:R61"/>
    <mergeCell ref="A70:C74"/>
    <mergeCell ref="F80:T80"/>
    <mergeCell ref="F81:T81"/>
    <mergeCell ref="F82:T82"/>
    <mergeCell ref="A85:D85"/>
    <mergeCell ref="A86:D86"/>
    <mergeCell ref="N86:Q86"/>
    <mergeCell ref="T86:V86"/>
    <mergeCell ref="C67:G67"/>
    <mergeCell ref="H67:L67"/>
    <mergeCell ref="M67:R67"/>
    <mergeCell ref="C68:D68"/>
    <mergeCell ref="E68:G68"/>
    <mergeCell ref="H68:I68"/>
    <mergeCell ref="J68:L68"/>
    <mergeCell ref="M68:O68"/>
    <mergeCell ref="P68:R68"/>
    <mergeCell ref="B97:C97"/>
    <mergeCell ref="D97:F97"/>
    <mergeCell ref="G97:I97"/>
    <mergeCell ref="B98:C98"/>
    <mergeCell ref="D98:F98"/>
    <mergeCell ref="G98:I98"/>
    <mergeCell ref="W86:X86"/>
    <mergeCell ref="A88:X88"/>
    <mergeCell ref="B95:F95"/>
    <mergeCell ref="G95:I95"/>
    <mergeCell ref="B96:C96"/>
    <mergeCell ref="D96:F96"/>
    <mergeCell ref="G96:I96"/>
    <mergeCell ref="P141:S141"/>
    <mergeCell ref="H142:K142"/>
    <mergeCell ref="L142:O142"/>
    <mergeCell ref="P142:S142"/>
    <mergeCell ref="H146:K146"/>
    <mergeCell ref="L146:O146"/>
    <mergeCell ref="P146:S146"/>
    <mergeCell ref="B99:C99"/>
    <mergeCell ref="D99:F99"/>
    <mergeCell ref="G99:I99"/>
    <mergeCell ref="B101:I102"/>
    <mergeCell ref="H141:K141"/>
    <mergeCell ref="L141:O141"/>
    <mergeCell ref="H147:K147"/>
    <mergeCell ref="L147:O147"/>
    <mergeCell ref="P147:S147"/>
    <mergeCell ref="H148:I148"/>
    <mergeCell ref="J148:K148"/>
    <mergeCell ref="L148:M148"/>
    <mergeCell ref="N148:O148"/>
    <mergeCell ref="P148:Q148"/>
    <mergeCell ref="R148:S148"/>
    <mergeCell ref="W157:X157"/>
    <mergeCell ref="A159:X159"/>
    <mergeCell ref="H211:K211"/>
    <mergeCell ref="L211:O211"/>
    <mergeCell ref="P211:S211"/>
    <mergeCell ref="H212:K212"/>
    <mergeCell ref="L212:O212"/>
    <mergeCell ref="P212:S212"/>
    <mergeCell ref="F151:T151"/>
    <mergeCell ref="F152:T152"/>
    <mergeCell ref="F153:T153"/>
    <mergeCell ref="A156:D156"/>
    <mergeCell ref="A157:D157"/>
    <mergeCell ref="N157:Q157"/>
    <mergeCell ref="T157:V157"/>
    <mergeCell ref="H218:I218"/>
    <mergeCell ref="J218:K218"/>
    <mergeCell ref="L218:M218"/>
    <mergeCell ref="N218:O218"/>
    <mergeCell ref="P218:Q218"/>
    <mergeCell ref="R218:S218"/>
    <mergeCell ref="H216:K216"/>
    <mergeCell ref="L216:O216"/>
    <mergeCell ref="P216:S216"/>
    <mergeCell ref="H217:K217"/>
    <mergeCell ref="L217:O217"/>
    <mergeCell ref="P217:S217"/>
  </mergeCells>
  <conditionalFormatting sqref="B97:I99">
    <cfRule type="expression" dxfId="112" priority="1">
      <formula>$B97&lt;&gt;""</formula>
    </cfRule>
  </conditionalFormatting>
  <pageMargins left="0.72" right="0.47" top="0.59" bottom="0.51" header="0.28000000000000003" footer="0.28000000000000003"/>
  <pageSetup paperSize="9" scale="68" orientation="portrait" r:id="rId1"/>
  <rowBreaks count="2" manualBreakCount="2">
    <brk id="79" max="23" man="1"/>
    <brk id="150" max="23" man="1"/>
  </rowBreaks>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9E45-D79D-46D5-AEC7-38E666E31A71}">
  <dimension ref="A28:X115"/>
  <sheetViews>
    <sheetView topLeftCell="A33" zoomScale="51" zoomScaleNormal="51" workbookViewId="0">
      <selection activeCell="T96" sqref="T96"/>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66" t="s">
        <v>1719</v>
      </c>
      <c r="B41" s="862"/>
      <c r="C41" s="14"/>
      <c r="D41" s="370"/>
      <c r="E41" s="370"/>
      <c r="P41" s="370" t="s">
        <v>1630</v>
      </c>
      <c r="Q41" s="370" t="s">
        <v>1631</v>
      </c>
      <c r="R41" s="370" t="s">
        <v>1657</v>
      </c>
      <c r="S41" s="370" t="s">
        <v>1658</v>
      </c>
      <c r="T41" s="370"/>
    </row>
    <row r="42" spans="1:20">
      <c r="A42" s="1570" t="s">
        <v>2195</v>
      </c>
      <c r="B42" s="862"/>
      <c r="C42" s="14"/>
      <c r="D42" s="370"/>
      <c r="E42" s="370"/>
    </row>
    <row r="43" spans="1:20">
      <c r="A43" s="1566" t="s">
        <v>1719</v>
      </c>
      <c r="B43" s="862"/>
      <c r="C43" s="14"/>
      <c r="D43" s="370"/>
      <c r="E43" s="370"/>
    </row>
    <row r="44" spans="1:20">
      <c r="A44" s="1566"/>
      <c r="B44" s="862"/>
      <c r="C44" s="14"/>
      <c r="D44" s="370"/>
      <c r="E44" s="370"/>
    </row>
    <row r="45" spans="1:20">
      <c r="B45" t="s">
        <v>1611</v>
      </c>
      <c r="C45" s="299" t="s">
        <v>1612</v>
      </c>
    </row>
    <row r="46" spans="1:20">
      <c r="B46" s="116"/>
      <c r="H46" s="116"/>
      <c r="N46" s="116"/>
    </row>
    <row r="47" spans="1:20">
      <c r="B47" s="116" t="s">
        <v>1793</v>
      </c>
      <c r="H47" s="116"/>
      <c r="N47" s="116"/>
    </row>
    <row r="48" spans="1:20">
      <c r="B48" s="1866" t="s">
        <v>124</v>
      </c>
      <c r="C48" s="1866"/>
      <c r="D48" s="1866" t="s">
        <v>1783</v>
      </c>
      <c r="E48" s="1867" t="s">
        <v>1788</v>
      </c>
      <c r="F48" s="1867"/>
      <c r="G48" s="1868" t="s">
        <v>1789</v>
      </c>
      <c r="H48" s="1868"/>
      <c r="I48" s="1868"/>
      <c r="J48" s="1868"/>
      <c r="K48" s="1868"/>
      <c r="L48" s="1868"/>
      <c r="M48" s="1868"/>
      <c r="N48" s="1868"/>
      <c r="Q48" s="116" t="s">
        <v>1841</v>
      </c>
    </row>
    <row r="49" spans="1:21">
      <c r="B49" s="1866"/>
      <c r="C49" s="1866"/>
      <c r="D49" s="1866"/>
      <c r="E49" s="1581" t="s">
        <v>1598</v>
      </c>
      <c r="F49" s="1581" t="s">
        <v>1718</v>
      </c>
      <c r="G49" s="1579" t="s">
        <v>1790</v>
      </c>
      <c r="H49" s="1579" t="s">
        <v>1684</v>
      </c>
      <c r="I49" s="1580" t="s">
        <v>1794</v>
      </c>
      <c r="J49" s="1580" t="s">
        <v>438</v>
      </c>
      <c r="K49" s="1580" t="s">
        <v>1791</v>
      </c>
      <c r="L49" s="1580" t="s">
        <v>1598</v>
      </c>
      <c r="M49" s="1580" t="s">
        <v>1792</v>
      </c>
      <c r="N49" s="1580" t="s">
        <v>1718</v>
      </c>
      <c r="R49" t="s">
        <v>575</v>
      </c>
      <c r="S49" t="s">
        <v>1607</v>
      </c>
      <c r="T49" t="s">
        <v>1608</v>
      </c>
      <c r="U49" t="s">
        <v>1715</v>
      </c>
    </row>
    <row r="50" spans="1:21" ht="78.75" customHeight="1">
      <c r="B50" s="1270" t="s">
        <v>2196</v>
      </c>
      <c r="C50" s="1270"/>
      <c r="D50" s="1621">
        <v>20</v>
      </c>
      <c r="E50" s="1622" t="str">
        <f>IF(D50="","CHECK",
IFERROR(
IF(AND(
D50&gt;=INDEX($S$50:$S$51,MATCH(B50,$R$50:$R$51,0)),
D50&lt;=INDEX($T$50:$T$51,MATCH(B50,$R$50:$R$51,0))
),
"PASS",
"REVIEW"),
"CHECK"))</f>
        <v>PASS</v>
      </c>
      <c r="F50" s="1623" t="str">
        <f>IFERROR(
INDEX($U$50:$U$51,
MATCH(B50,$R$50:$R$51,0)),
"")</f>
        <v>ASTM D4943 / AASHTO T92</v>
      </c>
      <c r="G50" s="1596" t="str" cm="1">
        <f t="array" ref="G50">IFERROR(
INDEX(R55:R59,
MATCH(1,
($Q$55:$Q$59=B50)*
($U$55:$U$59&gt;=D50)*
($T$55:$T$59&lt;=D50),
0)),
"")</f>
        <v>Sedang</v>
      </c>
      <c r="H50" s="1596" cm="1">
        <f t="array" ref="H50">IFERROR(
INDEX($S$55:$S$59,
MATCH(1,
($Q$55:$Q$59=B50)*
($U$55:$U$59&gt;=D50)*
($T$55:$T$59&lt;=D50),
0)),
"")</f>
        <v>3</v>
      </c>
      <c r="I50" s="1596" t="str" cm="1">
        <f t="array" ref="I50">IFERROR(
INDEX($S$68:$S$79,
MATCH(1,
($Q$68:$Q$79=$C$45)*
($R$68:$R$79=$B$50),
0)),
"")</f>
        <v>Tinggi</v>
      </c>
      <c r="J50" s="1596" cm="1">
        <f t="array" ref="J50">IFERROR(
INDEX($T$68:$T$79,
MATCH(1,
($Q$68:$Q$79=$C$45)*
($R$68:$R$79=$B$50),
0)),
"")</f>
        <v>15</v>
      </c>
      <c r="K50" s="1596" cm="1">
        <f t="array" ref="K50">IFERROR(
INDEX($U$68:$U$79,
MATCH(1,
($Q$68:$Q$79=$C$45)*
($R$68:$R$79=$B$50),
0)),
"")</f>
        <v>35</v>
      </c>
      <c r="L50" s="1622" t="str">
        <f>IF(D50="","CHECK",
IF(AND(D50&gt;=J50,D50&lt;K50),"PASS","REVIEW"))</f>
        <v>PASS</v>
      </c>
      <c r="M50" s="1620" t="str" cm="1">
        <f t="array" ref="M50">IFERROR(
INDEX($V$68:$V$79,
MATCH(1,
($Q$68:$Q$79=$C$45)*
($R$68:$R$79=$B$50),
0)),
"")</f>
        <v>Lempung menunjukkan perilaku penyusutan yang nyata selama pengeringan. Nilai di luar kisaran perlu dikaitkan dengan PI dan deskripsi visual.</v>
      </c>
      <c r="N50" s="1596" t="str" cm="1">
        <f t="array" ref="N50">IFERROR(
INDEX($W$68:$W$79,
MATCH(1,
($Q$68:$Q$79=$C$45)*
($R$68:$R$79=$B$50),
0)),
"")</f>
        <v>ASTM D4943; Holtz &amp; Kovacs</v>
      </c>
      <c r="R50" s="326" t="s">
        <v>2196</v>
      </c>
      <c r="S50" s="326">
        <v>0</v>
      </c>
      <c r="T50" s="326">
        <v>100</v>
      </c>
      <c r="U50" s="326" t="s">
        <v>2197</v>
      </c>
    </row>
    <row r="51" spans="1:21">
      <c r="B51" s="1361"/>
      <c r="C51" s="326"/>
      <c r="D51" s="1582"/>
      <c r="E51" s="3"/>
      <c r="F51" s="5"/>
      <c r="G51" s="1569"/>
      <c r="H51" s="1569"/>
      <c r="I51" s="1569"/>
      <c r="J51" s="1569"/>
      <c r="K51" s="1569"/>
      <c r="L51" s="3"/>
      <c r="M51" s="9"/>
      <c r="N51" s="1569"/>
      <c r="R51" s="326"/>
      <c r="S51" s="326"/>
      <c r="T51" s="326"/>
      <c r="U51" s="326"/>
    </row>
    <row r="53" spans="1:21">
      <c r="Q53" s="116" t="s">
        <v>1797</v>
      </c>
    </row>
    <row r="54" spans="1:21">
      <c r="Q54" t="s">
        <v>575</v>
      </c>
      <c r="R54" t="s">
        <v>2030</v>
      </c>
      <c r="S54" t="s">
        <v>1684</v>
      </c>
      <c r="T54" t="s">
        <v>1607</v>
      </c>
      <c r="U54" t="s">
        <v>1608</v>
      </c>
    </row>
    <row r="55" spans="1:21">
      <c r="Q55" t="s">
        <v>2196</v>
      </c>
      <c r="R55" t="s">
        <v>1680</v>
      </c>
      <c r="S55">
        <v>1</v>
      </c>
      <c r="T55">
        <v>0</v>
      </c>
      <c r="U55">
        <v>5</v>
      </c>
    </row>
    <row r="56" spans="1:21">
      <c r="Q56" t="s">
        <v>2196</v>
      </c>
      <c r="R56" t="s">
        <v>1670</v>
      </c>
      <c r="S56">
        <v>2</v>
      </c>
      <c r="T56">
        <v>5</v>
      </c>
      <c r="U56">
        <v>10</v>
      </c>
    </row>
    <row r="57" spans="1:21">
      <c r="Q57" t="s">
        <v>2196</v>
      </c>
      <c r="R57" t="s">
        <v>1672</v>
      </c>
      <c r="S57">
        <v>3</v>
      </c>
      <c r="T57">
        <v>10</v>
      </c>
      <c r="U57">
        <v>20</v>
      </c>
    </row>
    <row r="58" spans="1:21">
      <c r="Q58" t="s">
        <v>2196</v>
      </c>
      <c r="R58" t="s">
        <v>338</v>
      </c>
      <c r="S58">
        <v>4</v>
      </c>
      <c r="T58">
        <v>20</v>
      </c>
      <c r="U58">
        <v>30</v>
      </c>
    </row>
    <row r="59" spans="1:21">
      <c r="Q59" t="s">
        <v>2196</v>
      </c>
      <c r="R59" t="s">
        <v>1681</v>
      </c>
      <c r="S59">
        <v>5</v>
      </c>
      <c r="T59">
        <v>30</v>
      </c>
      <c r="U59">
        <v>100</v>
      </c>
    </row>
    <row r="61" spans="1:21">
      <c r="A61" s="116" t="s">
        <v>1795</v>
      </c>
    </row>
    <row r="62" spans="1:21">
      <c r="A62" t="s">
        <v>2114</v>
      </c>
      <c r="D62" s="1583" t="str">
        <f>IF(COUNTIF(E50:E51,"REVIEW")&gt;0,
"REVIEW",
"PASS")</f>
        <v>PASS</v>
      </c>
    </row>
    <row r="63" spans="1:21">
      <c r="A63" t="s">
        <v>1832</v>
      </c>
      <c r="D63" s="1583" t="str">
        <f>IF(COUNTIF(L50:L51,"REVIEW")&gt;0,
"REVIEW",
"PASS")</f>
        <v>PASS</v>
      </c>
    </row>
    <row r="64" spans="1:21">
      <c r="A64" t="s">
        <v>1605</v>
      </c>
      <c r="D64" s="1583" t="str">
        <f>IF(AND(D62="PASS",D63="PASS"),
"PASS",
IF(AND(D62="PASS",D63="REVIEW"),
"REVIEW",
IF(AND(D62="REVIEW",D63="PASS"),
"REVIEW",
"RE-ANALYZE")))</f>
        <v>PASS</v>
      </c>
    </row>
    <row r="66" spans="1:24">
      <c r="A66" s="116" t="s">
        <v>1833</v>
      </c>
      <c r="Q66" s="116" t="s">
        <v>1798</v>
      </c>
    </row>
    <row r="67" spans="1:24">
      <c r="B67" s="1858" t="str" cm="1">
        <f t="array" ref="B67">IFERROR(
INDEX($T$94:$T$97,
MATCH(1,
($Q$94:$Q$97=D62)*
($R$94:$R$97=D63),
0)),
"")</f>
        <v>Nilai Shrinkage Limit berada dalam kisaran yang sesuai dengan karakteristik umum jenis tanah berdasarkan evaluasi engineering. Hasil dapat diterima sebagai representasi perilaku penyusutan material selama proses pengeringan.</v>
      </c>
      <c r="C67" s="1859"/>
      <c r="D67" s="1859"/>
      <c r="E67" s="1859"/>
      <c r="F67" s="1859"/>
      <c r="G67" s="1859"/>
      <c r="H67" s="1859"/>
      <c r="I67" s="1859"/>
      <c r="J67" s="1859"/>
      <c r="K67" s="1860"/>
      <c r="L67" s="1523"/>
      <c r="Q67" t="s">
        <v>2201</v>
      </c>
      <c r="R67" t="s">
        <v>575</v>
      </c>
      <c r="S67" t="s">
        <v>1480</v>
      </c>
      <c r="T67" t="s">
        <v>2128</v>
      </c>
      <c r="U67" t="s">
        <v>2129</v>
      </c>
      <c r="V67" t="s">
        <v>1685</v>
      </c>
      <c r="W67" t="s">
        <v>2033</v>
      </c>
      <c r="X67" t="s">
        <v>2033</v>
      </c>
    </row>
    <row r="68" spans="1:24">
      <c r="B68" s="1861"/>
      <c r="C68" s="1814"/>
      <c r="D68" s="1814"/>
      <c r="E68" s="1814"/>
      <c r="F68" s="1814"/>
      <c r="G68" s="1814"/>
      <c r="H68" s="1814"/>
      <c r="I68" s="1814"/>
      <c r="J68" s="1814"/>
      <c r="K68" s="1862"/>
      <c r="L68" s="1578"/>
      <c r="M68" s="1578"/>
      <c r="Q68" t="s">
        <v>1630</v>
      </c>
      <c r="R68" t="s">
        <v>2196</v>
      </c>
      <c r="S68" t="s">
        <v>1680</v>
      </c>
      <c r="T68">
        <v>0</v>
      </c>
      <c r="U68">
        <v>5</v>
      </c>
      <c r="V68" t="s">
        <v>2202</v>
      </c>
      <c r="W68" t="s">
        <v>2203</v>
      </c>
      <c r="X68" t="s">
        <v>2066</v>
      </c>
    </row>
    <row r="69" spans="1:24">
      <c r="B69" s="1863"/>
      <c r="C69" s="1864"/>
      <c r="D69" s="1864"/>
      <c r="E69" s="1864"/>
      <c r="F69" s="1864"/>
      <c r="G69" s="1864"/>
      <c r="H69" s="1864"/>
      <c r="I69" s="1864"/>
      <c r="J69" s="1864"/>
      <c r="K69" s="1865"/>
      <c r="L69" s="5"/>
      <c r="M69" s="5"/>
      <c r="Q69" t="s">
        <v>1620</v>
      </c>
      <c r="R69" t="s">
        <v>2196</v>
      </c>
      <c r="S69" t="s">
        <v>1680</v>
      </c>
      <c r="T69">
        <v>0</v>
      </c>
      <c r="U69">
        <v>5</v>
      </c>
      <c r="V69" t="s">
        <v>2204</v>
      </c>
      <c r="W69" t="s">
        <v>2203</v>
      </c>
      <c r="X69" t="s">
        <v>1716</v>
      </c>
    </row>
    <row r="70" spans="1:24">
      <c r="K70" s="5"/>
      <c r="L70" s="5"/>
      <c r="M70" s="5"/>
      <c r="Q70" t="s">
        <v>1649</v>
      </c>
      <c r="R70" t="s">
        <v>2196</v>
      </c>
      <c r="S70" t="s">
        <v>1680</v>
      </c>
      <c r="T70">
        <v>0</v>
      </c>
      <c r="U70">
        <v>5</v>
      </c>
      <c r="V70" t="s">
        <v>2205</v>
      </c>
      <c r="W70" t="s">
        <v>2203</v>
      </c>
      <c r="X70" t="s">
        <v>2065</v>
      </c>
    </row>
    <row r="71" spans="1:24">
      <c r="K71" s="5"/>
      <c r="L71" s="5"/>
      <c r="M71" s="5"/>
      <c r="Q71" t="s">
        <v>1623</v>
      </c>
      <c r="R71" t="s">
        <v>2196</v>
      </c>
      <c r="S71" t="s">
        <v>1670</v>
      </c>
      <c r="T71">
        <v>3</v>
      </c>
      <c r="U71">
        <v>10</v>
      </c>
      <c r="V71" t="s">
        <v>2206</v>
      </c>
      <c r="W71" t="s">
        <v>2207</v>
      </c>
      <c r="X71" t="s">
        <v>1716</v>
      </c>
    </row>
    <row r="72" spans="1:24">
      <c r="B72" s="5"/>
      <c r="C72" s="5"/>
      <c r="D72" s="5"/>
      <c r="E72" s="5"/>
      <c r="F72" s="5"/>
      <c r="G72" s="5"/>
      <c r="H72" s="5"/>
      <c r="I72" s="5"/>
      <c r="J72" s="5"/>
      <c r="K72" s="5"/>
      <c r="L72" s="5"/>
      <c r="M72" s="5"/>
      <c r="N72" s="5"/>
      <c r="O72" s="5"/>
      <c r="Q72" t="s">
        <v>1621</v>
      </c>
      <c r="R72" t="s">
        <v>2196</v>
      </c>
      <c r="S72" t="s">
        <v>1670</v>
      </c>
      <c r="T72">
        <v>5</v>
      </c>
      <c r="U72">
        <v>12</v>
      </c>
      <c r="V72" t="s">
        <v>2208</v>
      </c>
      <c r="W72" t="s">
        <v>2207</v>
      </c>
      <c r="X72" t="s">
        <v>2065</v>
      </c>
    </row>
    <row r="73" spans="1:24">
      <c r="B73" s="5"/>
      <c r="C73" s="5"/>
      <c r="D73" s="5"/>
      <c r="E73" s="5"/>
      <c r="F73" s="5"/>
      <c r="G73" s="5"/>
      <c r="H73" s="5"/>
      <c r="I73" s="5"/>
      <c r="J73" s="5"/>
      <c r="K73" s="5"/>
      <c r="L73" s="5"/>
      <c r="M73" s="5"/>
      <c r="N73" s="5"/>
      <c r="O73" s="5"/>
      <c r="Q73" t="s">
        <v>1690</v>
      </c>
      <c r="R73" t="s">
        <v>2196</v>
      </c>
      <c r="S73" t="s">
        <v>1672</v>
      </c>
      <c r="T73">
        <v>8</v>
      </c>
      <c r="U73">
        <v>18</v>
      </c>
      <c r="V73" t="s">
        <v>2209</v>
      </c>
      <c r="W73" t="s">
        <v>2203</v>
      </c>
      <c r="X73" t="s">
        <v>1716</v>
      </c>
    </row>
    <row r="74" spans="1:24">
      <c r="B74" s="5"/>
      <c r="C74" s="5"/>
      <c r="D74" s="5"/>
      <c r="E74" s="5"/>
      <c r="F74" s="5"/>
      <c r="G74" s="5"/>
      <c r="H74" s="5"/>
      <c r="I74" s="5"/>
      <c r="J74" s="5"/>
      <c r="K74" s="5"/>
      <c r="L74" s="5"/>
      <c r="M74" s="5"/>
      <c r="N74" s="5"/>
      <c r="O74" s="5"/>
      <c r="Q74" t="s">
        <v>1628</v>
      </c>
      <c r="R74" t="s">
        <v>2196</v>
      </c>
      <c r="S74" t="s">
        <v>1672</v>
      </c>
      <c r="T74">
        <v>8</v>
      </c>
      <c r="U74">
        <v>18</v>
      </c>
      <c r="V74" t="s">
        <v>2210</v>
      </c>
      <c r="W74" t="s">
        <v>2211</v>
      </c>
      <c r="X74" t="s">
        <v>2065</v>
      </c>
    </row>
    <row r="75" spans="1:24">
      <c r="K75" s="5"/>
      <c r="L75" s="5"/>
      <c r="M75" s="5"/>
      <c r="Q75" t="s">
        <v>1614</v>
      </c>
      <c r="R75" t="s">
        <v>2196</v>
      </c>
      <c r="S75" t="s">
        <v>1672</v>
      </c>
      <c r="T75">
        <v>10</v>
      </c>
      <c r="U75">
        <v>20</v>
      </c>
      <c r="V75" t="s">
        <v>2212</v>
      </c>
      <c r="W75" t="s">
        <v>2213</v>
      </c>
      <c r="X75" t="s">
        <v>1716</v>
      </c>
    </row>
    <row r="76" spans="1:24">
      <c r="K76" s="5"/>
      <c r="L76" s="5"/>
      <c r="M76" s="5"/>
      <c r="Q76" t="s">
        <v>1617</v>
      </c>
      <c r="R76" t="s">
        <v>2196</v>
      </c>
      <c r="S76" t="s">
        <v>1672</v>
      </c>
      <c r="T76">
        <v>10</v>
      </c>
      <c r="U76">
        <v>20</v>
      </c>
      <c r="V76" t="s">
        <v>2214</v>
      </c>
      <c r="W76" t="s">
        <v>2211</v>
      </c>
      <c r="X76" t="s">
        <v>2065</v>
      </c>
    </row>
    <row r="77" spans="1:24">
      <c r="Q77" t="s">
        <v>1626</v>
      </c>
      <c r="R77" t="s">
        <v>2196</v>
      </c>
      <c r="S77" t="s">
        <v>338</v>
      </c>
      <c r="T77">
        <v>15</v>
      </c>
      <c r="U77">
        <v>30</v>
      </c>
      <c r="V77" t="s">
        <v>2215</v>
      </c>
      <c r="W77" t="s">
        <v>2203</v>
      </c>
      <c r="X77" t="s">
        <v>1716</v>
      </c>
    </row>
    <row r="78" spans="1:24" ht="23.25">
      <c r="B78" s="1616"/>
      <c r="Q78" t="s">
        <v>1612</v>
      </c>
      <c r="R78" t="s">
        <v>2196</v>
      </c>
      <c r="S78" t="s">
        <v>338</v>
      </c>
      <c r="T78">
        <v>15</v>
      </c>
      <c r="U78">
        <v>35</v>
      </c>
      <c r="V78" t="s">
        <v>2216</v>
      </c>
      <c r="W78" t="s">
        <v>2213</v>
      </c>
      <c r="X78" t="s">
        <v>2065</v>
      </c>
    </row>
    <row r="79" spans="1:24">
      <c r="Q79" t="s">
        <v>1643</v>
      </c>
      <c r="R79" t="s">
        <v>2196</v>
      </c>
      <c r="S79" t="s">
        <v>1672</v>
      </c>
      <c r="T79">
        <v>10</v>
      </c>
      <c r="U79">
        <v>25</v>
      </c>
      <c r="V79" t="s">
        <v>2217</v>
      </c>
      <c r="W79" t="s">
        <v>2211</v>
      </c>
      <c r="X79" t="s">
        <v>1716</v>
      </c>
    </row>
    <row r="81" spans="6:20">
      <c r="M81" s="43"/>
    </row>
    <row r="84" spans="6:20">
      <c r="M84" s="43"/>
    </row>
    <row r="85" spans="6:20">
      <c r="F85" s="1583"/>
    </row>
    <row r="86" spans="6:20">
      <c r="F86" s="1583"/>
    </row>
    <row r="87" spans="6:20">
      <c r="F87" s="1583"/>
    </row>
    <row r="93" spans="6:20">
      <c r="Q93" t="s">
        <v>1822</v>
      </c>
      <c r="R93" t="s">
        <v>1823</v>
      </c>
      <c r="S93" t="s">
        <v>1824</v>
      </c>
      <c r="T93" t="s">
        <v>1786</v>
      </c>
    </row>
    <row r="94" spans="6:20">
      <c r="F94" s="1583"/>
      <c r="Q94" t="s">
        <v>1733</v>
      </c>
      <c r="R94" t="s">
        <v>1733</v>
      </c>
      <c r="S94" t="s">
        <v>1733</v>
      </c>
      <c r="T94" t="s">
        <v>2198</v>
      </c>
    </row>
    <row r="95" spans="6:20">
      <c r="F95" s="1583"/>
      <c r="Q95" t="s">
        <v>1733</v>
      </c>
      <c r="R95" t="s">
        <v>1735</v>
      </c>
      <c r="S95" t="s">
        <v>1735</v>
      </c>
      <c r="T95" t="s">
        <v>2199</v>
      </c>
    </row>
    <row r="96" spans="6:20">
      <c r="F96" s="1583"/>
      <c r="Q96" t="s">
        <v>1735</v>
      </c>
      <c r="R96" t="s">
        <v>1733</v>
      </c>
      <c r="S96" t="s">
        <v>1735</v>
      </c>
      <c r="T96" t="s">
        <v>2199</v>
      </c>
    </row>
    <row r="97" spans="2:20">
      <c r="Q97" t="s">
        <v>1735</v>
      </c>
      <c r="R97" t="s">
        <v>1735</v>
      </c>
      <c r="S97" t="s">
        <v>1829</v>
      </c>
      <c r="T97" t="s">
        <v>2200</v>
      </c>
    </row>
    <row r="100" spans="2:20">
      <c r="B100" s="1615"/>
      <c r="F100" s="43"/>
      <c r="I100" s="1617"/>
    </row>
    <row r="104" spans="2:20">
      <c r="F104" s="1583"/>
    </row>
    <row r="105" spans="2:20">
      <c r="F105" s="1583"/>
    </row>
    <row r="106" spans="2:20">
      <c r="F106" s="1583"/>
    </row>
    <row r="110" spans="2:20">
      <c r="F110" s="43"/>
      <c r="I110" s="1617"/>
    </row>
    <row r="113" spans="6:6">
      <c r="F113" s="1583"/>
    </row>
    <row r="114" spans="6:6">
      <c r="F114" s="1583"/>
    </row>
    <row r="115" spans="6:6">
      <c r="F115" s="1583"/>
    </row>
  </sheetData>
  <mergeCells count="5">
    <mergeCell ref="B48:C49"/>
    <mergeCell ref="D48:D49"/>
    <mergeCell ref="E48:F48"/>
    <mergeCell ref="G48:N48"/>
    <mergeCell ref="B67:K69"/>
  </mergeCells>
  <conditionalFormatting sqref="D62:D64">
    <cfRule type="expression" dxfId="111" priority="17">
      <formula>ISNUMBER(SEARCH("RE-ANALYZE",$D62))</formula>
    </cfRule>
    <cfRule type="expression" dxfId="110" priority="18">
      <formula>ISNUMBER(SEARCH("REVIEW",$D62))</formula>
    </cfRule>
    <cfRule type="expression" dxfId="109" priority="19">
      <formula>ISNUMBER(SEARCH("CHECK",$D62))</formula>
    </cfRule>
    <cfRule type="expression" dxfId="108" priority="20">
      <formula>ISNUMBER(SEARCH("PASS",$D62))</formula>
    </cfRule>
  </conditionalFormatting>
  <conditionalFormatting sqref="E50:E51">
    <cfRule type="expression" dxfId="107" priority="25">
      <formula>ISNUMBER(SEARCH("RE-ANALYZE",$E50))</formula>
    </cfRule>
    <cfRule type="expression" dxfId="106" priority="26">
      <formula>ISNUMBER(SEARCH("REVIEW",$E50))</formula>
    </cfRule>
    <cfRule type="expression" dxfId="105" priority="27">
      <formula>ISNUMBER(SEARCH("CHECK",$E50))</formula>
    </cfRule>
    <cfRule type="expression" dxfId="104" priority="28">
      <formula>ISNUMBER(SEARCH("PASS",$E50))</formula>
    </cfRule>
  </conditionalFormatting>
  <conditionalFormatting sqref="F85:F87">
    <cfRule type="expression" dxfId="103" priority="13">
      <formula>ISNUMBER(SEARCH("RE-ANALYZE",$F85))</formula>
    </cfRule>
    <cfRule type="expression" dxfId="102" priority="14">
      <formula>ISNUMBER(SEARCH("REVIEW",$F85))</formula>
    </cfRule>
    <cfRule type="expression" dxfId="101" priority="15">
      <formula>ISNUMBER(SEARCH("CHECK",$F85))</formula>
    </cfRule>
    <cfRule type="expression" dxfId="100" priority="16">
      <formula>ISNUMBER(SEARCH("PASS",$F85))</formula>
    </cfRule>
  </conditionalFormatting>
  <conditionalFormatting sqref="F94:F96">
    <cfRule type="expression" dxfId="99" priority="9">
      <formula>ISNUMBER(SEARCH("RE-ANALYZE",$F94))</formula>
    </cfRule>
    <cfRule type="expression" dxfId="98" priority="10">
      <formula>ISNUMBER(SEARCH("REVIEW",$F94))</formula>
    </cfRule>
    <cfRule type="expression" dxfId="97" priority="11">
      <formula>ISNUMBER(SEARCH("CHECK",$F94))</formula>
    </cfRule>
    <cfRule type="expression" dxfId="96" priority="12">
      <formula>ISNUMBER(SEARCH("PASS",$F94))</formula>
    </cfRule>
  </conditionalFormatting>
  <conditionalFormatting sqref="F104:F106">
    <cfRule type="expression" dxfId="95" priority="5">
      <formula>ISNUMBER(SEARCH("RE-ANALYZE",$F104))</formula>
    </cfRule>
    <cfRule type="expression" dxfId="94" priority="6">
      <formula>ISNUMBER(SEARCH("REVIEW",$F104))</formula>
    </cfRule>
    <cfRule type="expression" dxfId="93" priority="7">
      <formula>ISNUMBER(SEARCH("CHECK",$F104))</formula>
    </cfRule>
    <cfRule type="expression" dxfId="92" priority="8">
      <formula>ISNUMBER(SEARCH("PASS",$F104))</formula>
    </cfRule>
  </conditionalFormatting>
  <conditionalFormatting sqref="F113:F115">
    <cfRule type="expression" dxfId="91" priority="1">
      <formula>ISNUMBER(SEARCH("RE-ANALYZE",$F113))</formula>
    </cfRule>
    <cfRule type="expression" dxfId="90" priority="2">
      <formula>ISNUMBER(SEARCH("REVIEW",$F113))</formula>
    </cfRule>
    <cfRule type="expression" dxfId="89" priority="3">
      <formula>ISNUMBER(SEARCH("CHECK",$F113))</formula>
    </cfRule>
    <cfRule type="expression" dxfId="88" priority="4">
      <formula>ISNUMBER(SEARCH("PASS",$F113))</formula>
    </cfRule>
  </conditionalFormatting>
  <conditionalFormatting sqref="L50:L51">
    <cfRule type="expression" dxfId="87" priority="21">
      <formula>ISNUMBER(SEARCH("RE-ANALYZE",$L50))</formula>
    </cfRule>
    <cfRule type="expression" dxfId="86" priority="22">
      <formula>ISNUMBER(SEARCH("REVIEW",$L50))</formula>
    </cfRule>
    <cfRule type="expression" dxfId="85" priority="23">
      <formula>ISNUMBER(SEARCH("CHECK",$L50))</formula>
    </cfRule>
    <cfRule type="expression" dxfId="84" priority="24">
      <formula>ISNUMBER(SEARCH("PASS",$L50))</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537A-7CE3-42A8-966B-19B345E09894}">
  <dimension ref="A28:W115"/>
  <sheetViews>
    <sheetView topLeftCell="A39" zoomScale="51" zoomScaleNormal="51" workbookViewId="0">
      <selection activeCell="Z49" sqref="Z49"/>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66" t="s">
        <v>1719</v>
      </c>
      <c r="B41" s="862"/>
      <c r="C41" s="14"/>
      <c r="D41" s="370"/>
      <c r="E41" s="370"/>
      <c r="P41" s="370" t="s">
        <v>1630</v>
      </c>
      <c r="Q41" s="370" t="s">
        <v>1631</v>
      </c>
      <c r="R41" s="370" t="s">
        <v>1657</v>
      </c>
      <c r="S41" s="370" t="s">
        <v>1658</v>
      </c>
      <c r="T41" s="370"/>
    </row>
    <row r="42" spans="1:20">
      <c r="A42" s="1624" t="s">
        <v>2195</v>
      </c>
      <c r="B42" s="1625"/>
      <c r="C42" s="596"/>
      <c r="D42" s="597"/>
      <c r="E42" s="597"/>
    </row>
    <row r="43" spans="1:20">
      <c r="A43" s="1566" t="s">
        <v>1719</v>
      </c>
      <c r="B43" s="862"/>
      <c r="C43" s="14"/>
      <c r="D43" s="370"/>
      <c r="E43" s="370"/>
    </row>
    <row r="44" spans="1:20">
      <c r="A44" s="1566"/>
      <c r="B44" s="862"/>
      <c r="C44" s="14"/>
      <c r="D44" s="370"/>
      <c r="E44" s="370"/>
    </row>
    <row r="45" spans="1:20">
      <c r="B45" t="s">
        <v>1611</v>
      </c>
      <c r="C45" s="299" t="s">
        <v>1612</v>
      </c>
    </row>
    <row r="46" spans="1:20">
      <c r="B46" s="116"/>
      <c r="H46" s="116"/>
      <c r="N46" s="116"/>
    </row>
    <row r="47" spans="1:20">
      <c r="B47" s="116" t="s">
        <v>1793</v>
      </c>
      <c r="H47" s="116"/>
      <c r="N47" s="116"/>
    </row>
    <row r="48" spans="1:20">
      <c r="B48" s="1866" t="s">
        <v>124</v>
      </c>
      <c r="C48" s="1866"/>
      <c r="D48" s="1866" t="s">
        <v>1783</v>
      </c>
      <c r="E48" s="1867" t="s">
        <v>1788</v>
      </c>
      <c r="F48" s="1867"/>
      <c r="G48" s="1868" t="s">
        <v>1789</v>
      </c>
      <c r="H48" s="1868"/>
      <c r="I48" s="1868"/>
      <c r="J48" s="1868"/>
      <c r="K48" s="1868"/>
      <c r="L48" s="1868"/>
      <c r="M48" s="1868"/>
      <c r="N48" s="1868"/>
      <c r="Q48" s="116" t="s">
        <v>1841</v>
      </c>
    </row>
    <row r="49" spans="1:21">
      <c r="B49" s="1866"/>
      <c r="C49" s="1866"/>
      <c r="D49" s="1866"/>
      <c r="E49" s="1581" t="s">
        <v>1598</v>
      </c>
      <c r="F49" s="1581" t="s">
        <v>1718</v>
      </c>
      <c r="G49" s="1579" t="s">
        <v>1790</v>
      </c>
      <c r="H49" s="1579" t="s">
        <v>1684</v>
      </c>
      <c r="I49" s="1580" t="s">
        <v>1794</v>
      </c>
      <c r="J49" s="1580" t="s">
        <v>438</v>
      </c>
      <c r="K49" s="1580" t="s">
        <v>1791</v>
      </c>
      <c r="L49" s="1580" t="s">
        <v>1598</v>
      </c>
      <c r="M49" s="1580" t="s">
        <v>1792</v>
      </c>
      <c r="N49" s="1580" t="s">
        <v>1718</v>
      </c>
      <c r="R49" t="s">
        <v>575</v>
      </c>
      <c r="S49" t="s">
        <v>2218</v>
      </c>
      <c r="T49" t="s">
        <v>2219</v>
      </c>
      <c r="U49" t="s">
        <v>2033</v>
      </c>
    </row>
    <row r="50" spans="1:21" ht="78.75" customHeight="1">
      <c r="B50" s="326" t="s">
        <v>2220</v>
      </c>
      <c r="C50" s="1270"/>
      <c r="D50" s="1621">
        <v>20</v>
      </c>
      <c r="E50" s="1622" t="str">
        <f>IF(D50="","CHECK",
IFERROR(
IF(AND(
D50&gt;=INDEX($S$50:$S$51,MATCH(B50,$R$50:$R$51,0)),
D50&lt;=INDEX($T$50:$T$51,MATCH(B50,$R$50:$R$51,0))
),
"PASS",
"REVIEW"),
"CHECK"))</f>
        <v>PASS</v>
      </c>
      <c r="F50" s="1623" t="str">
        <f>IFERROR(
INDEX($U$50:$U$51,
MATCH(B50,$R$50:$R$51,0)),
"")</f>
        <v>ASTM D4546 / SNI</v>
      </c>
      <c r="G50" s="1596" t="str" cm="1">
        <f t="array" ref="G50">IFERROR(
INDEX($R$55:$R$59,
MATCH(1,
($Q$55:$Q$59=B50)*
($U$55:$U$59&gt;=D50)*
($T$55:$T$59&lt;=D50),
0)),
"")</f>
        <v>Sangat Rendah</v>
      </c>
      <c r="H50" s="1596" t="str" cm="1">
        <f t="array" ref="H50">IFERROR(
INDEX($S$55:$S$59,
MATCH(1,
($Q$55:$Q$59=B50)*
($U$55:$U$59&gt;=D50)*
($T$55:$T$59&lt;=D50),
0)),
"")</f>
        <v>VL</v>
      </c>
      <c r="I50" s="1596" t="str" cm="1">
        <f t="array" ref="I50">IFERROR(
INDEX($S$68:$S$79,
MATCH(1,
($Q$68:$Q$79=$C$45)*
($R$68:$R$79=$B$50),
0)),
"")</f>
        <v>Tinggi</v>
      </c>
      <c r="J50" s="1596" cm="1">
        <f t="array" ref="J50">IFERROR(
INDEX($T$68:$T$79,
MATCH(1,
($Q$68:$Q$79=$C$45)*
($R$68:$R$79=$B$50),
0)),
"")</f>
        <v>100</v>
      </c>
      <c r="K50" s="1596" cm="1">
        <f t="array" ref="K50">IFERROR(
INDEX($U$68:$U$79,
MATCH(1,
($Q$68:$Q$79=$C$45)*
($R$68:$R$79=$B$50),
0)),
"")</f>
        <v>400</v>
      </c>
      <c r="L50" s="1622" t="str">
        <f>IF(D50="","CHECK",
IF(AND(D50&gt;=J50,D50&lt;K50),"PASS","REVIEW"))</f>
        <v>REVIEW</v>
      </c>
      <c r="M50" s="1620" t="str" cm="1">
        <f t="array" ref="M50">IFERROR(
INDEX($V$68:$V$79,
MATCH(1,
($Q$68:$Q$79=$C$45)*
($R$68:$R$79=$B$50),
0)),
"")</f>
        <v>Lempung plastis umumnya memiliki tekanan pengembangan tinggi. Nilai di luar kisaran perlu dikaitkan dengan PI dan mineralogi lempung.</v>
      </c>
      <c r="N50" s="1596" t="str" cm="1">
        <f t="array" ref="N50">IFERROR(
INDEX($W$68:$W$79,
MATCH(1,
($Q$68:$Q$79=$C$45)*
($R$68:$R$79=$B$50),
0)),
"")</f>
        <v>Holtz &amp; Kovacs</v>
      </c>
      <c r="R50" s="326" t="s">
        <v>2220</v>
      </c>
      <c r="S50" s="326">
        <v>0</v>
      </c>
      <c r="T50" s="326">
        <v>10000</v>
      </c>
      <c r="U50" s="326" t="s">
        <v>2221</v>
      </c>
    </row>
    <row r="51" spans="1:21">
      <c r="B51" s="1361"/>
      <c r="C51" s="326"/>
      <c r="D51" s="1582"/>
      <c r="E51" s="3"/>
      <c r="F51" s="5"/>
      <c r="G51" s="1569"/>
      <c r="H51" s="1569"/>
      <c r="I51" s="1569"/>
      <c r="J51" s="1569"/>
      <c r="K51" s="1569"/>
      <c r="L51" s="3"/>
      <c r="M51" s="9"/>
      <c r="N51" s="1569"/>
      <c r="R51" s="326"/>
      <c r="S51" s="326"/>
      <c r="T51" s="326"/>
      <c r="U51" s="326"/>
    </row>
    <row r="53" spans="1:21">
      <c r="Q53" s="116" t="s">
        <v>1797</v>
      </c>
    </row>
    <row r="54" spans="1:21">
      <c r="Q54" t="s">
        <v>575</v>
      </c>
      <c r="R54" t="s">
        <v>2030</v>
      </c>
      <c r="S54" t="s">
        <v>1611</v>
      </c>
      <c r="T54" t="s">
        <v>2218</v>
      </c>
      <c r="U54" t="s">
        <v>2219</v>
      </c>
    </row>
    <row r="55" spans="1:21">
      <c r="Q55" t="s">
        <v>2220</v>
      </c>
      <c r="R55" t="s">
        <v>1680</v>
      </c>
      <c r="S55" t="s">
        <v>589</v>
      </c>
      <c r="T55">
        <v>0</v>
      </c>
      <c r="U55">
        <v>25</v>
      </c>
    </row>
    <row r="56" spans="1:21">
      <c r="Q56" t="s">
        <v>2220</v>
      </c>
      <c r="R56" t="s">
        <v>1670</v>
      </c>
      <c r="S56" t="s">
        <v>365</v>
      </c>
      <c r="T56">
        <v>25</v>
      </c>
      <c r="U56">
        <v>50</v>
      </c>
    </row>
    <row r="57" spans="1:21">
      <c r="Q57" t="s">
        <v>2220</v>
      </c>
      <c r="R57" t="s">
        <v>1672</v>
      </c>
      <c r="S57" t="s">
        <v>239</v>
      </c>
      <c r="T57">
        <v>50</v>
      </c>
      <c r="U57">
        <v>100</v>
      </c>
    </row>
    <row r="58" spans="1:21">
      <c r="Q58" t="s">
        <v>2220</v>
      </c>
      <c r="R58" t="s">
        <v>338</v>
      </c>
      <c r="S58" t="s">
        <v>186</v>
      </c>
      <c r="T58">
        <v>100</v>
      </c>
      <c r="U58">
        <v>200</v>
      </c>
    </row>
    <row r="59" spans="1:21">
      <c r="Q59" t="s">
        <v>2220</v>
      </c>
      <c r="R59" t="s">
        <v>1681</v>
      </c>
      <c r="S59" t="s">
        <v>2222</v>
      </c>
      <c r="T59">
        <v>200</v>
      </c>
      <c r="U59">
        <v>10000</v>
      </c>
    </row>
    <row r="61" spans="1:21">
      <c r="A61" s="116" t="s">
        <v>1795</v>
      </c>
    </row>
    <row r="62" spans="1:21">
      <c r="A62" t="s">
        <v>2114</v>
      </c>
      <c r="D62" s="1583" t="str">
        <f>IF(COUNTIF(E50:E51,"REVIEW")&gt;0,
"REVIEW",
"PASS")</f>
        <v>PASS</v>
      </c>
    </row>
    <row r="63" spans="1:21">
      <c r="A63" t="s">
        <v>1832</v>
      </c>
      <c r="D63" s="1583" t="str">
        <f>IF(COUNTIF(L50:L51,"REVIEW")&gt;0,
"REVIEW",
"PASS")</f>
        <v>REVIEW</v>
      </c>
    </row>
    <row r="64" spans="1:21">
      <c r="A64" t="s">
        <v>1605</v>
      </c>
      <c r="D64" s="1583" t="str">
        <f>IF(AND(D62="PASS",D63="PASS"),
"PASS",
IF(AND(D62="PASS",D63="REVIEW"),
"REVIEW",
IF(AND(D62="REVIEW",D63="PASS"),
"REVIEW",
"RE-ANALYZE")))</f>
        <v>REVIEW</v>
      </c>
    </row>
    <row r="66" spans="1:23">
      <c r="A66" s="116" t="s">
        <v>1833</v>
      </c>
      <c r="Q66" s="116" t="s">
        <v>1798</v>
      </c>
    </row>
    <row r="67" spans="1:23">
      <c r="B67" s="1858" t="str" cm="1">
        <f t="array" ref="B67">IFERROR(
INDEX($T$94:$T$97,
MATCH(1,
($Q$94:$Q$97=D62)*
($R$94:$R$97=D63),
0)),
"")</f>
        <v>Nilai Swelling Pressure berada di luar kisaran umum karakteristik jenis tanah atau menunjukkan kecenderungan yang tidak lazim. Disarankan melakukan peninjauan terhadap kondisi benda uji, prosedur pembebanan, dan data pengamatan sebelum LHU diterbitkan.</v>
      </c>
      <c r="C67" s="1859"/>
      <c r="D67" s="1859"/>
      <c r="E67" s="1859"/>
      <c r="F67" s="1859"/>
      <c r="G67" s="1859"/>
      <c r="H67" s="1859"/>
      <c r="I67" s="1859"/>
      <c r="J67" s="1859"/>
      <c r="K67" s="1860"/>
      <c r="L67" s="1523"/>
      <c r="Q67" t="s">
        <v>2201</v>
      </c>
      <c r="R67" t="s">
        <v>575</v>
      </c>
      <c r="S67" t="s">
        <v>1480</v>
      </c>
      <c r="T67" t="s">
        <v>1607</v>
      </c>
      <c r="U67" t="s">
        <v>1608</v>
      </c>
      <c r="V67" t="s">
        <v>1685</v>
      </c>
      <c r="W67" t="s">
        <v>2033</v>
      </c>
    </row>
    <row r="68" spans="1:23">
      <c r="B68" s="1861"/>
      <c r="C68" s="1814"/>
      <c r="D68" s="1814"/>
      <c r="E68" s="1814"/>
      <c r="F68" s="1814"/>
      <c r="G68" s="1814"/>
      <c r="H68" s="1814"/>
      <c r="I68" s="1814"/>
      <c r="J68" s="1814"/>
      <c r="K68" s="1862"/>
      <c r="L68" s="1578"/>
      <c r="M68" s="1578"/>
      <c r="Q68" t="s">
        <v>1630</v>
      </c>
      <c r="R68" t="s">
        <v>2220</v>
      </c>
      <c r="S68" t="s">
        <v>1680</v>
      </c>
      <c r="T68">
        <v>0</v>
      </c>
      <c r="U68">
        <v>25</v>
      </c>
      <c r="V68" t="s">
        <v>2223</v>
      </c>
      <c r="W68" t="s">
        <v>2224</v>
      </c>
    </row>
    <row r="69" spans="1:23">
      <c r="B69" s="1863"/>
      <c r="C69" s="1864"/>
      <c r="D69" s="1864"/>
      <c r="E69" s="1864"/>
      <c r="F69" s="1864"/>
      <c r="G69" s="1864"/>
      <c r="H69" s="1864"/>
      <c r="I69" s="1864"/>
      <c r="J69" s="1864"/>
      <c r="K69" s="1865"/>
      <c r="L69" s="5"/>
      <c r="M69" s="5"/>
      <c r="Q69" t="s">
        <v>1620</v>
      </c>
      <c r="R69" t="s">
        <v>2220</v>
      </c>
      <c r="S69" t="s">
        <v>1680</v>
      </c>
      <c r="T69">
        <v>0</v>
      </c>
      <c r="U69">
        <v>25</v>
      </c>
      <c r="V69" t="s">
        <v>2225</v>
      </c>
      <c r="W69" t="s">
        <v>2226</v>
      </c>
    </row>
    <row r="70" spans="1:23">
      <c r="K70" s="5"/>
      <c r="L70" s="5"/>
      <c r="M70" s="5"/>
      <c r="Q70" t="s">
        <v>1623</v>
      </c>
      <c r="R70" t="s">
        <v>2220</v>
      </c>
      <c r="S70" t="s">
        <v>1670</v>
      </c>
      <c r="T70">
        <v>0</v>
      </c>
      <c r="U70">
        <v>50</v>
      </c>
      <c r="V70" t="s">
        <v>2227</v>
      </c>
      <c r="W70" t="s">
        <v>2226</v>
      </c>
    </row>
    <row r="71" spans="1:23">
      <c r="K71" s="5"/>
      <c r="L71" s="5"/>
      <c r="M71" s="5"/>
      <c r="Q71" t="s">
        <v>1621</v>
      </c>
      <c r="R71" t="s">
        <v>2220</v>
      </c>
      <c r="S71" t="s">
        <v>1670</v>
      </c>
      <c r="T71">
        <v>25</v>
      </c>
      <c r="U71">
        <v>75</v>
      </c>
      <c r="V71" t="s">
        <v>2228</v>
      </c>
      <c r="W71" t="s">
        <v>2229</v>
      </c>
    </row>
    <row r="72" spans="1:23">
      <c r="B72" s="5"/>
      <c r="C72" s="5"/>
      <c r="D72" s="5"/>
      <c r="E72" s="5"/>
      <c r="F72" s="5"/>
      <c r="G72" s="5"/>
      <c r="H72" s="5"/>
      <c r="I72" s="5"/>
      <c r="J72" s="5"/>
      <c r="K72" s="5"/>
      <c r="L72" s="5"/>
      <c r="M72" s="5"/>
      <c r="N72" s="5"/>
      <c r="O72" s="5"/>
      <c r="Q72" t="s">
        <v>1690</v>
      </c>
      <c r="R72" t="s">
        <v>2220</v>
      </c>
      <c r="S72" t="s">
        <v>1672</v>
      </c>
      <c r="T72">
        <v>25</v>
      </c>
      <c r="U72">
        <v>100</v>
      </c>
      <c r="V72" t="s">
        <v>2230</v>
      </c>
      <c r="W72" t="s">
        <v>2231</v>
      </c>
    </row>
    <row r="73" spans="1:23">
      <c r="B73" s="5"/>
      <c r="C73" s="5"/>
      <c r="D73" s="5"/>
      <c r="E73" s="5"/>
      <c r="F73" s="5"/>
      <c r="G73" s="5"/>
      <c r="H73" s="5"/>
      <c r="I73" s="5"/>
      <c r="J73" s="5"/>
      <c r="K73" s="5"/>
      <c r="L73" s="5"/>
      <c r="M73" s="5"/>
      <c r="N73" s="5"/>
      <c r="O73" s="5"/>
      <c r="Q73" t="s">
        <v>1614</v>
      </c>
      <c r="R73" t="s">
        <v>2220</v>
      </c>
      <c r="S73" t="s">
        <v>1672</v>
      </c>
      <c r="T73">
        <v>50</v>
      </c>
      <c r="U73">
        <v>150</v>
      </c>
      <c r="V73" t="s">
        <v>2232</v>
      </c>
      <c r="W73" t="s">
        <v>2229</v>
      </c>
    </row>
    <row r="74" spans="1:23">
      <c r="B74" s="5"/>
      <c r="C74" s="5"/>
      <c r="D74" s="5"/>
      <c r="E74" s="5"/>
      <c r="F74" s="5"/>
      <c r="G74" s="5"/>
      <c r="H74" s="5"/>
      <c r="I74" s="5"/>
      <c r="J74" s="5"/>
      <c r="K74" s="5"/>
      <c r="L74" s="5"/>
      <c r="M74" s="5"/>
      <c r="N74" s="5"/>
      <c r="O74" s="5"/>
      <c r="Q74" t="s">
        <v>1617</v>
      </c>
      <c r="R74" t="s">
        <v>2220</v>
      </c>
      <c r="S74" t="s">
        <v>1672</v>
      </c>
      <c r="T74">
        <v>50</v>
      </c>
      <c r="U74">
        <v>150</v>
      </c>
      <c r="V74" t="s">
        <v>2233</v>
      </c>
      <c r="W74" t="s">
        <v>2226</v>
      </c>
    </row>
    <row r="75" spans="1:23">
      <c r="K75" s="5"/>
      <c r="L75" s="5"/>
      <c r="M75" s="5"/>
      <c r="Q75" t="s">
        <v>1626</v>
      </c>
      <c r="R75" t="s">
        <v>2220</v>
      </c>
      <c r="S75" t="s">
        <v>338</v>
      </c>
      <c r="T75">
        <v>100</v>
      </c>
      <c r="U75">
        <v>300</v>
      </c>
      <c r="V75" t="s">
        <v>2234</v>
      </c>
      <c r="W75" t="s">
        <v>2231</v>
      </c>
    </row>
    <row r="76" spans="1:23">
      <c r="K76" s="5"/>
      <c r="L76" s="5"/>
      <c r="M76" s="5"/>
      <c r="Q76" t="s">
        <v>1612</v>
      </c>
      <c r="R76" t="s">
        <v>2220</v>
      </c>
      <c r="S76" t="s">
        <v>338</v>
      </c>
      <c r="T76">
        <v>100</v>
      </c>
      <c r="U76">
        <v>400</v>
      </c>
      <c r="V76" t="s">
        <v>2235</v>
      </c>
      <c r="W76" t="s">
        <v>2236</v>
      </c>
    </row>
    <row r="77" spans="1:23">
      <c r="Q77" t="s">
        <v>1643</v>
      </c>
      <c r="R77" t="s">
        <v>2220</v>
      </c>
      <c r="S77" t="s">
        <v>1672</v>
      </c>
      <c r="T77">
        <v>50</v>
      </c>
      <c r="U77">
        <v>200</v>
      </c>
      <c r="V77" t="s">
        <v>2237</v>
      </c>
      <c r="W77" t="s">
        <v>2226</v>
      </c>
    </row>
    <row r="78" spans="1:23" ht="23.25">
      <c r="B78" s="1616"/>
    </row>
    <row r="81" spans="6:20">
      <c r="M81" s="43"/>
    </row>
    <row r="84" spans="6:20">
      <c r="M84" s="43"/>
    </row>
    <row r="85" spans="6:20">
      <c r="F85" s="1583"/>
    </row>
    <row r="86" spans="6:20">
      <c r="F86" s="1583"/>
    </row>
    <row r="87" spans="6:20">
      <c r="F87" s="1583"/>
    </row>
    <row r="93" spans="6:20">
      <c r="Q93" t="s">
        <v>1822</v>
      </c>
      <c r="R93" t="s">
        <v>1823</v>
      </c>
      <c r="S93" t="s">
        <v>1824</v>
      </c>
      <c r="T93" t="s">
        <v>1786</v>
      </c>
    </row>
    <row r="94" spans="6:20">
      <c r="F94" s="1583"/>
      <c r="Q94" t="s">
        <v>1733</v>
      </c>
      <c r="R94" t="s">
        <v>1733</v>
      </c>
      <c r="S94" t="s">
        <v>1733</v>
      </c>
      <c r="T94" t="s">
        <v>2238</v>
      </c>
    </row>
    <row r="95" spans="6:20">
      <c r="F95" s="1583"/>
      <c r="Q95" t="s">
        <v>1733</v>
      </c>
      <c r="R95" t="s">
        <v>1735</v>
      </c>
      <c r="S95" t="s">
        <v>1735</v>
      </c>
      <c r="T95" t="s">
        <v>2239</v>
      </c>
    </row>
    <row r="96" spans="6:20">
      <c r="F96" s="1583"/>
      <c r="Q96" t="s">
        <v>1735</v>
      </c>
      <c r="R96" t="s">
        <v>1733</v>
      </c>
      <c r="S96" t="s">
        <v>1735</v>
      </c>
      <c r="T96" t="s">
        <v>2239</v>
      </c>
    </row>
    <row r="97" spans="2:20">
      <c r="Q97" t="s">
        <v>1735</v>
      </c>
      <c r="R97" t="s">
        <v>1735</v>
      </c>
      <c r="S97" t="s">
        <v>1829</v>
      </c>
      <c r="T97" t="s">
        <v>2240</v>
      </c>
    </row>
    <row r="100" spans="2:20">
      <c r="B100" s="1615"/>
      <c r="F100" s="43"/>
      <c r="I100" s="1617"/>
    </row>
    <row r="104" spans="2:20">
      <c r="F104" s="1583"/>
    </row>
    <row r="105" spans="2:20">
      <c r="F105" s="1583"/>
    </row>
    <row r="106" spans="2:20">
      <c r="F106" s="1583"/>
    </row>
    <row r="110" spans="2:20">
      <c r="F110" s="43"/>
      <c r="I110" s="1617"/>
    </row>
    <row r="113" spans="6:6">
      <c r="F113" s="1583"/>
    </row>
    <row r="114" spans="6:6">
      <c r="F114" s="1583"/>
    </row>
    <row r="115" spans="6:6">
      <c r="F115" s="1583"/>
    </row>
  </sheetData>
  <mergeCells count="5">
    <mergeCell ref="B48:C49"/>
    <mergeCell ref="D48:D49"/>
    <mergeCell ref="E48:F48"/>
    <mergeCell ref="G48:N48"/>
    <mergeCell ref="B67:K69"/>
  </mergeCells>
  <conditionalFormatting sqref="D62:D64">
    <cfRule type="expression" dxfId="83" priority="17">
      <formula>ISNUMBER(SEARCH("RE-ANALYZE",$D62))</formula>
    </cfRule>
    <cfRule type="expression" dxfId="82" priority="18">
      <formula>ISNUMBER(SEARCH("REVIEW",$D62))</formula>
    </cfRule>
    <cfRule type="expression" dxfId="81" priority="19">
      <formula>ISNUMBER(SEARCH("CHECK",$D62))</formula>
    </cfRule>
    <cfRule type="expression" dxfId="80" priority="20">
      <formula>ISNUMBER(SEARCH("PASS",$D62))</formula>
    </cfRule>
  </conditionalFormatting>
  <conditionalFormatting sqref="E50:E51">
    <cfRule type="expression" dxfId="79" priority="25">
      <formula>ISNUMBER(SEARCH("RE-ANALYZE",$E50))</formula>
    </cfRule>
    <cfRule type="expression" dxfId="78" priority="26">
      <formula>ISNUMBER(SEARCH("REVIEW",$E50))</formula>
    </cfRule>
    <cfRule type="expression" dxfId="77" priority="27">
      <formula>ISNUMBER(SEARCH("CHECK",$E50))</formula>
    </cfRule>
    <cfRule type="expression" dxfId="76" priority="28">
      <formula>ISNUMBER(SEARCH("PASS",$E50))</formula>
    </cfRule>
  </conditionalFormatting>
  <conditionalFormatting sqref="F85:F87">
    <cfRule type="expression" dxfId="75" priority="13">
      <formula>ISNUMBER(SEARCH("RE-ANALYZE",$F85))</formula>
    </cfRule>
    <cfRule type="expression" dxfId="74" priority="14">
      <formula>ISNUMBER(SEARCH("REVIEW",$F85))</formula>
    </cfRule>
    <cfRule type="expression" dxfId="73" priority="15">
      <formula>ISNUMBER(SEARCH("CHECK",$F85))</formula>
    </cfRule>
    <cfRule type="expression" dxfId="72" priority="16">
      <formula>ISNUMBER(SEARCH("PASS",$F85))</formula>
    </cfRule>
  </conditionalFormatting>
  <conditionalFormatting sqref="F94:F96">
    <cfRule type="expression" dxfId="71" priority="9">
      <formula>ISNUMBER(SEARCH("RE-ANALYZE",$F94))</formula>
    </cfRule>
    <cfRule type="expression" dxfId="70" priority="10">
      <formula>ISNUMBER(SEARCH("REVIEW",$F94))</formula>
    </cfRule>
    <cfRule type="expression" dxfId="69" priority="11">
      <formula>ISNUMBER(SEARCH("CHECK",$F94))</formula>
    </cfRule>
    <cfRule type="expression" dxfId="68" priority="12">
      <formula>ISNUMBER(SEARCH("PASS",$F94))</formula>
    </cfRule>
  </conditionalFormatting>
  <conditionalFormatting sqref="F104:F106">
    <cfRule type="expression" dxfId="67" priority="5">
      <formula>ISNUMBER(SEARCH("RE-ANALYZE",$F104))</formula>
    </cfRule>
    <cfRule type="expression" dxfId="66" priority="6">
      <formula>ISNUMBER(SEARCH("REVIEW",$F104))</formula>
    </cfRule>
    <cfRule type="expression" dxfId="65" priority="7">
      <formula>ISNUMBER(SEARCH("CHECK",$F104))</formula>
    </cfRule>
    <cfRule type="expression" dxfId="64" priority="8">
      <formula>ISNUMBER(SEARCH("PASS",$F104))</formula>
    </cfRule>
  </conditionalFormatting>
  <conditionalFormatting sqref="F113:F115">
    <cfRule type="expression" dxfId="63" priority="1">
      <formula>ISNUMBER(SEARCH("RE-ANALYZE",$F113))</formula>
    </cfRule>
    <cfRule type="expression" dxfId="62" priority="2">
      <formula>ISNUMBER(SEARCH("REVIEW",$F113))</formula>
    </cfRule>
    <cfRule type="expression" dxfId="61" priority="3">
      <formula>ISNUMBER(SEARCH("CHECK",$F113))</formula>
    </cfRule>
    <cfRule type="expression" dxfId="60" priority="4">
      <formula>ISNUMBER(SEARCH("PASS",$F113))</formula>
    </cfRule>
  </conditionalFormatting>
  <conditionalFormatting sqref="L50:L51">
    <cfRule type="expression" dxfId="59" priority="21">
      <formula>ISNUMBER(SEARCH("RE-ANALYZE",$L50))</formula>
    </cfRule>
    <cfRule type="expression" dxfId="58" priority="22">
      <formula>ISNUMBER(SEARCH("REVIEW",$L50))</formula>
    </cfRule>
    <cfRule type="expression" dxfId="57" priority="23">
      <formula>ISNUMBER(SEARCH("CHECK",$L50))</formula>
    </cfRule>
    <cfRule type="expression" dxfId="56" priority="24">
      <formula>ISNUMBER(SEARCH("PASS",$L50))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38C9-103C-45E1-AED2-E515A1ABA921}">
  <dimension ref="A28:W115"/>
  <sheetViews>
    <sheetView topLeftCell="A39" zoomScale="37" zoomScaleNormal="37" workbookViewId="0">
      <selection activeCell="AF66" sqref="AF66"/>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66" t="s">
        <v>1719</v>
      </c>
      <c r="B41" s="862"/>
      <c r="C41" s="14"/>
      <c r="D41" s="370"/>
      <c r="E41" s="370"/>
      <c r="P41" s="370" t="s">
        <v>1630</v>
      </c>
      <c r="Q41" s="370" t="s">
        <v>1631</v>
      </c>
      <c r="R41" s="370" t="s">
        <v>1657</v>
      </c>
      <c r="S41" s="370" t="s">
        <v>1658</v>
      </c>
      <c r="T41" s="370"/>
    </row>
    <row r="42" spans="1:20">
      <c r="A42" s="1624" t="s">
        <v>2241</v>
      </c>
      <c r="B42" s="1625"/>
      <c r="C42" s="596"/>
      <c r="D42" s="597"/>
      <c r="E42" s="597"/>
    </row>
    <row r="43" spans="1:20">
      <c r="A43" s="1566" t="s">
        <v>1719</v>
      </c>
      <c r="B43" s="862"/>
      <c r="C43" s="14"/>
      <c r="D43" s="370"/>
      <c r="E43" s="370"/>
    </row>
    <row r="44" spans="1:20">
      <c r="A44" s="1566"/>
      <c r="B44" s="862"/>
      <c r="C44" s="14"/>
      <c r="D44" s="370"/>
      <c r="E44" s="370"/>
    </row>
    <row r="45" spans="1:20">
      <c r="B45" t="s">
        <v>1611</v>
      </c>
      <c r="C45" s="299" t="s">
        <v>1612</v>
      </c>
    </row>
    <row r="46" spans="1:20">
      <c r="B46" s="116"/>
      <c r="H46" s="116"/>
      <c r="N46" s="116"/>
    </row>
    <row r="47" spans="1:20">
      <c r="B47" s="116" t="s">
        <v>1793</v>
      </c>
      <c r="H47" s="116"/>
      <c r="N47" s="116"/>
    </row>
    <row r="48" spans="1:20">
      <c r="B48" s="1866" t="s">
        <v>124</v>
      </c>
      <c r="C48" s="1866"/>
      <c r="D48" s="1866" t="s">
        <v>1783</v>
      </c>
      <c r="E48" s="1867" t="s">
        <v>1788</v>
      </c>
      <c r="F48" s="1867"/>
      <c r="G48" s="1868" t="s">
        <v>1789</v>
      </c>
      <c r="H48" s="1868"/>
      <c r="I48" s="1868"/>
      <c r="J48" s="1868"/>
      <c r="K48" s="1868"/>
      <c r="L48" s="1868"/>
      <c r="M48" s="1868"/>
      <c r="N48" s="1868"/>
      <c r="Q48" s="116" t="s">
        <v>1841</v>
      </c>
    </row>
    <row r="49" spans="1:21">
      <c r="B49" s="1866"/>
      <c r="C49" s="1866"/>
      <c r="D49" s="1866"/>
      <c r="E49" s="1581" t="s">
        <v>1598</v>
      </c>
      <c r="F49" s="1581" t="s">
        <v>1718</v>
      </c>
      <c r="G49" s="1579" t="s">
        <v>1790</v>
      </c>
      <c r="H49" s="1579" t="s">
        <v>1684</v>
      </c>
      <c r="I49" s="1580" t="s">
        <v>1794</v>
      </c>
      <c r="J49" s="1580" t="s">
        <v>438</v>
      </c>
      <c r="K49" s="1580" t="s">
        <v>1791</v>
      </c>
      <c r="L49" s="1580" t="s">
        <v>1598</v>
      </c>
      <c r="M49" s="1580" t="s">
        <v>1792</v>
      </c>
      <c r="N49" s="1580" t="s">
        <v>1718</v>
      </c>
      <c r="R49" t="s">
        <v>575</v>
      </c>
      <c r="S49" t="s">
        <v>1607</v>
      </c>
      <c r="T49" t="s">
        <v>1608</v>
      </c>
      <c r="U49" t="s">
        <v>2033</v>
      </c>
    </row>
    <row r="50" spans="1:21" ht="78.75" customHeight="1">
      <c r="B50" s="326" t="s">
        <v>2242</v>
      </c>
      <c r="C50" s="1270"/>
      <c r="D50" s="1621">
        <v>20</v>
      </c>
      <c r="E50" s="1622" t="str">
        <f>IF(D50="","CHECK",
IFERROR(
IF(AND(
D50&gt;=INDEX($S$50:$S$52,MATCH(B50,$R$50:$R$52,0)),
D50&lt;=INDEX($T$50:$T$52,MATCH(B50,$R$50:$R$52,0))
),
"PASS",
"REVIEW"),
"CHECK"))</f>
        <v>PASS</v>
      </c>
      <c r="F50" s="1623" t="str">
        <f>IFERROR(
INDEX($U$50:$U$52,
MATCH(B50,$R$50:$R$52,0)),
"")</f>
        <v>ASTM D3080</v>
      </c>
      <c r="G50" s="1596" t="str" cm="1">
        <f t="array" ref="G50">IFERROR(
INDEX($R$57:$R$66,
MATCH(1,
($Q$57:$Q$66=B50)*
($U$57:$U$66&gt;=D50)*
($T$57:$T$66&lt;=D50),
0)),
"")</f>
        <v>Rendah</v>
      </c>
      <c r="H50" s="1596" t="str" cm="1">
        <f t="array" ref="H50">IFERROR(
INDEX($S$57:$S$66,
MATCH(1,
($Q$57:$Q$66=B50)*
($U$57:$U$66&gt;=D50)*
($T$57:$T$66&lt;=D50),
0)),
"")</f>
        <v>L</v>
      </c>
      <c r="I50" s="1596" t="str" cm="1">
        <f t="array" ref="I50">IFERROR(
INDEX($S$70:$S$91,
MATCH(1,
($Q$70:$Q$91=$C$45)*
($R$70:$R$91=$B$50),
0)),
"")</f>
        <v>Tinggi</v>
      </c>
      <c r="J50" s="1596" cm="1">
        <f t="array" ref="J50">IFERROR(
INDEX($T$70:$T$91,
MATCH(1,
($Q$70:$Q$91=$C$45)*
($R$70:$R$91=$B$50),
0)),
"")</f>
        <v>50</v>
      </c>
      <c r="K50" s="1596" cm="1">
        <f t="array" ref="K50">IFERROR(
INDEX($U$70:$U$91,
MATCH(1,
($Q$70:$Q$91=$C$45)*
($R$70:$R$91=$B$50),
0)),
"")</f>
        <v>100</v>
      </c>
      <c r="L50" s="1622" t="str">
        <f>IF(D50="","CHECK",
IF(AND(D50&gt;=J50,D50&lt;K50),"PASS","REVIEW"))</f>
        <v>REVIEW</v>
      </c>
      <c r="M50" s="1620" t="str" cm="1">
        <f t="array" ref="M50">IFERROR(
INDEX($V$70:$V$91,
MATCH(1,
($Q$70:$Q$91=$C$45)*
($R$70:$R$91=$B$50),
0)),
"")</f>
        <v>Lempung umumnya memiliki kohesi tinggi yang mengendalikan kuat geser.</v>
      </c>
      <c r="N50" s="1596" t="str" cm="1">
        <f t="array" ref="N50">IFERROR(
INDEX($W$70:$W$91,
MATCH(1,
($Q$70:$Q$91=$C$45)*
($R$70:$R$91=$B$50),
0)),
"")</f>
        <v>Das (2016)</v>
      </c>
      <c r="R50" s="326" t="s">
        <v>2242</v>
      </c>
      <c r="S50" s="326">
        <v>0</v>
      </c>
      <c r="T50" s="326">
        <v>300</v>
      </c>
      <c r="U50" s="326" t="s">
        <v>2243</v>
      </c>
    </row>
    <row r="51" spans="1:21" ht="91.5" customHeight="1">
      <c r="B51" s="326" t="s">
        <v>2244</v>
      </c>
      <c r="C51" s="326"/>
      <c r="D51" s="1582">
        <v>18</v>
      </c>
      <c r="E51" s="1622" t="str">
        <f t="shared" ref="E51" si="0">IF(D51="","CHECK",
IFERROR(
IF(AND(
D51&gt;=INDEX($S$50:$S$52,MATCH(B51,$R$50:$R$52,0)),
D51&lt;=INDEX($T$50:$T$52,MATCH(B51,$R$50:$R$52,0))
),
"PASS",
"REVIEW"),
"CHECK"))</f>
        <v>PASS</v>
      </c>
      <c r="F51" s="1623" t="str">
        <f t="shared" ref="F51" si="1">IFERROR(
INDEX($U$50:$U$52,
MATCH(B51,$R$50:$R$52,0)),
"")</f>
        <v>ASTM D3080</v>
      </c>
      <c r="G51" s="1596" t="str" cm="1">
        <f t="array" ref="G51">IFERROR(
INDEX($R$57:$R$66,
MATCH(1,
($Q$57:$Q$66=B51)*
($U$57:$U$66&gt;=D51)*
($T$57:$T$66&lt;=D51),
0)),
"")</f>
        <v>Rendah</v>
      </c>
      <c r="H51" s="1596" t="str" cm="1">
        <f t="array" ref="H51">IFERROR(
INDEX($S$57:$S$66,
MATCH(1,
($Q$57:$Q$66=B51)*
($U$57:$U$66&gt;=D51)*
($T$57:$T$66&lt;=D51),
0)),
"")</f>
        <v>L</v>
      </c>
      <c r="I51" s="1596" t="str" cm="1">
        <f t="array" ref="I51">IFERROR(
INDEX($S$70:$S$91,
MATCH(1,
($Q$70:$Q$91=$C$45)*
($R$70:$R$91=$B$51),
0)),
"")</f>
        <v>Rendah</v>
      </c>
      <c r="J51" s="1596" cm="1">
        <f t="array" ref="J51">IFERROR(
INDEX($T$70:$T$91,
MATCH(1,
($Q$70:$Q$91=$C$45)*
($R$70:$R$91=$B$51),
0)),
"")</f>
        <v>18</v>
      </c>
      <c r="K51" s="1596" cm="1">
        <f t="array" ref="K51">IFERROR(
INDEX($U$70:$U$91,
MATCH(1,
($Q$70:$Q$91=$C$45)*
($R$70:$R$91=$B$51),
0)),
"")</f>
        <v>28</v>
      </c>
      <c r="L51" s="1622" t="str">
        <f>IF(D51="","CHECK",
IF(AND(D51&gt;=J51,D51&lt;K51),"PASS","REVIEW"))</f>
        <v>PASS</v>
      </c>
      <c r="M51" s="1620" t="str" cm="1">
        <f t="array" ref="M51">IFERROR(
INDEX($V$70:$V$91,
MATCH(1,
($Q$70:$Q$91=$C$45)*
($R$70:$R$91=$B$51),
0)),
"")</f>
        <v>Sudut geser relatif rendah; nilai tinggi perlu dikaitkan dengan kandungan pasir atau struktur tanah.</v>
      </c>
      <c r="N51" s="1596" t="str" cm="1">
        <f t="array" ref="N51">IFERROR(
INDEX($W$70:$W$91,
MATCH(1,
($Q$70:$Q$91=$C$45)*
($R$70:$R$91=$B$51),
0)),
"")</f>
        <v>Das (2016)</v>
      </c>
      <c r="R51" s="326" t="s">
        <v>2244</v>
      </c>
      <c r="S51" s="326">
        <v>0</v>
      </c>
      <c r="T51" s="326">
        <v>50</v>
      </c>
      <c r="U51" s="326" t="s">
        <v>2243</v>
      </c>
    </row>
    <row r="52" spans="1:21">
      <c r="E52" s="1622"/>
      <c r="F52" s="1623"/>
    </row>
    <row r="55" spans="1:21">
      <c r="Q55" s="116" t="s">
        <v>1797</v>
      </c>
    </row>
    <row r="56" spans="1:21">
      <c r="Q56" t="s">
        <v>575</v>
      </c>
      <c r="R56" t="s">
        <v>2030</v>
      </c>
      <c r="S56" t="s">
        <v>1684</v>
      </c>
      <c r="T56" t="s">
        <v>2218</v>
      </c>
      <c r="U56" t="s">
        <v>2219</v>
      </c>
    </row>
    <row r="57" spans="1:21">
      <c r="Q57" t="s">
        <v>2242</v>
      </c>
      <c r="R57" t="s">
        <v>1680</v>
      </c>
      <c r="S57" t="s">
        <v>589</v>
      </c>
      <c r="T57">
        <v>0</v>
      </c>
      <c r="U57">
        <v>10</v>
      </c>
    </row>
    <row r="58" spans="1:21">
      <c r="Q58" t="s">
        <v>2242</v>
      </c>
      <c r="R58" t="s">
        <v>1670</v>
      </c>
      <c r="S58" t="s">
        <v>365</v>
      </c>
      <c r="T58">
        <v>10</v>
      </c>
      <c r="U58">
        <v>25</v>
      </c>
    </row>
    <row r="59" spans="1:21">
      <c r="Q59" t="s">
        <v>2242</v>
      </c>
      <c r="R59" t="s">
        <v>1672</v>
      </c>
      <c r="S59" t="s">
        <v>239</v>
      </c>
      <c r="T59">
        <v>25</v>
      </c>
      <c r="U59">
        <v>50</v>
      </c>
    </row>
    <row r="60" spans="1:21">
      <c r="Q60" t="s">
        <v>2242</v>
      </c>
      <c r="R60" t="s">
        <v>338</v>
      </c>
      <c r="S60" t="s">
        <v>186</v>
      </c>
      <c r="T60">
        <v>50</v>
      </c>
      <c r="U60">
        <v>100</v>
      </c>
    </row>
    <row r="61" spans="1:21">
      <c r="A61" s="116" t="s">
        <v>1795</v>
      </c>
      <c r="Q61" t="s">
        <v>2242</v>
      </c>
      <c r="R61" t="s">
        <v>1681</v>
      </c>
      <c r="S61" t="s">
        <v>2222</v>
      </c>
      <c r="T61">
        <v>100</v>
      </c>
      <c r="U61">
        <v>300</v>
      </c>
    </row>
    <row r="62" spans="1:21">
      <c r="A62" t="s">
        <v>2114</v>
      </c>
      <c r="D62" s="1583" t="str">
        <f>IF(COUNTIF(E50:E51,"REVIEW")&gt;0,
"REVIEW",
"PASS")</f>
        <v>PASS</v>
      </c>
      <c r="Q62" t="s">
        <v>2244</v>
      </c>
      <c r="R62" t="s">
        <v>1680</v>
      </c>
      <c r="S62" t="s">
        <v>589</v>
      </c>
      <c r="T62">
        <v>0</v>
      </c>
      <c r="U62">
        <v>15</v>
      </c>
    </row>
    <row r="63" spans="1:21">
      <c r="A63" t="s">
        <v>1832</v>
      </c>
      <c r="D63" s="1583" t="str">
        <f>IF(COUNTIF(L50:L51,"REVIEW")&gt;0,
"REVIEW",
"PASS")</f>
        <v>REVIEW</v>
      </c>
      <c r="Q63" t="s">
        <v>2244</v>
      </c>
      <c r="R63" t="s">
        <v>1670</v>
      </c>
      <c r="S63" t="s">
        <v>365</v>
      </c>
      <c r="T63">
        <v>15</v>
      </c>
      <c r="U63">
        <v>25</v>
      </c>
    </row>
    <row r="64" spans="1:21">
      <c r="A64" t="s">
        <v>1605</v>
      </c>
      <c r="D64" s="1583" t="str">
        <f>IF(AND(D62="PASS",D63="PASS"),
"PASS",
IF(AND(D62="PASS",D63="REVIEW"),
"REVIEW",
IF(AND(D62="REVIEW",D63="PASS"),
"REVIEW",
"RE-ANALYZE")))</f>
        <v>REVIEW</v>
      </c>
      <c r="Q64" t="s">
        <v>2244</v>
      </c>
      <c r="R64" t="s">
        <v>1672</v>
      </c>
      <c r="S64" t="s">
        <v>239</v>
      </c>
      <c r="T64">
        <v>25</v>
      </c>
      <c r="U64">
        <v>35</v>
      </c>
    </row>
    <row r="65" spans="1:23">
      <c r="Q65" t="s">
        <v>2244</v>
      </c>
      <c r="R65" t="s">
        <v>338</v>
      </c>
      <c r="S65" t="s">
        <v>186</v>
      </c>
      <c r="T65">
        <v>35</v>
      </c>
      <c r="U65">
        <v>45</v>
      </c>
    </row>
    <row r="66" spans="1:23">
      <c r="A66" s="116" t="s">
        <v>1833</v>
      </c>
      <c r="Q66" t="s">
        <v>2244</v>
      </c>
      <c r="R66" t="s">
        <v>1681</v>
      </c>
      <c r="S66" t="s">
        <v>2222</v>
      </c>
      <c r="T66">
        <v>45</v>
      </c>
      <c r="U66">
        <v>60</v>
      </c>
    </row>
    <row r="67" spans="1:23" ht="15.75" customHeight="1">
      <c r="B67" s="1859" t="str" cm="1">
        <f t="array" ref="B67">IFERROR(
INDEX($T$94:$T$97,
MATCH(1,
($Q$94:$Q$97=D62)*
($R$94:$R$97=D63),
0)),
"")</f>
        <v>Salah satu atau lebih parameter kuat geser berada di luar kisaran umum karakteristik jenis tanah atau menunjukkan kecenderungan yang tidak lazim. Disarankan melakukan peninjauan terhadap data pengujian, kurva hubungan tegangan normal–tegangan geser, serta penentuan garis amplop keruntuhan sebelum LHU diterbitkan.</v>
      </c>
      <c r="C67" s="1859"/>
      <c r="D67" s="1859"/>
      <c r="E67" s="1859"/>
      <c r="F67" s="1859"/>
      <c r="G67" s="1859"/>
      <c r="H67" s="1859"/>
      <c r="I67" s="1859"/>
      <c r="J67" s="1859"/>
      <c r="K67" s="1859"/>
      <c r="L67" s="1523"/>
    </row>
    <row r="68" spans="1:23">
      <c r="B68" s="1814"/>
      <c r="C68" s="1814"/>
      <c r="D68" s="1814"/>
      <c r="E68" s="1814"/>
      <c r="F68" s="1814"/>
      <c r="G68" s="1814"/>
      <c r="H68" s="1814"/>
      <c r="I68" s="1814"/>
      <c r="J68" s="1814"/>
      <c r="K68" s="1814"/>
      <c r="L68" s="1578"/>
      <c r="M68" s="1578"/>
      <c r="Q68" s="116" t="s">
        <v>1798</v>
      </c>
    </row>
    <row r="69" spans="1:23">
      <c r="B69" s="1814"/>
      <c r="C69" s="1814"/>
      <c r="D69" s="1814"/>
      <c r="E69" s="1814"/>
      <c r="F69" s="1814"/>
      <c r="G69" s="1814"/>
      <c r="H69" s="1814"/>
      <c r="I69" s="1814"/>
      <c r="J69" s="1814"/>
      <c r="K69" s="1814"/>
      <c r="L69" s="5"/>
      <c r="M69" s="5"/>
      <c r="Q69" t="s">
        <v>2201</v>
      </c>
      <c r="R69" t="s">
        <v>575</v>
      </c>
      <c r="S69" t="s">
        <v>1480</v>
      </c>
      <c r="T69" t="s">
        <v>1607</v>
      </c>
      <c r="U69" t="s">
        <v>1608</v>
      </c>
      <c r="V69" t="s">
        <v>1685</v>
      </c>
      <c r="W69" t="s">
        <v>2033</v>
      </c>
    </row>
    <row r="70" spans="1:23">
      <c r="B70" s="1814"/>
      <c r="C70" s="1814"/>
      <c r="D70" s="1814"/>
      <c r="E70" s="1814"/>
      <c r="F70" s="1814"/>
      <c r="G70" s="1814"/>
      <c r="H70" s="1814"/>
      <c r="I70" s="1814"/>
      <c r="J70" s="1814"/>
      <c r="K70" s="1814"/>
      <c r="L70" s="5"/>
      <c r="M70" s="5"/>
      <c r="Q70" t="s">
        <v>1630</v>
      </c>
      <c r="R70" t="s">
        <v>2242</v>
      </c>
      <c r="S70" t="s">
        <v>1680</v>
      </c>
      <c r="T70">
        <v>0</v>
      </c>
      <c r="U70">
        <v>5</v>
      </c>
      <c r="V70" t="s">
        <v>2247</v>
      </c>
      <c r="W70" t="s">
        <v>1787</v>
      </c>
    </row>
    <row r="71" spans="1:23">
      <c r="K71" s="5"/>
      <c r="L71" s="5"/>
      <c r="M71" s="5"/>
      <c r="Q71" t="s">
        <v>1630</v>
      </c>
      <c r="R71" t="s">
        <v>2244</v>
      </c>
      <c r="S71" t="s">
        <v>338</v>
      </c>
      <c r="T71">
        <v>35</v>
      </c>
      <c r="U71">
        <v>45</v>
      </c>
      <c r="V71" t="s">
        <v>2248</v>
      </c>
      <c r="W71" t="s">
        <v>1787</v>
      </c>
    </row>
    <row r="72" spans="1:23">
      <c r="B72" s="5"/>
      <c r="C72" s="5"/>
      <c r="D72" s="5"/>
      <c r="E72" s="5"/>
      <c r="F72" s="5"/>
      <c r="G72" s="5"/>
      <c r="H72" s="5"/>
      <c r="I72" s="5"/>
      <c r="J72" s="5"/>
      <c r="K72" s="5"/>
      <c r="L72" s="5"/>
      <c r="M72" s="5"/>
      <c r="N72" s="5"/>
      <c r="O72" s="5"/>
      <c r="Q72" t="s">
        <v>1620</v>
      </c>
      <c r="R72" t="s">
        <v>2242</v>
      </c>
      <c r="S72" t="s">
        <v>1680</v>
      </c>
      <c r="T72">
        <v>0</v>
      </c>
      <c r="U72">
        <v>5</v>
      </c>
      <c r="V72" t="s">
        <v>2249</v>
      </c>
      <c r="W72" t="s">
        <v>2243</v>
      </c>
    </row>
    <row r="73" spans="1:23">
      <c r="B73" s="5"/>
      <c r="C73" s="5"/>
      <c r="D73" s="5"/>
      <c r="E73" s="5"/>
      <c r="F73" s="5"/>
      <c r="G73" s="5"/>
      <c r="H73" s="5"/>
      <c r="I73" s="5"/>
      <c r="J73" s="5"/>
      <c r="K73" s="5"/>
      <c r="L73" s="5"/>
      <c r="M73" s="5"/>
      <c r="N73" s="5"/>
      <c r="O73" s="5"/>
      <c r="Q73" t="s">
        <v>1620</v>
      </c>
      <c r="R73" t="s">
        <v>2244</v>
      </c>
      <c r="S73" t="s">
        <v>338</v>
      </c>
      <c r="T73">
        <v>32</v>
      </c>
      <c r="U73">
        <v>42</v>
      </c>
      <c r="V73" t="s">
        <v>2250</v>
      </c>
      <c r="W73" t="s">
        <v>2243</v>
      </c>
    </row>
    <row r="74" spans="1:23">
      <c r="B74" s="5"/>
      <c r="C74" s="5"/>
      <c r="D74" s="5"/>
      <c r="E74" s="5"/>
      <c r="F74" s="5"/>
      <c r="G74" s="5"/>
      <c r="H74" s="5"/>
      <c r="I74" s="5"/>
      <c r="J74" s="5"/>
      <c r="K74" s="5"/>
      <c r="L74" s="5"/>
      <c r="M74" s="5"/>
      <c r="N74" s="5"/>
      <c r="O74" s="5"/>
      <c r="Q74" t="s">
        <v>1623</v>
      </c>
      <c r="R74" t="s">
        <v>2242</v>
      </c>
      <c r="S74" t="s">
        <v>1670</v>
      </c>
      <c r="T74">
        <v>5</v>
      </c>
      <c r="U74">
        <v>15</v>
      </c>
      <c r="V74" t="s">
        <v>2251</v>
      </c>
      <c r="W74" t="s">
        <v>1716</v>
      </c>
    </row>
    <row r="75" spans="1:23">
      <c r="K75" s="5"/>
      <c r="L75" s="5"/>
      <c r="M75" s="5"/>
      <c r="Q75" t="s">
        <v>1623</v>
      </c>
      <c r="R75" t="s">
        <v>2244</v>
      </c>
      <c r="S75" t="s">
        <v>1771</v>
      </c>
      <c r="T75">
        <v>30</v>
      </c>
      <c r="U75">
        <v>38</v>
      </c>
      <c r="V75" t="s">
        <v>2252</v>
      </c>
      <c r="W75" t="s">
        <v>1716</v>
      </c>
    </row>
    <row r="76" spans="1:23">
      <c r="K76" s="5"/>
      <c r="L76" s="5"/>
      <c r="M76" s="5"/>
      <c r="Q76" t="s">
        <v>1621</v>
      </c>
      <c r="R76" t="s">
        <v>2242</v>
      </c>
      <c r="S76" t="s">
        <v>1670</v>
      </c>
      <c r="T76">
        <v>10</v>
      </c>
      <c r="U76">
        <v>25</v>
      </c>
      <c r="V76" t="s">
        <v>2245</v>
      </c>
      <c r="W76" t="s">
        <v>2243</v>
      </c>
    </row>
    <row r="77" spans="1:23">
      <c r="Q77" t="s">
        <v>1621</v>
      </c>
      <c r="R77" t="s">
        <v>2244</v>
      </c>
      <c r="S77" t="s">
        <v>1672</v>
      </c>
      <c r="T77">
        <v>28</v>
      </c>
      <c r="U77">
        <v>35</v>
      </c>
      <c r="V77" t="s">
        <v>2253</v>
      </c>
      <c r="W77" t="s">
        <v>2243</v>
      </c>
    </row>
    <row r="78" spans="1:23" ht="23.25">
      <c r="B78" s="1616"/>
      <c r="Q78" t="s">
        <v>1690</v>
      </c>
      <c r="R78" t="s">
        <v>2242</v>
      </c>
      <c r="S78" t="s">
        <v>1672</v>
      </c>
      <c r="T78">
        <v>15</v>
      </c>
      <c r="U78">
        <v>35</v>
      </c>
      <c r="V78" t="s">
        <v>2254</v>
      </c>
      <c r="W78" t="s">
        <v>2246</v>
      </c>
    </row>
    <row r="79" spans="1:23">
      <c r="Q79" t="s">
        <v>1690</v>
      </c>
      <c r="R79" t="s">
        <v>2244</v>
      </c>
      <c r="S79" t="s">
        <v>1672</v>
      </c>
      <c r="T79">
        <v>25</v>
      </c>
      <c r="U79">
        <v>32</v>
      </c>
      <c r="V79" t="s">
        <v>2255</v>
      </c>
      <c r="W79" t="s">
        <v>2246</v>
      </c>
    </row>
    <row r="80" spans="1:23">
      <c r="Q80" t="s">
        <v>1628</v>
      </c>
      <c r="R80" t="s">
        <v>2242</v>
      </c>
      <c r="S80" t="s">
        <v>1672</v>
      </c>
      <c r="T80">
        <v>15</v>
      </c>
      <c r="U80">
        <v>35</v>
      </c>
      <c r="V80" t="s">
        <v>2256</v>
      </c>
      <c r="W80" t="s">
        <v>2243</v>
      </c>
    </row>
    <row r="81" spans="6:23">
      <c r="M81" s="43"/>
      <c r="Q81" t="s">
        <v>1628</v>
      </c>
      <c r="R81" t="s">
        <v>2244</v>
      </c>
      <c r="S81" t="s">
        <v>1672</v>
      </c>
      <c r="T81">
        <v>28</v>
      </c>
      <c r="U81">
        <v>35</v>
      </c>
      <c r="V81" t="s">
        <v>2257</v>
      </c>
      <c r="W81" t="s">
        <v>2243</v>
      </c>
    </row>
    <row r="82" spans="6:23">
      <c r="Q82" t="s">
        <v>1614</v>
      </c>
      <c r="R82" t="s">
        <v>2242</v>
      </c>
      <c r="S82" t="s">
        <v>1672</v>
      </c>
      <c r="T82">
        <v>20</v>
      </c>
      <c r="U82">
        <v>50</v>
      </c>
      <c r="V82" t="s">
        <v>2258</v>
      </c>
      <c r="W82" t="s">
        <v>1716</v>
      </c>
    </row>
    <row r="83" spans="6:23">
      <c r="Q83" t="s">
        <v>1614</v>
      </c>
      <c r="R83" t="s">
        <v>2244</v>
      </c>
      <c r="S83" t="s">
        <v>1742</v>
      </c>
      <c r="T83">
        <v>22</v>
      </c>
      <c r="U83">
        <v>30</v>
      </c>
      <c r="V83" t="s">
        <v>2259</v>
      </c>
      <c r="W83" t="s">
        <v>1716</v>
      </c>
    </row>
    <row r="84" spans="6:23">
      <c r="M84" s="43"/>
      <c r="Q84" t="s">
        <v>1617</v>
      </c>
      <c r="R84" t="s">
        <v>2242</v>
      </c>
      <c r="S84" t="s">
        <v>1672</v>
      </c>
      <c r="T84">
        <v>20</v>
      </c>
      <c r="U84">
        <v>50</v>
      </c>
      <c r="V84" t="s">
        <v>2260</v>
      </c>
      <c r="W84" t="s">
        <v>2243</v>
      </c>
    </row>
    <row r="85" spans="6:23">
      <c r="F85" s="1583"/>
      <c r="Q85" t="s">
        <v>1617</v>
      </c>
      <c r="R85" t="s">
        <v>2244</v>
      </c>
      <c r="S85" t="s">
        <v>1742</v>
      </c>
      <c r="T85">
        <v>22</v>
      </c>
      <c r="U85">
        <v>30</v>
      </c>
      <c r="V85" t="s">
        <v>2261</v>
      </c>
      <c r="W85" t="s">
        <v>2243</v>
      </c>
    </row>
    <row r="86" spans="6:23">
      <c r="F86" s="1583"/>
      <c r="Q86" t="s">
        <v>1626</v>
      </c>
      <c r="R86" t="s">
        <v>2242</v>
      </c>
      <c r="S86" t="s">
        <v>338</v>
      </c>
      <c r="T86">
        <v>40</v>
      </c>
      <c r="U86">
        <v>80</v>
      </c>
      <c r="V86" t="s">
        <v>2262</v>
      </c>
      <c r="W86" t="s">
        <v>2236</v>
      </c>
    </row>
    <row r="87" spans="6:23">
      <c r="F87" s="1583"/>
      <c r="Q87" t="s">
        <v>1626</v>
      </c>
      <c r="R87" t="s">
        <v>2244</v>
      </c>
      <c r="S87" t="s">
        <v>1670</v>
      </c>
      <c r="T87">
        <v>18</v>
      </c>
      <c r="U87">
        <v>28</v>
      </c>
      <c r="V87" t="s">
        <v>2263</v>
      </c>
      <c r="W87" t="s">
        <v>2236</v>
      </c>
    </row>
    <row r="88" spans="6:23">
      <c r="Q88" t="s">
        <v>1612</v>
      </c>
      <c r="R88" t="s">
        <v>2242</v>
      </c>
      <c r="S88" t="s">
        <v>338</v>
      </c>
      <c r="T88">
        <v>50</v>
      </c>
      <c r="U88">
        <v>100</v>
      </c>
      <c r="V88" t="s">
        <v>2264</v>
      </c>
      <c r="W88" t="s">
        <v>1716</v>
      </c>
    </row>
    <row r="89" spans="6:23">
      <c r="Q89" t="s">
        <v>1612</v>
      </c>
      <c r="R89" t="s">
        <v>2244</v>
      </c>
      <c r="S89" t="s">
        <v>1670</v>
      </c>
      <c r="T89">
        <v>18</v>
      </c>
      <c r="U89">
        <v>28</v>
      </c>
      <c r="V89" t="s">
        <v>2265</v>
      </c>
      <c r="W89" t="s">
        <v>1716</v>
      </c>
    </row>
    <row r="90" spans="6:23">
      <c r="Q90" t="s">
        <v>1643</v>
      </c>
      <c r="R90" t="s">
        <v>2242</v>
      </c>
      <c r="S90" t="s">
        <v>1672</v>
      </c>
      <c r="T90">
        <v>30</v>
      </c>
      <c r="U90">
        <v>70</v>
      </c>
      <c r="V90" t="s">
        <v>2266</v>
      </c>
      <c r="W90" t="s">
        <v>2243</v>
      </c>
    </row>
    <row r="91" spans="6:23">
      <c r="Q91" t="s">
        <v>1643</v>
      </c>
      <c r="R91" t="s">
        <v>2244</v>
      </c>
      <c r="S91" t="s">
        <v>1672</v>
      </c>
      <c r="T91">
        <v>22</v>
      </c>
      <c r="U91">
        <v>32</v>
      </c>
      <c r="V91" t="s">
        <v>2267</v>
      </c>
      <c r="W91" t="s">
        <v>2243</v>
      </c>
    </row>
    <row r="93" spans="6:23">
      <c r="Q93" t="s">
        <v>1822</v>
      </c>
      <c r="R93" t="s">
        <v>1823</v>
      </c>
      <c r="S93" t="s">
        <v>1824</v>
      </c>
      <c r="T93" t="s">
        <v>1786</v>
      </c>
    </row>
    <row r="94" spans="6:23">
      <c r="F94" s="1583"/>
      <c r="Q94" t="s">
        <v>1733</v>
      </c>
      <c r="R94" t="s">
        <v>1733</v>
      </c>
      <c r="S94" t="s">
        <v>1733</v>
      </c>
      <c r="T94" t="s">
        <v>2268</v>
      </c>
    </row>
    <row r="95" spans="6:23">
      <c r="F95" s="1583"/>
      <c r="Q95" t="s">
        <v>1733</v>
      </c>
      <c r="R95" t="s">
        <v>1735</v>
      </c>
      <c r="S95" t="s">
        <v>1735</v>
      </c>
      <c r="T95" t="s">
        <v>2269</v>
      </c>
    </row>
    <row r="96" spans="6:23">
      <c r="F96" s="1583"/>
      <c r="Q96" t="s">
        <v>1735</v>
      </c>
      <c r="R96" t="s">
        <v>1733</v>
      </c>
      <c r="S96" t="s">
        <v>1735</v>
      </c>
      <c r="T96" t="s">
        <v>2269</v>
      </c>
    </row>
    <row r="97" spans="2:20">
      <c r="Q97" t="s">
        <v>1735</v>
      </c>
      <c r="R97" t="s">
        <v>1735</v>
      </c>
      <c r="S97" t="s">
        <v>1829</v>
      </c>
      <c r="T97" t="s">
        <v>2270</v>
      </c>
    </row>
    <row r="100" spans="2:20">
      <c r="B100" s="1615"/>
      <c r="F100" s="43"/>
      <c r="I100" s="1617"/>
    </row>
    <row r="104" spans="2:20">
      <c r="F104" s="1583"/>
    </row>
    <row r="105" spans="2:20">
      <c r="F105" s="1583"/>
    </row>
    <row r="106" spans="2:20">
      <c r="F106" s="1583"/>
    </row>
    <row r="110" spans="2:20">
      <c r="F110" s="43"/>
      <c r="I110" s="1617"/>
    </row>
    <row r="113" spans="6:6">
      <c r="F113" s="1583"/>
    </row>
    <row r="114" spans="6:6">
      <c r="F114" s="1583"/>
    </row>
    <row r="115" spans="6:6">
      <c r="F115" s="1583"/>
    </row>
  </sheetData>
  <mergeCells count="5">
    <mergeCell ref="B48:C49"/>
    <mergeCell ref="D48:D49"/>
    <mergeCell ref="E48:F48"/>
    <mergeCell ref="G48:N48"/>
    <mergeCell ref="B67:K70"/>
  </mergeCells>
  <conditionalFormatting sqref="D62:D64">
    <cfRule type="expression" dxfId="55" priority="17">
      <formula>ISNUMBER(SEARCH("RE-ANALYZE",$D62))</formula>
    </cfRule>
    <cfRule type="expression" dxfId="54" priority="18">
      <formula>ISNUMBER(SEARCH("REVIEW",$D62))</formula>
    </cfRule>
    <cfRule type="expression" dxfId="53" priority="19">
      <formula>ISNUMBER(SEARCH("CHECK",$D62))</formula>
    </cfRule>
    <cfRule type="expression" dxfId="52" priority="20">
      <formula>ISNUMBER(SEARCH("PASS",$D62))</formula>
    </cfRule>
  </conditionalFormatting>
  <conditionalFormatting sqref="E50:E52">
    <cfRule type="expression" dxfId="51" priority="25">
      <formula>ISNUMBER(SEARCH("RE-ANALYZE",$E50))</formula>
    </cfRule>
    <cfRule type="expression" dxfId="50" priority="26">
      <formula>ISNUMBER(SEARCH("REVIEW",$E50))</formula>
    </cfRule>
    <cfRule type="expression" dxfId="49" priority="27">
      <formula>ISNUMBER(SEARCH("CHECK",$E50))</formula>
    </cfRule>
    <cfRule type="expression" dxfId="48" priority="28">
      <formula>ISNUMBER(SEARCH("PASS",$E50))</formula>
    </cfRule>
  </conditionalFormatting>
  <conditionalFormatting sqref="F85:F87">
    <cfRule type="expression" dxfId="47" priority="13">
      <formula>ISNUMBER(SEARCH("RE-ANALYZE",$F85))</formula>
    </cfRule>
    <cfRule type="expression" dxfId="46" priority="14">
      <formula>ISNUMBER(SEARCH("REVIEW",$F85))</formula>
    </cfRule>
    <cfRule type="expression" dxfId="45" priority="15">
      <formula>ISNUMBER(SEARCH("CHECK",$F85))</formula>
    </cfRule>
    <cfRule type="expression" dxfId="44" priority="16">
      <formula>ISNUMBER(SEARCH("PASS",$F85))</formula>
    </cfRule>
  </conditionalFormatting>
  <conditionalFormatting sqref="F94:F96">
    <cfRule type="expression" dxfId="43" priority="9">
      <formula>ISNUMBER(SEARCH("RE-ANALYZE",$F94))</formula>
    </cfRule>
    <cfRule type="expression" dxfId="42" priority="10">
      <formula>ISNUMBER(SEARCH("REVIEW",$F94))</formula>
    </cfRule>
    <cfRule type="expression" dxfId="41" priority="11">
      <formula>ISNUMBER(SEARCH("CHECK",$F94))</formula>
    </cfRule>
    <cfRule type="expression" dxfId="40" priority="12">
      <formula>ISNUMBER(SEARCH("PASS",$F94))</formula>
    </cfRule>
  </conditionalFormatting>
  <conditionalFormatting sqref="F104:F106">
    <cfRule type="expression" dxfId="39" priority="5">
      <formula>ISNUMBER(SEARCH("RE-ANALYZE",$F104))</formula>
    </cfRule>
    <cfRule type="expression" dxfId="38" priority="6">
      <formula>ISNUMBER(SEARCH("REVIEW",$F104))</formula>
    </cfRule>
    <cfRule type="expression" dxfId="37" priority="7">
      <formula>ISNUMBER(SEARCH("CHECK",$F104))</formula>
    </cfRule>
    <cfRule type="expression" dxfId="36" priority="8">
      <formula>ISNUMBER(SEARCH("PASS",$F104))</formula>
    </cfRule>
  </conditionalFormatting>
  <conditionalFormatting sqref="F113:F115">
    <cfRule type="expression" dxfId="35" priority="1">
      <formula>ISNUMBER(SEARCH("RE-ANALYZE",$F113))</formula>
    </cfRule>
    <cfRule type="expression" dxfId="34" priority="2">
      <formula>ISNUMBER(SEARCH("REVIEW",$F113))</formula>
    </cfRule>
    <cfRule type="expression" dxfId="33" priority="3">
      <formula>ISNUMBER(SEARCH("CHECK",$F113))</formula>
    </cfRule>
    <cfRule type="expression" dxfId="32" priority="4">
      <formula>ISNUMBER(SEARCH("PASS",$F113))</formula>
    </cfRule>
  </conditionalFormatting>
  <conditionalFormatting sqref="L50:L51">
    <cfRule type="expression" dxfId="31" priority="21">
      <formula>ISNUMBER(SEARCH("RE-ANALYZE",$L50))</formula>
    </cfRule>
    <cfRule type="expression" dxfId="30" priority="22">
      <formula>ISNUMBER(SEARCH("REVIEW",$L50))</formula>
    </cfRule>
    <cfRule type="expression" dxfId="29" priority="23">
      <formula>ISNUMBER(SEARCH("CHECK",$L50))</formula>
    </cfRule>
    <cfRule type="expression" dxfId="28" priority="24">
      <formula>ISNUMBER(SEARCH("PASS",$L50))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7967-34E6-4EC6-99A5-B70DE7E64631}">
  <dimension ref="A28:W115"/>
  <sheetViews>
    <sheetView topLeftCell="P92" zoomScale="106" zoomScaleNormal="106" workbookViewId="0">
      <selection activeCell="Z101" sqref="Z101"/>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66" t="s">
        <v>1719</v>
      </c>
      <c r="B41" s="862"/>
      <c r="C41" s="14"/>
      <c r="D41" s="370"/>
      <c r="E41" s="370"/>
      <c r="P41" s="370" t="s">
        <v>1630</v>
      </c>
      <c r="Q41" s="370" t="s">
        <v>1631</v>
      </c>
      <c r="R41" s="370" t="s">
        <v>1657</v>
      </c>
      <c r="S41" s="370" t="s">
        <v>1658</v>
      </c>
      <c r="T41" s="370"/>
    </row>
    <row r="42" spans="1:20">
      <c r="A42" s="1624" t="s">
        <v>2241</v>
      </c>
      <c r="B42" s="1625"/>
      <c r="C42" s="596"/>
      <c r="D42" s="597"/>
      <c r="E42" s="597"/>
    </row>
    <row r="43" spans="1:20">
      <c r="A43" s="1566" t="s">
        <v>1719</v>
      </c>
      <c r="B43" s="862"/>
      <c r="C43" s="14"/>
      <c r="D43" s="370"/>
      <c r="E43" s="370"/>
    </row>
    <row r="44" spans="1:20">
      <c r="A44" s="1566"/>
      <c r="B44" s="862"/>
      <c r="C44" s="14"/>
      <c r="D44" s="370"/>
      <c r="E44" s="370"/>
    </row>
    <row r="45" spans="1:20">
      <c r="B45" t="s">
        <v>1611</v>
      </c>
      <c r="C45" s="299" t="s">
        <v>1612</v>
      </c>
    </row>
    <row r="46" spans="1:20">
      <c r="B46" s="116"/>
      <c r="H46" s="116"/>
      <c r="N46" s="116"/>
    </row>
    <row r="47" spans="1:20">
      <c r="B47" s="116" t="s">
        <v>1793</v>
      </c>
      <c r="H47" s="116"/>
      <c r="N47" s="116"/>
    </row>
    <row r="48" spans="1:20">
      <c r="B48" s="1866" t="s">
        <v>124</v>
      </c>
      <c r="C48" s="1866"/>
      <c r="D48" s="1866" t="s">
        <v>1783</v>
      </c>
      <c r="E48" s="1867" t="s">
        <v>1788</v>
      </c>
      <c r="F48" s="1867"/>
      <c r="G48" s="1868" t="s">
        <v>1789</v>
      </c>
      <c r="H48" s="1868"/>
      <c r="I48" s="1868"/>
      <c r="J48" s="1868"/>
      <c r="K48" s="1868"/>
      <c r="L48" s="1868"/>
      <c r="M48" s="1868"/>
      <c r="N48" s="1868"/>
      <c r="Q48" s="116" t="s">
        <v>1841</v>
      </c>
    </row>
    <row r="49" spans="1:21">
      <c r="B49" s="1866"/>
      <c r="C49" s="1866"/>
      <c r="D49" s="1866"/>
      <c r="E49" s="1581" t="s">
        <v>1598</v>
      </c>
      <c r="F49" s="1581" t="s">
        <v>1718</v>
      </c>
      <c r="G49" s="1579" t="s">
        <v>1790</v>
      </c>
      <c r="H49" s="1579" t="s">
        <v>1684</v>
      </c>
      <c r="I49" s="1580" t="s">
        <v>1794</v>
      </c>
      <c r="J49" s="1580" t="s">
        <v>438</v>
      </c>
      <c r="K49" s="1580" t="s">
        <v>1791</v>
      </c>
      <c r="L49" s="1580" t="s">
        <v>1598</v>
      </c>
      <c r="M49" s="1580" t="s">
        <v>1792</v>
      </c>
      <c r="N49" s="1580" t="s">
        <v>1718</v>
      </c>
      <c r="R49" t="s">
        <v>575</v>
      </c>
      <c r="S49" t="s">
        <v>1607</v>
      </c>
      <c r="T49" t="s">
        <v>1608</v>
      </c>
      <c r="U49" t="s">
        <v>2033</v>
      </c>
    </row>
    <row r="50" spans="1:21" ht="78.75" customHeight="1">
      <c r="B50" s="326" t="s">
        <v>1896</v>
      </c>
      <c r="C50" s="1270"/>
      <c r="D50" s="1621">
        <v>20</v>
      </c>
      <c r="E50" s="1622" t="str">
        <f>IF(D50="","CHECK",
IFERROR(
IF(AND(
D50&gt;=INDEX($S$50:$S$52,MATCH(B50,$R$50:$R$52,0)),
D50&lt;=INDEX($T$50:$T$52,MATCH(B50,$R$50:$R$52,0))
),
"PASS",
"REVIEW"),
"CHECK"))</f>
        <v>PASS</v>
      </c>
      <c r="F50" s="1623" t="str">
        <f>IFERROR(
INDEX($U$50:$U$52,
MATCH(B50,$R$50:$R$52,0)),
"")</f>
        <v>ASTM D7181</v>
      </c>
      <c r="G50" s="1596" t="str" cm="1">
        <f t="array" ref="G50">IFERROR(
INDEX($R$57:$R$66,
MATCH(1,
($Q$57:$Q$66=B50)*
($U$57:$U$66&gt;=D50)*
($T$57:$T$66&lt;=D50),
0)),
"")</f>
        <v>Rendah</v>
      </c>
      <c r="H50" s="1596" t="str" cm="1">
        <f t="array" ref="H50">IFERROR(
INDEX($S$57:$S$66,
MATCH(1,
($Q$57:$Q$66=B50)*
($U$57:$U$66&gt;=D50)*
($T$57:$T$66&lt;=D50),
0)),
"")</f>
        <v>L</v>
      </c>
      <c r="I50" s="1596" t="str" cm="1">
        <f t="array" ref="I50">IFERROR(
INDEX($S$70:$S$91,
MATCH(1,
($Q$70:$Q$91=$C$45)*
($R$70:$R$91=$B$50),
0)),
"")</f>
        <v>Tinggi</v>
      </c>
      <c r="J50" s="1596" cm="1">
        <f t="array" ref="J50">IFERROR(
INDEX($T$70:$T$91,
MATCH(1,
($Q$70:$Q$91=$C$45)*
($R$70:$R$91=$B$50),
0)),
"")</f>
        <v>50</v>
      </c>
      <c r="K50" s="1596" cm="1">
        <f t="array" ref="K50">IFERROR(
INDEX($U$70:$U$91,
MATCH(1,
($Q$70:$Q$91=$C$45)*
($R$70:$R$91=$B$50),
0)),
"")</f>
        <v>100</v>
      </c>
      <c r="L50" s="1622" t="str">
        <f>IF(D50="","CHECK",
IF(AND(D50&gt;=J50,D50&lt;K50),"PASS","REVIEW"))</f>
        <v>REVIEW</v>
      </c>
      <c r="M50" s="1620" t="str" cm="1">
        <f t="array" ref="M50">IFERROR(
INDEX($V$70:$V$91,
MATCH(1,
($Q$70:$Q$91=$C$45)*
($R$70:$R$91=$B$50),
0)),
"")</f>
        <v>Lempung umumnya memiliki kohesi tinggi yang mengendalikan kuat geser.</v>
      </c>
      <c r="N50" s="1596" t="str" cm="1">
        <f t="array" ref="N50">IFERROR(
INDEX($W$70:$W$91,
MATCH(1,
($Q$70:$Q$91=$C$45)*
($R$70:$R$91=$B$50),
0)),
"")</f>
        <v>Das (2016)</v>
      </c>
      <c r="R50" s="326" t="s">
        <v>1896</v>
      </c>
      <c r="S50" s="326">
        <v>0</v>
      </c>
      <c r="T50" s="326">
        <v>300</v>
      </c>
      <c r="U50" s="326" t="s">
        <v>2271</v>
      </c>
    </row>
    <row r="51" spans="1:21" ht="91.5" customHeight="1">
      <c r="B51" s="326" t="s">
        <v>1897</v>
      </c>
      <c r="C51" s="326"/>
      <c r="D51" s="1582">
        <v>18</v>
      </c>
      <c r="E51" s="1622" t="str">
        <f t="shared" ref="E51" si="0">IF(D51="","CHECK",
IFERROR(
IF(AND(
D51&gt;=INDEX($S$50:$S$52,MATCH(B51,$R$50:$R$52,0)),
D51&lt;=INDEX($T$50:$T$52,MATCH(B51,$R$50:$R$52,0))
),
"PASS",
"REVIEW"),
"CHECK"))</f>
        <v>PASS</v>
      </c>
      <c r="F51" s="1623" t="str">
        <f t="shared" ref="F51" si="1">IFERROR(
INDEX($U$50:$U$52,
MATCH(B51,$R$50:$R$52,0)),
"")</f>
        <v>ASTM D7181</v>
      </c>
      <c r="G51" s="1596" t="str" cm="1">
        <f t="array" ref="G51">IFERROR(
INDEX($R$57:$R$66,
MATCH(1,
($Q$57:$Q$66=B51)*
($U$57:$U$66&gt;=D51)*
($T$57:$T$66&lt;=D51),
0)),
"")</f>
        <v>Rendah</v>
      </c>
      <c r="H51" s="1596" t="str" cm="1">
        <f t="array" ref="H51">IFERROR(
INDEX($S$57:$S$66,
MATCH(1,
($Q$57:$Q$66=B51)*
($U$57:$U$66&gt;=D51)*
($T$57:$T$66&lt;=D51),
0)),
"")</f>
        <v>L</v>
      </c>
      <c r="I51" s="1596" t="str" cm="1">
        <f t="array" ref="I51">IFERROR(
INDEX($S$70:$S$91,
MATCH(1,
($Q$70:$Q$91=$C$45)*
($R$70:$R$91=$B$51),
0)),
"")</f>
        <v>Rendah</v>
      </c>
      <c r="J51" s="1596" cm="1">
        <f t="array" ref="J51">IFERROR(
INDEX($T$70:$T$91,
MATCH(1,
($Q$70:$Q$91=$C$45)*
($R$70:$R$91=$B$51),
0)),
"")</f>
        <v>18</v>
      </c>
      <c r="K51" s="1596" cm="1">
        <f t="array" ref="K51">IFERROR(
INDEX($U$70:$U$91,
MATCH(1,
($Q$70:$Q$91=$C$45)*
($R$70:$R$91=$B$51),
0)),
"")</f>
        <v>28</v>
      </c>
      <c r="L51" s="1622" t="str">
        <f>IF(D51="","CHECK",
IF(AND(D51&gt;=J51,D51&lt;K51),"PASS","REVIEW"))</f>
        <v>PASS</v>
      </c>
      <c r="M51" s="1620" t="str" cm="1">
        <f t="array" ref="M51">IFERROR(
INDEX($V$70:$V$91,
MATCH(1,
($Q$70:$Q$91=$C$45)*
($R$70:$R$91=$B$51),
0)),
"")</f>
        <v>Sudut geser relatif rendah; nilai tinggi perlu dikaitkan dengan kandungan pasir atau struktur tanah.</v>
      </c>
      <c r="N51" s="1596" t="str" cm="1">
        <f t="array" ref="N51">IFERROR(
INDEX($W$70:$W$91,
MATCH(1,
($Q$70:$Q$91=$C$45)*
($R$70:$R$91=$B$51),
0)),
"")</f>
        <v>Das (2016)</v>
      </c>
      <c r="R51" s="326" t="s">
        <v>1897</v>
      </c>
      <c r="S51" s="326">
        <v>0</v>
      </c>
      <c r="T51" s="326">
        <v>60</v>
      </c>
      <c r="U51" s="326" t="s">
        <v>2271</v>
      </c>
    </row>
    <row r="52" spans="1:21">
      <c r="E52" s="1622"/>
      <c r="F52" s="1623"/>
    </row>
    <row r="55" spans="1:21">
      <c r="Q55" s="116" t="s">
        <v>1797</v>
      </c>
    </row>
    <row r="56" spans="1:21">
      <c r="Q56" t="s">
        <v>575</v>
      </c>
      <c r="R56" t="s">
        <v>2030</v>
      </c>
      <c r="S56" t="s">
        <v>1684</v>
      </c>
      <c r="T56" t="s">
        <v>2218</v>
      </c>
      <c r="U56" t="s">
        <v>2219</v>
      </c>
    </row>
    <row r="57" spans="1:21">
      <c r="Q57" t="s">
        <v>1896</v>
      </c>
      <c r="R57" t="s">
        <v>1680</v>
      </c>
      <c r="S57" t="s">
        <v>589</v>
      </c>
      <c r="T57">
        <v>0</v>
      </c>
      <c r="U57">
        <v>10</v>
      </c>
    </row>
    <row r="58" spans="1:21">
      <c r="Q58" t="s">
        <v>1896</v>
      </c>
      <c r="R58" t="s">
        <v>1670</v>
      </c>
      <c r="S58" t="s">
        <v>365</v>
      </c>
      <c r="T58">
        <v>10</v>
      </c>
      <c r="U58">
        <v>25</v>
      </c>
    </row>
    <row r="59" spans="1:21">
      <c r="Q59" t="s">
        <v>1896</v>
      </c>
      <c r="R59" t="s">
        <v>1672</v>
      </c>
      <c r="S59" t="s">
        <v>239</v>
      </c>
      <c r="T59">
        <v>25</v>
      </c>
      <c r="U59">
        <v>50</v>
      </c>
    </row>
    <row r="60" spans="1:21">
      <c r="Q60" t="s">
        <v>1896</v>
      </c>
      <c r="R60" t="s">
        <v>338</v>
      </c>
      <c r="S60" t="s">
        <v>186</v>
      </c>
      <c r="T60">
        <v>50</v>
      </c>
      <c r="U60">
        <v>100</v>
      </c>
    </row>
    <row r="61" spans="1:21">
      <c r="A61" s="116" t="s">
        <v>1795</v>
      </c>
      <c r="Q61" t="s">
        <v>1896</v>
      </c>
      <c r="R61" t="s">
        <v>1681</v>
      </c>
      <c r="S61" t="s">
        <v>2222</v>
      </c>
      <c r="T61">
        <v>100</v>
      </c>
      <c r="U61">
        <v>300</v>
      </c>
    </row>
    <row r="62" spans="1:21">
      <c r="A62" t="s">
        <v>2114</v>
      </c>
      <c r="D62" s="1583" t="str">
        <f>IF(COUNTIF(E50:E51,"REVIEW")&gt;0,
"REVIEW",
"PASS")</f>
        <v>PASS</v>
      </c>
      <c r="Q62" t="s">
        <v>1897</v>
      </c>
      <c r="R62" t="s">
        <v>1680</v>
      </c>
      <c r="S62" t="s">
        <v>589</v>
      </c>
      <c r="T62">
        <v>0</v>
      </c>
      <c r="U62">
        <v>15</v>
      </c>
    </row>
    <row r="63" spans="1:21">
      <c r="A63" t="s">
        <v>1832</v>
      </c>
      <c r="D63" s="1583" t="str">
        <f>IF(COUNTIF(L50:L51,"REVIEW")&gt;0,
"REVIEW",
"PASS")</f>
        <v>REVIEW</v>
      </c>
      <c r="Q63" t="s">
        <v>1897</v>
      </c>
      <c r="R63" t="s">
        <v>1670</v>
      </c>
      <c r="S63" t="s">
        <v>365</v>
      </c>
      <c r="T63">
        <v>15</v>
      </c>
      <c r="U63">
        <v>25</v>
      </c>
    </row>
    <row r="64" spans="1:21">
      <c r="A64" t="s">
        <v>1605</v>
      </c>
      <c r="D64" s="1583" t="str">
        <f>IF(AND(D62="PASS",D63="PASS"),
"PASS",
IF(AND(D62="PASS",D63="REVIEW"),
"REVIEW",
IF(AND(D62="REVIEW",D63="PASS"),
"REVIEW",
"RE-ANALYZE")))</f>
        <v>REVIEW</v>
      </c>
      <c r="Q64" t="s">
        <v>1897</v>
      </c>
      <c r="R64" t="s">
        <v>1672</v>
      </c>
      <c r="S64" t="s">
        <v>239</v>
      </c>
      <c r="T64">
        <v>25</v>
      </c>
      <c r="U64">
        <v>35</v>
      </c>
    </row>
    <row r="65" spans="1:23">
      <c r="Q65" t="s">
        <v>1897</v>
      </c>
      <c r="R65" t="s">
        <v>338</v>
      </c>
      <c r="S65" t="s">
        <v>186</v>
      </c>
      <c r="T65">
        <v>35</v>
      </c>
      <c r="U65">
        <v>45</v>
      </c>
    </row>
    <row r="66" spans="1:23">
      <c r="A66" s="116" t="s">
        <v>1833</v>
      </c>
      <c r="Q66" t="s">
        <v>1897</v>
      </c>
      <c r="R66" t="s">
        <v>1681</v>
      </c>
      <c r="S66" t="s">
        <v>2222</v>
      </c>
      <c r="T66">
        <v>45</v>
      </c>
      <c r="U66">
        <v>60</v>
      </c>
    </row>
    <row r="67" spans="1:23" ht="15.75" customHeight="1">
      <c r="B67" s="1859" t="str" cm="1">
        <f t="array" ref="B67">IFERROR(
INDEX($T$94:$T$97,
MATCH(1,
($Q$94:$Q$97=D62)*
($R$94:$R$97=D63),
0)),
"")</f>
        <v>Salah satu atau lebih parameter kuat geser efektif berada di luar kisaran karakteristik umum jenis tanah atau menunjukkan kecenderungan yang tidak lazim. Disarankan melakukan peninjauan terhadap data mentah, kurva hubungan tegangan–regangan, penentuan amplop keruntuhan, serta proses interpretasi hasil sebelum LHU diterbitkan.</v>
      </c>
      <c r="C67" s="1859"/>
      <c r="D67" s="1859"/>
      <c r="E67" s="1859"/>
      <c r="F67" s="1859"/>
      <c r="G67" s="1859"/>
      <c r="H67" s="1859"/>
      <c r="I67" s="1859"/>
      <c r="J67" s="1859"/>
      <c r="K67" s="1859"/>
      <c r="L67" s="1523"/>
    </row>
    <row r="68" spans="1:23">
      <c r="B68" s="1814"/>
      <c r="C68" s="1814"/>
      <c r="D68" s="1814"/>
      <c r="E68" s="1814"/>
      <c r="F68" s="1814"/>
      <c r="G68" s="1814"/>
      <c r="H68" s="1814"/>
      <c r="I68" s="1814"/>
      <c r="J68" s="1814"/>
      <c r="K68" s="1814"/>
      <c r="L68" s="1578"/>
      <c r="M68" s="1578"/>
      <c r="Q68" s="116" t="s">
        <v>1798</v>
      </c>
    </row>
    <row r="69" spans="1:23">
      <c r="B69" s="1814"/>
      <c r="C69" s="1814"/>
      <c r="D69" s="1814"/>
      <c r="E69" s="1814"/>
      <c r="F69" s="1814"/>
      <c r="G69" s="1814"/>
      <c r="H69" s="1814"/>
      <c r="I69" s="1814"/>
      <c r="J69" s="1814"/>
      <c r="K69" s="1814"/>
      <c r="L69" s="5"/>
      <c r="M69" s="5"/>
      <c r="Q69" t="s">
        <v>2201</v>
      </c>
      <c r="R69" t="s">
        <v>575</v>
      </c>
      <c r="S69" t="s">
        <v>1480</v>
      </c>
      <c r="T69" t="s">
        <v>1607</v>
      </c>
      <c r="U69" t="s">
        <v>1608</v>
      </c>
      <c r="V69" t="s">
        <v>1685</v>
      </c>
      <c r="W69" t="s">
        <v>2033</v>
      </c>
    </row>
    <row r="70" spans="1:23">
      <c r="B70" s="1814"/>
      <c r="C70" s="1814"/>
      <c r="D70" s="1814"/>
      <c r="E70" s="1814"/>
      <c r="F70" s="1814"/>
      <c r="G70" s="1814"/>
      <c r="H70" s="1814"/>
      <c r="I70" s="1814"/>
      <c r="J70" s="1814"/>
      <c r="K70" s="1814"/>
      <c r="L70" s="5"/>
      <c r="M70" s="5"/>
      <c r="Q70" t="s">
        <v>1630</v>
      </c>
      <c r="R70" t="s">
        <v>1896</v>
      </c>
      <c r="S70" t="s">
        <v>1680</v>
      </c>
      <c r="T70">
        <v>0</v>
      </c>
      <c r="U70">
        <v>5</v>
      </c>
      <c r="V70" t="s">
        <v>2247</v>
      </c>
      <c r="W70" t="s">
        <v>1787</v>
      </c>
    </row>
    <row r="71" spans="1:23">
      <c r="K71" s="5"/>
      <c r="L71" s="5"/>
      <c r="M71" s="5"/>
      <c r="Q71" t="s">
        <v>1630</v>
      </c>
      <c r="R71" t="s">
        <v>1897</v>
      </c>
      <c r="S71" t="s">
        <v>338</v>
      </c>
      <c r="T71">
        <v>35</v>
      </c>
      <c r="U71">
        <v>45</v>
      </c>
      <c r="V71" t="s">
        <v>2248</v>
      </c>
      <c r="W71" t="s">
        <v>1787</v>
      </c>
    </row>
    <row r="72" spans="1:23">
      <c r="B72" s="5"/>
      <c r="C72" s="5"/>
      <c r="D72" s="5"/>
      <c r="E72" s="5"/>
      <c r="F72" s="5"/>
      <c r="G72" s="5"/>
      <c r="H72" s="5"/>
      <c r="I72" s="5"/>
      <c r="J72" s="5"/>
      <c r="K72" s="5"/>
      <c r="L72" s="5"/>
      <c r="M72" s="5"/>
      <c r="N72" s="5"/>
      <c r="O72" s="5"/>
      <c r="Q72" t="s">
        <v>1620</v>
      </c>
      <c r="R72" t="s">
        <v>1896</v>
      </c>
      <c r="S72" t="s">
        <v>1680</v>
      </c>
      <c r="T72">
        <v>0</v>
      </c>
      <c r="U72">
        <v>5</v>
      </c>
      <c r="V72" t="s">
        <v>2249</v>
      </c>
      <c r="W72" t="s">
        <v>2243</v>
      </c>
    </row>
    <row r="73" spans="1:23">
      <c r="B73" s="5"/>
      <c r="C73" s="5"/>
      <c r="D73" s="5"/>
      <c r="E73" s="5"/>
      <c r="F73" s="5"/>
      <c r="G73" s="5"/>
      <c r="H73" s="5"/>
      <c r="I73" s="5"/>
      <c r="J73" s="5"/>
      <c r="K73" s="5"/>
      <c r="L73" s="5"/>
      <c r="M73" s="5"/>
      <c r="N73" s="5"/>
      <c r="O73" s="5"/>
      <c r="Q73" t="s">
        <v>1620</v>
      </c>
      <c r="R73" t="s">
        <v>1897</v>
      </c>
      <c r="S73" t="s">
        <v>338</v>
      </c>
      <c r="T73">
        <v>32</v>
      </c>
      <c r="U73">
        <v>42</v>
      </c>
      <c r="V73" t="s">
        <v>2250</v>
      </c>
      <c r="W73" t="s">
        <v>2243</v>
      </c>
    </row>
    <row r="74" spans="1:23">
      <c r="B74" s="5"/>
      <c r="C74" s="5"/>
      <c r="D74" s="5"/>
      <c r="E74" s="5"/>
      <c r="F74" s="5"/>
      <c r="G74" s="5"/>
      <c r="H74" s="5"/>
      <c r="I74" s="5"/>
      <c r="J74" s="5"/>
      <c r="K74" s="5"/>
      <c r="L74" s="5"/>
      <c r="M74" s="5"/>
      <c r="N74" s="5"/>
      <c r="O74" s="5"/>
      <c r="Q74" t="s">
        <v>1623</v>
      </c>
      <c r="R74" t="s">
        <v>1896</v>
      </c>
      <c r="S74" t="s">
        <v>1670</v>
      </c>
      <c r="T74">
        <v>5</v>
      </c>
      <c r="U74">
        <v>15</v>
      </c>
      <c r="V74" t="s">
        <v>2251</v>
      </c>
      <c r="W74" t="s">
        <v>1716</v>
      </c>
    </row>
    <row r="75" spans="1:23">
      <c r="K75" s="5"/>
      <c r="L75" s="5"/>
      <c r="M75" s="5"/>
      <c r="Q75" t="s">
        <v>1623</v>
      </c>
      <c r="R75" t="s">
        <v>1897</v>
      </c>
      <c r="S75" t="s">
        <v>1771</v>
      </c>
      <c r="T75">
        <v>30</v>
      </c>
      <c r="U75">
        <v>38</v>
      </c>
      <c r="V75" t="s">
        <v>2252</v>
      </c>
      <c r="W75" t="s">
        <v>1716</v>
      </c>
    </row>
    <row r="76" spans="1:23">
      <c r="K76" s="5"/>
      <c r="L76" s="5"/>
      <c r="M76" s="5"/>
      <c r="Q76" t="s">
        <v>1621</v>
      </c>
      <c r="R76" t="s">
        <v>1896</v>
      </c>
      <c r="S76" t="s">
        <v>1670</v>
      </c>
      <c r="T76">
        <v>10</v>
      </c>
      <c r="U76">
        <v>25</v>
      </c>
      <c r="V76" t="s">
        <v>2245</v>
      </c>
      <c r="W76" t="s">
        <v>2243</v>
      </c>
    </row>
    <row r="77" spans="1:23">
      <c r="Q77" t="s">
        <v>1621</v>
      </c>
      <c r="R77" t="s">
        <v>1897</v>
      </c>
      <c r="S77" t="s">
        <v>1672</v>
      </c>
      <c r="T77">
        <v>28</v>
      </c>
      <c r="U77">
        <v>35</v>
      </c>
      <c r="V77" t="s">
        <v>2253</v>
      </c>
      <c r="W77" t="s">
        <v>2243</v>
      </c>
    </row>
    <row r="78" spans="1:23" ht="23.25">
      <c r="B78" s="1616"/>
      <c r="Q78" t="s">
        <v>1690</v>
      </c>
      <c r="R78" t="s">
        <v>1896</v>
      </c>
      <c r="S78" t="s">
        <v>1672</v>
      </c>
      <c r="T78">
        <v>15</v>
      </c>
      <c r="U78">
        <v>35</v>
      </c>
      <c r="V78" t="s">
        <v>2254</v>
      </c>
      <c r="W78" t="s">
        <v>2246</v>
      </c>
    </row>
    <row r="79" spans="1:23">
      <c r="Q79" t="s">
        <v>1690</v>
      </c>
      <c r="R79" t="s">
        <v>1897</v>
      </c>
      <c r="S79" t="s">
        <v>1672</v>
      </c>
      <c r="T79">
        <v>25</v>
      </c>
      <c r="U79">
        <v>32</v>
      </c>
      <c r="V79" t="s">
        <v>2255</v>
      </c>
      <c r="W79" t="s">
        <v>2246</v>
      </c>
    </row>
    <row r="80" spans="1:23">
      <c r="Q80" t="s">
        <v>1628</v>
      </c>
      <c r="R80" t="s">
        <v>1896</v>
      </c>
      <c r="S80" t="s">
        <v>1672</v>
      </c>
      <c r="T80">
        <v>15</v>
      </c>
      <c r="U80">
        <v>35</v>
      </c>
      <c r="V80" t="s">
        <v>2256</v>
      </c>
      <c r="W80" t="s">
        <v>2243</v>
      </c>
    </row>
    <row r="81" spans="6:23">
      <c r="M81" s="43"/>
      <c r="Q81" t="s">
        <v>1628</v>
      </c>
      <c r="R81" t="s">
        <v>1897</v>
      </c>
      <c r="S81" t="s">
        <v>1672</v>
      </c>
      <c r="T81">
        <v>28</v>
      </c>
      <c r="U81">
        <v>35</v>
      </c>
      <c r="V81" t="s">
        <v>2257</v>
      </c>
      <c r="W81" t="s">
        <v>2243</v>
      </c>
    </row>
    <row r="82" spans="6:23">
      <c r="Q82" t="s">
        <v>1614</v>
      </c>
      <c r="R82" t="s">
        <v>1896</v>
      </c>
      <c r="S82" t="s">
        <v>1672</v>
      </c>
      <c r="T82">
        <v>20</v>
      </c>
      <c r="U82">
        <v>50</v>
      </c>
      <c r="V82" t="s">
        <v>2258</v>
      </c>
      <c r="W82" t="s">
        <v>1716</v>
      </c>
    </row>
    <row r="83" spans="6:23">
      <c r="Q83" t="s">
        <v>1614</v>
      </c>
      <c r="R83" t="s">
        <v>1897</v>
      </c>
      <c r="S83" t="s">
        <v>1742</v>
      </c>
      <c r="T83">
        <v>22</v>
      </c>
      <c r="U83">
        <v>30</v>
      </c>
      <c r="V83" t="s">
        <v>2259</v>
      </c>
      <c r="W83" t="s">
        <v>1716</v>
      </c>
    </row>
    <row r="84" spans="6:23">
      <c r="M84" s="43"/>
      <c r="Q84" t="s">
        <v>1617</v>
      </c>
      <c r="R84" t="s">
        <v>1896</v>
      </c>
      <c r="S84" t="s">
        <v>1672</v>
      </c>
      <c r="T84">
        <v>20</v>
      </c>
      <c r="U84">
        <v>50</v>
      </c>
      <c r="V84" t="s">
        <v>2260</v>
      </c>
      <c r="W84" t="s">
        <v>2243</v>
      </c>
    </row>
    <row r="85" spans="6:23">
      <c r="F85" s="1583"/>
      <c r="Q85" t="s">
        <v>1617</v>
      </c>
      <c r="R85" t="s">
        <v>1897</v>
      </c>
      <c r="S85" t="s">
        <v>1742</v>
      </c>
      <c r="T85">
        <v>22</v>
      </c>
      <c r="U85">
        <v>30</v>
      </c>
      <c r="V85" t="s">
        <v>2261</v>
      </c>
      <c r="W85" t="s">
        <v>2243</v>
      </c>
    </row>
    <row r="86" spans="6:23">
      <c r="F86" s="1583"/>
      <c r="Q86" t="s">
        <v>1626</v>
      </c>
      <c r="R86" t="s">
        <v>1896</v>
      </c>
      <c r="S86" t="s">
        <v>338</v>
      </c>
      <c r="T86">
        <v>40</v>
      </c>
      <c r="U86">
        <v>80</v>
      </c>
      <c r="V86" t="s">
        <v>2262</v>
      </c>
      <c r="W86" t="s">
        <v>2236</v>
      </c>
    </row>
    <row r="87" spans="6:23">
      <c r="F87" s="1583"/>
      <c r="Q87" t="s">
        <v>1626</v>
      </c>
      <c r="R87" t="s">
        <v>1897</v>
      </c>
      <c r="S87" t="s">
        <v>1670</v>
      </c>
      <c r="T87">
        <v>18</v>
      </c>
      <c r="U87">
        <v>28</v>
      </c>
      <c r="V87" t="s">
        <v>2263</v>
      </c>
      <c r="W87" t="s">
        <v>2236</v>
      </c>
    </row>
    <row r="88" spans="6:23">
      <c r="Q88" t="s">
        <v>1612</v>
      </c>
      <c r="R88" t="s">
        <v>1896</v>
      </c>
      <c r="S88" t="s">
        <v>338</v>
      </c>
      <c r="T88">
        <v>50</v>
      </c>
      <c r="U88">
        <v>100</v>
      </c>
      <c r="V88" t="s">
        <v>2264</v>
      </c>
      <c r="W88" t="s">
        <v>1716</v>
      </c>
    </row>
    <row r="89" spans="6:23">
      <c r="Q89" t="s">
        <v>1612</v>
      </c>
      <c r="R89" t="s">
        <v>1897</v>
      </c>
      <c r="S89" t="s">
        <v>1670</v>
      </c>
      <c r="T89">
        <v>18</v>
      </c>
      <c r="U89">
        <v>28</v>
      </c>
      <c r="V89" t="s">
        <v>2265</v>
      </c>
      <c r="W89" t="s">
        <v>1716</v>
      </c>
    </row>
    <row r="90" spans="6:23">
      <c r="Q90" t="s">
        <v>1643</v>
      </c>
      <c r="R90" t="s">
        <v>1896</v>
      </c>
      <c r="S90" t="s">
        <v>1672</v>
      </c>
      <c r="T90">
        <v>30</v>
      </c>
      <c r="U90">
        <v>70</v>
      </c>
      <c r="V90" t="s">
        <v>2266</v>
      </c>
      <c r="W90" t="s">
        <v>2243</v>
      </c>
    </row>
    <row r="91" spans="6:23">
      <c r="Q91" t="s">
        <v>1643</v>
      </c>
      <c r="R91" t="s">
        <v>1897</v>
      </c>
      <c r="S91" t="s">
        <v>1672</v>
      </c>
      <c r="T91">
        <v>22</v>
      </c>
      <c r="U91">
        <v>32</v>
      </c>
      <c r="V91" t="s">
        <v>2267</v>
      </c>
      <c r="W91" t="s">
        <v>2243</v>
      </c>
    </row>
    <row r="93" spans="6:23">
      <c r="Q93" t="s">
        <v>1822</v>
      </c>
      <c r="R93" t="s">
        <v>1823</v>
      </c>
      <c r="S93" t="s">
        <v>1824</v>
      </c>
      <c r="T93" t="s">
        <v>1786</v>
      </c>
    </row>
    <row r="94" spans="6:23">
      <c r="F94" s="1583"/>
      <c r="Q94" t="s">
        <v>1733</v>
      </c>
      <c r="R94" t="s">
        <v>1733</v>
      </c>
      <c r="S94" t="s">
        <v>1733</v>
      </c>
      <c r="T94" t="s">
        <v>2272</v>
      </c>
    </row>
    <row r="95" spans="6:23">
      <c r="F95" s="1583"/>
      <c r="Q95" t="s">
        <v>1733</v>
      </c>
      <c r="R95" t="s">
        <v>1735</v>
      </c>
      <c r="S95" t="s">
        <v>1735</v>
      </c>
      <c r="T95" t="s">
        <v>2273</v>
      </c>
    </row>
    <row r="96" spans="6:23">
      <c r="F96" s="1583"/>
      <c r="Q96" t="s">
        <v>1735</v>
      </c>
      <c r="R96" t="s">
        <v>1733</v>
      </c>
      <c r="S96" t="s">
        <v>1735</v>
      </c>
      <c r="T96" t="s">
        <v>2273</v>
      </c>
    </row>
    <row r="97" spans="2:20">
      <c r="Q97" t="s">
        <v>1735</v>
      </c>
      <c r="R97" t="s">
        <v>1735</v>
      </c>
      <c r="S97" t="s">
        <v>1829</v>
      </c>
      <c r="T97" t="s">
        <v>2274</v>
      </c>
    </row>
    <row r="100" spans="2:20">
      <c r="B100" s="1615"/>
      <c r="F100" s="43"/>
      <c r="I100" s="1617"/>
    </row>
    <row r="104" spans="2:20">
      <c r="F104" s="1583"/>
    </row>
    <row r="105" spans="2:20">
      <c r="F105" s="1583"/>
    </row>
    <row r="106" spans="2:20">
      <c r="F106" s="1583"/>
    </row>
    <row r="110" spans="2:20">
      <c r="F110" s="43"/>
      <c r="I110" s="1617"/>
    </row>
    <row r="113" spans="6:6">
      <c r="F113" s="1583"/>
    </row>
    <row r="114" spans="6:6">
      <c r="F114" s="1583"/>
    </row>
    <row r="115" spans="6:6">
      <c r="F115" s="1583"/>
    </row>
  </sheetData>
  <mergeCells count="5">
    <mergeCell ref="B48:C49"/>
    <mergeCell ref="D48:D49"/>
    <mergeCell ref="E48:F48"/>
    <mergeCell ref="G48:N48"/>
    <mergeCell ref="B67:K70"/>
  </mergeCells>
  <conditionalFormatting sqref="D62:D64">
    <cfRule type="expression" dxfId="27" priority="17">
      <formula>ISNUMBER(SEARCH("RE-ANALYZE",$D62))</formula>
    </cfRule>
    <cfRule type="expression" dxfId="26" priority="18">
      <formula>ISNUMBER(SEARCH("REVIEW",$D62))</formula>
    </cfRule>
    <cfRule type="expression" dxfId="25" priority="19">
      <formula>ISNUMBER(SEARCH("CHECK",$D62))</formula>
    </cfRule>
    <cfRule type="expression" dxfId="24" priority="20">
      <formula>ISNUMBER(SEARCH("PASS",$D62))</formula>
    </cfRule>
  </conditionalFormatting>
  <conditionalFormatting sqref="E50:E52">
    <cfRule type="expression" dxfId="23" priority="25">
      <formula>ISNUMBER(SEARCH("RE-ANALYZE",$E50))</formula>
    </cfRule>
    <cfRule type="expression" dxfId="22" priority="26">
      <formula>ISNUMBER(SEARCH("REVIEW",$E50))</formula>
    </cfRule>
    <cfRule type="expression" dxfId="21" priority="27">
      <formula>ISNUMBER(SEARCH("CHECK",$E50))</formula>
    </cfRule>
    <cfRule type="expression" dxfId="20" priority="28">
      <formula>ISNUMBER(SEARCH("PASS",$E50))</formula>
    </cfRule>
  </conditionalFormatting>
  <conditionalFormatting sqref="F85:F87">
    <cfRule type="expression" dxfId="19" priority="13">
      <formula>ISNUMBER(SEARCH("RE-ANALYZE",$F85))</formula>
    </cfRule>
    <cfRule type="expression" dxfId="18" priority="14">
      <formula>ISNUMBER(SEARCH("REVIEW",$F85))</formula>
    </cfRule>
    <cfRule type="expression" dxfId="17" priority="15">
      <formula>ISNUMBER(SEARCH("CHECK",$F85))</formula>
    </cfRule>
    <cfRule type="expression" dxfId="16" priority="16">
      <formula>ISNUMBER(SEARCH("PASS",$F85))</formula>
    </cfRule>
  </conditionalFormatting>
  <conditionalFormatting sqref="F94:F96">
    <cfRule type="expression" dxfId="15" priority="9">
      <formula>ISNUMBER(SEARCH("RE-ANALYZE",$F94))</formula>
    </cfRule>
    <cfRule type="expression" dxfId="14" priority="10">
      <formula>ISNUMBER(SEARCH("REVIEW",$F94))</formula>
    </cfRule>
    <cfRule type="expression" dxfId="13" priority="11">
      <formula>ISNUMBER(SEARCH("CHECK",$F94))</formula>
    </cfRule>
    <cfRule type="expression" dxfId="12" priority="12">
      <formula>ISNUMBER(SEARCH("PASS",$F94))</formula>
    </cfRule>
  </conditionalFormatting>
  <conditionalFormatting sqref="F104:F106">
    <cfRule type="expression" dxfId="11" priority="5">
      <formula>ISNUMBER(SEARCH("RE-ANALYZE",$F104))</formula>
    </cfRule>
    <cfRule type="expression" dxfId="10" priority="6">
      <formula>ISNUMBER(SEARCH("REVIEW",$F104))</formula>
    </cfRule>
    <cfRule type="expression" dxfId="9" priority="7">
      <formula>ISNUMBER(SEARCH("CHECK",$F104))</formula>
    </cfRule>
    <cfRule type="expression" dxfId="8" priority="8">
      <formula>ISNUMBER(SEARCH("PASS",$F104))</formula>
    </cfRule>
  </conditionalFormatting>
  <conditionalFormatting sqref="F113:F115">
    <cfRule type="expression" dxfId="7" priority="1">
      <formula>ISNUMBER(SEARCH("RE-ANALYZE",$F113))</formula>
    </cfRule>
    <cfRule type="expression" dxfId="6" priority="2">
      <formula>ISNUMBER(SEARCH("REVIEW",$F113))</formula>
    </cfRule>
    <cfRule type="expression" dxfId="5" priority="3">
      <formula>ISNUMBER(SEARCH("CHECK",$F113))</formula>
    </cfRule>
    <cfRule type="expression" dxfId="4" priority="4">
      <formula>ISNUMBER(SEARCH("PASS",$F113))</formula>
    </cfRule>
  </conditionalFormatting>
  <conditionalFormatting sqref="L50:L51">
    <cfRule type="expression" dxfId="3" priority="21">
      <formula>ISNUMBER(SEARCH("RE-ANALYZE",$L50))</formula>
    </cfRule>
    <cfRule type="expression" dxfId="2" priority="22">
      <formula>ISNUMBER(SEARCH("REVIEW",$L50))</formula>
    </cfRule>
    <cfRule type="expression" dxfId="1" priority="23">
      <formula>ISNUMBER(SEARCH("CHECK",$L50))</formula>
    </cfRule>
    <cfRule type="expression" dxfId="0" priority="24">
      <formula>ISNUMBER(SEARCH("PASS",$L50))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25</vt:i4>
      </vt:variant>
    </vt:vector>
  </HeadingPairs>
  <TitlesOfParts>
    <vt:vector size="67" baseType="lpstr">
      <vt:lpstr>TTD</vt:lpstr>
      <vt:lpstr>Template LHU</vt:lpstr>
      <vt:lpstr>DATA INDUK</vt:lpstr>
      <vt:lpstr>WS-PP</vt:lpstr>
      <vt:lpstr>LHU_PP</vt:lpstr>
      <vt:lpstr>WS-ATB</vt:lpstr>
      <vt:lpstr>LHU_ATB</vt:lpstr>
      <vt:lpstr>Sheet1</vt:lpstr>
      <vt:lpstr>WS-Sieve dan hidrometer</vt:lpstr>
      <vt:lpstr>LHU_Sieve &amp; Hidro</vt:lpstr>
      <vt:lpstr>WS-standard Proctor</vt:lpstr>
      <vt:lpstr>LHU_standard proctor</vt:lpstr>
      <vt:lpstr>WS-modified proctor</vt:lpstr>
      <vt:lpstr>LHU_modified proctor</vt:lpstr>
      <vt:lpstr>WS-PFH</vt:lpstr>
      <vt:lpstr>LHU PFH</vt:lpstr>
      <vt:lpstr>WS-Konsolidasi</vt:lpstr>
      <vt:lpstr>LHU_Konsolidasi</vt:lpstr>
      <vt:lpstr>WS-UCT</vt:lpstr>
      <vt:lpstr> LHU_UCT</vt:lpstr>
      <vt:lpstr>WS_DS-CD</vt:lpstr>
      <vt:lpstr>LHU_DS-CD</vt:lpstr>
      <vt:lpstr>WS_DS-UU</vt:lpstr>
      <vt:lpstr>LHU_DS-UU</vt:lpstr>
      <vt:lpstr>WS_CD Residual </vt:lpstr>
      <vt:lpstr>LHU_DS-CD RES.</vt:lpstr>
      <vt:lpstr>WS-TRX-UU</vt:lpstr>
      <vt:lpstr>LHU_TRX-UU</vt:lpstr>
      <vt:lpstr>WS-TRX-CU Multi</vt:lpstr>
      <vt:lpstr>LHU_TRX-CU-Multi</vt:lpstr>
      <vt:lpstr>WS-TRX-CU Normal</vt:lpstr>
      <vt:lpstr>LHU_TRX-CU-Normal</vt:lpstr>
      <vt:lpstr>WS-TRX-CD</vt:lpstr>
      <vt:lpstr>LHU_TRX-CD</vt:lpstr>
      <vt:lpstr>WS-CBR unsoaked</vt:lpstr>
      <vt:lpstr>LHU_CBR Unsoaked</vt:lpstr>
      <vt:lpstr>WS-CBRSoaked</vt:lpstr>
      <vt:lpstr>Template LHU_CBRsoaked</vt:lpstr>
      <vt:lpstr>QC_SL</vt:lpstr>
      <vt:lpstr>QC_SWP</vt:lpstr>
      <vt:lpstr>QC_DS-CU</vt:lpstr>
      <vt:lpstr>QC_TRX-CD</vt:lpstr>
      <vt:lpstr>' LHU_UCT'!Print_Area</vt:lpstr>
      <vt:lpstr>'LHU PFH'!Print_Area</vt:lpstr>
      <vt:lpstr>LHU_ATB!Print_Area</vt:lpstr>
      <vt:lpstr>'LHU_CBR Unsoaked'!Print_Area</vt:lpstr>
      <vt:lpstr>'LHU_DS-CD'!Print_Area</vt:lpstr>
      <vt:lpstr>'LHU_DS-CD RES.'!Print_Area</vt:lpstr>
      <vt:lpstr>'LHU_DS-UU'!Print_Area</vt:lpstr>
      <vt:lpstr>LHU_Konsolidasi!Print_Area</vt:lpstr>
      <vt:lpstr>'LHU_modified proctor'!Print_Area</vt:lpstr>
      <vt:lpstr>LHU_PP!Print_Area</vt:lpstr>
      <vt:lpstr>'LHU_Sieve &amp; Hidro'!Print_Area</vt:lpstr>
      <vt:lpstr>'LHU_standard proctor'!Print_Area</vt:lpstr>
      <vt:lpstr>'LHU_TRX-CD'!Print_Area</vt:lpstr>
      <vt:lpstr>'LHU_TRX-CU-Multi'!Print_Area</vt:lpstr>
      <vt:lpstr>'LHU_TRX-CU-Normal'!Print_Area</vt:lpstr>
      <vt:lpstr>'LHU_TRX-UU'!Print_Area</vt:lpstr>
      <vt:lpstr>'Template LHU'!Print_Area</vt:lpstr>
      <vt:lpstr>'Template LHU_CBRsoaked'!Print_Area</vt:lpstr>
      <vt:lpstr>'WS_CD Residual '!Print_Area</vt:lpstr>
      <vt:lpstr>'WS_DS-UU'!Print_Area</vt:lpstr>
      <vt:lpstr>TTD_</vt:lpstr>
      <vt:lpstr>TTD_A.SUMARTADJI</vt:lpstr>
      <vt:lpstr>TTD_NOUFAL</vt:lpstr>
      <vt:lpstr>TTD_RAFLY</vt:lpstr>
      <vt:lpstr>TTD_RIZKI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Adjie yustiadji</dc:creator>
  <cp:lastModifiedBy>RAKEAN DHAFIN NOUFAL</cp:lastModifiedBy>
  <cp:lastPrinted>2026-06-24T01:55:09Z</cp:lastPrinted>
  <dcterms:created xsi:type="dcterms:W3CDTF">2026-05-08T12:47:18Z</dcterms:created>
  <dcterms:modified xsi:type="dcterms:W3CDTF">2026-07-28T03:17:57Z</dcterms:modified>
</cp:coreProperties>
</file>