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yamil\Dokumen\Syamil\Professionalities\Portfolio\"/>
    </mc:Choice>
  </mc:AlternateContent>
  <xr:revisionPtr revIDLastSave="0" documentId="13_ncr:1_{D3805E8C-C2CD-4233-A088-5CCB537469F2}" xr6:coauthVersionLast="47" xr6:coauthVersionMax="47" xr10:uidLastSave="{00000000-0000-0000-0000-000000000000}"/>
  <bookViews>
    <workbookView xWindow="-120" yWindow="-120" windowWidth="20730" windowHeight="11760" xr2:uid="{64DC2523-D0C3-42D6-9FB2-D4ED5E2E9A10}"/>
  </bookViews>
  <sheets>
    <sheet name="3 Statement Model" sheetId="1" r:id="rId1"/>
    <sheet name="Raw Data" sheetId="2" r:id="rId2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0" i="1" l="1"/>
  <c r="G165" i="1" s="1"/>
  <c r="K160" i="1" s="1"/>
  <c r="C162" i="1"/>
  <c r="G161" i="1" s="1"/>
  <c r="C161" i="1"/>
  <c r="G162" i="1" s="1"/>
  <c r="D140" i="1"/>
  <c r="C140" i="1"/>
  <c r="E141" i="1"/>
  <c r="F141" i="1" s="1"/>
  <c r="G141" i="1" s="1"/>
  <c r="H141" i="1" s="1"/>
  <c r="H140" i="1" s="1"/>
  <c r="I140" i="1" s="1"/>
  <c r="D139" i="1"/>
  <c r="E139" i="1" s="1"/>
  <c r="F139" i="1" s="1"/>
  <c r="G139" i="1" s="1"/>
  <c r="H139" i="1" s="1"/>
  <c r="D142" i="1" l="1"/>
  <c r="G163" i="1"/>
  <c r="C157" i="1" s="1"/>
  <c r="F140" i="1"/>
  <c r="E140" i="1"/>
  <c r="G140" i="1"/>
  <c r="H142" i="1" s="1"/>
  <c r="E105" i="1"/>
  <c r="F105" i="1"/>
  <c r="G105" i="1"/>
  <c r="H105" i="1"/>
  <c r="D105" i="1"/>
  <c r="J33" i="1"/>
  <c r="K33" i="1"/>
  <c r="L33" i="1"/>
  <c r="M33" i="1"/>
  <c r="J75" i="1"/>
  <c r="K75" i="1"/>
  <c r="L75" i="1"/>
  <c r="M75" i="1"/>
  <c r="I75" i="1"/>
  <c r="J99" i="1"/>
  <c r="J74" i="1" s="1"/>
  <c r="K99" i="1"/>
  <c r="K74" i="1" s="1"/>
  <c r="L99" i="1"/>
  <c r="L74" i="1" s="1"/>
  <c r="M99" i="1"/>
  <c r="M74" i="1" s="1"/>
  <c r="I99" i="1"/>
  <c r="I74" i="1" s="1"/>
  <c r="J93" i="1"/>
  <c r="K93" i="1"/>
  <c r="L93" i="1"/>
  <c r="M93" i="1"/>
  <c r="I93" i="1"/>
  <c r="E101" i="1"/>
  <c r="F101" i="1"/>
  <c r="G101" i="1"/>
  <c r="H101" i="1"/>
  <c r="D101" i="1"/>
  <c r="F99" i="1"/>
  <c r="G99" i="1"/>
  <c r="H99" i="1"/>
  <c r="E99" i="1"/>
  <c r="D99" i="1"/>
  <c r="D100" i="1" s="1"/>
  <c r="E98" i="1" s="1"/>
  <c r="F93" i="1"/>
  <c r="G93" i="1"/>
  <c r="H93" i="1"/>
  <c r="F94" i="1"/>
  <c r="G94" i="1"/>
  <c r="H94" i="1"/>
  <c r="E93" i="1"/>
  <c r="E94" i="1"/>
  <c r="D93" i="1"/>
  <c r="D94" i="1"/>
  <c r="F85" i="1"/>
  <c r="G85" i="1"/>
  <c r="H85" i="1"/>
  <c r="F86" i="1"/>
  <c r="G86" i="1"/>
  <c r="H86" i="1"/>
  <c r="F87" i="1"/>
  <c r="G87" i="1"/>
  <c r="H87" i="1"/>
  <c r="E85" i="1"/>
  <c r="E86" i="1"/>
  <c r="E87" i="1"/>
  <c r="D87" i="1"/>
  <c r="D86" i="1"/>
  <c r="D85" i="1"/>
  <c r="I56" i="1"/>
  <c r="J56" i="1" s="1"/>
  <c r="I33" i="1"/>
  <c r="I27" i="1"/>
  <c r="I46" i="1" s="1"/>
  <c r="I85" i="1" s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E12" i="1"/>
  <c r="E13" i="1"/>
  <c r="E14" i="1"/>
  <c r="E15" i="1"/>
  <c r="E16" i="1"/>
  <c r="E18" i="1"/>
  <c r="E19" i="1"/>
  <c r="E20" i="1"/>
  <c r="E21" i="1"/>
  <c r="E22" i="1"/>
  <c r="E23" i="1"/>
  <c r="D23" i="1"/>
  <c r="D22" i="1"/>
  <c r="D21" i="1"/>
  <c r="D20" i="1"/>
  <c r="D19" i="1"/>
  <c r="D18" i="1"/>
  <c r="D16" i="1"/>
  <c r="D15" i="1"/>
  <c r="D14" i="1"/>
  <c r="D13" i="1"/>
  <c r="D12" i="1"/>
  <c r="E11" i="1"/>
  <c r="E58" i="1"/>
  <c r="F58" i="1"/>
  <c r="G58" i="1"/>
  <c r="H58" i="1"/>
  <c r="D58" i="1"/>
  <c r="E76" i="1"/>
  <c r="E110" i="1" s="1"/>
  <c r="F76" i="1"/>
  <c r="F110" i="1" s="1"/>
  <c r="G76" i="1"/>
  <c r="G110" i="1" s="1"/>
  <c r="H76" i="1"/>
  <c r="H110" i="1" s="1"/>
  <c r="D76" i="1"/>
  <c r="D110" i="1" s="1"/>
  <c r="E71" i="1"/>
  <c r="E109" i="1" s="1"/>
  <c r="F71" i="1"/>
  <c r="F109" i="1" s="1"/>
  <c r="G71" i="1"/>
  <c r="G109" i="1" s="1"/>
  <c r="H71" i="1"/>
  <c r="H109" i="1" s="1"/>
  <c r="D71" i="1"/>
  <c r="D109" i="1" s="1"/>
  <c r="E67" i="1"/>
  <c r="E108" i="1" s="1"/>
  <c r="F67" i="1"/>
  <c r="F108" i="1" s="1"/>
  <c r="G67" i="1"/>
  <c r="H67" i="1"/>
  <c r="H108" i="1" s="1"/>
  <c r="D67" i="1"/>
  <c r="D108" i="1" s="1"/>
  <c r="E54" i="1"/>
  <c r="E59" i="1" s="1"/>
  <c r="F54" i="1"/>
  <c r="F59" i="1" s="1"/>
  <c r="G54" i="1"/>
  <c r="H54" i="1"/>
  <c r="H59" i="1" s="1"/>
  <c r="D54" i="1"/>
  <c r="D59" i="1" s="1"/>
  <c r="E49" i="1"/>
  <c r="F49" i="1"/>
  <c r="G49" i="1"/>
  <c r="H49" i="1"/>
  <c r="D49" i="1"/>
  <c r="E36" i="1"/>
  <c r="F36" i="1"/>
  <c r="G36" i="1"/>
  <c r="H36" i="1"/>
  <c r="D36" i="1"/>
  <c r="E29" i="1"/>
  <c r="E106" i="1" s="1"/>
  <c r="F29" i="1"/>
  <c r="F106" i="1" s="1"/>
  <c r="G29" i="1"/>
  <c r="G106" i="1" s="1"/>
  <c r="H29" i="1"/>
  <c r="H106" i="1" s="1"/>
  <c r="D29" i="1"/>
  <c r="D106" i="1" s="1"/>
  <c r="E3" i="1"/>
  <c r="F3" i="1" s="1"/>
  <c r="G3" i="1" s="1"/>
  <c r="H3" i="1" s="1"/>
  <c r="I3" i="1" s="1"/>
  <c r="J3" i="1" s="1"/>
  <c r="K3" i="1" s="1"/>
  <c r="L3" i="1" s="1"/>
  <c r="M3" i="1" s="1"/>
  <c r="K70" i="1" l="1"/>
  <c r="K71" i="1" s="1"/>
  <c r="K109" i="1" s="1"/>
  <c r="F152" i="1"/>
  <c r="M70" i="1"/>
  <c r="M71" i="1" s="1"/>
  <c r="M109" i="1" s="1"/>
  <c r="H152" i="1"/>
  <c r="F142" i="1"/>
  <c r="E142" i="1"/>
  <c r="I70" i="1"/>
  <c r="I71" i="1" s="1"/>
  <c r="I109" i="1" s="1"/>
  <c r="D152" i="1"/>
  <c r="J70" i="1"/>
  <c r="J71" i="1" s="1"/>
  <c r="J109" i="1" s="1"/>
  <c r="E152" i="1"/>
  <c r="L70" i="1"/>
  <c r="L71" i="1" s="1"/>
  <c r="L109" i="1" s="1"/>
  <c r="G152" i="1"/>
  <c r="G142" i="1"/>
  <c r="D4" i="1"/>
  <c r="E4" i="1"/>
  <c r="I76" i="1"/>
  <c r="I110" i="1" s="1"/>
  <c r="J76" i="1"/>
  <c r="J110" i="1" s="1"/>
  <c r="E100" i="1"/>
  <c r="F98" i="1" s="1"/>
  <c r="M76" i="1"/>
  <c r="M110" i="1" s="1"/>
  <c r="D95" i="1"/>
  <c r="E92" i="1" s="1"/>
  <c r="E95" i="1" s="1"/>
  <c r="F92" i="1" s="1"/>
  <c r="F95" i="1" s="1"/>
  <c r="G92" i="1" s="1"/>
  <c r="G95" i="1" s="1"/>
  <c r="H92" i="1" s="1"/>
  <c r="H95" i="1" s="1"/>
  <c r="I92" i="1" s="1"/>
  <c r="I94" i="1" s="1"/>
  <c r="I65" i="1" s="1"/>
  <c r="I34" i="1" s="1"/>
  <c r="D150" i="1" s="1"/>
  <c r="H88" i="1"/>
  <c r="L76" i="1"/>
  <c r="L110" i="1" s="1"/>
  <c r="K76" i="1"/>
  <c r="K110" i="1" s="1"/>
  <c r="G78" i="1"/>
  <c r="D88" i="1"/>
  <c r="E88" i="1"/>
  <c r="I105" i="1"/>
  <c r="G88" i="1"/>
  <c r="F88" i="1"/>
  <c r="G108" i="1"/>
  <c r="F100" i="1"/>
  <c r="G98" i="1" s="1"/>
  <c r="G100" i="1" s="1"/>
  <c r="H98" i="1" s="1"/>
  <c r="H100" i="1" s="1"/>
  <c r="F37" i="1"/>
  <c r="F40" i="1" s="1"/>
  <c r="D78" i="1"/>
  <c r="D80" i="1" s="1"/>
  <c r="E79" i="1" s="1"/>
  <c r="H37" i="1"/>
  <c r="D37" i="1"/>
  <c r="D17" i="1" s="1"/>
  <c r="E37" i="1"/>
  <c r="I32" i="1"/>
  <c r="J27" i="1"/>
  <c r="K56" i="1"/>
  <c r="L56" i="1" s="1"/>
  <c r="I28" i="1"/>
  <c r="H4" i="1"/>
  <c r="E78" i="1"/>
  <c r="G37" i="1"/>
  <c r="F4" i="1"/>
  <c r="G59" i="1"/>
  <c r="G4" i="1" s="1"/>
  <c r="H78" i="1"/>
  <c r="F78" i="1"/>
  <c r="F89" i="1" l="1"/>
  <c r="E89" i="1"/>
  <c r="K27" i="1"/>
  <c r="L27" i="1" s="1"/>
  <c r="M27" i="1" s="1"/>
  <c r="J32" i="1"/>
  <c r="J105" i="1"/>
  <c r="G89" i="1"/>
  <c r="H89" i="1"/>
  <c r="I95" i="1"/>
  <c r="I98" i="1"/>
  <c r="I100" i="1" s="1"/>
  <c r="I101" i="1" s="1"/>
  <c r="I35" i="1" s="1"/>
  <c r="I36" i="1" s="1"/>
  <c r="F17" i="1"/>
  <c r="J46" i="1"/>
  <c r="J85" i="1" s="1"/>
  <c r="E80" i="1"/>
  <c r="F79" i="1" s="1"/>
  <c r="F80" i="1" s="1"/>
  <c r="G79" i="1" s="1"/>
  <c r="G80" i="1" s="1"/>
  <c r="H79" i="1" s="1"/>
  <c r="H80" i="1" s="1"/>
  <c r="I79" i="1" s="1"/>
  <c r="H40" i="1"/>
  <c r="H17" i="1"/>
  <c r="D40" i="1"/>
  <c r="G40" i="1"/>
  <c r="G17" i="1"/>
  <c r="E40" i="1"/>
  <c r="E17" i="1"/>
  <c r="J28" i="1"/>
  <c r="J29" i="1" s="1"/>
  <c r="J106" i="1" s="1"/>
  <c r="I47" i="1"/>
  <c r="I52" i="1"/>
  <c r="I29" i="1"/>
  <c r="I106" i="1" s="1"/>
  <c r="M56" i="1"/>
  <c r="M46" i="1" l="1"/>
  <c r="M85" i="1" s="1"/>
  <c r="M32" i="1"/>
  <c r="M105" i="1"/>
  <c r="L46" i="1"/>
  <c r="L85" i="1" s="1"/>
  <c r="L105" i="1"/>
  <c r="L32" i="1"/>
  <c r="K46" i="1"/>
  <c r="K85" i="1" s="1"/>
  <c r="K32" i="1"/>
  <c r="K105" i="1"/>
  <c r="K28" i="1"/>
  <c r="K29" i="1" s="1"/>
  <c r="K106" i="1" s="1"/>
  <c r="J98" i="1"/>
  <c r="J100" i="1" s="1"/>
  <c r="I53" i="1"/>
  <c r="I54" i="1" s="1"/>
  <c r="J92" i="1"/>
  <c r="I48" i="1"/>
  <c r="I37" i="1"/>
  <c r="D146" i="1" s="1"/>
  <c r="D144" i="1" s="1"/>
  <c r="I86" i="1"/>
  <c r="I87" i="1"/>
  <c r="J47" i="1"/>
  <c r="L28" i="1"/>
  <c r="L29" i="1" s="1"/>
  <c r="L106" i="1" s="1"/>
  <c r="J52" i="1"/>
  <c r="M28" i="1"/>
  <c r="D147" i="1" l="1"/>
  <c r="D148" i="1" s="1"/>
  <c r="K47" i="1"/>
  <c r="K86" i="1" s="1"/>
  <c r="K52" i="1"/>
  <c r="K87" i="1" s="1"/>
  <c r="L52" i="1"/>
  <c r="L87" i="1" s="1"/>
  <c r="K98" i="1"/>
  <c r="K100" i="1" s="1"/>
  <c r="K101" i="1" s="1"/>
  <c r="K35" i="1" s="1"/>
  <c r="J53" i="1"/>
  <c r="J54" i="1" s="1"/>
  <c r="J94" i="1"/>
  <c r="J65" i="1" s="1"/>
  <c r="J34" i="1" s="1"/>
  <c r="E150" i="1" s="1"/>
  <c r="I39" i="1"/>
  <c r="I40" i="1" s="1"/>
  <c r="J101" i="1"/>
  <c r="J35" i="1" s="1"/>
  <c r="J86" i="1"/>
  <c r="I88" i="1"/>
  <c r="I89" i="1" s="1"/>
  <c r="J87" i="1"/>
  <c r="L47" i="1"/>
  <c r="M52" i="1"/>
  <c r="M47" i="1"/>
  <c r="M29" i="1"/>
  <c r="M106" i="1" s="1"/>
  <c r="I66" i="1" l="1"/>
  <c r="D151" i="1"/>
  <c r="D153" i="1" s="1"/>
  <c r="D155" i="1" s="1"/>
  <c r="D157" i="1" s="1"/>
  <c r="K88" i="1"/>
  <c r="J88" i="1"/>
  <c r="J36" i="1"/>
  <c r="J37" i="1" s="1"/>
  <c r="I57" i="1"/>
  <c r="I64" i="1"/>
  <c r="L98" i="1"/>
  <c r="L100" i="1" s="1"/>
  <c r="L101" i="1" s="1"/>
  <c r="L35" i="1" s="1"/>
  <c r="K53" i="1"/>
  <c r="K54" i="1" s="1"/>
  <c r="J95" i="1"/>
  <c r="M86" i="1"/>
  <c r="M87" i="1"/>
  <c r="L86" i="1"/>
  <c r="L88" i="1" s="1"/>
  <c r="I67" i="1" l="1"/>
  <c r="I78" i="1" s="1"/>
  <c r="I80" i="1" s="1"/>
  <c r="J79" i="1" s="1"/>
  <c r="J39" i="1"/>
  <c r="J40" i="1" s="1"/>
  <c r="J64" i="1" s="1"/>
  <c r="E146" i="1"/>
  <c r="L89" i="1"/>
  <c r="K89" i="1"/>
  <c r="J89" i="1"/>
  <c r="M88" i="1"/>
  <c r="M89" i="1" s="1"/>
  <c r="K92" i="1"/>
  <c r="K94" i="1" s="1"/>
  <c r="J48" i="1"/>
  <c r="M98" i="1"/>
  <c r="M100" i="1" s="1"/>
  <c r="M53" i="1" s="1"/>
  <c r="M54" i="1" s="1"/>
  <c r="L53" i="1"/>
  <c r="L54" i="1" s="1"/>
  <c r="I58" i="1"/>
  <c r="I59" i="1" s="1"/>
  <c r="I108" i="1" l="1"/>
  <c r="J57" i="1"/>
  <c r="J58" i="1" s="1"/>
  <c r="J59" i="1" s="1"/>
  <c r="J66" i="1"/>
  <c r="J67" i="1" s="1"/>
  <c r="J78" i="1" s="1"/>
  <c r="J80" i="1" s="1"/>
  <c r="K79" i="1" s="1"/>
  <c r="E151" i="1"/>
  <c r="E147" i="1"/>
  <c r="E148" i="1" s="1"/>
  <c r="E144" i="1"/>
  <c r="M66" i="1"/>
  <c r="H151" i="1"/>
  <c r="L66" i="1"/>
  <c r="G151" i="1"/>
  <c r="K66" i="1"/>
  <c r="F151" i="1"/>
  <c r="I45" i="1"/>
  <c r="I49" i="1" s="1"/>
  <c r="I4" i="1" s="1"/>
  <c r="M101" i="1"/>
  <c r="M35" i="1" s="1"/>
  <c r="K95" i="1"/>
  <c r="K65" i="1"/>
  <c r="K34" i="1" s="1"/>
  <c r="J108" i="1" l="1"/>
  <c r="E153" i="1"/>
  <c r="E155" i="1" s="1"/>
  <c r="E157" i="1" s="1"/>
  <c r="K36" i="1"/>
  <c r="K37" i="1" s="1"/>
  <c r="F146" i="1" s="1"/>
  <c r="F150" i="1"/>
  <c r="J45" i="1"/>
  <c r="J49" i="1" s="1"/>
  <c r="J4" i="1" s="1"/>
  <c r="L92" i="1"/>
  <c r="L94" i="1" s="1"/>
  <c r="K48" i="1"/>
  <c r="K39" i="1" l="1"/>
  <c r="K40" i="1" s="1"/>
  <c r="K64" i="1" s="1"/>
  <c r="K67" i="1" s="1"/>
  <c r="F147" i="1"/>
  <c r="F148" i="1" s="1"/>
  <c r="F153" i="1" s="1"/>
  <c r="F155" i="1" s="1"/>
  <c r="F157" i="1" s="1"/>
  <c r="F144" i="1"/>
  <c r="L95" i="1"/>
  <c r="L65" i="1"/>
  <c r="L34" i="1" s="1"/>
  <c r="K57" i="1" l="1"/>
  <c r="K58" i="1" s="1"/>
  <c r="K59" i="1" s="1"/>
  <c r="L36" i="1"/>
  <c r="L37" i="1" s="1"/>
  <c r="G146" i="1" s="1"/>
  <c r="G150" i="1"/>
  <c r="K78" i="1"/>
  <c r="K80" i="1" s="1"/>
  <c r="L79" i="1" s="1"/>
  <c r="K108" i="1"/>
  <c r="M92" i="1"/>
  <c r="L48" i="1"/>
  <c r="L39" i="1" l="1"/>
  <c r="L40" i="1" s="1"/>
  <c r="L57" i="1" s="1"/>
  <c r="G144" i="1"/>
  <c r="G147" i="1"/>
  <c r="G148" i="1" s="1"/>
  <c r="G153" i="1" s="1"/>
  <c r="G155" i="1" s="1"/>
  <c r="G157" i="1" s="1"/>
  <c r="K45" i="1"/>
  <c r="K49" i="1" s="1"/>
  <c r="K4" i="1" s="1"/>
  <c r="M94" i="1"/>
  <c r="M65" i="1" s="1"/>
  <c r="M34" i="1" s="1"/>
  <c r="L64" i="1" l="1"/>
  <c r="L67" i="1" s="1"/>
  <c r="L78" i="1" s="1"/>
  <c r="L80" i="1" s="1"/>
  <c r="L45" i="1" s="1"/>
  <c r="L49" i="1" s="1"/>
  <c r="M36" i="1"/>
  <c r="M37" i="1" s="1"/>
  <c r="H146" i="1" s="1"/>
  <c r="H150" i="1"/>
  <c r="M95" i="1"/>
  <c r="M48" i="1" s="1"/>
  <c r="L58" i="1"/>
  <c r="L59" i="1" s="1"/>
  <c r="L108" i="1" l="1"/>
  <c r="M39" i="1"/>
  <c r="M40" i="1" s="1"/>
  <c r="M64" i="1" s="1"/>
  <c r="M67" i="1" s="1"/>
  <c r="H144" i="1"/>
  <c r="M140" i="1" s="1"/>
  <c r="H147" i="1"/>
  <c r="H148" i="1" s="1"/>
  <c r="H153" i="1" s="1"/>
  <c r="M79" i="1"/>
  <c r="L4" i="1"/>
  <c r="M57" i="1" l="1"/>
  <c r="M58" i="1" s="1"/>
  <c r="M59" i="1" s="1"/>
  <c r="H155" i="1"/>
  <c r="H157" i="1" s="1"/>
  <c r="M141" i="1"/>
  <c r="M142" i="1" s="1"/>
  <c r="I153" i="1" s="1"/>
  <c r="I155" i="1" s="1"/>
  <c r="M78" i="1"/>
  <c r="M80" i="1" s="1"/>
  <c r="M45" i="1" s="1"/>
  <c r="M49" i="1" s="1"/>
  <c r="M108" i="1"/>
  <c r="M4" i="1" l="1"/>
  <c r="C160" i="1"/>
  <c r="C163" i="1" s="1"/>
  <c r="C165" i="1" s="1"/>
  <c r="K161" i="1" s="1"/>
  <c r="K162" i="1" s="1"/>
  <c r="I157" i="1"/>
  <c r="K16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M. Syamil</author>
  </authors>
  <commentList>
    <comment ref="I15" authorId="0" shapeId="0" xr:uid="{825CCE78-FB0A-4ACA-B1BB-60A1F5D3AC27}">
      <text>
        <r>
          <rPr>
            <b/>
            <sz val="9"/>
            <color indexed="81"/>
            <rFont val="Tahoma"/>
            <family val="2"/>
          </rPr>
          <t>M. Syamil:</t>
        </r>
        <r>
          <rPr>
            <sz val="9"/>
            <color indexed="81"/>
            <rFont val="Tahoma"/>
            <family val="2"/>
          </rPr>
          <t xml:space="preserve">
% of opening PPE</t>
        </r>
      </text>
    </comment>
    <comment ref="I16" authorId="0" shapeId="0" xr:uid="{489BA49A-B7FD-466C-9C0F-C4E89C3A06D6}">
      <text>
        <r>
          <rPr>
            <b/>
            <sz val="9"/>
            <color indexed="81"/>
            <rFont val="Tahoma"/>
            <family val="2"/>
          </rPr>
          <t>M. Syamil:</t>
        </r>
        <r>
          <rPr>
            <sz val="9"/>
            <color indexed="81"/>
            <rFont val="Tahoma"/>
            <family val="2"/>
          </rPr>
          <t xml:space="preserve">
% of average debt</t>
        </r>
      </text>
    </comment>
  </commentList>
</comments>
</file>

<file path=xl/sharedStrings.xml><?xml version="1.0" encoding="utf-8"?>
<sst xmlns="http://schemas.openxmlformats.org/spreadsheetml/2006/main" count="182" uniqueCount="129">
  <si>
    <t>Corporate Finance Institute</t>
  </si>
  <si>
    <t>Historical --&gt;</t>
  </si>
  <si>
    <t>Forecast ---&gt;</t>
  </si>
  <si>
    <t>3 Statement Model</t>
  </si>
  <si>
    <t>USD Millions</t>
  </si>
  <si>
    <t>Balance Sheet Check</t>
  </si>
  <si>
    <t>Assumptions &amp; Drivers</t>
  </si>
  <si>
    <t>Income Statement</t>
  </si>
  <si>
    <t>Balance Sheet</t>
  </si>
  <si>
    <t>Cash Flow Statement</t>
  </si>
  <si>
    <t>Supporting Schedule</t>
  </si>
  <si>
    <t>Charts &amp; Graphs</t>
  </si>
  <si>
    <t>Revenue</t>
  </si>
  <si>
    <t>Revenues</t>
  </si>
  <si>
    <t>Cost of Goods Sold</t>
  </si>
  <si>
    <t xml:space="preserve">Gross Profit </t>
  </si>
  <si>
    <t>Expenses</t>
  </si>
  <si>
    <t>Salaries and benefit</t>
  </si>
  <si>
    <t>Rent and Overhead</t>
  </si>
  <si>
    <t>Depreciation &amp; Amortization</t>
  </si>
  <si>
    <t>Interest</t>
  </si>
  <si>
    <t>Total Expenses</t>
  </si>
  <si>
    <t>Earnings before taxes</t>
  </si>
  <si>
    <t>Taxes</t>
  </si>
  <si>
    <t>Net Earnings</t>
  </si>
  <si>
    <t>Gross Profit</t>
  </si>
  <si>
    <t>Salaries and Benefits</t>
  </si>
  <si>
    <t>Earnings Before Tax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</si>
  <si>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</si>
  <si>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</si>
  <si>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</si>
  <si>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</si>
  <si>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</si>
  <si>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</si>
  <si>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</si>
  <si>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</si>
  <si>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Debt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</si>
  <si>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</si>
  <si>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</si>
  <si>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</si>
  <si>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</si>
  <si>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</si>
  <si>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</si>
  <si>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</si>
  <si>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</si>
  <si>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</si>
  <si>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</si>
  <si>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</si>
  <si>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</si>
  <si>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</si>
  <si>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</si>
  <si>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</si>
  <si>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</si>
  <si>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</si>
  <si>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</si>
  <si>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</si>
  <si>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Revenue Growth</t>
  </si>
  <si>
    <t>Cost of Goods Sold (% of sales)</t>
  </si>
  <si>
    <t>Salaries and benefit (% of sales)</t>
  </si>
  <si>
    <t>Rent &amp; overhead (fixed $)</t>
  </si>
  <si>
    <t>Depreciation &amp; Amortization (% of PPE)</t>
  </si>
  <si>
    <t>Interest (% of  debt)</t>
  </si>
  <si>
    <t>Taxes (% of EBIT)</t>
  </si>
  <si>
    <t>Days Receivables</t>
  </si>
  <si>
    <t>Days Inventory</t>
  </si>
  <si>
    <t>Days Payable</t>
  </si>
  <si>
    <t>Days in the period</t>
  </si>
  <si>
    <t>Capex PPE (fixed $)</t>
  </si>
  <si>
    <t>Working Capital Schedule</t>
  </si>
  <si>
    <t>Account Receivable</t>
  </si>
  <si>
    <t>Account Payable</t>
  </si>
  <si>
    <t>Changes in NWC</t>
  </si>
  <si>
    <t>Net Working Capital (NWC)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</si>
  <si>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</si>
  <si>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</si>
  <si>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</si>
  <si>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</si>
  <si>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</si>
  <si>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</si>
  <si>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</si>
  <si>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</si>
  <si>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</si>
  <si>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</si>
  <si>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>Gross Profit Margin</t>
  </si>
  <si>
    <t>DCF</t>
  </si>
  <si>
    <t>Assumption</t>
  </si>
  <si>
    <t>Tax rate</t>
  </si>
  <si>
    <t>Discount rate</t>
  </si>
  <si>
    <t>Growth Rate</t>
  </si>
  <si>
    <t>EV/EBITDA multiple</t>
  </si>
  <si>
    <t>Transaction Date</t>
  </si>
  <si>
    <t>Fiscal Year End</t>
  </si>
  <si>
    <t>Current Price</t>
  </si>
  <si>
    <t>Shares Outstanding</t>
  </si>
  <si>
    <t>Discounted Cash Flow</t>
  </si>
  <si>
    <t>Entry</t>
  </si>
  <si>
    <t>Exit</t>
  </si>
  <si>
    <t>Terminal Value</t>
  </si>
  <si>
    <t>EV/EBITDA</t>
  </si>
  <si>
    <t>Date</t>
  </si>
  <si>
    <t>Year Frac</t>
  </si>
  <si>
    <t>Period</t>
  </si>
  <si>
    <t>EBITDA</t>
  </si>
  <si>
    <t>EBIT</t>
  </si>
  <si>
    <t>Less: Taxes</t>
  </si>
  <si>
    <t>NOPAT</t>
  </si>
  <si>
    <t>Plus: D&amp;A</t>
  </si>
  <si>
    <t>Less: Net Working Capital</t>
  </si>
  <si>
    <t>Less: Capex</t>
  </si>
  <si>
    <t>Unlevered FCFF</t>
  </si>
  <si>
    <t>Transaction FCFF</t>
  </si>
  <si>
    <t>Average</t>
  </si>
  <si>
    <t>IRR FCFF</t>
  </si>
  <si>
    <t>Intrinsic Value</t>
  </si>
  <si>
    <t>Enterprise Value</t>
  </si>
  <si>
    <t>Plus: Cash</t>
  </si>
  <si>
    <t>Less: Debt</t>
  </si>
  <si>
    <t>Equity Value</t>
  </si>
  <si>
    <t>Equity Value/Share</t>
  </si>
  <si>
    <t>Market Value</t>
  </si>
  <si>
    <t>Market Cap.</t>
  </si>
  <si>
    <t>Plus: Debt</t>
  </si>
  <si>
    <t>Less: Cash</t>
  </si>
  <si>
    <t>Rate of Return</t>
  </si>
  <si>
    <t>Target Price</t>
  </si>
  <si>
    <t>TP Upside</t>
  </si>
  <si>
    <t>IRR</t>
  </si>
  <si>
    <t>Perpetual Growth</t>
  </si>
  <si>
    <t>Muhammad Syamil Falahuddin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</si>
</sst>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&quot;A&quot;"/>
    <numFmt numFmtId="166" formatCode="0&quot;E&quot;"/>
    <numFmt numFmtId="167" formatCode="0.0\x"/>
  </numFmts>
  <fonts count="15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sz val="9"/>
      <color theme="0"/>
      <name val="Arial Narrow"/>
      <family val="2"/>
    </font>
    <font>
      <b/>
      <sz val="13"/>
      <color theme="0"/>
      <name val="Arial Narrow"/>
      <family val="2"/>
    </font>
    <font>
      <sz val="11"/>
      <color rgb="FF0000FF"/>
      <name val="Arial Narrow"/>
      <family val="2"/>
    </font>
    <font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 Narrow"/>
      <family val="2"/>
    </font>
    <font>
      <i/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66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4" fillId="2" borderId="0" xfId="0" applyFont="1" applyFill="1"/>
    <xf numFmtId="0" fontId="3" fillId="2" borderId="0" xfId="0" applyFont="1" applyFill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0" fontId="0" fillId="0" borderId="0" xfId="0" applyFont="1" applyFill="1" applyBorder="1"/>
    <xf numFmtId="0" fontId="2" fillId="0" borderId="0" xfId="0" applyFont="1" applyFill="1" applyBorder="1"/>
    <xf numFmtId="0" fontId="2" fillId="0" borderId="2" xfId="0" applyFont="1" applyBorder="1"/>
    <xf numFmtId="3" fontId="0" fillId="0" borderId="0" xfId="0" applyNumberFormat="1"/>
    <xf numFmtId="6" fontId="0" fillId="0" borderId="0" xfId="0" applyNumberFormat="1"/>
    <xf numFmtId="1" fontId="0" fillId="0" borderId="0" xfId="0" applyNumberFormat="1"/>
    <xf numFmtId="0" fontId="2" fillId="0" borderId="3" xfId="0" applyFont="1" applyBorder="1"/>
    <xf numFmtId="0" fontId="2" fillId="3" borderId="0" xfId="0" applyFont="1" applyFill="1"/>
    <xf numFmtId="0" fontId="0" fillId="3" borderId="0" xfId="0" applyFill="1"/>
    <xf numFmtId="37" fontId="0" fillId="0" borderId="0" xfId="0" applyNumberFormat="1"/>
    <xf numFmtId="37" fontId="6" fillId="0" borderId="0" xfId="0" applyNumberFormat="1" applyFont="1"/>
    <xf numFmtId="0" fontId="2" fillId="0" borderId="0" xfId="0" applyFont="1" applyBorder="1"/>
    <xf numFmtId="37" fontId="6" fillId="0" borderId="1" xfId="0" applyNumberFormat="1" applyFont="1" applyBorder="1"/>
    <xf numFmtId="37" fontId="6" fillId="3" borderId="0" xfId="0" applyNumberFormat="1" applyFont="1" applyFill="1"/>
    <xf numFmtId="37" fontId="7" fillId="0" borderId="0" xfId="0" applyNumberFormat="1" applyFont="1"/>
    <xf numFmtId="37" fontId="7" fillId="0" borderId="3" xfId="0" applyNumberFormat="1" applyFont="1" applyBorder="1"/>
    <xf numFmtId="37" fontId="7" fillId="0" borderId="0" xfId="0" applyNumberFormat="1" applyFont="1" applyBorder="1"/>
    <xf numFmtId="37" fontId="7" fillId="0" borderId="1" xfId="0" applyNumberFormat="1" applyFont="1" applyBorder="1"/>
    <xf numFmtId="0" fontId="0" fillId="0" borderId="0" xfId="0" applyAlignment="1">
      <alignment horizontal="center"/>
    </xf>
    <xf numFmtId="0" fontId="6" fillId="0" borderId="0" xfId="0" applyFont="1"/>
    <xf numFmtId="164" fontId="0" fillId="0" borderId="0" xfId="1" applyNumberFormat="1" applyFont="1"/>
    <xf numFmtId="164" fontId="6" fillId="0" borderId="0" xfId="1" applyNumberFormat="1" applyFont="1"/>
    <xf numFmtId="1" fontId="6" fillId="0" borderId="0" xfId="0" applyNumberFormat="1" applyFont="1"/>
    <xf numFmtId="37" fontId="0" fillId="0" borderId="1" xfId="0" applyNumberFormat="1" applyBorder="1"/>
    <xf numFmtId="41" fontId="6" fillId="0" borderId="0" xfId="0" applyNumberFormat="1" applyFont="1"/>
    <xf numFmtId="41" fontId="0" fillId="0" borderId="0" xfId="0" applyNumberFormat="1"/>
    <xf numFmtId="41" fontId="6" fillId="0" borderId="1" xfId="0" applyNumberFormat="1" applyFont="1" applyBorder="1"/>
    <xf numFmtId="41" fontId="0" fillId="0" borderId="1" xfId="0" applyNumberFormat="1" applyBorder="1"/>
    <xf numFmtId="41" fontId="7" fillId="0" borderId="0" xfId="0" applyNumberFormat="1" applyFont="1"/>
    <xf numFmtId="41" fontId="7" fillId="0" borderId="3" xfId="0" applyNumberFormat="1" applyFont="1" applyBorder="1"/>
    <xf numFmtId="41" fontId="10" fillId="0" borderId="0" xfId="0" applyNumberFormat="1" applyFont="1"/>
    <xf numFmtId="41" fontId="10" fillId="0" borderId="2" xfId="0" applyNumberFormat="1" applyFont="1" applyBorder="1"/>
    <xf numFmtId="0" fontId="2" fillId="0" borderId="3" xfId="0" applyFont="1" applyFill="1" applyBorder="1"/>
    <xf numFmtId="41" fontId="10" fillId="0" borderId="3" xfId="0" applyNumberFormat="1" applyFont="1" applyBorder="1"/>
    <xf numFmtId="0" fontId="0" fillId="0" borderId="0" xfId="0" applyFill="1" applyBorder="1"/>
    <xf numFmtId="0" fontId="11" fillId="0" borderId="0" xfId="0" applyFont="1"/>
    <xf numFmtId="0" fontId="2" fillId="3" borderId="0" xfId="0" applyFont="1" applyFill="1" applyBorder="1"/>
    <xf numFmtId="0" fontId="0" fillId="0" borderId="0" xfId="0" applyAlignment="1">
      <alignment wrapText="1"/>
    </xf>
    <xf numFmtId="166" fontId="5" fillId="2" borderId="0" xfId="0" applyNumberFormat="1" applyFont="1" applyFill="1"/>
    <xf numFmtId="0" fontId="0" fillId="0" borderId="0" xfId="0" applyFont="1" applyBorder="1"/>
    <xf numFmtId="0" fontId="13" fillId="2" borderId="0" xfId="0" applyFont="1" applyFill="1"/>
    <xf numFmtId="0" fontId="14" fillId="3" borderId="0" xfId="0" applyFont="1" applyFill="1"/>
    <xf numFmtId="0" fontId="14" fillId="3" borderId="0" xfId="0" applyFont="1" applyFill="1" applyBorder="1"/>
    <xf numFmtId="0" fontId="2" fillId="0" borderId="1" xfId="0" applyFont="1" applyBorder="1"/>
    <xf numFmtId="9" fontId="0" fillId="0" borderId="0" xfId="0" applyNumberFormat="1"/>
    <xf numFmtId="167" fontId="0" fillId="0" borderId="0" xfId="0" applyNumberFormat="1"/>
    <xf numFmtId="14" fontId="0" fillId="0" borderId="0" xfId="0" applyNumberFormat="1"/>
    <xf numFmtId="2" fontId="0" fillId="0" borderId="0" xfId="0" applyNumberFormat="1"/>
    <xf numFmtId="43" fontId="0" fillId="0" borderId="0" xfId="0" applyNumberFormat="1"/>
    <xf numFmtId="0" fontId="2" fillId="0" borderId="1" xfId="0" applyFont="1" applyBorder="1" applyAlignment="1">
      <alignment horizontal="right"/>
    </xf>
    <xf numFmtId="41" fontId="2" fillId="0" borderId="3" xfId="0" applyNumberFormat="1" applyFont="1" applyBorder="1"/>
    <xf numFmtId="0" fontId="0" fillId="0" borderId="2" xfId="0" applyBorder="1"/>
    <xf numFmtId="41" fontId="0" fillId="0" borderId="2" xfId="0" applyNumberFormat="1" applyBorder="1"/>
    <xf numFmtId="41" fontId="2" fillId="0" borderId="0" xfId="0" applyNumberFormat="1" applyFont="1"/>
    <xf numFmtId="9" fontId="0" fillId="0" borderId="0" xfId="1" applyFont="1"/>
    <xf numFmtId="43" fontId="0" fillId="0" borderId="0" xfId="2" applyFont="1"/>
    <xf numFmtId="0" fontId="3" fillId="4" borderId="0" xfId="0" applyFont="1" applyFill="1"/>
    <xf numFmtId="165" fontId="5" fillId="4" borderId="0" xfId="0" applyNumberFormat="1" applyFont="1" applyFill="1"/>
    <xf numFmtId="43" fontId="12" fillId="4" borderId="0" xfId="0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CC"/>
      <color rgb="FF3333FF"/>
      <color rgb="FF00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&amp; Gross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Statement Model'!$A$105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Statement Model'!$D$3:$M$3</c:f>
              <c:numCache>
                <c:formatCode>0"A"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 formatCode="0&quot;E&quot;">
                  <c:v>2018</c:v>
                </c:pt>
                <c:pt idx="6" formatCode="0&quot;E&quot;">
                  <c:v>2019</c:v>
                </c:pt>
                <c:pt idx="7" formatCode="0&quot;E&quot;">
                  <c:v>2020</c:v>
                </c:pt>
                <c:pt idx="8" formatCode="0&quot;E&quot;">
                  <c:v>2021</c:v>
                </c:pt>
                <c:pt idx="9" formatCode="0&quot;E&quot;">
                  <c:v>2022</c:v>
                </c:pt>
              </c:numCache>
            </c:numRef>
          </c:cat>
          <c:val>
            <c:numRef>
              <c:f>'3 Statement Model'!$D$105:$M$105</c:f>
            </c:numRef>
          </c:val>
          <c:extLst>
            <c:ext xmlns:c16="http://schemas.microsoft.com/office/drawing/2014/chart" uri="{C3380CC4-5D6E-409C-BE32-E72D297353CC}">
              <c16:uniqueId val="{00000000-7BE6-4E26-984C-67AF59CCB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70513023"/>
        <c:axId val="370510527"/>
      </c:barChart>
      <c:lineChart>
        <c:grouping val="standard"/>
        <c:varyColors val="0"/>
        <c:ser>
          <c:idx val="1"/>
          <c:order val="1"/>
          <c:tx>
            <c:strRef>
              <c:f>'3 Statement Model'!$A$106</c:f>
              <c:strCache>
                <c:ptCount val="1"/>
                <c:pt idx="0">
                  <c:v>Gross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Model'!$D$106:$M$106</c:f>
            </c:numRef>
          </c:val>
          <c:smooth val="0"/>
          <c:extLst>
            <c:ext xmlns:c16="http://schemas.microsoft.com/office/drawing/2014/chart" uri="{C3380CC4-5D6E-409C-BE32-E72D297353CC}">
              <c16:uniqueId val="{00000001-7BE6-4E26-984C-67AF59CCB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12607"/>
        <c:axId val="370511775"/>
      </c:lineChart>
      <c:catAx>
        <c:axId val="370513023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10527"/>
        <c:crosses val="autoZero"/>
        <c:auto val="1"/>
        <c:lblAlgn val="ctr"/>
        <c:lblOffset val="100"/>
        <c:noMultiLvlLbl val="0"/>
      </c:catAx>
      <c:valAx>
        <c:axId val="370510527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13023"/>
        <c:crosses val="autoZero"/>
        <c:crossBetween val="between"/>
      </c:valAx>
      <c:valAx>
        <c:axId val="370511775"/>
        <c:scaling>
          <c:orientation val="minMax"/>
          <c:max val="1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12607"/>
        <c:crosses val="max"/>
        <c:crossBetween val="between"/>
      </c:valAx>
      <c:catAx>
        <c:axId val="370512607"/>
        <c:scaling>
          <c:orientation val="minMax"/>
        </c:scaling>
        <c:delete val="1"/>
        <c:axPos val="b"/>
        <c:majorTickMark val="none"/>
        <c:minorTickMark val="none"/>
        <c:tickLblPos val="nextTo"/>
        <c:crossAx val="3705117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Flow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 Statement Model'!$A$108</c:f>
              <c:strCache>
                <c:ptCount val="1"/>
                <c:pt idx="0">
                  <c:v>Operating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Statement Model'!$D$3:$M$3</c:f>
              <c:numCache>
                <c:formatCode>0"A"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 formatCode="0&quot;E&quot;">
                  <c:v>2018</c:v>
                </c:pt>
                <c:pt idx="6" formatCode="0&quot;E&quot;">
                  <c:v>2019</c:v>
                </c:pt>
                <c:pt idx="7" formatCode="0&quot;E&quot;">
                  <c:v>2020</c:v>
                </c:pt>
                <c:pt idx="8" formatCode="0&quot;E&quot;">
                  <c:v>2021</c:v>
                </c:pt>
                <c:pt idx="9" formatCode="0&quot;E&quot;">
                  <c:v>2022</c:v>
                </c:pt>
              </c:numCache>
            </c:numRef>
          </c:cat>
          <c:val>
            <c:numRef>
              <c:f>'3 Statement Model'!$D$108:$M$108</c:f>
            </c:numRef>
          </c:val>
          <c:extLst>
            <c:ext xmlns:c16="http://schemas.microsoft.com/office/drawing/2014/chart" uri="{C3380CC4-5D6E-409C-BE32-E72D297353CC}">
              <c16:uniqueId val="{00000000-8882-4FC5-9397-5BF11E952321}"/>
            </c:ext>
          </c:extLst>
        </c:ser>
        <c:ser>
          <c:idx val="1"/>
          <c:order val="1"/>
          <c:tx>
            <c:strRef>
              <c:f>'3 Statement Model'!$A$109</c:f>
              <c:strCache>
                <c:ptCount val="1"/>
                <c:pt idx="0">
                  <c:v>Investing Cash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Model'!$D$3:$M$3</c:f>
              <c:numCache>
                <c:formatCode>0"A"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 formatCode="0&quot;E&quot;">
                  <c:v>2018</c:v>
                </c:pt>
                <c:pt idx="6" formatCode="0&quot;E&quot;">
                  <c:v>2019</c:v>
                </c:pt>
                <c:pt idx="7" formatCode="0&quot;E&quot;">
                  <c:v>2020</c:v>
                </c:pt>
                <c:pt idx="8" formatCode="0&quot;E&quot;">
                  <c:v>2021</c:v>
                </c:pt>
                <c:pt idx="9" formatCode="0&quot;E&quot;">
                  <c:v>2022</c:v>
                </c:pt>
              </c:numCache>
            </c:numRef>
          </c:cat>
          <c:val>
            <c:numRef>
              <c:f>'3 Statement Model'!$D$109:$M$109</c:f>
            </c:numRef>
          </c:val>
          <c:extLst>
            <c:ext xmlns:c16="http://schemas.microsoft.com/office/drawing/2014/chart" uri="{C3380CC4-5D6E-409C-BE32-E72D297353CC}">
              <c16:uniqueId val="{00000001-8882-4FC5-9397-5BF11E952321}"/>
            </c:ext>
          </c:extLst>
        </c:ser>
        <c:ser>
          <c:idx val="2"/>
          <c:order val="2"/>
          <c:tx>
            <c:strRef>
              <c:f>'3 Statement Model'!$A$110</c:f>
              <c:strCache>
                <c:ptCount val="1"/>
                <c:pt idx="0">
                  <c:v>Financing Cash 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Model'!$D$3:$M$3</c:f>
              <c:numCache>
                <c:formatCode>0"A"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 formatCode="0&quot;E&quot;">
                  <c:v>2018</c:v>
                </c:pt>
                <c:pt idx="6" formatCode="0&quot;E&quot;">
                  <c:v>2019</c:v>
                </c:pt>
                <c:pt idx="7" formatCode="0&quot;E&quot;">
                  <c:v>2020</c:v>
                </c:pt>
                <c:pt idx="8" formatCode="0&quot;E&quot;">
                  <c:v>2021</c:v>
                </c:pt>
                <c:pt idx="9" formatCode="0&quot;E&quot;">
                  <c:v>2022</c:v>
                </c:pt>
              </c:numCache>
            </c:numRef>
          </c:cat>
          <c:val>
            <c:numRef>
              <c:f>'3 Statement Model'!$D$110:$M$110</c:f>
            </c:numRef>
          </c:val>
          <c:extLst>
            <c:ext xmlns:c16="http://schemas.microsoft.com/office/drawing/2014/chart" uri="{C3380CC4-5D6E-409C-BE32-E72D297353CC}">
              <c16:uniqueId val="{00000002-8882-4FC5-9397-5BF11E95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0510943"/>
        <c:axId val="370511359"/>
      </c:barChart>
      <c:catAx>
        <c:axId val="370510943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11359"/>
        <c:crosses val="autoZero"/>
        <c:auto val="1"/>
        <c:lblAlgn val="ctr"/>
        <c:lblOffset val="100"/>
        <c:noMultiLvlLbl val="0"/>
      </c:catAx>
      <c:valAx>
        <c:axId val="370511359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1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137584</xdr:colOff>
      <xdr:row>111</xdr:row>
      <xdr:rowOff>14815</xdr:rowOff>
    </xdr:from>
    <xdr:to>
      <xdr:col>6</xdr:col>
      <xdr:colOff>84667</xdr:colOff>
      <xdr:row>122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6DD3B-32B8-61C4-4B03-38E46CE64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243419</xdr:colOff>
      <xdr:row>111</xdr:row>
      <xdr:rowOff>46567</xdr:rowOff>
    </xdr:from>
    <xdr:to>
      <xdr:col>12</xdr:col>
      <xdr:colOff>539751</xdr:colOff>
      <xdr:row>122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92A9B-6DB0-022D-6175-A7482F867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FD90-85EF-4BEE-974A-F5F53051D0BD}">
  <dimension ref="A1:N165"/>
  <sheetViews>
    <sheetView showGridLines="0" tabSelected="1" zoomScale="90" zoomScaleNormal="90" workbookViewId="0">
      <pane ySplit="4" topLeftCell="A5" activePane="bottomLeft" state="frozen"/>
      <selection pane="bottomLeft" activeCell="I12" sqref="I12"/>
    </sheetView>
  </sheetViews>
  <sheetFormatPr defaultRowHeight="16.5" outlineLevelRow="1" x14ac:dyDescent="0.3"/>
  <cols>
    <col min="1" max="1" width="20.140625" customWidth="1"/>
    <col min="2" max="2" width="10.140625" customWidth="1"/>
    <col min="3" max="3" width="9" customWidth="1"/>
    <col min="4" max="13" width="10.7109375" customWidth="1"/>
  </cols>
  <sheetData>
    <row r="1" spans="1:13" x14ac:dyDescent="0.3">
      <c r="A1" s="1" t="s">
        <v>0</v>
      </c>
      <c r="B1" s="1"/>
      <c r="C1" s="1"/>
      <c r="D1" s="63" t="s">
        <v>1</v>
      </c>
      <c r="E1" s="63"/>
      <c r="F1" s="63"/>
      <c r="G1" s="63"/>
      <c r="H1" s="63"/>
      <c r="I1" s="2" t="s">
        <v>2</v>
      </c>
      <c r="J1" s="2"/>
      <c r="K1" s="2"/>
      <c r="L1" s="2"/>
      <c r="M1" s="2"/>
    </row>
    <row r="2" spans="1:13" x14ac:dyDescent="0.3">
      <c r="A2" s="47" t="s">
        <v>3</v>
      </c>
      <c r="B2" s="2"/>
      <c r="C2" s="2"/>
      <c r="D2" s="63"/>
      <c r="E2" s="63"/>
      <c r="F2" s="63"/>
      <c r="G2" s="63"/>
      <c r="H2" s="63"/>
      <c r="I2" s="2"/>
      <c r="J2" s="2"/>
      <c r="K2" s="2"/>
      <c r="L2" s="2"/>
      <c r="M2" s="2"/>
    </row>
    <row r="3" spans="1:13" ht="17.25" x14ac:dyDescent="0.3">
      <c r="A3" s="2" t="s">
        <v>4</v>
      </c>
      <c r="B3" s="2"/>
      <c r="C3" s="2"/>
      <c r="D3" s="64">
        <v>2013</v>
      </c>
      <c r="E3" s="64">
        <f>D3+1</f>
        <v>2014</v>
      </c>
      <c r="F3" s="64">
        <f t="shared" ref="F3:M3" si="0">E3+1</f>
        <v>2015</v>
      </c>
      <c r="G3" s="64">
        <f t="shared" si="0"/>
        <v>2016</v>
      </c>
      <c r="H3" s="64">
        <f t="shared" si="0"/>
        <v>2017</v>
      </c>
      <c r="I3" s="45">
        <f t="shared" si="0"/>
        <v>2018</v>
      </c>
      <c r="J3" s="45">
        <f t="shared" si="0"/>
        <v>2019</v>
      </c>
      <c r="K3" s="45">
        <f t="shared" si="0"/>
        <v>2020</v>
      </c>
      <c r="L3" s="45">
        <f t="shared" si="0"/>
        <v>2021</v>
      </c>
      <c r="M3" s="45">
        <f t="shared" si="0"/>
        <v>2022</v>
      </c>
    </row>
    <row r="4" spans="1:13" x14ac:dyDescent="0.3">
      <c r="A4" s="4" t="s">
        <v>5</v>
      </c>
      <c r="B4" s="4"/>
      <c r="C4" s="4"/>
      <c r="D4" s="25" t="str">
        <f>IF(ABS(D49-D59)&gt;1,"Error","OK")</f>
        <v>OK</v>
      </c>
      <c r="E4" s="25" t="str">
        <f t="shared" ref="E4:M4" si="1">IF(ABS(E49-E59)&gt;1,"Error","OK")</f>
        <v>OK</v>
      </c>
      <c r="F4" s="25" t="str">
        <f t="shared" si="1"/>
        <v>OK</v>
      </c>
      <c r="G4" s="25" t="str">
        <f t="shared" si="1"/>
        <v>OK</v>
      </c>
      <c r="H4" s="25" t="str">
        <f t="shared" si="1"/>
        <v>OK</v>
      </c>
      <c r="I4" s="25" t="str">
        <f t="shared" si="1"/>
        <v>OK</v>
      </c>
      <c r="J4" s="25" t="str">
        <f t="shared" si="1"/>
        <v>OK</v>
      </c>
      <c r="K4" s="25" t="str">
        <f t="shared" si="1"/>
        <v>OK</v>
      </c>
      <c r="L4" s="25" t="str">
        <f t="shared" si="1"/>
        <v>OK</v>
      </c>
      <c r="M4" s="25" t="str">
        <f t="shared" si="1"/>
        <v>OK</v>
      </c>
    </row>
    <row r="5" spans="1:13" x14ac:dyDescent="0.3">
      <c r="A5" s="4"/>
      <c r="B5" s="4"/>
      <c r="C5" s="4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x14ac:dyDescent="0.3">
      <c r="A6" t="s">
        <v>128</v>
      </c>
    </row>
    <row r="8" spans="1:13" x14ac:dyDescent="0.3">
      <c r="A8" s="48" t="s">
        <v>6</v>
      </c>
      <c r="B8" s="14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outlineLevel="1" x14ac:dyDescent="0.3">
      <c r="A9" s="4" t="s">
        <v>66</v>
      </c>
      <c r="B9" s="4"/>
      <c r="C9" s="4"/>
      <c r="D9" s="26">
        <v>365</v>
      </c>
      <c r="E9" s="26">
        <v>365</v>
      </c>
      <c r="F9" s="26">
        <v>365</v>
      </c>
      <c r="G9" s="26">
        <v>365</v>
      </c>
      <c r="H9" s="26">
        <v>365</v>
      </c>
      <c r="I9" s="26">
        <v>365</v>
      </c>
      <c r="J9" s="26">
        <v>365</v>
      </c>
      <c r="K9" s="26">
        <v>365</v>
      </c>
      <c r="L9" s="26">
        <v>365</v>
      </c>
      <c r="M9" s="26">
        <v>365</v>
      </c>
    </row>
    <row r="10" spans="1:13" outlineLevel="1" x14ac:dyDescent="0.3">
      <c r="A10" s="3"/>
      <c r="B10" s="3"/>
      <c r="C10" s="3"/>
    </row>
    <row r="11" spans="1:13" outlineLevel="1" x14ac:dyDescent="0.3">
      <c r="A11" s="4" t="s">
        <v>56</v>
      </c>
      <c r="B11" s="4"/>
      <c r="C11" s="4"/>
      <c r="D11" s="27"/>
      <c r="E11" s="27">
        <f>E27/D27-1</f>
        <v>0.15762643740135474</v>
      </c>
      <c r="F11" s="27">
        <f t="shared" ref="F11:H11" si="2">F27/E27-1</f>
        <v>0.1122825737174602</v>
      </c>
      <c r="G11" s="27">
        <f t="shared" si="2"/>
        <v>8.3718451406600947E-2</v>
      </c>
      <c r="H11" s="27">
        <f t="shared" si="2"/>
        <v>5.9231001608812672E-2</v>
      </c>
      <c r="I11" s="28">
        <v>0.1</v>
      </c>
      <c r="J11" s="28">
        <v>0.1</v>
      </c>
      <c r="K11" s="28">
        <v>0.1</v>
      </c>
      <c r="L11" s="28">
        <v>0.1</v>
      </c>
      <c r="M11" s="28">
        <v>0.1</v>
      </c>
    </row>
    <row r="12" spans="1:13" outlineLevel="1" x14ac:dyDescent="0.3">
      <c r="A12" s="4" t="s">
        <v>57</v>
      </c>
      <c r="B12" s="4"/>
      <c r="C12" s="4"/>
      <c r="D12" s="27">
        <f>D28/D27</f>
        <v>0.38255217779172018</v>
      </c>
      <c r="E12" s="27">
        <f>E28/E27</f>
        <v>0.40651728401334619</v>
      </c>
      <c r="F12" s="27">
        <f t="shared" ref="F12:H12" si="3">F28/F27</f>
        <v>0.37399977159389397</v>
      </c>
      <c r="G12" s="27">
        <f t="shared" si="3"/>
        <v>0.369914501092447</v>
      </c>
      <c r="H12" s="27">
        <f t="shared" si="3"/>
        <v>0.37613084657628737</v>
      </c>
      <c r="I12" s="28">
        <v>0.42</v>
      </c>
      <c r="J12" s="28">
        <v>0.47</v>
      </c>
      <c r="K12" s="28">
        <v>0.5</v>
      </c>
      <c r="L12" s="28">
        <v>0.36</v>
      </c>
      <c r="M12" s="28">
        <v>0.35</v>
      </c>
    </row>
    <row r="13" spans="1:13" outlineLevel="1" x14ac:dyDescent="0.3">
      <c r="A13" s="4" t="s">
        <v>58</v>
      </c>
      <c r="B13" s="4"/>
      <c r="C13" s="4"/>
      <c r="D13" s="27">
        <f>D32/D27</f>
        <v>0.25907045594910155</v>
      </c>
      <c r="E13" s="27">
        <f>E32/E27</f>
        <v>0.19187710651559034</v>
      </c>
      <c r="F13" s="27">
        <f t="shared" ref="F13:H13" si="4">F32/F27</f>
        <v>0.18175035212608018</v>
      </c>
      <c r="G13" s="27">
        <f t="shared" si="4"/>
        <v>0.16159785304304453</v>
      </c>
      <c r="H13" s="27">
        <f t="shared" si="4"/>
        <v>0.16743825113416283</v>
      </c>
      <c r="I13" s="28">
        <v>0.17</v>
      </c>
      <c r="J13" s="28">
        <v>0.17</v>
      </c>
      <c r="K13" s="28">
        <v>0.17</v>
      </c>
      <c r="L13" s="28">
        <v>0.17</v>
      </c>
      <c r="M13" s="28">
        <v>0.17</v>
      </c>
    </row>
    <row r="14" spans="1:13" outlineLevel="1" x14ac:dyDescent="0.3">
      <c r="A14" s="4" t="s">
        <v>59</v>
      </c>
      <c r="B14" s="4"/>
      <c r="C14" s="4"/>
      <c r="D14" s="16">
        <f>D33</f>
        <v>10963</v>
      </c>
      <c r="E14" s="16">
        <f>E33</f>
        <v>10125</v>
      </c>
      <c r="F14" s="16">
        <f t="shared" ref="F14:H14" si="5">F33</f>
        <v>10087</v>
      </c>
      <c r="G14" s="16">
        <f t="shared" si="5"/>
        <v>11020</v>
      </c>
      <c r="H14" s="16">
        <f t="shared" si="5"/>
        <v>11412</v>
      </c>
      <c r="I14" s="17">
        <v>15000</v>
      </c>
      <c r="J14" s="17">
        <v>15000</v>
      </c>
      <c r="K14" s="17">
        <v>15000</v>
      </c>
      <c r="L14" s="17">
        <v>15000</v>
      </c>
      <c r="M14" s="17">
        <v>15000</v>
      </c>
    </row>
    <row r="15" spans="1:13" outlineLevel="1" x14ac:dyDescent="0.3">
      <c r="A15" s="4" t="s">
        <v>60</v>
      </c>
      <c r="B15" s="4"/>
      <c r="C15" s="4"/>
      <c r="D15" s="27">
        <f>D34/D48</f>
        <v>0.42857142857142855</v>
      </c>
      <c r="E15" s="27">
        <f>E34/E48</f>
        <v>0.42857142857142855</v>
      </c>
      <c r="F15" s="27">
        <f t="shared" ref="F15:H15" si="6">F34/F48</f>
        <v>0.42857142857142855</v>
      </c>
      <c r="G15" s="27">
        <f t="shared" si="6"/>
        <v>0.42857883011242942</v>
      </c>
      <c r="H15" s="27">
        <f t="shared" si="6"/>
        <v>0.428560006396418</v>
      </c>
      <c r="I15" s="28">
        <v>0.35</v>
      </c>
      <c r="J15" s="28">
        <v>0.35</v>
      </c>
      <c r="K15" s="28">
        <v>0.35</v>
      </c>
      <c r="L15" s="28">
        <v>0.35</v>
      </c>
      <c r="M15" s="28">
        <v>0.35</v>
      </c>
    </row>
    <row r="16" spans="1:13" outlineLevel="1" x14ac:dyDescent="0.3">
      <c r="A16" s="4" t="s">
        <v>61</v>
      </c>
      <c r="B16" s="4"/>
      <c r="C16" s="4"/>
      <c r="D16" s="27">
        <f>D35/D53</f>
        <v>0.05</v>
      </c>
      <c r="E16" s="27">
        <f>E35/E53</f>
        <v>0.05</v>
      </c>
      <c r="F16" s="27">
        <f t="shared" ref="F16:H16" si="7">F35/F53</f>
        <v>0.05</v>
      </c>
      <c r="G16" s="27">
        <f t="shared" si="7"/>
        <v>0.05</v>
      </c>
      <c r="H16" s="27">
        <f t="shared" si="7"/>
        <v>0.05</v>
      </c>
      <c r="I16" s="28">
        <v>0.1</v>
      </c>
      <c r="J16" s="28">
        <v>0.1</v>
      </c>
      <c r="K16" s="28">
        <v>0.1</v>
      </c>
      <c r="L16" s="28">
        <v>0.1</v>
      </c>
      <c r="M16" s="28">
        <v>0.1</v>
      </c>
    </row>
    <row r="17" spans="1:14" outlineLevel="1" x14ac:dyDescent="0.3">
      <c r="A17" s="4" t="s">
        <v>62</v>
      </c>
      <c r="B17" s="4"/>
      <c r="C17" s="4"/>
      <c r="D17" s="27">
        <f>D39/(D37+D35)</f>
        <v>0.18378733180177223</v>
      </c>
      <c r="E17" s="27">
        <f>E39/(E37+E35)</f>
        <v>0.25369470990652254</v>
      </c>
      <c r="F17" s="27">
        <f t="shared" ref="F17:H17" si="8">F39/(F37+F35)</f>
        <v>0.27313413613239745</v>
      </c>
      <c r="G17" s="27">
        <f t="shared" si="8"/>
        <v>0.2788272283428338</v>
      </c>
      <c r="H17" s="27">
        <f t="shared" si="8"/>
        <v>0.28065335753176046</v>
      </c>
      <c r="I17" s="28">
        <v>0.28000000000000003</v>
      </c>
      <c r="J17" s="28">
        <v>0.28000000000000003</v>
      </c>
      <c r="K17" s="28">
        <v>0.28000000000000003</v>
      </c>
      <c r="L17" s="28">
        <v>0.28000000000000003</v>
      </c>
      <c r="M17" s="28">
        <v>0.28000000000000003</v>
      </c>
    </row>
    <row r="18" spans="1:14" outlineLevel="1" x14ac:dyDescent="0.3">
      <c r="A18" s="4" t="s">
        <v>63</v>
      </c>
      <c r="B18" s="4"/>
      <c r="C18" s="4"/>
      <c r="D18" s="12">
        <f>D46/D27*D9</f>
        <v>18.248747634966229</v>
      </c>
      <c r="E18" s="12">
        <f>E46/E27*E9</f>
        <v>18.249072709720032</v>
      </c>
      <c r="F18" s="12">
        <f>F46/F27*F9</f>
        <v>18.249305264760743</v>
      </c>
      <c r="G18" s="12">
        <f>G46/G27*G9</f>
        <v>18.249871786765585</v>
      </c>
      <c r="H18" s="12">
        <f>H46/H27*H9</f>
        <v>18.250968349560925</v>
      </c>
      <c r="I18" s="29">
        <v>18</v>
      </c>
      <c r="J18" s="29">
        <v>18</v>
      </c>
      <c r="K18" s="29">
        <v>18</v>
      </c>
      <c r="L18" s="29">
        <v>18</v>
      </c>
      <c r="M18" s="29">
        <v>18</v>
      </c>
    </row>
    <row r="19" spans="1:14" outlineLevel="1" x14ac:dyDescent="0.3">
      <c r="A19" s="4" t="s">
        <v>64</v>
      </c>
      <c r="B19" s="4"/>
      <c r="C19" s="4"/>
      <c r="D19" s="12">
        <f>D47/D28*D9</f>
        <v>73.00374138328678</v>
      </c>
      <c r="E19" s="12">
        <f>E47/E28*E9</f>
        <v>73.001520706607778</v>
      </c>
      <c r="F19" s="12">
        <f>F47/F28*F9</f>
        <v>73.002972131180911</v>
      </c>
      <c r="G19" s="12">
        <f>G47/G28*G9</f>
        <v>73.001386409389596</v>
      </c>
      <c r="H19" s="12">
        <f>H47/H28*H9</f>
        <v>73</v>
      </c>
      <c r="I19" s="29">
        <v>80</v>
      </c>
      <c r="J19" s="29">
        <v>90</v>
      </c>
      <c r="K19" s="29">
        <v>100</v>
      </c>
      <c r="L19" s="29">
        <v>100</v>
      </c>
      <c r="M19" s="29">
        <v>100</v>
      </c>
    </row>
    <row r="20" spans="1:14" outlineLevel="1" x14ac:dyDescent="0.3">
      <c r="A20" s="4" t="s">
        <v>65</v>
      </c>
      <c r="B20" s="4"/>
      <c r="C20" s="4"/>
      <c r="D20" s="12">
        <f>D52/D28*D9</f>
        <v>36.497193962534915</v>
      </c>
      <c r="E20" s="12">
        <f>E52/E28*E9</f>
        <v>36.496958586784437</v>
      </c>
      <c r="F20" s="12">
        <f>F52/F28*F9</f>
        <v>36.497770901614317</v>
      </c>
      <c r="G20" s="12">
        <f>G52/G28*G9</f>
        <v>36.497227181220801</v>
      </c>
      <c r="H20" s="12">
        <f>H52/H28*H9</f>
        <v>36.5</v>
      </c>
      <c r="I20" s="29">
        <v>37</v>
      </c>
      <c r="J20" s="29">
        <v>37</v>
      </c>
      <c r="K20" s="29">
        <v>37</v>
      </c>
      <c r="L20" s="29">
        <v>37</v>
      </c>
      <c r="M20" s="29">
        <v>37</v>
      </c>
    </row>
    <row r="21" spans="1:14" outlineLevel="1" x14ac:dyDescent="0.3">
      <c r="A21" s="4" t="s">
        <v>67</v>
      </c>
      <c r="B21" s="4"/>
      <c r="C21" s="4"/>
      <c r="D21" s="16">
        <f>D70</f>
        <v>15000</v>
      </c>
      <c r="E21" s="16">
        <f>E70</f>
        <v>15000</v>
      </c>
      <c r="F21" s="16">
        <f t="shared" ref="F21:H21" si="9">F70</f>
        <v>15000</v>
      </c>
      <c r="G21" s="16">
        <f t="shared" si="9"/>
        <v>15000</v>
      </c>
      <c r="H21" s="16">
        <f t="shared" si="9"/>
        <v>15000</v>
      </c>
      <c r="I21" s="17">
        <v>15000</v>
      </c>
      <c r="J21" s="17">
        <v>15000</v>
      </c>
      <c r="K21" s="17">
        <v>15000</v>
      </c>
      <c r="L21" s="17">
        <v>15000</v>
      </c>
      <c r="M21" s="17">
        <v>15000</v>
      </c>
    </row>
    <row r="22" spans="1:14" outlineLevel="1" x14ac:dyDescent="0.3">
      <c r="A22" s="4" t="s">
        <v>50</v>
      </c>
      <c r="B22" s="4"/>
      <c r="C22" s="4"/>
      <c r="D22" s="16">
        <f>D74</f>
        <v>0</v>
      </c>
      <c r="E22" s="16">
        <f>E74</f>
        <v>0</v>
      </c>
      <c r="F22" s="16">
        <f t="shared" ref="F22:H22" si="10">F74</f>
        <v>-20000</v>
      </c>
      <c r="G22" s="16">
        <f t="shared" si="10"/>
        <v>0</v>
      </c>
      <c r="H22" s="16">
        <f t="shared" si="10"/>
        <v>0</v>
      </c>
      <c r="I22" s="17">
        <v>0</v>
      </c>
      <c r="J22" s="17">
        <v>0</v>
      </c>
      <c r="K22" s="17">
        <v>-20000</v>
      </c>
      <c r="L22" s="17">
        <v>0</v>
      </c>
      <c r="M22" s="17">
        <v>0</v>
      </c>
    </row>
    <row r="23" spans="1:14" outlineLevel="1" x14ac:dyDescent="0.3">
      <c r="A23" s="4" t="s">
        <v>51</v>
      </c>
      <c r="B23" s="4"/>
      <c r="C23" s="4"/>
      <c r="D23" s="16">
        <f>D75</f>
        <v>70000</v>
      </c>
      <c r="E23" s="16">
        <f>E75</f>
        <v>0</v>
      </c>
      <c r="F23" s="16">
        <f t="shared" ref="F23:H23" si="11">F75</f>
        <v>0</v>
      </c>
      <c r="G23" s="16">
        <f t="shared" si="11"/>
        <v>0</v>
      </c>
      <c r="H23" s="16">
        <f t="shared" si="11"/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</row>
    <row r="24" spans="1:14" x14ac:dyDescent="0.3">
      <c r="A24" s="4"/>
      <c r="B24" s="4"/>
      <c r="C24" s="4"/>
    </row>
    <row r="25" spans="1:14" x14ac:dyDescent="0.3">
      <c r="A25" s="48" t="s">
        <v>7</v>
      </c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4" outlineLevel="1" x14ac:dyDescent="0.3">
      <c r="A26" s="4"/>
      <c r="B26" s="4"/>
      <c r="C26" s="4"/>
    </row>
    <row r="27" spans="1:14" outlineLevel="1" x14ac:dyDescent="0.3">
      <c r="A27" s="4" t="s">
        <v>13</v>
      </c>
      <c r="B27" s="4"/>
      <c r="C27" s="4"/>
      <c r="D27" s="31">
        <v>102007</v>
      </c>
      <c r="E27" s="31">
        <v>118086</v>
      </c>
      <c r="F27" s="31">
        <v>131345</v>
      </c>
      <c r="G27" s="31">
        <v>142341</v>
      </c>
      <c r="H27" s="31">
        <v>150772</v>
      </c>
      <c r="I27" s="32">
        <f>H27*(1+I11)</f>
        <v>165849.20000000001</v>
      </c>
      <c r="J27" s="32">
        <f>I27*(1+J11)</f>
        <v>182434.12000000002</v>
      </c>
      <c r="K27" s="32">
        <f>J27*(1+K11)</f>
        <v>200677.53200000004</v>
      </c>
      <c r="L27" s="32">
        <f>K27*(1+L11)</f>
        <v>220745.28520000007</v>
      </c>
      <c r="M27" s="32">
        <f>L27*(1+M11)</f>
        <v>242819.81372000009</v>
      </c>
      <c r="N27" s="10"/>
    </row>
    <row r="28" spans="1:14" outlineLevel="1" x14ac:dyDescent="0.3">
      <c r="A28" s="5" t="s">
        <v>14</v>
      </c>
      <c r="B28" s="5"/>
      <c r="C28" s="5"/>
      <c r="D28" s="33">
        <v>39023</v>
      </c>
      <c r="E28" s="33">
        <v>48004</v>
      </c>
      <c r="F28" s="33">
        <v>49123</v>
      </c>
      <c r="G28" s="33">
        <v>52654</v>
      </c>
      <c r="H28" s="33">
        <v>56710</v>
      </c>
      <c r="I28" s="34">
        <f>I27*I12</f>
        <v>69656.664000000004</v>
      </c>
      <c r="J28" s="34">
        <f>J27*J12</f>
        <v>85744.036400000012</v>
      </c>
      <c r="K28" s="34">
        <f>K27*K12</f>
        <v>100338.76600000002</v>
      </c>
      <c r="L28" s="34">
        <f>L27*L12</f>
        <v>79468.30267200002</v>
      </c>
      <c r="M28" s="34">
        <f>M27*M12</f>
        <v>84986.934802000033</v>
      </c>
      <c r="N28" s="10"/>
    </row>
    <row r="29" spans="1:14" outlineLevel="1" x14ac:dyDescent="0.3">
      <c r="A29" s="8" t="s">
        <v>15</v>
      </c>
      <c r="B29" s="8"/>
      <c r="C29" s="8"/>
      <c r="D29" s="37">
        <f>D27-D28</f>
        <v>62984</v>
      </c>
      <c r="E29" s="37">
        <f t="shared" ref="E29:H29" si="12">E27-E28</f>
        <v>70082</v>
      </c>
      <c r="F29" s="37">
        <f t="shared" si="12"/>
        <v>82222</v>
      </c>
      <c r="G29" s="37">
        <f t="shared" si="12"/>
        <v>89687</v>
      </c>
      <c r="H29" s="37">
        <f t="shared" si="12"/>
        <v>94062</v>
      </c>
      <c r="I29" s="37">
        <f t="shared" ref="I29" si="13">I27-I28</f>
        <v>96192.536000000007</v>
      </c>
      <c r="J29" s="37">
        <f t="shared" ref="J29" si="14">J27-J28</f>
        <v>96690.083600000013</v>
      </c>
      <c r="K29" s="37">
        <f t="shared" ref="K29" si="15">K27-K28</f>
        <v>100338.76600000002</v>
      </c>
      <c r="L29" s="37">
        <f t="shared" ref="L29" si="16">L27-L28</f>
        <v>141276.98252800005</v>
      </c>
      <c r="M29" s="37">
        <f t="shared" ref="M29" si="17">M27-M28</f>
        <v>157832.87891800006</v>
      </c>
      <c r="N29" s="10"/>
    </row>
    <row r="30" spans="1:14" outlineLevel="1" x14ac:dyDescent="0.3">
      <c r="A30" s="4"/>
      <c r="B30" s="4"/>
      <c r="C30" s="4"/>
      <c r="D30" s="31"/>
      <c r="E30" s="31"/>
      <c r="F30" s="31"/>
      <c r="G30" s="31"/>
      <c r="H30" s="31"/>
      <c r="I30" s="32"/>
      <c r="J30" s="32"/>
      <c r="K30" s="32"/>
      <c r="L30" s="32"/>
      <c r="M30" s="32"/>
    </row>
    <row r="31" spans="1:14" outlineLevel="1" x14ac:dyDescent="0.3">
      <c r="A31" s="3" t="s">
        <v>16</v>
      </c>
      <c r="B31" s="3"/>
      <c r="C31" s="3"/>
      <c r="D31" s="31"/>
      <c r="E31" s="31"/>
      <c r="F31" s="31"/>
      <c r="G31" s="31"/>
      <c r="H31" s="31"/>
      <c r="I31" s="32"/>
      <c r="J31" s="32"/>
      <c r="K31" s="32"/>
      <c r="L31" s="32"/>
      <c r="M31" s="32"/>
      <c r="N31" s="10"/>
    </row>
    <row r="32" spans="1:14" outlineLevel="1" x14ac:dyDescent="0.3">
      <c r="A32" s="4" t="s">
        <v>17</v>
      </c>
      <c r="B32" s="4"/>
      <c r="C32" s="4"/>
      <c r="D32" s="31">
        <v>26427</v>
      </c>
      <c r="E32" s="31">
        <v>22658</v>
      </c>
      <c r="F32" s="31">
        <v>23872</v>
      </c>
      <c r="G32" s="31">
        <v>23002</v>
      </c>
      <c r="H32" s="31">
        <v>25245</v>
      </c>
      <c r="I32" s="32">
        <f>I27*I13</f>
        <v>28194.364000000005</v>
      </c>
      <c r="J32" s="32">
        <f t="shared" ref="J32:M32" si="18">J27*J13</f>
        <v>31013.800400000007</v>
      </c>
      <c r="K32" s="32">
        <f t="shared" si="18"/>
        <v>34115.180440000011</v>
      </c>
      <c r="L32" s="32">
        <f t="shared" si="18"/>
        <v>37526.698484000015</v>
      </c>
      <c r="M32" s="32">
        <f t="shared" si="18"/>
        <v>41279.368332400016</v>
      </c>
      <c r="N32" s="10"/>
    </row>
    <row r="33" spans="1:14" outlineLevel="1" x14ac:dyDescent="0.3">
      <c r="A33" s="4" t="s">
        <v>18</v>
      </c>
      <c r="B33" s="4"/>
      <c r="C33" s="4"/>
      <c r="D33" s="31">
        <v>10963</v>
      </c>
      <c r="E33" s="31">
        <v>10125</v>
      </c>
      <c r="F33" s="31">
        <v>10087</v>
      </c>
      <c r="G33" s="31">
        <v>11020</v>
      </c>
      <c r="H33" s="31">
        <v>11412</v>
      </c>
      <c r="I33" s="32">
        <f>I14</f>
        <v>15000</v>
      </c>
      <c r="J33" s="32">
        <f t="shared" ref="J33:M33" si="19">J14</f>
        <v>15000</v>
      </c>
      <c r="K33" s="32">
        <f t="shared" si="19"/>
        <v>15000</v>
      </c>
      <c r="L33" s="32">
        <f t="shared" si="19"/>
        <v>15000</v>
      </c>
      <c r="M33" s="32">
        <f t="shared" si="19"/>
        <v>15000</v>
      </c>
      <c r="N33" s="10"/>
    </row>
    <row r="34" spans="1:14" outlineLevel="1" x14ac:dyDescent="0.3">
      <c r="A34" s="4" t="s">
        <v>19</v>
      </c>
      <c r="B34" s="4"/>
      <c r="C34" s="4"/>
      <c r="D34" s="31">
        <v>19500</v>
      </c>
      <c r="E34" s="31">
        <v>18150</v>
      </c>
      <c r="F34" s="31">
        <v>17205</v>
      </c>
      <c r="G34" s="31">
        <v>16544</v>
      </c>
      <c r="H34" s="31">
        <v>16080</v>
      </c>
      <c r="I34" s="32">
        <f>I65</f>
        <v>13132.350000000002</v>
      </c>
      <c r="J34" s="32">
        <f t="shared" ref="J34:M34" si="20">J65</f>
        <v>13786.027500000002</v>
      </c>
      <c r="K34" s="32">
        <f t="shared" si="20"/>
        <v>14210.917875000001</v>
      </c>
      <c r="L34" s="32">
        <f t="shared" si="20"/>
        <v>14487.096618750002</v>
      </c>
      <c r="M34" s="32">
        <f t="shared" si="20"/>
        <v>14666.612802187501</v>
      </c>
      <c r="N34" s="10"/>
    </row>
    <row r="35" spans="1:14" outlineLevel="1" x14ac:dyDescent="0.3">
      <c r="A35" s="5" t="s">
        <v>20</v>
      </c>
      <c r="B35" s="5"/>
      <c r="C35" s="5"/>
      <c r="D35" s="33">
        <v>2500</v>
      </c>
      <c r="E35" s="33">
        <v>2500</v>
      </c>
      <c r="F35" s="33">
        <v>1500</v>
      </c>
      <c r="G35" s="33">
        <v>1500</v>
      </c>
      <c r="H35" s="33">
        <v>1500</v>
      </c>
      <c r="I35" s="34">
        <f>I101</f>
        <v>3000.0000000000009</v>
      </c>
      <c r="J35" s="34">
        <f t="shared" ref="J35:M35" si="21">J101</f>
        <v>3000.0000000000009</v>
      </c>
      <c r="K35" s="34">
        <f t="shared" si="21"/>
        <v>2000.0000000000009</v>
      </c>
      <c r="L35" s="34">
        <f t="shared" si="21"/>
        <v>1000.0000000000008</v>
      </c>
      <c r="M35" s="34">
        <f t="shared" si="21"/>
        <v>1000.0000000000008</v>
      </c>
      <c r="N35" s="10"/>
    </row>
    <row r="36" spans="1:14" outlineLevel="1" x14ac:dyDescent="0.3">
      <c r="A36" s="9" t="s">
        <v>21</v>
      </c>
      <c r="B36" s="9"/>
      <c r="C36" s="9"/>
      <c r="D36" s="38">
        <f>SUM(D32:D35)</f>
        <v>59390</v>
      </c>
      <c r="E36" s="38">
        <f t="shared" ref="E36:H36" si="22">SUM(E32:E35)</f>
        <v>53433</v>
      </c>
      <c r="F36" s="38">
        <f t="shared" si="22"/>
        <v>52664</v>
      </c>
      <c r="G36" s="38">
        <f t="shared" si="22"/>
        <v>52066</v>
      </c>
      <c r="H36" s="38">
        <f t="shared" si="22"/>
        <v>54237</v>
      </c>
      <c r="I36" s="38">
        <f t="shared" ref="I36" si="23">SUM(I32:I35)</f>
        <v>59326.714000000007</v>
      </c>
      <c r="J36" s="38">
        <f t="shared" ref="J36" si="24">SUM(J32:J35)</f>
        <v>62799.827900000011</v>
      </c>
      <c r="K36" s="38">
        <f t="shared" ref="K36" si="25">SUM(K32:K35)</f>
        <v>65326.09831500001</v>
      </c>
      <c r="L36" s="38">
        <f t="shared" ref="L36" si="26">SUM(L32:L35)</f>
        <v>68013.795102750009</v>
      </c>
      <c r="M36" s="38">
        <f t="shared" ref="M36" si="27">SUM(M32:M35)</f>
        <v>71945.981134587521</v>
      </c>
      <c r="N36" s="10"/>
    </row>
    <row r="37" spans="1:14" outlineLevel="1" x14ac:dyDescent="0.3">
      <c r="A37" s="7" t="s">
        <v>22</v>
      </c>
      <c r="B37" s="7"/>
      <c r="C37" s="7"/>
      <c r="D37" s="35">
        <f>D29-D36</f>
        <v>3594</v>
      </c>
      <c r="E37" s="35">
        <f t="shared" ref="E37:H37" si="28">E29-E36</f>
        <v>16649</v>
      </c>
      <c r="F37" s="35">
        <f t="shared" si="28"/>
        <v>29558</v>
      </c>
      <c r="G37" s="35">
        <f t="shared" si="28"/>
        <v>37621</v>
      </c>
      <c r="H37" s="35">
        <f t="shared" si="28"/>
        <v>39825</v>
      </c>
      <c r="I37" s="35">
        <f t="shared" ref="I37" si="29">I29-I36</f>
        <v>36865.822</v>
      </c>
      <c r="J37" s="35">
        <f t="shared" ref="J37" si="30">J29-J36</f>
        <v>33890.255700000002</v>
      </c>
      <c r="K37" s="35">
        <f t="shared" ref="K37" si="31">K29-K36</f>
        <v>35012.667685000008</v>
      </c>
      <c r="L37" s="35">
        <f t="shared" ref="L37" si="32">L29-L36</f>
        <v>73263.187425250042</v>
      </c>
      <c r="M37" s="35">
        <f t="shared" ref="M37" si="33">M29-M36</f>
        <v>85886.89778341254</v>
      </c>
      <c r="N37" s="10"/>
    </row>
    <row r="38" spans="1:14" outlineLevel="1" x14ac:dyDescent="0.3">
      <c r="A38" s="4"/>
      <c r="B38" s="4"/>
      <c r="C38" s="4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11"/>
    </row>
    <row r="39" spans="1:14" outlineLevel="1" x14ac:dyDescent="0.3">
      <c r="A39" s="5" t="s">
        <v>23</v>
      </c>
      <c r="B39" s="46"/>
      <c r="C39" s="46"/>
      <c r="D39" s="31">
        <v>1120</v>
      </c>
      <c r="E39" s="31">
        <v>4858</v>
      </c>
      <c r="F39" s="31">
        <v>8483</v>
      </c>
      <c r="G39" s="31">
        <v>10908</v>
      </c>
      <c r="H39" s="31">
        <v>11598</v>
      </c>
      <c r="I39" s="34">
        <f>I17*(I37+I35)</f>
        <v>11162.430160000002</v>
      </c>
      <c r="J39" s="34">
        <f t="shared" ref="J39:M39" si="34">J17*(J37+J35)</f>
        <v>10329.271596000002</v>
      </c>
      <c r="K39" s="34">
        <f t="shared" si="34"/>
        <v>10363.546951800003</v>
      </c>
      <c r="L39" s="34">
        <f t="shared" si="34"/>
        <v>20793.692479070014</v>
      </c>
      <c r="M39" s="34">
        <f t="shared" si="34"/>
        <v>24328.331379355513</v>
      </c>
    </row>
    <row r="40" spans="1:14" ht="17.25" outlineLevel="1" thickBot="1" x14ac:dyDescent="0.35">
      <c r="A40" s="39" t="s">
        <v>24</v>
      </c>
      <c r="B40" s="39"/>
      <c r="C40" s="39"/>
      <c r="D40" s="40">
        <f>D37-D39</f>
        <v>2474</v>
      </c>
      <c r="E40" s="40">
        <f t="shared" ref="E40:H40" si="35">E37-E39</f>
        <v>11791</v>
      </c>
      <c r="F40" s="40">
        <f t="shared" si="35"/>
        <v>21075</v>
      </c>
      <c r="G40" s="40">
        <f t="shared" si="35"/>
        <v>26713</v>
      </c>
      <c r="H40" s="40">
        <f t="shared" si="35"/>
        <v>28227</v>
      </c>
      <c r="I40" s="40">
        <f t="shared" ref="I40" si="36">I37-I39</f>
        <v>25703.391839999997</v>
      </c>
      <c r="J40" s="40">
        <f t="shared" ref="J40" si="37">J37-J39</f>
        <v>23560.984103999999</v>
      </c>
      <c r="K40" s="40">
        <f t="shared" ref="K40" si="38">K37-K39</f>
        <v>24649.120733200005</v>
      </c>
      <c r="L40" s="40">
        <f t="shared" ref="L40" si="39">L37-L39</f>
        <v>52469.494946180028</v>
      </c>
      <c r="M40" s="40">
        <f t="shared" ref="M40" si="40">M37-M39</f>
        <v>61558.566404057026</v>
      </c>
    </row>
    <row r="41" spans="1:14" ht="17.25" thickTop="1" x14ac:dyDescent="0.3">
      <c r="D41" s="17"/>
      <c r="E41" s="17"/>
      <c r="F41" s="17"/>
      <c r="G41" s="17"/>
      <c r="H41" s="17"/>
    </row>
    <row r="42" spans="1:14" x14ac:dyDescent="0.3">
      <c r="A42" s="48" t="s">
        <v>8</v>
      </c>
      <c r="B42" s="14"/>
      <c r="C42" s="14"/>
      <c r="D42" s="20"/>
      <c r="E42" s="20"/>
      <c r="F42" s="20"/>
      <c r="G42" s="20"/>
      <c r="H42" s="20"/>
      <c r="I42" s="15"/>
      <c r="J42" s="15"/>
      <c r="K42" s="15"/>
      <c r="L42" s="15"/>
      <c r="M42" s="15"/>
    </row>
    <row r="43" spans="1:14" hidden="1" outlineLevel="1" x14ac:dyDescent="0.3">
      <c r="A43" s="3"/>
      <c r="B43" s="3"/>
      <c r="C43" s="3"/>
      <c r="D43" s="17"/>
      <c r="E43" s="17"/>
      <c r="F43" s="17"/>
      <c r="G43" s="17"/>
      <c r="H43" s="17"/>
    </row>
    <row r="44" spans="1:14" hidden="1" outlineLevel="1" x14ac:dyDescent="0.3">
      <c r="A44" s="3" t="s">
        <v>28</v>
      </c>
      <c r="B44" s="3"/>
      <c r="C44" s="3"/>
      <c r="D44" s="16"/>
      <c r="E44" s="16"/>
      <c r="F44" s="16"/>
      <c r="G44" s="16"/>
      <c r="H44" s="16"/>
    </row>
    <row r="45" spans="1:14" hidden="1" outlineLevel="1" x14ac:dyDescent="0.3">
      <c r="A45" s="4" t="s">
        <v>29</v>
      </c>
      <c r="B45" s="4"/>
      <c r="C45" s="4"/>
      <c r="D45" s="31">
        <v>67971</v>
      </c>
      <c r="E45" s="31">
        <v>81210</v>
      </c>
      <c r="F45" s="31">
        <v>83715</v>
      </c>
      <c r="G45" s="31">
        <v>111069</v>
      </c>
      <c r="H45" s="31">
        <v>139550</v>
      </c>
      <c r="I45" s="32">
        <f>I80</f>
        <v>160209.74964273971</v>
      </c>
      <c r="J45" s="32">
        <f t="shared" ref="J45:M45" si="41">J80</f>
        <v>177494.49840509589</v>
      </c>
      <c r="K45" s="32">
        <f t="shared" si="41"/>
        <v>175586.6199042548</v>
      </c>
      <c r="L45" s="32">
        <f t="shared" si="41"/>
        <v>230155.86799538758</v>
      </c>
      <c r="M45" s="32">
        <f t="shared" si="41"/>
        <v>289339.90929053619</v>
      </c>
    </row>
    <row r="46" spans="1:14" hidden="1" outlineLevel="1" x14ac:dyDescent="0.3">
      <c r="A46" t="s">
        <v>30</v>
      </c>
      <c r="D46" s="31">
        <v>5100</v>
      </c>
      <c r="E46" s="31">
        <v>5904</v>
      </c>
      <c r="F46" s="31">
        <v>6567</v>
      </c>
      <c r="G46" s="31">
        <v>7117</v>
      </c>
      <c r="H46" s="31">
        <v>7539</v>
      </c>
      <c r="I46" s="32">
        <f>I18/I9*I27</f>
        <v>8178.8646575342473</v>
      </c>
      <c r="J46" s="32">
        <f>J18/J9*J27</f>
        <v>8996.7511232876714</v>
      </c>
      <c r="K46" s="32">
        <f>K18/K9*K27</f>
        <v>9896.42623561644</v>
      </c>
      <c r="L46" s="32">
        <f>L18/L9*L27</f>
        <v>10886.068859178085</v>
      </c>
      <c r="M46" s="32">
        <f>M18/M9*M27</f>
        <v>11974.675745095894</v>
      </c>
    </row>
    <row r="47" spans="1:14" hidden="1" outlineLevel="1" x14ac:dyDescent="0.3">
      <c r="A47" s="4" t="s">
        <v>31</v>
      </c>
      <c r="B47" s="4"/>
      <c r="C47" s="4"/>
      <c r="D47" s="31">
        <v>7805</v>
      </c>
      <c r="E47" s="31">
        <v>9601</v>
      </c>
      <c r="F47" s="31">
        <v>9825</v>
      </c>
      <c r="G47" s="31">
        <v>10531</v>
      </c>
      <c r="H47" s="31">
        <v>11342</v>
      </c>
      <c r="I47" s="32">
        <f>I19/I9*I28</f>
        <v>15267.21402739726</v>
      </c>
      <c r="J47" s="32">
        <f>J19/J9*J28</f>
        <v>21142.365139726029</v>
      </c>
      <c r="K47" s="32">
        <f>K19/K9*K28</f>
        <v>27490.072876712333</v>
      </c>
      <c r="L47" s="32">
        <f>L19/L9*L28</f>
        <v>21772.137718356167</v>
      </c>
      <c r="M47" s="32">
        <f>M19/M9*M28</f>
        <v>23284.091726575349</v>
      </c>
    </row>
    <row r="48" spans="1:14" hidden="1" outlineLevel="1" x14ac:dyDescent="0.3">
      <c r="A48" s="6" t="s">
        <v>32</v>
      </c>
      <c r="B48" s="6"/>
      <c r="C48" s="6"/>
      <c r="D48" s="33">
        <v>45500</v>
      </c>
      <c r="E48" s="33">
        <v>42350</v>
      </c>
      <c r="F48" s="33">
        <v>40145</v>
      </c>
      <c r="G48" s="33">
        <v>38602</v>
      </c>
      <c r="H48" s="33">
        <v>37521</v>
      </c>
      <c r="I48" s="34">
        <f>I95</f>
        <v>39388.650000000009</v>
      </c>
      <c r="J48" s="34">
        <f t="shared" ref="J48:M48" si="42">J95</f>
        <v>40602.622500000005</v>
      </c>
      <c r="K48" s="34">
        <f t="shared" si="42"/>
        <v>41391.704625000006</v>
      </c>
      <c r="L48" s="34">
        <f t="shared" si="42"/>
        <v>41904.608006250004</v>
      </c>
      <c r="M48" s="34">
        <f t="shared" si="42"/>
        <v>42237.995204062507</v>
      </c>
    </row>
    <row r="49" spans="1:13" ht="17.25" hidden="1" outlineLevel="1" thickBot="1" x14ac:dyDescent="0.35">
      <c r="A49" s="13" t="s">
        <v>33</v>
      </c>
      <c r="B49" s="13"/>
      <c r="C49" s="13"/>
      <c r="D49" s="36">
        <f>SUM(D45:D48)</f>
        <v>126376</v>
      </c>
      <c r="E49" s="36">
        <f t="shared" ref="E49:H49" si="43">SUM(E45:E48)</f>
        <v>139065</v>
      </c>
      <c r="F49" s="36">
        <f t="shared" si="43"/>
        <v>140252</v>
      </c>
      <c r="G49" s="36">
        <f t="shared" si="43"/>
        <v>167319</v>
      </c>
      <c r="H49" s="36">
        <f t="shared" si="43"/>
        <v>195952</v>
      </c>
      <c r="I49" s="36">
        <f t="shared" ref="I49" si="44">SUM(I45:I48)</f>
        <v>223044.47832767124</v>
      </c>
      <c r="J49" s="36">
        <f t="shared" ref="J49" si="45">SUM(J45:J48)</f>
        <v>248236.23716810957</v>
      </c>
      <c r="K49" s="36">
        <f t="shared" ref="K49" si="46">SUM(K45:K48)</f>
        <v>254364.82364158359</v>
      </c>
      <c r="L49" s="36">
        <f t="shared" ref="L49" si="47">SUM(L45:L48)</f>
        <v>304718.68257917184</v>
      </c>
      <c r="M49" s="36">
        <f t="shared" ref="M49" si="48">SUM(M45:M48)</f>
        <v>366836.6719662699</v>
      </c>
    </row>
    <row r="50" spans="1:13" ht="17.25" hidden="1" outlineLevel="1" thickTop="1" x14ac:dyDescent="0.3">
      <c r="D50" s="31"/>
      <c r="E50" s="31"/>
      <c r="F50" s="31"/>
      <c r="G50" s="31"/>
      <c r="H50" s="31"/>
      <c r="I50" s="32"/>
      <c r="J50" s="32"/>
      <c r="K50" s="32"/>
      <c r="L50" s="32"/>
      <c r="M50" s="32"/>
    </row>
    <row r="51" spans="1:13" hidden="1" outlineLevel="1" x14ac:dyDescent="0.3">
      <c r="A51" s="3" t="s">
        <v>34</v>
      </c>
      <c r="B51" s="3"/>
      <c r="C51" s="3"/>
      <c r="D51" s="32"/>
      <c r="E51" s="32"/>
      <c r="F51" s="32"/>
      <c r="G51" s="32"/>
      <c r="H51" s="32"/>
      <c r="I51" s="32"/>
      <c r="J51" s="32"/>
      <c r="K51" s="32"/>
      <c r="L51" s="32"/>
      <c r="M51" s="32"/>
    </row>
    <row r="52" spans="1:13" hidden="1" outlineLevel="1" x14ac:dyDescent="0.3">
      <c r="A52" t="s">
        <v>35</v>
      </c>
      <c r="D52" s="31">
        <v>3902</v>
      </c>
      <c r="E52" s="31">
        <v>4800</v>
      </c>
      <c r="F52" s="31">
        <v>4912</v>
      </c>
      <c r="G52" s="31">
        <v>5265</v>
      </c>
      <c r="H52" s="31">
        <v>5671</v>
      </c>
      <c r="I52" s="32">
        <f>I20/I9*I28</f>
        <v>7061.086487671233</v>
      </c>
      <c r="J52" s="32">
        <f>J20/J9*J28</f>
        <v>8691.8612241095907</v>
      </c>
      <c r="K52" s="32">
        <f>K20/K9*K28</f>
        <v>10171.326964383563</v>
      </c>
      <c r="L52" s="32">
        <f>L20/L9*L28</f>
        <v>8055.6909557917825</v>
      </c>
      <c r="M52" s="32">
        <f>M20/M9*M28</f>
        <v>8615.1139388328793</v>
      </c>
    </row>
    <row r="53" spans="1:13" hidden="1" outlineLevel="1" x14ac:dyDescent="0.3">
      <c r="A53" s="6" t="s">
        <v>36</v>
      </c>
      <c r="B53" s="6"/>
      <c r="C53" s="6"/>
      <c r="D53" s="33">
        <v>50000</v>
      </c>
      <c r="E53" s="33">
        <v>50000</v>
      </c>
      <c r="F53" s="33">
        <v>30000</v>
      </c>
      <c r="G53" s="33">
        <v>30000</v>
      </c>
      <c r="H53" s="33">
        <v>30000</v>
      </c>
      <c r="I53" s="34">
        <f>I100</f>
        <v>30000.000000000007</v>
      </c>
      <c r="J53" s="34">
        <f t="shared" ref="J53:M53" si="49">J100</f>
        <v>30000.000000000007</v>
      </c>
      <c r="K53" s="34">
        <f t="shared" si="49"/>
        <v>10000.000000000007</v>
      </c>
      <c r="L53" s="34">
        <f t="shared" si="49"/>
        <v>10000.000000000007</v>
      </c>
      <c r="M53" s="34">
        <f t="shared" si="49"/>
        <v>10000.000000000007</v>
      </c>
    </row>
    <row r="54" spans="1:13" hidden="1" outlineLevel="1" x14ac:dyDescent="0.3">
      <c r="A54" s="3" t="s">
        <v>37</v>
      </c>
      <c r="B54" s="3"/>
      <c r="C54" s="3"/>
      <c r="D54" s="35">
        <f>SUM(D52:D53)</f>
        <v>53902</v>
      </c>
      <c r="E54" s="35">
        <f t="shared" ref="E54:H54" si="50">SUM(E52:E53)</f>
        <v>54800</v>
      </c>
      <c r="F54" s="35">
        <f t="shared" si="50"/>
        <v>34912</v>
      </c>
      <c r="G54" s="35">
        <f t="shared" si="50"/>
        <v>35265</v>
      </c>
      <c r="H54" s="35">
        <f t="shared" si="50"/>
        <v>35671</v>
      </c>
      <c r="I54" s="35">
        <f t="shared" ref="I54" si="51">SUM(I52:I53)</f>
        <v>37061.086487671244</v>
      </c>
      <c r="J54" s="35">
        <f t="shared" ref="J54" si="52">SUM(J52:J53)</f>
        <v>38691.861224109598</v>
      </c>
      <c r="K54" s="35">
        <f t="shared" ref="K54" si="53">SUM(K52:K53)</f>
        <v>20171.32696438357</v>
      </c>
      <c r="L54" s="35">
        <f t="shared" ref="L54" si="54">SUM(L52:L53)</f>
        <v>18055.69095579179</v>
      </c>
      <c r="M54" s="35">
        <f t="shared" ref="M54" si="55">SUM(M52:M53)</f>
        <v>18615.113938832888</v>
      </c>
    </row>
    <row r="55" spans="1:13" hidden="1" outlineLevel="1" x14ac:dyDescent="0.3">
      <c r="A55" s="3" t="s">
        <v>38</v>
      </c>
      <c r="B55" s="3"/>
      <c r="C55" s="3"/>
      <c r="D55" s="32"/>
      <c r="E55" s="32"/>
      <c r="F55" s="32"/>
      <c r="G55" s="32"/>
      <c r="H55" s="32"/>
      <c r="I55" s="32"/>
      <c r="J55" s="32"/>
      <c r="K55" s="32"/>
      <c r="L55" s="32"/>
      <c r="M55" s="32"/>
    </row>
    <row r="56" spans="1:13" hidden="1" outlineLevel="1" x14ac:dyDescent="0.3">
      <c r="A56" t="s">
        <v>39</v>
      </c>
      <c r="D56" s="31">
        <v>70000</v>
      </c>
      <c r="E56" s="31">
        <v>70000</v>
      </c>
      <c r="F56" s="31">
        <v>70000</v>
      </c>
      <c r="G56" s="31">
        <v>70000</v>
      </c>
      <c r="H56" s="31">
        <v>70000</v>
      </c>
      <c r="I56" s="32">
        <f>H56+I23</f>
        <v>70000</v>
      </c>
      <c r="J56" s="32">
        <f>I56+J23</f>
        <v>70000</v>
      </c>
      <c r="K56" s="32">
        <f>J56+K23</f>
        <v>70000</v>
      </c>
      <c r="L56" s="32">
        <f>K56+L23</f>
        <v>70000</v>
      </c>
      <c r="M56" s="32">
        <f>L56+M23</f>
        <v>70000</v>
      </c>
    </row>
    <row r="57" spans="1:13" hidden="1" outlineLevel="1" x14ac:dyDescent="0.3">
      <c r="A57" s="6" t="s">
        <v>40</v>
      </c>
      <c r="B57" s="6"/>
      <c r="C57" s="6"/>
      <c r="D57" s="33">
        <v>2474</v>
      </c>
      <c r="E57" s="33">
        <v>14265</v>
      </c>
      <c r="F57" s="33">
        <v>35340</v>
      </c>
      <c r="G57" s="33">
        <v>62053</v>
      </c>
      <c r="H57" s="33">
        <v>90280</v>
      </c>
      <c r="I57" s="34">
        <f>H57+I40</f>
        <v>115983.39184</v>
      </c>
      <c r="J57" s="34">
        <f t="shared" ref="J57:M57" si="56">I57+J40</f>
        <v>139544.375944</v>
      </c>
      <c r="K57" s="34">
        <f t="shared" si="56"/>
        <v>164193.49667720002</v>
      </c>
      <c r="L57" s="34">
        <f t="shared" si="56"/>
        <v>216662.99162338005</v>
      </c>
      <c r="M57" s="34">
        <f t="shared" si="56"/>
        <v>278221.55802743707</v>
      </c>
    </row>
    <row r="58" spans="1:13" hidden="1" outlineLevel="1" x14ac:dyDescent="0.3">
      <c r="A58" t="s">
        <v>38</v>
      </c>
      <c r="D58" s="35">
        <f>SUM(D56:D57)</f>
        <v>72474</v>
      </c>
      <c r="E58" s="35">
        <f t="shared" ref="E58:H58" si="57">SUM(E56:E57)</f>
        <v>84265</v>
      </c>
      <c r="F58" s="35">
        <f t="shared" si="57"/>
        <v>105340</v>
      </c>
      <c r="G58" s="35">
        <f t="shared" si="57"/>
        <v>132053</v>
      </c>
      <c r="H58" s="35">
        <f t="shared" si="57"/>
        <v>160280</v>
      </c>
      <c r="I58" s="35">
        <f t="shared" ref="I58" si="58">SUM(I56:I57)</f>
        <v>185983.39184</v>
      </c>
      <c r="J58" s="35">
        <f t="shared" ref="J58" si="59">SUM(J56:J57)</f>
        <v>209544.375944</v>
      </c>
      <c r="K58" s="35">
        <f t="shared" ref="K58" si="60">SUM(K56:K57)</f>
        <v>234193.49667720002</v>
      </c>
      <c r="L58" s="35">
        <f t="shared" ref="L58" si="61">SUM(L56:L57)</f>
        <v>286662.99162338005</v>
      </c>
      <c r="M58" s="35">
        <f t="shared" ref="M58" si="62">SUM(M56:M57)</f>
        <v>348221.55802743707</v>
      </c>
    </row>
    <row r="59" spans="1:13" ht="17.25" hidden="1" outlineLevel="1" thickBot="1" x14ac:dyDescent="0.35">
      <c r="A59" s="13" t="s">
        <v>41</v>
      </c>
      <c r="B59" s="13"/>
      <c r="C59" s="13"/>
      <c r="D59" s="36">
        <f>D54+D58</f>
        <v>126376</v>
      </c>
      <c r="E59" s="36">
        <f t="shared" ref="E59:H59" si="63">E54+E58</f>
        <v>139065</v>
      </c>
      <c r="F59" s="36">
        <f t="shared" si="63"/>
        <v>140252</v>
      </c>
      <c r="G59" s="36">
        <f t="shared" si="63"/>
        <v>167318</v>
      </c>
      <c r="H59" s="36">
        <f t="shared" si="63"/>
        <v>195951</v>
      </c>
      <c r="I59" s="36">
        <f t="shared" ref="I59" si="64">I54+I58</f>
        <v>223044.47832767124</v>
      </c>
      <c r="J59" s="36">
        <f t="shared" ref="J59" si="65">J54+J58</f>
        <v>248236.2371681096</v>
      </c>
      <c r="K59" s="36">
        <f t="shared" ref="K59" si="66">K54+K58</f>
        <v>254364.82364158359</v>
      </c>
      <c r="L59" s="36">
        <f t="shared" ref="L59" si="67">L54+L58</f>
        <v>304718.68257917184</v>
      </c>
      <c r="M59" s="36">
        <f t="shared" ref="M59" si="68">M54+M58</f>
        <v>366836.67196626996</v>
      </c>
    </row>
    <row r="60" spans="1:13" collapsed="1" x14ac:dyDescent="0.3">
      <c r="D60" s="17"/>
      <c r="E60" s="17"/>
      <c r="F60" s="17"/>
      <c r="G60" s="17"/>
      <c r="H60" s="17"/>
    </row>
    <row r="61" spans="1:13" x14ac:dyDescent="0.3">
      <c r="A61" s="48" t="s">
        <v>9</v>
      </c>
      <c r="B61" s="14"/>
      <c r="C61" s="14"/>
      <c r="D61" s="20"/>
      <c r="E61" s="20"/>
      <c r="F61" s="20"/>
      <c r="G61" s="20"/>
      <c r="H61" s="20"/>
      <c r="I61" s="15"/>
      <c r="J61" s="15"/>
      <c r="K61" s="15"/>
      <c r="L61" s="15"/>
      <c r="M61" s="15"/>
    </row>
    <row r="62" spans="1:13" hidden="1" outlineLevel="1" x14ac:dyDescent="0.3">
      <c r="A62" s="3"/>
      <c r="B62" s="3"/>
      <c r="C62" s="3"/>
      <c r="D62" s="17"/>
      <c r="E62" s="17"/>
      <c r="F62" s="17"/>
      <c r="G62" s="17"/>
      <c r="H62" s="17"/>
    </row>
    <row r="63" spans="1:13" hidden="1" outlineLevel="1" x14ac:dyDescent="0.3">
      <c r="A63" s="3" t="s">
        <v>42</v>
      </c>
      <c r="B63" s="3"/>
      <c r="C63" s="3"/>
      <c r="D63" s="16"/>
      <c r="E63" s="16"/>
      <c r="F63" s="16"/>
      <c r="G63" s="16"/>
      <c r="H63" s="16"/>
    </row>
    <row r="64" spans="1:13" hidden="1" outlineLevel="1" x14ac:dyDescent="0.3">
      <c r="A64" t="s">
        <v>24</v>
      </c>
      <c r="D64" s="17">
        <v>2474</v>
      </c>
      <c r="E64" s="17">
        <v>11791</v>
      </c>
      <c r="F64" s="17">
        <v>21075</v>
      </c>
      <c r="G64" s="17">
        <v>26713</v>
      </c>
      <c r="H64" s="17">
        <v>28227</v>
      </c>
      <c r="I64" s="32">
        <f>I40</f>
        <v>25703.391839999997</v>
      </c>
      <c r="J64" s="32">
        <f t="shared" ref="J64:M64" si="69">J40</f>
        <v>23560.984103999999</v>
      </c>
      <c r="K64" s="32">
        <f t="shared" si="69"/>
        <v>24649.120733200005</v>
      </c>
      <c r="L64" s="32">
        <f t="shared" si="69"/>
        <v>52469.494946180028</v>
      </c>
      <c r="M64" s="32">
        <f t="shared" si="69"/>
        <v>61558.566404057026</v>
      </c>
    </row>
    <row r="65" spans="1:13" hidden="1" outlineLevel="1" x14ac:dyDescent="0.3">
      <c r="A65" t="s">
        <v>43</v>
      </c>
      <c r="D65" s="17">
        <v>19500</v>
      </c>
      <c r="E65" s="17">
        <v>18150</v>
      </c>
      <c r="F65" s="17">
        <v>17205</v>
      </c>
      <c r="G65" s="17">
        <v>16544</v>
      </c>
      <c r="H65" s="17">
        <v>16080</v>
      </c>
      <c r="I65" s="32">
        <f>I94</f>
        <v>13132.350000000002</v>
      </c>
      <c r="J65" s="32">
        <f t="shared" ref="J65:M65" si="70">J94</f>
        <v>13786.027500000002</v>
      </c>
      <c r="K65" s="32">
        <f t="shared" si="70"/>
        <v>14210.917875000001</v>
      </c>
      <c r="L65" s="32">
        <f t="shared" si="70"/>
        <v>14487.096618750002</v>
      </c>
      <c r="M65" s="32">
        <f t="shared" si="70"/>
        <v>14666.612802187501</v>
      </c>
    </row>
    <row r="66" spans="1:13" hidden="1" outlineLevel="1" x14ac:dyDescent="0.3">
      <c r="A66" s="6" t="s">
        <v>44</v>
      </c>
      <c r="B66" s="6"/>
      <c r="C66" s="6"/>
      <c r="D66" s="19">
        <v>9003</v>
      </c>
      <c r="E66" s="19">
        <v>1702</v>
      </c>
      <c r="F66" s="19">
        <v>775</v>
      </c>
      <c r="G66" s="19">
        <v>903</v>
      </c>
      <c r="H66" s="19">
        <v>827</v>
      </c>
      <c r="I66" s="34">
        <f>I89</f>
        <v>3174.9921972602751</v>
      </c>
      <c r="J66" s="34">
        <f t="shared" ref="J66:M66" si="71">J89</f>
        <v>5062.2628416438347</v>
      </c>
      <c r="K66" s="34">
        <f t="shared" si="71"/>
        <v>5767.9171090411037</v>
      </c>
      <c r="L66" s="34">
        <f t="shared" si="71"/>
        <v>-2612.6565262027434</v>
      </c>
      <c r="M66" s="34">
        <f t="shared" si="71"/>
        <v>2041.1379110958915</v>
      </c>
    </row>
    <row r="67" spans="1:13" hidden="1" outlineLevel="1" x14ac:dyDescent="0.3">
      <c r="A67" s="3" t="s">
        <v>45</v>
      </c>
      <c r="B67" s="3"/>
      <c r="C67" s="3"/>
      <c r="D67" s="21">
        <f>D64+D65-D66</f>
        <v>12971</v>
      </c>
      <c r="E67" s="21">
        <f t="shared" ref="E67:I67" si="72">E64+E65-E66</f>
        <v>28239</v>
      </c>
      <c r="F67" s="21">
        <f t="shared" si="72"/>
        <v>37505</v>
      </c>
      <c r="G67" s="21">
        <f t="shared" si="72"/>
        <v>42354</v>
      </c>
      <c r="H67" s="21">
        <f t="shared" si="72"/>
        <v>43480</v>
      </c>
      <c r="I67" s="21">
        <f t="shared" si="72"/>
        <v>35660.749642739727</v>
      </c>
      <c r="J67" s="21">
        <f t="shared" ref="J67" si="73">J64+J65-J66</f>
        <v>32284.748762356165</v>
      </c>
      <c r="K67" s="21">
        <f t="shared" ref="K67" si="74">K64+K65-K66</f>
        <v>33092.1214991589</v>
      </c>
      <c r="L67" s="21">
        <f t="shared" ref="L67" si="75">L64+L65-L66</f>
        <v>69569.248091132773</v>
      </c>
      <c r="M67" s="21">
        <f t="shared" ref="M67" si="76">M64+M65-M66</f>
        <v>74184.041295148636</v>
      </c>
    </row>
    <row r="68" spans="1:13" hidden="1" outlineLevel="1" x14ac:dyDescent="0.3">
      <c r="D68" s="17"/>
      <c r="E68" s="17"/>
      <c r="F68" s="17"/>
      <c r="G68" s="17"/>
      <c r="H68" s="17"/>
    </row>
    <row r="69" spans="1:13" hidden="1" outlineLevel="1" x14ac:dyDescent="0.3">
      <c r="A69" s="3" t="s">
        <v>46</v>
      </c>
      <c r="B69" s="3"/>
      <c r="C69" s="3"/>
      <c r="D69" s="16"/>
      <c r="E69" s="16"/>
      <c r="F69" s="16"/>
      <c r="G69" s="16"/>
      <c r="H69" s="16"/>
    </row>
    <row r="70" spans="1:13" hidden="1" outlineLevel="1" x14ac:dyDescent="0.3">
      <c r="A70" s="6" t="s">
        <v>47</v>
      </c>
      <c r="B70" s="6"/>
      <c r="C70" s="6"/>
      <c r="D70" s="19">
        <v>15000</v>
      </c>
      <c r="E70" s="19">
        <v>15000</v>
      </c>
      <c r="F70" s="19">
        <v>15000</v>
      </c>
      <c r="G70" s="19">
        <v>15000</v>
      </c>
      <c r="H70" s="19">
        <v>15000</v>
      </c>
      <c r="I70" s="30">
        <f>I93</f>
        <v>15000</v>
      </c>
      <c r="J70" s="30">
        <f t="shared" ref="J70:M70" si="77">J93</f>
        <v>15000</v>
      </c>
      <c r="K70" s="30">
        <f t="shared" si="77"/>
        <v>15000</v>
      </c>
      <c r="L70" s="30">
        <f t="shared" si="77"/>
        <v>15000</v>
      </c>
      <c r="M70" s="30">
        <f t="shared" si="77"/>
        <v>15000</v>
      </c>
    </row>
    <row r="71" spans="1:13" hidden="1" outlineLevel="1" x14ac:dyDescent="0.3">
      <c r="A71" s="3" t="s">
        <v>48</v>
      </c>
      <c r="B71" s="3"/>
      <c r="C71" s="3"/>
      <c r="D71" s="21">
        <f>SUM(D70)</f>
        <v>15000</v>
      </c>
      <c r="E71" s="21">
        <f t="shared" ref="E71:H71" si="78">SUM(E70)</f>
        <v>15000</v>
      </c>
      <c r="F71" s="21">
        <f t="shared" si="78"/>
        <v>15000</v>
      </c>
      <c r="G71" s="21">
        <f t="shared" si="78"/>
        <v>15000</v>
      </c>
      <c r="H71" s="21">
        <f t="shared" si="78"/>
        <v>15000</v>
      </c>
      <c r="I71" s="21">
        <f t="shared" ref="I71" si="79">SUM(I70)</f>
        <v>15000</v>
      </c>
      <c r="J71" s="21">
        <f t="shared" ref="J71" si="80">SUM(J70)</f>
        <v>15000</v>
      </c>
      <c r="K71" s="21">
        <f t="shared" ref="K71" si="81">SUM(K70)</f>
        <v>15000</v>
      </c>
      <c r="L71" s="21">
        <f t="shared" ref="L71" si="82">SUM(L70)</f>
        <v>15000</v>
      </c>
      <c r="M71" s="21">
        <f t="shared" ref="M71" si="83">SUM(M70)</f>
        <v>15000</v>
      </c>
    </row>
    <row r="72" spans="1:13" hidden="1" outlineLevel="1" x14ac:dyDescent="0.3">
      <c r="D72" s="17"/>
      <c r="E72" s="17"/>
      <c r="F72" s="17"/>
      <c r="G72" s="17"/>
      <c r="H72" s="17"/>
    </row>
    <row r="73" spans="1:13" hidden="1" outlineLevel="1" x14ac:dyDescent="0.3">
      <c r="A73" s="3" t="s">
        <v>49</v>
      </c>
      <c r="B73" s="3"/>
      <c r="C73" s="3"/>
      <c r="D73" s="16"/>
      <c r="E73" s="16"/>
      <c r="F73" s="16"/>
      <c r="G73" s="16"/>
      <c r="H73" s="16"/>
    </row>
    <row r="74" spans="1:13" hidden="1" outlineLevel="1" x14ac:dyDescent="0.3">
      <c r="A74" t="s">
        <v>50</v>
      </c>
      <c r="D74" s="17">
        <v>0</v>
      </c>
      <c r="E74" s="17">
        <v>0</v>
      </c>
      <c r="F74" s="17">
        <v>-20000</v>
      </c>
      <c r="G74" s="17">
        <v>0</v>
      </c>
      <c r="H74" s="17">
        <v>0</v>
      </c>
      <c r="I74" s="16">
        <f>I99</f>
        <v>0</v>
      </c>
      <c r="J74" s="16">
        <f t="shared" ref="J74:M74" si="84">J99</f>
        <v>0</v>
      </c>
      <c r="K74" s="16">
        <f t="shared" si="84"/>
        <v>-20000</v>
      </c>
      <c r="L74" s="16">
        <f t="shared" si="84"/>
        <v>0</v>
      </c>
      <c r="M74" s="16">
        <f t="shared" si="84"/>
        <v>0</v>
      </c>
    </row>
    <row r="75" spans="1:13" hidden="1" outlineLevel="1" x14ac:dyDescent="0.3">
      <c r="A75" s="6" t="s">
        <v>51</v>
      </c>
      <c r="B75" s="6"/>
      <c r="C75" s="6"/>
      <c r="D75" s="19">
        <v>70000</v>
      </c>
      <c r="E75" s="19">
        <v>0</v>
      </c>
      <c r="F75" s="19">
        <v>0</v>
      </c>
      <c r="G75" s="19">
        <v>0</v>
      </c>
      <c r="H75" s="19">
        <v>0</v>
      </c>
      <c r="I75" s="30">
        <f>I23</f>
        <v>0</v>
      </c>
      <c r="J75" s="30">
        <f t="shared" ref="J75:M75" si="85">J23</f>
        <v>0</v>
      </c>
      <c r="K75" s="30">
        <f t="shared" si="85"/>
        <v>0</v>
      </c>
      <c r="L75" s="30">
        <f t="shared" si="85"/>
        <v>0</v>
      </c>
      <c r="M75" s="30">
        <f t="shared" si="85"/>
        <v>0</v>
      </c>
    </row>
    <row r="76" spans="1:13" hidden="1" outlineLevel="1" x14ac:dyDescent="0.3">
      <c r="A76" s="18" t="s">
        <v>52</v>
      </c>
      <c r="B76" s="18"/>
      <c r="C76" s="18"/>
      <c r="D76" s="23">
        <f>SUM(D74:D75)</f>
        <v>70000</v>
      </c>
      <c r="E76" s="23">
        <f t="shared" ref="E76:H76" si="86">SUM(E74:E75)</f>
        <v>0</v>
      </c>
      <c r="F76" s="23">
        <f t="shared" si="86"/>
        <v>-20000</v>
      </c>
      <c r="G76" s="23">
        <f t="shared" si="86"/>
        <v>0</v>
      </c>
      <c r="H76" s="23">
        <f t="shared" si="86"/>
        <v>0</v>
      </c>
      <c r="I76" s="23">
        <f t="shared" ref="I76" si="87">SUM(I74:I75)</f>
        <v>0</v>
      </c>
      <c r="J76" s="23">
        <f t="shared" ref="J76" si="88">SUM(J74:J75)</f>
        <v>0</v>
      </c>
      <c r="K76" s="23">
        <f t="shared" ref="K76" si="89">SUM(K74:K75)</f>
        <v>-20000</v>
      </c>
      <c r="L76" s="23">
        <f t="shared" ref="L76" si="90">SUM(L74:L75)</f>
        <v>0</v>
      </c>
      <c r="M76" s="23">
        <f t="shared" ref="M76" si="91">SUM(M74:M75)</f>
        <v>0</v>
      </c>
    </row>
    <row r="77" spans="1:13" hidden="1" outlineLevel="1" x14ac:dyDescent="0.3">
      <c r="D77" s="17"/>
      <c r="E77" s="17"/>
      <c r="F77" s="17"/>
      <c r="G77" s="17"/>
      <c r="H77" s="17"/>
    </row>
    <row r="78" spans="1:13" hidden="1" outlineLevel="1" x14ac:dyDescent="0.3">
      <c r="A78" s="3" t="s">
        <v>53</v>
      </c>
      <c r="B78" s="3"/>
      <c r="C78" s="3"/>
      <c r="D78" s="21">
        <f>D67-D71+D76</f>
        <v>67971</v>
      </c>
      <c r="E78" s="21">
        <f t="shared" ref="E78" si="92">E67-E71+E76</f>
        <v>13239</v>
      </c>
      <c r="F78" s="21">
        <f t="shared" ref="F78:H78" si="93">F67-F71+F76</f>
        <v>2505</v>
      </c>
      <c r="G78" s="21">
        <f t="shared" si="93"/>
        <v>27354</v>
      </c>
      <c r="H78" s="21">
        <f t="shared" si="93"/>
        <v>28480</v>
      </c>
      <c r="I78" s="21">
        <f t="shared" ref="I78:M78" si="94">I67-I71+I76</f>
        <v>20660.749642739727</v>
      </c>
      <c r="J78" s="21">
        <f t="shared" si="94"/>
        <v>17284.748762356165</v>
      </c>
      <c r="K78" s="21">
        <f t="shared" si="94"/>
        <v>-1907.8785008410996</v>
      </c>
      <c r="L78" s="21">
        <f t="shared" si="94"/>
        <v>54569.248091132773</v>
      </c>
      <c r="M78" s="21">
        <f t="shared" si="94"/>
        <v>59184.041295148636</v>
      </c>
    </row>
    <row r="79" spans="1:13" hidden="1" outlineLevel="1" x14ac:dyDescent="0.3">
      <c r="A79" s="6" t="s">
        <v>54</v>
      </c>
      <c r="B79" s="6"/>
      <c r="C79" s="6"/>
      <c r="D79" s="19">
        <v>0</v>
      </c>
      <c r="E79" s="24">
        <f>D80</f>
        <v>67971</v>
      </c>
      <c r="F79" s="24">
        <f t="shared" ref="F79:M79" si="95">E80</f>
        <v>81210</v>
      </c>
      <c r="G79" s="24">
        <f t="shared" si="95"/>
        <v>83715</v>
      </c>
      <c r="H79" s="24">
        <f t="shared" si="95"/>
        <v>111069</v>
      </c>
      <c r="I79" s="24">
        <f t="shared" si="95"/>
        <v>139549</v>
      </c>
      <c r="J79" s="24">
        <f t="shared" si="95"/>
        <v>160209.74964273971</v>
      </c>
      <c r="K79" s="24">
        <f t="shared" si="95"/>
        <v>177494.49840509589</v>
      </c>
      <c r="L79" s="24">
        <f t="shared" si="95"/>
        <v>175586.6199042548</v>
      </c>
      <c r="M79" s="24">
        <f t="shared" si="95"/>
        <v>230155.86799538758</v>
      </c>
    </row>
    <row r="80" spans="1:13" ht="17.25" hidden="1" outlineLevel="1" thickBot="1" x14ac:dyDescent="0.35">
      <c r="A80" s="13" t="s">
        <v>55</v>
      </c>
      <c r="B80" s="13"/>
      <c r="C80" s="13"/>
      <c r="D80" s="22">
        <f>D78</f>
        <v>67971</v>
      </c>
      <c r="E80" s="22">
        <f>SUM(E78:E79)</f>
        <v>81210</v>
      </c>
      <c r="F80" s="22">
        <f t="shared" ref="F80:H80" si="96">SUM(F78:F79)</f>
        <v>83715</v>
      </c>
      <c r="G80" s="22">
        <f t="shared" si="96"/>
        <v>111069</v>
      </c>
      <c r="H80" s="22">
        <f t="shared" si="96"/>
        <v>139549</v>
      </c>
      <c r="I80" s="22">
        <f t="shared" ref="I80" si="97">SUM(I78:I79)</f>
        <v>160209.74964273971</v>
      </c>
      <c r="J80" s="22">
        <f t="shared" ref="J80" si="98">SUM(J78:J79)</f>
        <v>177494.49840509589</v>
      </c>
      <c r="K80" s="22">
        <f t="shared" ref="K80" si="99">SUM(K78:K79)</f>
        <v>175586.6199042548</v>
      </c>
      <c r="L80" s="22">
        <f t="shared" ref="L80" si="100">SUM(L78:L79)</f>
        <v>230155.86799538758</v>
      </c>
      <c r="M80" s="22">
        <f t="shared" ref="M80" si="101">SUM(M78:M79)</f>
        <v>289339.90929053619</v>
      </c>
    </row>
    <row r="81" spans="1:13" collapsed="1" x14ac:dyDescent="0.3"/>
    <row r="82" spans="1:13" x14ac:dyDescent="0.3">
      <c r="A82" s="48" t="s">
        <v>10</v>
      </c>
      <c r="B82" s="14"/>
      <c r="C82" s="14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 spans="1:13" outlineLevel="1" x14ac:dyDescent="0.3"/>
    <row r="84" spans="1:13" outlineLevel="1" x14ac:dyDescent="0.3">
      <c r="A84" s="3" t="s">
        <v>68</v>
      </c>
      <c r="B84" s="3"/>
      <c r="C84" s="3"/>
    </row>
    <row r="85" spans="1:13" outlineLevel="1" x14ac:dyDescent="0.3">
      <c r="A85" t="s">
        <v>69</v>
      </c>
      <c r="D85" s="32">
        <f>D46</f>
        <v>5100</v>
      </c>
      <c r="E85" s="32">
        <f>E46</f>
        <v>5904</v>
      </c>
      <c r="F85" s="32">
        <f t="shared" ref="F85:H85" si="102">F46</f>
        <v>6567</v>
      </c>
      <c r="G85" s="32">
        <f t="shared" si="102"/>
        <v>7117</v>
      </c>
      <c r="H85" s="32">
        <f t="shared" si="102"/>
        <v>7539</v>
      </c>
      <c r="I85" s="32">
        <f t="shared" ref="I85:M85" si="103">I46</f>
        <v>8178.8646575342473</v>
      </c>
      <c r="J85" s="32">
        <f t="shared" si="103"/>
        <v>8996.7511232876714</v>
      </c>
      <c r="K85" s="32">
        <f t="shared" si="103"/>
        <v>9896.42623561644</v>
      </c>
      <c r="L85" s="32">
        <f t="shared" si="103"/>
        <v>10886.068859178085</v>
      </c>
      <c r="M85" s="32">
        <f t="shared" si="103"/>
        <v>11974.675745095894</v>
      </c>
    </row>
    <row r="86" spans="1:13" outlineLevel="1" x14ac:dyDescent="0.3">
      <c r="A86" t="s">
        <v>31</v>
      </c>
      <c r="D86" s="32">
        <f>D47</f>
        <v>7805</v>
      </c>
      <c r="E86" s="32">
        <f>E47</f>
        <v>9601</v>
      </c>
      <c r="F86" s="32">
        <f t="shared" ref="F86:H86" si="104">F47</f>
        <v>9825</v>
      </c>
      <c r="G86" s="32">
        <f t="shared" si="104"/>
        <v>10531</v>
      </c>
      <c r="H86" s="32">
        <f t="shared" si="104"/>
        <v>11342</v>
      </c>
      <c r="I86" s="32">
        <f t="shared" ref="I86:M86" si="105">I47</f>
        <v>15267.21402739726</v>
      </c>
      <c r="J86" s="32">
        <f t="shared" si="105"/>
        <v>21142.365139726029</v>
      </c>
      <c r="K86" s="32">
        <f t="shared" si="105"/>
        <v>27490.072876712333</v>
      </c>
      <c r="L86" s="32">
        <f t="shared" si="105"/>
        <v>21772.137718356167</v>
      </c>
      <c r="M86" s="32">
        <f t="shared" si="105"/>
        <v>23284.091726575349</v>
      </c>
    </row>
    <row r="87" spans="1:13" outlineLevel="1" x14ac:dyDescent="0.3">
      <c r="A87" s="6" t="s">
        <v>70</v>
      </c>
      <c r="B87" s="6"/>
      <c r="C87" s="6"/>
      <c r="D87" s="34">
        <f>D52</f>
        <v>3902</v>
      </c>
      <c r="E87" s="34">
        <f>E52</f>
        <v>4800</v>
      </c>
      <c r="F87" s="34">
        <f t="shared" ref="F87:H87" si="106">F52</f>
        <v>4912</v>
      </c>
      <c r="G87" s="34">
        <f t="shared" si="106"/>
        <v>5265</v>
      </c>
      <c r="H87" s="34">
        <f t="shared" si="106"/>
        <v>5671</v>
      </c>
      <c r="I87" s="34">
        <f t="shared" ref="I87:M87" si="107">I52</f>
        <v>7061.086487671233</v>
      </c>
      <c r="J87" s="34">
        <f t="shared" si="107"/>
        <v>8691.8612241095907</v>
      </c>
      <c r="K87" s="34">
        <f t="shared" si="107"/>
        <v>10171.326964383563</v>
      </c>
      <c r="L87" s="34">
        <f t="shared" si="107"/>
        <v>8055.6909557917825</v>
      </c>
      <c r="M87" s="34">
        <f t="shared" si="107"/>
        <v>8615.1139388328793</v>
      </c>
    </row>
    <row r="88" spans="1:13" outlineLevel="1" x14ac:dyDescent="0.3">
      <c r="A88" t="s">
        <v>72</v>
      </c>
      <c r="D88" s="32">
        <f>D85+D86-D87</f>
        <v>9003</v>
      </c>
      <c r="E88" s="32">
        <f>E85+E86-E87</f>
        <v>10705</v>
      </c>
      <c r="F88" s="32">
        <f t="shared" ref="F88:H88" si="108">F85+F86-F87</f>
        <v>11480</v>
      </c>
      <c r="G88" s="32">
        <f t="shared" si="108"/>
        <v>12383</v>
      </c>
      <c r="H88" s="32">
        <f t="shared" si="108"/>
        <v>13210</v>
      </c>
      <c r="I88" s="32">
        <f t="shared" ref="I88" si="109">I85+I86-I87</f>
        <v>16384.992197260275</v>
      </c>
      <c r="J88" s="32">
        <f t="shared" ref="J88" si="110">J85+J86-J87</f>
        <v>21447.25503890411</v>
      </c>
      <c r="K88" s="32">
        <f t="shared" ref="K88" si="111">K85+K86-K87</f>
        <v>27215.172147945214</v>
      </c>
      <c r="L88" s="32">
        <f t="shared" ref="L88" si="112">L85+L86-L87</f>
        <v>24602.51562174247</v>
      </c>
      <c r="M88" s="32">
        <f t="shared" ref="M88" si="113">M85+M86-M87</f>
        <v>26643.653532838362</v>
      </c>
    </row>
    <row r="89" spans="1:13" outlineLevel="1" x14ac:dyDescent="0.3">
      <c r="A89" t="s">
        <v>71</v>
      </c>
      <c r="D89" s="31">
        <v>9003</v>
      </c>
      <c r="E89" s="32">
        <f>E88-D88</f>
        <v>1702</v>
      </c>
      <c r="F89" s="32">
        <f t="shared" ref="F89:H89" si="114">F88-E88</f>
        <v>775</v>
      </c>
      <c r="G89" s="32">
        <f t="shared" si="114"/>
        <v>903</v>
      </c>
      <c r="H89" s="32">
        <f t="shared" si="114"/>
        <v>827</v>
      </c>
      <c r="I89" s="32">
        <f t="shared" ref="I89" si="115">I88-H88</f>
        <v>3174.9921972602751</v>
      </c>
      <c r="J89" s="32">
        <f t="shared" ref="J89" si="116">J88-I88</f>
        <v>5062.2628416438347</v>
      </c>
      <c r="K89" s="32">
        <f t="shared" ref="K89" si="117">K88-J88</f>
        <v>5767.9171090411037</v>
      </c>
      <c r="L89" s="32">
        <f t="shared" ref="L89" si="118">L88-K88</f>
        <v>-2612.6565262027434</v>
      </c>
      <c r="M89" s="32">
        <f t="shared" ref="M89" si="119">M88-L88</f>
        <v>2041.1379110958915</v>
      </c>
    </row>
    <row r="90" spans="1:13" outlineLevel="1" x14ac:dyDescent="0.3"/>
    <row r="91" spans="1:13" outlineLevel="1" x14ac:dyDescent="0.3">
      <c r="A91" s="3" t="s">
        <v>73</v>
      </c>
      <c r="B91" s="3"/>
      <c r="C91" s="3"/>
    </row>
    <row r="92" spans="1:13" outlineLevel="1" x14ac:dyDescent="0.3">
      <c r="A92" t="s">
        <v>74</v>
      </c>
      <c r="D92" s="17">
        <v>50000.000000000007</v>
      </c>
      <c r="E92" s="32">
        <f>D95</f>
        <v>45500.000000000007</v>
      </c>
      <c r="F92" s="32">
        <f t="shared" ref="F92:H92" si="120">E95</f>
        <v>42350.000000000007</v>
      </c>
      <c r="G92" s="32">
        <f t="shared" si="120"/>
        <v>40145.000000000007</v>
      </c>
      <c r="H92" s="32">
        <f t="shared" si="120"/>
        <v>38601.000000000007</v>
      </c>
      <c r="I92" s="32">
        <f t="shared" ref="I92:M92" si="121">H95</f>
        <v>37521.000000000007</v>
      </c>
      <c r="J92" s="32">
        <f t="shared" si="121"/>
        <v>39388.650000000009</v>
      </c>
      <c r="K92" s="32">
        <f t="shared" si="121"/>
        <v>40602.622500000005</v>
      </c>
      <c r="L92" s="32">
        <f t="shared" si="121"/>
        <v>41391.704625000006</v>
      </c>
      <c r="M92" s="32">
        <f t="shared" si="121"/>
        <v>41904.608006250004</v>
      </c>
    </row>
    <row r="93" spans="1:13" outlineLevel="1" x14ac:dyDescent="0.3">
      <c r="A93" t="s">
        <v>75</v>
      </c>
      <c r="D93" s="16">
        <f>D70</f>
        <v>15000</v>
      </c>
      <c r="E93" s="16">
        <f>E70</f>
        <v>15000</v>
      </c>
      <c r="F93" s="16">
        <f t="shared" ref="F93:H93" si="122">F70</f>
        <v>15000</v>
      </c>
      <c r="G93" s="16">
        <f t="shared" si="122"/>
        <v>15000</v>
      </c>
      <c r="H93" s="16">
        <f t="shared" si="122"/>
        <v>15000</v>
      </c>
      <c r="I93" s="16">
        <f>I21</f>
        <v>15000</v>
      </c>
      <c r="J93" s="16">
        <f t="shared" ref="J93:M93" si="123">J21</f>
        <v>15000</v>
      </c>
      <c r="K93" s="16">
        <f t="shared" si="123"/>
        <v>15000</v>
      </c>
      <c r="L93" s="16">
        <f t="shared" si="123"/>
        <v>15000</v>
      </c>
      <c r="M93" s="16">
        <f t="shared" si="123"/>
        <v>15000</v>
      </c>
    </row>
    <row r="94" spans="1:13" outlineLevel="1" x14ac:dyDescent="0.3">
      <c r="A94" s="6" t="s">
        <v>76</v>
      </c>
      <c r="B94" s="6"/>
      <c r="C94" s="6"/>
      <c r="D94" s="34">
        <f>D34</f>
        <v>19500</v>
      </c>
      <c r="E94" s="34">
        <f>E34</f>
        <v>18150</v>
      </c>
      <c r="F94" s="34">
        <f t="shared" ref="F94:H94" si="124">F34</f>
        <v>17205</v>
      </c>
      <c r="G94" s="34">
        <f t="shared" si="124"/>
        <v>16544</v>
      </c>
      <c r="H94" s="34">
        <f t="shared" si="124"/>
        <v>16080</v>
      </c>
      <c r="I94" s="34">
        <f>I15*I92</f>
        <v>13132.350000000002</v>
      </c>
      <c r="J94" s="34">
        <f t="shared" ref="J94:M94" si="125">J15*J92</f>
        <v>13786.027500000002</v>
      </c>
      <c r="K94" s="34">
        <f t="shared" si="125"/>
        <v>14210.917875000001</v>
      </c>
      <c r="L94" s="34">
        <f t="shared" si="125"/>
        <v>14487.096618750002</v>
      </c>
      <c r="M94" s="34">
        <f t="shared" si="125"/>
        <v>14666.612802187501</v>
      </c>
    </row>
    <row r="95" spans="1:13" outlineLevel="1" x14ac:dyDescent="0.3">
      <c r="A95" s="41" t="s">
        <v>77</v>
      </c>
      <c r="B95" s="41"/>
      <c r="C95" s="41"/>
      <c r="D95" s="32">
        <f>D92+D93-D94</f>
        <v>45500.000000000007</v>
      </c>
      <c r="E95" s="32">
        <f>E92+E93-E94</f>
        <v>42350.000000000007</v>
      </c>
      <c r="F95" s="32">
        <f t="shared" ref="F95:H95" si="126">F92+F93-F94</f>
        <v>40145.000000000007</v>
      </c>
      <c r="G95" s="32">
        <f t="shared" si="126"/>
        <v>38601.000000000007</v>
      </c>
      <c r="H95" s="32">
        <f t="shared" si="126"/>
        <v>37521.000000000007</v>
      </c>
      <c r="I95" s="32">
        <f t="shared" ref="I95" si="127">I92+I93-I94</f>
        <v>39388.650000000009</v>
      </c>
      <c r="J95" s="32">
        <f t="shared" ref="J95" si="128">J92+J93-J94</f>
        <v>40602.622500000005</v>
      </c>
      <c r="K95" s="32">
        <f t="shared" ref="K95" si="129">K92+K93-K94</f>
        <v>41391.704625000006</v>
      </c>
      <c r="L95" s="32">
        <f t="shared" ref="L95" si="130">L92+L93-L94</f>
        <v>41904.608006250004</v>
      </c>
      <c r="M95" s="32">
        <f t="shared" ref="M95" si="131">M92+M93-M94</f>
        <v>42237.995204062507</v>
      </c>
    </row>
    <row r="96" spans="1:13" outlineLevel="1" x14ac:dyDescent="0.3">
      <c r="A96" s="42"/>
      <c r="B96" s="42"/>
      <c r="C96" s="42"/>
      <c r="D96" s="32"/>
      <c r="E96" s="32"/>
      <c r="F96" s="32"/>
      <c r="G96" s="32"/>
      <c r="H96" s="32"/>
      <c r="I96" s="32"/>
      <c r="J96" s="32"/>
      <c r="K96" s="32"/>
      <c r="L96" s="32"/>
      <c r="M96" s="32"/>
    </row>
    <row r="97" spans="1:13" outlineLevel="1" x14ac:dyDescent="0.3">
      <c r="A97" s="3" t="s">
        <v>78</v>
      </c>
      <c r="B97" s="3"/>
      <c r="C97" s="3"/>
    </row>
    <row r="98" spans="1:13" outlineLevel="1" x14ac:dyDescent="0.3">
      <c r="A98" t="s">
        <v>79</v>
      </c>
      <c r="D98" s="17">
        <v>50000.000000000007</v>
      </c>
      <c r="E98" s="32">
        <f>D100</f>
        <v>50000.000000000007</v>
      </c>
      <c r="F98" s="32">
        <f t="shared" ref="F98:H98" si="132">E100</f>
        <v>50000.000000000007</v>
      </c>
      <c r="G98" s="32">
        <f t="shared" si="132"/>
        <v>30000.000000000007</v>
      </c>
      <c r="H98" s="32">
        <f t="shared" si="132"/>
        <v>30000.000000000007</v>
      </c>
      <c r="I98" s="32">
        <f t="shared" ref="I98:M98" si="133">H100</f>
        <v>30000.000000000007</v>
      </c>
      <c r="J98" s="32">
        <f t="shared" si="133"/>
        <v>30000.000000000007</v>
      </c>
      <c r="K98" s="32">
        <f t="shared" si="133"/>
        <v>30000.000000000007</v>
      </c>
      <c r="L98" s="32">
        <f t="shared" si="133"/>
        <v>10000.000000000007</v>
      </c>
      <c r="M98" s="32">
        <f t="shared" si="133"/>
        <v>10000.000000000007</v>
      </c>
    </row>
    <row r="99" spans="1:13" outlineLevel="1" x14ac:dyDescent="0.3">
      <c r="A99" s="6" t="s">
        <v>80</v>
      </c>
      <c r="B99" s="6"/>
      <c r="C99" s="6"/>
      <c r="D99" s="30">
        <f>D74</f>
        <v>0</v>
      </c>
      <c r="E99" s="30">
        <f t="shared" ref="E99" si="134">E74</f>
        <v>0</v>
      </c>
      <c r="F99" s="30">
        <f t="shared" ref="F99:H99" si="135">F74</f>
        <v>-20000</v>
      </c>
      <c r="G99" s="30">
        <f t="shared" si="135"/>
        <v>0</v>
      </c>
      <c r="H99" s="30">
        <f t="shared" si="135"/>
        <v>0</v>
      </c>
      <c r="I99" s="30">
        <f>I22</f>
        <v>0</v>
      </c>
      <c r="J99" s="30">
        <f t="shared" ref="J99:M99" si="136">J22</f>
        <v>0</v>
      </c>
      <c r="K99" s="30">
        <f t="shared" si="136"/>
        <v>-20000</v>
      </c>
      <c r="L99" s="30">
        <f t="shared" si="136"/>
        <v>0</v>
      </c>
      <c r="M99" s="30">
        <f t="shared" si="136"/>
        <v>0</v>
      </c>
    </row>
    <row r="100" spans="1:13" outlineLevel="1" x14ac:dyDescent="0.3">
      <c r="A100" s="41" t="s">
        <v>81</v>
      </c>
      <c r="B100" s="41"/>
      <c r="C100" s="41"/>
      <c r="D100" s="32">
        <f>D98+D99</f>
        <v>50000.000000000007</v>
      </c>
      <c r="E100" s="32">
        <f>E98+E99</f>
        <v>50000.000000000007</v>
      </c>
      <c r="F100" s="32">
        <f t="shared" ref="F100:H100" si="137">F98+F99</f>
        <v>30000.000000000007</v>
      </c>
      <c r="G100" s="32">
        <f t="shared" si="137"/>
        <v>30000.000000000007</v>
      </c>
      <c r="H100" s="32">
        <f t="shared" si="137"/>
        <v>30000.000000000007</v>
      </c>
      <c r="I100" s="32">
        <f t="shared" ref="I100" si="138">I98+I99</f>
        <v>30000.000000000007</v>
      </c>
      <c r="J100" s="32">
        <f t="shared" ref="J100" si="139">J98+J99</f>
        <v>30000.000000000007</v>
      </c>
      <c r="K100" s="32">
        <f t="shared" ref="K100" si="140">K98+K99</f>
        <v>10000.000000000007</v>
      </c>
      <c r="L100" s="32">
        <f t="shared" ref="L100" si="141">L98+L99</f>
        <v>10000.000000000007</v>
      </c>
      <c r="M100" s="32">
        <f t="shared" ref="M100" si="142">M98+M99</f>
        <v>10000.000000000007</v>
      </c>
    </row>
    <row r="101" spans="1:13" outlineLevel="1" x14ac:dyDescent="0.3">
      <c r="A101" s="41" t="s">
        <v>82</v>
      </c>
      <c r="B101" s="41"/>
      <c r="C101" s="41"/>
      <c r="D101" s="32">
        <f>D35</f>
        <v>2500</v>
      </c>
      <c r="E101" s="32">
        <f t="shared" ref="E101:H101" si="143">E35</f>
        <v>2500</v>
      </c>
      <c r="F101" s="32">
        <f t="shared" si="143"/>
        <v>1500</v>
      </c>
      <c r="G101" s="32">
        <f t="shared" si="143"/>
        <v>1500</v>
      </c>
      <c r="H101" s="32">
        <f t="shared" si="143"/>
        <v>1500</v>
      </c>
      <c r="I101" s="32">
        <f>I16*AVERAGE(H100:I100)</f>
        <v>3000.0000000000009</v>
      </c>
      <c r="J101" s="32">
        <f t="shared" ref="J101:M101" si="144">J16*AVERAGE(I100:J100)</f>
        <v>3000.0000000000009</v>
      </c>
      <c r="K101" s="32">
        <f t="shared" si="144"/>
        <v>2000.0000000000009</v>
      </c>
      <c r="L101" s="32">
        <f t="shared" si="144"/>
        <v>1000.0000000000008</v>
      </c>
      <c r="M101" s="32">
        <f t="shared" si="144"/>
        <v>1000.0000000000008</v>
      </c>
    </row>
    <row r="102" spans="1:13" x14ac:dyDescent="0.3">
      <c r="A102" s="41"/>
      <c r="B102" s="41"/>
      <c r="C102" s="41"/>
      <c r="D102" s="32"/>
      <c r="E102" s="32"/>
      <c r="F102" s="32"/>
      <c r="G102" s="32"/>
      <c r="H102" s="32"/>
    </row>
    <row r="103" spans="1:13" x14ac:dyDescent="0.3">
      <c r="A103" s="49" t="s">
        <v>11</v>
      </c>
      <c r="B103" s="43"/>
      <c r="C103" s="43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13" hidden="1" outlineLevel="1" x14ac:dyDescent="0.3"/>
    <row r="105" spans="1:13" hidden="1" outlineLevel="1" x14ac:dyDescent="0.3">
      <c r="A105" t="s">
        <v>12</v>
      </c>
      <c r="D105" s="32">
        <f>D27</f>
        <v>102007</v>
      </c>
      <c r="E105" s="32">
        <f t="shared" ref="E105:M105" si="145">E27</f>
        <v>118086</v>
      </c>
      <c r="F105" s="32">
        <f t="shared" si="145"/>
        <v>131345</v>
      </c>
      <c r="G105" s="32">
        <f t="shared" si="145"/>
        <v>142341</v>
      </c>
      <c r="H105" s="32">
        <f t="shared" si="145"/>
        <v>150772</v>
      </c>
      <c r="I105" s="32">
        <f t="shared" si="145"/>
        <v>165849.20000000001</v>
      </c>
      <c r="J105" s="32">
        <f t="shared" si="145"/>
        <v>182434.12000000002</v>
      </c>
      <c r="K105" s="32">
        <f t="shared" si="145"/>
        <v>200677.53200000004</v>
      </c>
      <c r="L105" s="32">
        <f t="shared" si="145"/>
        <v>220745.28520000007</v>
      </c>
      <c r="M105" s="32">
        <f t="shared" si="145"/>
        <v>242819.81372000009</v>
      </c>
    </row>
    <row r="106" spans="1:13" hidden="1" outlineLevel="1" x14ac:dyDescent="0.3">
      <c r="A106" t="s">
        <v>83</v>
      </c>
      <c r="D106" s="27">
        <f>D29/D27</f>
        <v>0.61744782220827987</v>
      </c>
      <c r="E106" s="27">
        <f t="shared" ref="E106:M106" si="146">E29/E27</f>
        <v>0.59348271598665381</v>
      </c>
      <c r="F106" s="27">
        <f t="shared" si="146"/>
        <v>0.62600022840610603</v>
      </c>
      <c r="G106" s="27">
        <f t="shared" si="146"/>
        <v>0.63008549890755294</v>
      </c>
      <c r="H106" s="27">
        <f t="shared" si="146"/>
        <v>0.62386915342371263</v>
      </c>
      <c r="I106" s="27">
        <f t="shared" si="146"/>
        <v>0.57999999999999996</v>
      </c>
      <c r="J106" s="27">
        <f t="shared" si="146"/>
        <v>0.53</v>
      </c>
      <c r="K106" s="27">
        <f t="shared" si="146"/>
        <v>0.5</v>
      </c>
      <c r="L106" s="27">
        <f t="shared" si="146"/>
        <v>0.64</v>
      </c>
      <c r="M106" s="27">
        <f t="shared" si="146"/>
        <v>0.65</v>
      </c>
    </row>
    <row r="107" spans="1:13" hidden="1" outlineLevel="1" x14ac:dyDescent="0.3"/>
    <row r="108" spans="1:13" hidden="1" outlineLevel="1" x14ac:dyDescent="0.3">
      <c r="A108" t="s">
        <v>42</v>
      </c>
      <c r="D108" s="16">
        <f>D67</f>
        <v>12971</v>
      </c>
      <c r="E108" s="16">
        <f t="shared" ref="E108:M108" si="147">E67</f>
        <v>28239</v>
      </c>
      <c r="F108" s="16">
        <f t="shared" si="147"/>
        <v>37505</v>
      </c>
      <c r="G108" s="16">
        <f t="shared" si="147"/>
        <v>42354</v>
      </c>
      <c r="H108" s="16">
        <f t="shared" si="147"/>
        <v>43480</v>
      </c>
      <c r="I108" s="16">
        <f t="shared" si="147"/>
        <v>35660.749642739727</v>
      </c>
      <c r="J108" s="16">
        <f t="shared" si="147"/>
        <v>32284.748762356165</v>
      </c>
      <c r="K108" s="16">
        <f t="shared" si="147"/>
        <v>33092.1214991589</v>
      </c>
      <c r="L108" s="16">
        <f t="shared" si="147"/>
        <v>69569.248091132773</v>
      </c>
      <c r="M108" s="16">
        <f t="shared" si="147"/>
        <v>74184.041295148636</v>
      </c>
    </row>
    <row r="109" spans="1:13" hidden="1" outlineLevel="1" x14ac:dyDescent="0.3">
      <c r="A109" t="s">
        <v>46</v>
      </c>
      <c r="D109" s="16">
        <f>-D71</f>
        <v>-15000</v>
      </c>
      <c r="E109" s="16">
        <f t="shared" ref="E109:M109" si="148">-E71</f>
        <v>-15000</v>
      </c>
      <c r="F109" s="16">
        <f t="shared" si="148"/>
        <v>-15000</v>
      </c>
      <c r="G109" s="16">
        <f t="shared" si="148"/>
        <v>-15000</v>
      </c>
      <c r="H109" s="16">
        <f t="shared" si="148"/>
        <v>-15000</v>
      </c>
      <c r="I109" s="16">
        <f t="shared" si="148"/>
        <v>-15000</v>
      </c>
      <c r="J109" s="16">
        <f t="shared" si="148"/>
        <v>-15000</v>
      </c>
      <c r="K109" s="16">
        <f t="shared" si="148"/>
        <v>-15000</v>
      </c>
      <c r="L109" s="16">
        <f t="shared" si="148"/>
        <v>-15000</v>
      </c>
      <c r="M109" s="16">
        <f t="shared" si="148"/>
        <v>-15000</v>
      </c>
    </row>
    <row r="110" spans="1:13" hidden="1" outlineLevel="1" x14ac:dyDescent="0.3">
      <c r="A110" t="s">
        <v>49</v>
      </c>
      <c r="D110" s="16">
        <f>D76</f>
        <v>70000</v>
      </c>
      <c r="E110" s="16">
        <f t="shared" ref="E110:M110" si="149">E76</f>
        <v>0</v>
      </c>
      <c r="F110" s="16">
        <f t="shared" si="149"/>
        <v>-20000</v>
      </c>
      <c r="G110" s="16">
        <f t="shared" si="149"/>
        <v>0</v>
      </c>
      <c r="H110" s="16">
        <f t="shared" si="149"/>
        <v>0</v>
      </c>
      <c r="I110" s="16">
        <f t="shared" si="149"/>
        <v>0</v>
      </c>
      <c r="J110" s="16">
        <f t="shared" si="149"/>
        <v>0</v>
      </c>
      <c r="K110" s="16">
        <f t="shared" si="149"/>
        <v>-20000</v>
      </c>
      <c r="L110" s="16">
        <f t="shared" si="149"/>
        <v>0</v>
      </c>
      <c r="M110" s="16">
        <f t="shared" si="149"/>
        <v>0</v>
      </c>
    </row>
    <row r="111" spans="1:13" hidden="1" outlineLevel="1" x14ac:dyDescent="0.3"/>
    <row r="112" spans="1:13" hidden="1" outlineLevel="1" x14ac:dyDescent="0.3"/>
    <row r="113" spans="1:13" hidden="1" outlineLevel="1" x14ac:dyDescent="0.3"/>
    <row r="114" spans="1:13" hidden="1" outlineLevel="1" x14ac:dyDescent="0.3"/>
    <row r="115" spans="1:13" hidden="1" outlineLevel="1" x14ac:dyDescent="0.3"/>
    <row r="116" spans="1:13" hidden="1" outlineLevel="1" x14ac:dyDescent="0.3"/>
    <row r="117" spans="1:13" hidden="1" outlineLevel="1" x14ac:dyDescent="0.3"/>
    <row r="118" spans="1:13" hidden="1" outlineLevel="1" x14ac:dyDescent="0.3"/>
    <row r="119" spans="1:13" hidden="1" outlineLevel="1" x14ac:dyDescent="0.3"/>
    <row r="120" spans="1:13" hidden="1" outlineLevel="1" x14ac:dyDescent="0.3"/>
    <row r="121" spans="1:13" hidden="1" outlineLevel="1" x14ac:dyDescent="0.3">
      <c r="J121" s="44"/>
    </row>
    <row r="122" spans="1:13" hidden="1" outlineLevel="1" x14ac:dyDescent="0.3"/>
    <row r="123" spans="1:13" hidden="1" outlineLevel="1" x14ac:dyDescent="0.3"/>
    <row r="124" spans="1:13" hidden="1" outlineLevel="1" x14ac:dyDescent="0.3"/>
    <row r="125" spans="1:13" collapsed="1" x14ac:dyDescent="0.3"/>
    <row r="126" spans="1:13" x14ac:dyDescent="0.3">
      <c r="A126" s="49" t="s">
        <v>84</v>
      </c>
      <c r="B126" s="43"/>
      <c r="C126" s="43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13" outlineLevel="1" x14ac:dyDescent="0.3"/>
    <row r="128" spans="1:13" outlineLevel="1" x14ac:dyDescent="0.3">
      <c r="A128" s="50" t="s">
        <v>85</v>
      </c>
      <c r="B128" s="6"/>
      <c r="C128" s="6"/>
    </row>
    <row r="129" spans="1:13" outlineLevel="1" x14ac:dyDescent="0.3">
      <c r="A129" t="s">
        <v>86</v>
      </c>
      <c r="C129" s="51">
        <v>0.25</v>
      </c>
    </row>
    <row r="130" spans="1:13" outlineLevel="1" x14ac:dyDescent="0.3">
      <c r="A130" t="s">
        <v>87</v>
      </c>
      <c r="C130" s="51">
        <v>0.12</v>
      </c>
    </row>
    <row r="131" spans="1:13" outlineLevel="1" x14ac:dyDescent="0.3">
      <c r="A131" t="s">
        <v>88</v>
      </c>
      <c r="C131" s="51">
        <v>0.04</v>
      </c>
    </row>
    <row r="132" spans="1:13" outlineLevel="1" x14ac:dyDescent="0.3">
      <c r="A132" t="s">
        <v>89</v>
      </c>
      <c r="C132" s="52">
        <v>8</v>
      </c>
    </row>
    <row r="133" spans="1:13" outlineLevel="1" x14ac:dyDescent="0.3">
      <c r="A133" t="s">
        <v>90</v>
      </c>
      <c r="C133" s="53">
        <v>43190</v>
      </c>
    </row>
    <row r="134" spans="1:13" outlineLevel="1" x14ac:dyDescent="0.3">
      <c r="A134" t="s">
        <v>91</v>
      </c>
      <c r="C134" s="53">
        <v>47118</v>
      </c>
    </row>
    <row r="135" spans="1:13" outlineLevel="1" x14ac:dyDescent="0.3">
      <c r="A135" t="s">
        <v>92</v>
      </c>
      <c r="C135" s="55">
        <v>16</v>
      </c>
    </row>
    <row r="136" spans="1:13" outlineLevel="1" x14ac:dyDescent="0.3">
      <c r="A136" t="s">
        <v>93</v>
      </c>
      <c r="C136" s="10">
        <v>20000</v>
      </c>
    </row>
    <row r="137" spans="1:13" outlineLevel="1" x14ac:dyDescent="0.3"/>
    <row r="138" spans="1:13" outlineLevel="1" x14ac:dyDescent="0.3"/>
    <row r="139" spans="1:13" outlineLevel="1" x14ac:dyDescent="0.3">
      <c r="A139" s="50" t="s">
        <v>94</v>
      </c>
      <c r="B139" s="6"/>
      <c r="C139" s="56" t="s">
        <v>95</v>
      </c>
      <c r="D139" s="50">
        <f>YEAR(C133)</f>
        <v>2018</v>
      </c>
      <c r="E139" s="50">
        <f>D139+1</f>
        <v>2019</v>
      </c>
      <c r="F139" s="50">
        <f t="shared" ref="F139:H139" si="150">E139+1</f>
        <v>2020</v>
      </c>
      <c r="G139" s="50">
        <f t="shared" si="150"/>
        <v>2021</v>
      </c>
      <c r="H139" s="50">
        <f t="shared" si="150"/>
        <v>2022</v>
      </c>
      <c r="I139" s="56" t="s">
        <v>96</v>
      </c>
      <c r="K139" s="50" t="s">
        <v>97</v>
      </c>
      <c r="L139" s="6"/>
      <c r="M139" s="6"/>
    </row>
    <row r="140" spans="1:13" outlineLevel="1" x14ac:dyDescent="0.3">
      <c r="A140" t="s">
        <v>99</v>
      </c>
      <c r="C140" s="53">
        <f>C133</f>
        <v>43190</v>
      </c>
      <c r="D140" s="53">
        <f>DATE(YEAR($C$133)+D141,MONTH($C$134),DAY($C$134))</f>
        <v>43465</v>
      </c>
      <c r="E140" s="53">
        <f t="shared" ref="E140:H140" si="151">DATE(YEAR($C$133)+E141,MONTH($C$134),DAY($C$134))</f>
        <v>43830</v>
      </c>
      <c r="F140" s="53">
        <f t="shared" si="151"/>
        <v>44196</v>
      </c>
      <c r="G140" s="53">
        <f t="shared" si="151"/>
        <v>44561</v>
      </c>
      <c r="H140" s="53">
        <f t="shared" si="151"/>
        <v>44926</v>
      </c>
      <c r="I140" s="53">
        <f>H140</f>
        <v>44926</v>
      </c>
      <c r="K140" t="s">
        <v>98</v>
      </c>
      <c r="M140" s="32">
        <f>C132*H144</f>
        <v>812428.08468480036</v>
      </c>
    </row>
    <row r="141" spans="1:13" outlineLevel="1" x14ac:dyDescent="0.3">
      <c r="A141" t="s">
        <v>101</v>
      </c>
      <c r="D141">
        <v>0</v>
      </c>
      <c r="E141">
        <f>D141+1</f>
        <v>1</v>
      </c>
      <c r="F141">
        <f t="shared" ref="F141:H141" si="152">E141+1</f>
        <v>2</v>
      </c>
      <c r="G141">
        <f t="shared" si="152"/>
        <v>3</v>
      </c>
      <c r="H141">
        <f t="shared" si="152"/>
        <v>4</v>
      </c>
      <c r="K141" t="s">
        <v>127</v>
      </c>
      <c r="M141" s="34">
        <f>(H153*(1+C131))/(C130-C131)</f>
        <v>816278.42697246338</v>
      </c>
    </row>
    <row r="142" spans="1:13" outlineLevel="1" x14ac:dyDescent="0.3">
      <c r="A142" t="s">
        <v>100</v>
      </c>
      <c r="D142">
        <f>YEARFRAC(C140,D140)</f>
        <v>0.75</v>
      </c>
      <c r="E142" s="54">
        <f t="shared" ref="E142:H142" si="153">YEARFRAC(D140,E140)</f>
        <v>1</v>
      </c>
      <c r="F142" s="54">
        <f t="shared" si="153"/>
        <v>1</v>
      </c>
      <c r="G142" s="54">
        <f t="shared" si="153"/>
        <v>1</v>
      </c>
      <c r="H142" s="54">
        <f t="shared" si="153"/>
        <v>1</v>
      </c>
      <c r="I142" s="54">
        <v>1</v>
      </c>
      <c r="K142" s="3" t="s">
        <v>111</v>
      </c>
      <c r="L142" s="3"/>
      <c r="M142" s="60">
        <f>AVERAGE(M140:M141)</f>
        <v>814353.25582863181</v>
      </c>
    </row>
    <row r="143" spans="1:13" outlineLevel="1" x14ac:dyDescent="0.3"/>
    <row r="144" spans="1:13" outlineLevel="1" x14ac:dyDescent="0.3">
      <c r="A144" s="58" t="s">
        <v>102</v>
      </c>
      <c r="B144" s="58"/>
      <c r="C144" s="58"/>
      <c r="D144" s="59">
        <f>D146+D150</f>
        <v>52998.172000000006</v>
      </c>
      <c r="E144" s="59">
        <f t="shared" ref="E144:H144" si="154">E146+E150</f>
        <v>50676.283200000005</v>
      </c>
      <c r="F144" s="59">
        <f t="shared" si="154"/>
        <v>51223.585560000007</v>
      </c>
      <c r="G144" s="59">
        <f t="shared" si="154"/>
        <v>88750.284044000044</v>
      </c>
      <c r="H144" s="59">
        <f t="shared" si="154"/>
        <v>101553.51058560004</v>
      </c>
    </row>
    <row r="145" spans="1:11" outlineLevel="1" x14ac:dyDescent="0.3"/>
    <row r="146" spans="1:11" outlineLevel="1" x14ac:dyDescent="0.3">
      <c r="A146" t="s">
        <v>103</v>
      </c>
      <c r="D146" s="32">
        <f>I37+I35</f>
        <v>39865.822</v>
      </c>
      <c r="E146" s="32">
        <f t="shared" ref="E146:H146" si="155">J37+J35</f>
        <v>36890.255700000002</v>
      </c>
      <c r="F146" s="32">
        <f t="shared" si="155"/>
        <v>37012.667685000008</v>
      </c>
      <c r="G146" s="32">
        <f t="shared" si="155"/>
        <v>74263.187425250042</v>
      </c>
      <c r="H146" s="32">
        <f t="shared" si="155"/>
        <v>86886.89778341254</v>
      </c>
    </row>
    <row r="147" spans="1:11" outlineLevel="1" x14ac:dyDescent="0.3">
      <c r="A147" t="s">
        <v>104</v>
      </c>
      <c r="D147" s="32">
        <f>D146*$C$129</f>
        <v>9966.4555</v>
      </c>
      <c r="E147" s="32">
        <f t="shared" ref="E147:H147" si="156">E146*$C$129</f>
        <v>9222.5639250000004</v>
      </c>
      <c r="F147" s="32">
        <f t="shared" si="156"/>
        <v>9253.1669212500019</v>
      </c>
      <c r="G147" s="32">
        <f t="shared" si="156"/>
        <v>18565.79685631251</v>
      </c>
      <c r="H147" s="32">
        <f t="shared" si="156"/>
        <v>21721.724445853135</v>
      </c>
    </row>
    <row r="148" spans="1:11" outlineLevel="1" x14ac:dyDescent="0.3">
      <c r="A148" s="58" t="s">
        <v>105</v>
      </c>
      <c r="B148" s="58"/>
      <c r="C148" s="58"/>
      <c r="D148" s="59">
        <f>D146-D147</f>
        <v>29899.3665</v>
      </c>
      <c r="E148" s="59">
        <f t="shared" ref="E148:H148" si="157">E146-E147</f>
        <v>27667.691774999999</v>
      </c>
      <c r="F148" s="59">
        <f t="shared" si="157"/>
        <v>27759.500763750006</v>
      </c>
      <c r="G148" s="59">
        <f t="shared" si="157"/>
        <v>55697.390568937531</v>
      </c>
      <c r="H148" s="59">
        <f t="shared" si="157"/>
        <v>65165.173337559405</v>
      </c>
    </row>
    <row r="149" spans="1:11" outlineLevel="1" x14ac:dyDescent="0.3">
      <c r="D149" s="55"/>
    </row>
    <row r="150" spans="1:11" outlineLevel="1" x14ac:dyDescent="0.3">
      <c r="A150" t="s">
        <v>106</v>
      </c>
      <c r="D150" s="32">
        <f>I34</f>
        <v>13132.350000000002</v>
      </c>
      <c r="E150" s="32">
        <f t="shared" ref="E150:H150" si="158">J34</f>
        <v>13786.027500000002</v>
      </c>
      <c r="F150" s="32">
        <f t="shared" si="158"/>
        <v>14210.917875000001</v>
      </c>
      <c r="G150" s="32">
        <f t="shared" si="158"/>
        <v>14487.096618750002</v>
      </c>
      <c r="H150" s="32">
        <f t="shared" si="158"/>
        <v>14666.612802187501</v>
      </c>
    </row>
    <row r="151" spans="1:11" outlineLevel="1" x14ac:dyDescent="0.3">
      <c r="A151" t="s">
        <v>107</v>
      </c>
      <c r="D151" s="32">
        <f>I89</f>
        <v>3174.9921972602751</v>
      </c>
      <c r="E151" s="32">
        <f t="shared" ref="E151:H151" si="159">J89</f>
        <v>5062.2628416438347</v>
      </c>
      <c r="F151" s="32">
        <f t="shared" si="159"/>
        <v>5767.9171090411037</v>
      </c>
      <c r="G151" s="32">
        <f t="shared" si="159"/>
        <v>-2612.6565262027434</v>
      </c>
      <c r="H151" s="32">
        <f t="shared" si="159"/>
        <v>2041.1379110958915</v>
      </c>
    </row>
    <row r="152" spans="1:11" outlineLevel="1" x14ac:dyDescent="0.3">
      <c r="A152" t="s">
        <v>108</v>
      </c>
      <c r="D152" s="16">
        <f>I93</f>
        <v>15000</v>
      </c>
      <c r="E152" s="16">
        <f t="shared" ref="E152:H152" si="160">J93</f>
        <v>15000</v>
      </c>
      <c r="F152" s="16">
        <f t="shared" si="160"/>
        <v>15000</v>
      </c>
      <c r="G152" s="16">
        <f t="shared" si="160"/>
        <v>15000</v>
      </c>
      <c r="H152" s="16">
        <f t="shared" si="160"/>
        <v>15000</v>
      </c>
    </row>
    <row r="153" spans="1:11" ht="17.25" outlineLevel="1" thickBot="1" x14ac:dyDescent="0.35">
      <c r="A153" s="13" t="s">
        <v>109</v>
      </c>
      <c r="B153" s="13"/>
      <c r="C153" s="13"/>
      <c r="D153" s="57">
        <f>D148+D150-SUM(D151:D152)</f>
        <v>24856.724302739727</v>
      </c>
      <c r="E153" s="57">
        <f t="shared" ref="E153:H153" si="161">E148+E150-SUM(E151:E152)</f>
        <v>21391.456433356168</v>
      </c>
      <c r="F153" s="57">
        <f t="shared" si="161"/>
        <v>21202.501529708905</v>
      </c>
      <c r="G153" s="57">
        <f t="shared" si="161"/>
        <v>57797.143713890284</v>
      </c>
      <c r="H153" s="57">
        <f t="shared" si="161"/>
        <v>62790.648228651015</v>
      </c>
      <c r="I153" s="57">
        <f>M142</f>
        <v>814353.25582863181</v>
      </c>
    </row>
    <row r="154" spans="1:11" ht="17.25" outlineLevel="1" thickTop="1" x14ac:dyDescent="0.3"/>
    <row r="155" spans="1:11" outlineLevel="1" x14ac:dyDescent="0.3">
      <c r="A155" s="3" t="s">
        <v>110</v>
      </c>
      <c r="C155" s="62">
        <v>0</v>
      </c>
      <c r="D155" s="32">
        <f>D153*D142</f>
        <v>18642.543227054797</v>
      </c>
      <c r="E155" s="32">
        <f t="shared" ref="E155:I155" si="162">E153*E142</f>
        <v>21391.456433356168</v>
      </c>
      <c r="F155" s="32">
        <f t="shared" si="162"/>
        <v>21202.501529708905</v>
      </c>
      <c r="G155" s="32">
        <f t="shared" si="162"/>
        <v>57797.143713890284</v>
      </c>
      <c r="H155" s="32">
        <f t="shared" si="162"/>
        <v>62790.648228651015</v>
      </c>
      <c r="I155" s="32">
        <f t="shared" si="162"/>
        <v>814353.25582863181</v>
      </c>
    </row>
    <row r="156" spans="1:11" outlineLevel="1" x14ac:dyDescent="0.3">
      <c r="A156" s="3"/>
      <c r="D156" s="32"/>
      <c r="E156" s="32"/>
      <c r="F156" s="32"/>
      <c r="G156" s="32"/>
      <c r="H156" s="32"/>
      <c r="I156" s="32"/>
    </row>
    <row r="157" spans="1:11" outlineLevel="1" x14ac:dyDescent="0.3">
      <c r="A157" s="3" t="s">
        <v>112</v>
      </c>
      <c r="C157" s="32">
        <f>-G163</f>
        <v>-210450</v>
      </c>
      <c r="D157" s="32">
        <f>D155</f>
        <v>18642.543227054797</v>
      </c>
      <c r="E157" s="32">
        <f t="shared" ref="E157:I157" si="163">E155</f>
        <v>21391.456433356168</v>
      </c>
      <c r="F157" s="32">
        <f t="shared" si="163"/>
        <v>21202.501529708905</v>
      </c>
      <c r="G157" s="32">
        <f t="shared" si="163"/>
        <v>57797.143713890284</v>
      </c>
      <c r="H157" s="32">
        <f t="shared" si="163"/>
        <v>62790.648228651015</v>
      </c>
      <c r="I157" s="32">
        <f t="shared" si="163"/>
        <v>814353.25582863181</v>
      </c>
    </row>
    <row r="158" spans="1:11" outlineLevel="1" x14ac:dyDescent="0.3">
      <c r="A158" s="3"/>
    </row>
    <row r="159" spans="1:11" outlineLevel="1" x14ac:dyDescent="0.3">
      <c r="A159" s="50" t="s">
        <v>113</v>
      </c>
      <c r="B159" s="6"/>
      <c r="C159" s="6"/>
      <c r="E159" s="50" t="s">
        <v>119</v>
      </c>
      <c r="F159" s="50"/>
      <c r="G159" s="50"/>
      <c r="I159" s="50" t="s">
        <v>123</v>
      </c>
      <c r="J159" s="6"/>
      <c r="K159" s="6"/>
    </row>
    <row r="160" spans="1:11" outlineLevel="1" x14ac:dyDescent="0.3">
      <c r="A160" t="s">
        <v>114</v>
      </c>
      <c r="C160" s="32">
        <f>XNPV(C130,C155:I155,C140:I140)</f>
        <v>599588.32247670309</v>
      </c>
      <c r="E160" t="s">
        <v>120</v>
      </c>
      <c r="G160" s="32">
        <f>C135*C136</f>
        <v>320000</v>
      </c>
      <c r="I160" t="s">
        <v>92</v>
      </c>
      <c r="K160" s="55">
        <f>G165</f>
        <v>16</v>
      </c>
    </row>
    <row r="161" spans="1:11" outlineLevel="1" x14ac:dyDescent="0.3">
      <c r="A161" s="7" t="s">
        <v>115</v>
      </c>
      <c r="C161" s="32">
        <f>H45</f>
        <v>139550</v>
      </c>
      <c r="E161" t="s">
        <v>121</v>
      </c>
      <c r="G161" s="32">
        <f>C162</f>
        <v>30000</v>
      </c>
      <c r="I161" t="s">
        <v>124</v>
      </c>
      <c r="K161" s="55">
        <f>C165</f>
        <v>35.456916123835157</v>
      </c>
    </row>
    <row r="162" spans="1:11" outlineLevel="1" x14ac:dyDescent="0.3">
      <c r="A162" s="7" t="s">
        <v>116</v>
      </c>
      <c r="C162" s="34">
        <f>H53</f>
        <v>30000</v>
      </c>
      <c r="E162" t="s">
        <v>122</v>
      </c>
      <c r="G162" s="34">
        <f>C161</f>
        <v>139550</v>
      </c>
      <c r="I162" t="s">
        <v>125</v>
      </c>
      <c r="K162" s="61">
        <f>K161/K160-1</f>
        <v>1.2160572577396973</v>
      </c>
    </row>
    <row r="163" spans="1:11" outlineLevel="1" x14ac:dyDescent="0.3">
      <c r="A163" s="7" t="s">
        <v>117</v>
      </c>
      <c r="C163" s="32">
        <f>C160+C161-C162</f>
        <v>709138.32247670309</v>
      </c>
      <c r="E163" t="s">
        <v>114</v>
      </c>
      <c r="G163" s="32">
        <f>G160+G161-G162</f>
        <v>210450</v>
      </c>
      <c r="I163" t="s">
        <v>126</v>
      </c>
      <c r="K163" s="61">
        <f>XIRR(C157:I157,C140:I140)</f>
        <v>0.42715888619422915</v>
      </c>
    </row>
    <row r="164" spans="1:11" outlineLevel="1" x14ac:dyDescent="0.3"/>
    <row r="165" spans="1:11" outlineLevel="1" x14ac:dyDescent="0.3">
      <c r="A165" s="3" t="s">
        <v>118</v>
      </c>
      <c r="C165" s="65">
        <f>C163/C136</f>
        <v>35.456916123835157</v>
      </c>
      <c r="E165" s="3" t="s">
        <v>118</v>
      </c>
      <c r="G165" s="65">
        <f>G160/C136</f>
        <v>16</v>
      </c>
    </row>
  </sheetData>
  <sheetProtection algorithmName="SHA-512" hashValue="RByaK+VPt/1026aD6E59fFPcGb6HYDF5UeVWXuM+lWyd4zTNP4P1Y1sOSpS/0NFypz86xpTzZQbTZ6kePBVRSQ==" saltValue="sti7CfhQ3/JAcK3JBeVCaw==" spinCount="100000" sheet="1" objects="1" scenarios="1"/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71A4-F2EC-44ED-9010-D87D09C60FFB}">
  <dimension ref="A2:F53"/>
  <sheetViews>
    <sheetView workbookViewId="0">
      <selection activeCell="D10" sqref="D10"/>
    </sheetView>
  </sheetViews>
  <sheetFormatPr defaultRowHeight="16.5" x14ac:dyDescent="0.3"/>
  <cols>
    <col min="1" max="1" width="35.7109375" bestFit="1" customWidth="1"/>
  </cols>
  <sheetData>
    <row r="2" spans="1:6" x14ac:dyDescent="0.3">
      <c r="A2" t="s">
        <v>7</v>
      </c>
      <c r="B2" s="3">
        <v>2013</v>
      </c>
      <c r="C2" s="3">
        <v>2014</v>
      </c>
      <c r="D2" s="3">
        <v>2015</v>
      </c>
      <c r="E2" s="3">
        <v>2016</v>
      </c>
      <c r="F2" s="3">
        <v>2017</v>
      </c>
    </row>
    <row r="3" spans="1:6" x14ac:dyDescent="0.3">
      <c r="A3" s="3" t="s">
        <v>12</v>
      </c>
      <c r="B3" s="12">
        <v>102007</v>
      </c>
      <c r="C3" s="12">
        <v>118086</v>
      </c>
      <c r="D3" s="12">
        <v>131345</v>
      </c>
      <c r="E3" s="12">
        <v>142341</v>
      </c>
      <c r="F3" s="12">
        <v>150772</v>
      </c>
    </row>
    <row r="4" spans="1:6" x14ac:dyDescent="0.3">
      <c r="A4" t="s">
        <v>14</v>
      </c>
      <c r="B4" s="12">
        <v>39023</v>
      </c>
      <c r="C4" s="12">
        <v>48004</v>
      </c>
      <c r="D4" s="12">
        <v>49123</v>
      </c>
      <c r="E4" s="12">
        <v>52654</v>
      </c>
      <c r="F4" s="12">
        <v>56710</v>
      </c>
    </row>
    <row r="5" spans="1:6" x14ac:dyDescent="0.3">
      <c r="A5" t="s">
        <v>25</v>
      </c>
      <c r="B5" s="12">
        <v>62984</v>
      </c>
      <c r="C5" s="12">
        <v>70082</v>
      </c>
      <c r="D5" s="12">
        <v>82222</v>
      </c>
      <c r="E5" s="12">
        <v>89687</v>
      </c>
      <c r="F5" s="12">
        <v>94062</v>
      </c>
    </row>
    <row r="6" spans="1:6" x14ac:dyDescent="0.3">
      <c r="A6" s="3" t="s">
        <v>16</v>
      </c>
      <c r="B6" s="12"/>
      <c r="C6" s="12"/>
      <c r="D6" s="12"/>
      <c r="E6" s="12"/>
      <c r="F6" s="12"/>
    </row>
    <row r="7" spans="1:6" x14ac:dyDescent="0.3">
      <c r="A7" t="s">
        <v>26</v>
      </c>
      <c r="B7" s="12">
        <v>26427</v>
      </c>
      <c r="C7" s="12">
        <v>22658</v>
      </c>
      <c r="D7" s="12">
        <v>23872</v>
      </c>
      <c r="E7" s="12">
        <v>23002</v>
      </c>
      <c r="F7" s="12">
        <v>25245</v>
      </c>
    </row>
    <row r="8" spans="1:6" x14ac:dyDescent="0.3">
      <c r="A8" t="s">
        <v>18</v>
      </c>
      <c r="B8" s="12">
        <v>10963</v>
      </c>
      <c r="C8" s="12">
        <v>10125</v>
      </c>
      <c r="D8" s="12">
        <v>10087</v>
      </c>
      <c r="E8" s="12">
        <v>11020</v>
      </c>
      <c r="F8" s="12">
        <v>11412</v>
      </c>
    </row>
    <row r="9" spans="1:6" x14ac:dyDescent="0.3">
      <c r="A9" t="s">
        <v>19</v>
      </c>
      <c r="B9" s="12">
        <v>19500</v>
      </c>
      <c r="C9" s="12">
        <v>18150</v>
      </c>
      <c r="D9" s="12">
        <v>17205</v>
      </c>
      <c r="E9" s="12">
        <v>16544</v>
      </c>
      <c r="F9" s="12">
        <v>16080</v>
      </c>
    </row>
    <row r="10" spans="1:6" x14ac:dyDescent="0.3">
      <c r="A10" t="s">
        <v>20</v>
      </c>
      <c r="B10" s="12">
        <v>2500</v>
      </c>
      <c r="C10" s="12">
        <v>2500</v>
      </c>
      <c r="D10" s="12">
        <v>1500</v>
      </c>
      <c r="E10" s="12">
        <v>1500</v>
      </c>
      <c r="F10" s="12">
        <v>1500</v>
      </c>
    </row>
    <row r="11" spans="1:6" x14ac:dyDescent="0.3">
      <c r="A11" s="3" t="s">
        <v>21</v>
      </c>
      <c r="B11" s="12">
        <v>59390</v>
      </c>
      <c r="C11" s="12">
        <v>53433</v>
      </c>
      <c r="D11" s="12">
        <v>52664</v>
      </c>
      <c r="E11" s="12">
        <v>52066</v>
      </c>
      <c r="F11" s="12">
        <v>54237</v>
      </c>
    </row>
    <row r="12" spans="1:6" x14ac:dyDescent="0.3">
      <c r="A12" t="s">
        <v>27</v>
      </c>
      <c r="B12" s="12">
        <v>3594</v>
      </c>
      <c r="C12" s="12">
        <v>16649</v>
      </c>
      <c r="D12" s="12">
        <v>29558</v>
      </c>
      <c r="E12" s="12">
        <v>37622</v>
      </c>
      <c r="F12" s="12">
        <v>39825</v>
      </c>
    </row>
    <row r="13" spans="1:6" x14ac:dyDescent="0.3">
      <c r="B13" s="12"/>
      <c r="C13" s="12"/>
      <c r="D13" s="12"/>
      <c r="E13" s="12"/>
      <c r="F13" s="12"/>
    </row>
    <row r="14" spans="1:6" x14ac:dyDescent="0.3">
      <c r="A14" t="s">
        <v>23</v>
      </c>
      <c r="B14" s="12">
        <v>1120</v>
      </c>
      <c r="C14" s="12">
        <v>4858</v>
      </c>
      <c r="D14" s="12">
        <v>8483</v>
      </c>
      <c r="E14" s="12">
        <v>10908</v>
      </c>
      <c r="F14" s="12">
        <v>11598</v>
      </c>
    </row>
    <row r="15" spans="1:6" x14ac:dyDescent="0.3">
      <c r="A15" t="s">
        <v>24</v>
      </c>
      <c r="B15" s="12">
        <v>2474</v>
      </c>
      <c r="C15" s="12">
        <v>11791</v>
      </c>
      <c r="D15" s="12">
        <v>21075</v>
      </c>
      <c r="E15" s="12">
        <v>26713</v>
      </c>
      <c r="F15" s="12">
        <v>28227</v>
      </c>
    </row>
    <row r="16" spans="1:6" x14ac:dyDescent="0.3">
      <c r="B16" s="12"/>
      <c r="C16" s="12"/>
      <c r="D16" s="12"/>
      <c r="E16" s="12"/>
      <c r="F16" s="12"/>
    </row>
    <row r="17" spans="1:6" x14ac:dyDescent="0.3">
      <c r="A17" t="s">
        <v>8</v>
      </c>
      <c r="B17" s="12"/>
      <c r="C17" s="12"/>
      <c r="D17" s="12"/>
      <c r="E17" s="12"/>
      <c r="F17" s="12"/>
    </row>
    <row r="18" spans="1:6" x14ac:dyDescent="0.3">
      <c r="A18" s="3" t="s">
        <v>28</v>
      </c>
      <c r="B18" s="12"/>
      <c r="C18" s="12"/>
      <c r="D18" s="12"/>
      <c r="E18" s="12"/>
      <c r="F18" s="12"/>
    </row>
    <row r="19" spans="1:6" x14ac:dyDescent="0.3">
      <c r="A19" t="s">
        <v>29</v>
      </c>
      <c r="B19" s="12">
        <v>67971</v>
      </c>
      <c r="C19" s="12">
        <v>81210</v>
      </c>
      <c r="D19" s="12">
        <v>83715</v>
      </c>
      <c r="E19" s="12">
        <v>111069</v>
      </c>
      <c r="F19" s="12">
        <v>139550</v>
      </c>
    </row>
    <row r="20" spans="1:6" x14ac:dyDescent="0.3">
      <c r="A20" t="s">
        <v>30</v>
      </c>
      <c r="B20" s="12">
        <v>5100</v>
      </c>
      <c r="C20" s="12">
        <v>5904</v>
      </c>
      <c r="D20" s="12">
        <v>6567</v>
      </c>
      <c r="E20" s="12">
        <v>7117</v>
      </c>
      <c r="F20" s="12">
        <v>7539</v>
      </c>
    </row>
    <row r="21" spans="1:6" x14ac:dyDescent="0.3">
      <c r="A21" t="s">
        <v>31</v>
      </c>
      <c r="B21" s="12">
        <v>7805</v>
      </c>
      <c r="C21" s="12">
        <v>9601</v>
      </c>
      <c r="D21" s="12">
        <v>9825</v>
      </c>
      <c r="E21" s="12">
        <v>10531</v>
      </c>
      <c r="F21" s="12">
        <v>11342</v>
      </c>
    </row>
    <row r="22" spans="1:6" x14ac:dyDescent="0.3">
      <c r="A22" t="s">
        <v>32</v>
      </c>
      <c r="B22" s="12">
        <v>45500</v>
      </c>
      <c r="C22" s="12">
        <v>42350</v>
      </c>
      <c r="D22" s="12">
        <v>40145</v>
      </c>
      <c r="E22" s="12">
        <v>38602</v>
      </c>
      <c r="F22" s="12">
        <v>37521</v>
      </c>
    </row>
    <row r="23" spans="1:6" x14ac:dyDescent="0.3">
      <c r="A23" s="3" t="s">
        <v>33</v>
      </c>
      <c r="B23" s="12">
        <v>126376</v>
      </c>
      <c r="C23" s="12">
        <v>139065</v>
      </c>
      <c r="D23" s="12">
        <v>140252</v>
      </c>
      <c r="E23" s="12">
        <v>167319</v>
      </c>
      <c r="F23" s="12">
        <v>195951</v>
      </c>
    </row>
    <row r="24" spans="1:6" x14ac:dyDescent="0.3">
      <c r="A24" s="3"/>
      <c r="B24" s="12"/>
      <c r="C24" s="12"/>
      <c r="D24" s="12"/>
      <c r="E24" s="12"/>
      <c r="F24" s="12"/>
    </row>
    <row r="25" spans="1:6" x14ac:dyDescent="0.3">
      <c r="A25" s="3" t="s">
        <v>34</v>
      </c>
      <c r="B25" s="12"/>
      <c r="C25" s="12"/>
      <c r="D25" s="12"/>
      <c r="E25" s="12"/>
      <c r="F25" s="12"/>
    </row>
    <row r="26" spans="1:6" x14ac:dyDescent="0.3">
      <c r="A26" t="s">
        <v>35</v>
      </c>
      <c r="B26" s="12">
        <v>3902</v>
      </c>
      <c r="C26" s="12">
        <v>4800</v>
      </c>
      <c r="D26" s="12">
        <v>4912</v>
      </c>
      <c r="E26" s="12">
        <v>5265</v>
      </c>
      <c r="F26" s="12">
        <v>5671</v>
      </c>
    </row>
    <row r="27" spans="1:6" x14ac:dyDescent="0.3">
      <c r="A27" t="s">
        <v>36</v>
      </c>
      <c r="B27" s="12">
        <v>50000</v>
      </c>
      <c r="C27" s="12">
        <v>50000</v>
      </c>
      <c r="D27" s="12">
        <v>30000</v>
      </c>
      <c r="E27" s="12">
        <v>30000</v>
      </c>
      <c r="F27" s="12">
        <v>30000</v>
      </c>
    </row>
    <row r="28" spans="1:6" x14ac:dyDescent="0.3">
      <c r="A28" s="3" t="s">
        <v>37</v>
      </c>
      <c r="B28" s="12">
        <v>53902</v>
      </c>
      <c r="C28" s="12">
        <v>54800</v>
      </c>
      <c r="D28" s="12">
        <v>34912</v>
      </c>
      <c r="E28" s="12">
        <v>35265</v>
      </c>
      <c r="F28" s="12">
        <v>35671</v>
      </c>
    </row>
    <row r="29" spans="1:6" x14ac:dyDescent="0.3">
      <c r="A29" s="3" t="s">
        <v>38</v>
      </c>
      <c r="B29" s="12"/>
      <c r="C29" s="12"/>
      <c r="D29" s="12"/>
      <c r="E29" s="12"/>
      <c r="F29" s="12"/>
    </row>
    <row r="30" spans="1:6" x14ac:dyDescent="0.3">
      <c r="A30" t="s">
        <v>39</v>
      </c>
      <c r="B30" s="12">
        <v>70000</v>
      </c>
      <c r="C30" s="12">
        <v>70000</v>
      </c>
      <c r="D30" s="12">
        <v>70000</v>
      </c>
      <c r="E30" s="12">
        <v>70000</v>
      </c>
      <c r="F30" s="12">
        <v>70000</v>
      </c>
    </row>
    <row r="31" spans="1:6" x14ac:dyDescent="0.3">
      <c r="A31" t="s">
        <v>40</v>
      </c>
      <c r="B31" s="12">
        <v>2474</v>
      </c>
      <c r="C31" s="12">
        <v>14265</v>
      </c>
      <c r="D31" s="12">
        <v>35340</v>
      </c>
      <c r="E31" s="12">
        <v>62053</v>
      </c>
      <c r="F31" s="12">
        <v>90280</v>
      </c>
    </row>
    <row r="32" spans="1:6" x14ac:dyDescent="0.3">
      <c r="A32" t="s">
        <v>38</v>
      </c>
      <c r="B32" s="12">
        <v>72474</v>
      </c>
      <c r="C32" s="12">
        <v>84265</v>
      </c>
      <c r="D32" s="12">
        <v>105340</v>
      </c>
      <c r="E32" s="12">
        <v>132053</v>
      </c>
      <c r="F32" s="12">
        <v>160280</v>
      </c>
    </row>
    <row r="33" spans="1:6" x14ac:dyDescent="0.3">
      <c r="A33" s="3" t="s">
        <v>41</v>
      </c>
      <c r="B33" s="12">
        <v>126376</v>
      </c>
      <c r="C33" s="12">
        <v>139065</v>
      </c>
      <c r="D33" s="12">
        <v>140252</v>
      </c>
      <c r="E33" s="12">
        <v>167319</v>
      </c>
      <c r="F33" s="12">
        <v>195951</v>
      </c>
    </row>
    <row r="35" spans="1:6" x14ac:dyDescent="0.3">
      <c r="A35" s="3" t="s">
        <v>9</v>
      </c>
    </row>
    <row r="36" spans="1:6" x14ac:dyDescent="0.3">
      <c r="A36" s="3" t="s">
        <v>42</v>
      </c>
    </row>
    <row r="37" spans="1:6" x14ac:dyDescent="0.3">
      <c r="A37" t="s">
        <v>24</v>
      </c>
      <c r="B37" s="10">
        <v>2474</v>
      </c>
      <c r="C37" s="10">
        <v>11791</v>
      </c>
      <c r="D37" s="10">
        <v>21075</v>
      </c>
      <c r="E37" s="10">
        <v>26713</v>
      </c>
      <c r="F37" s="10">
        <v>28227</v>
      </c>
    </row>
    <row r="38" spans="1:6" x14ac:dyDescent="0.3">
      <c r="A38" t="s">
        <v>43</v>
      </c>
      <c r="B38" s="10">
        <v>19500</v>
      </c>
      <c r="C38" s="10">
        <v>18150</v>
      </c>
      <c r="D38" s="10">
        <v>17205</v>
      </c>
      <c r="E38" s="10">
        <v>16544</v>
      </c>
      <c r="F38" s="10">
        <v>16080</v>
      </c>
    </row>
    <row r="39" spans="1:6" x14ac:dyDescent="0.3">
      <c r="A39" t="s">
        <v>44</v>
      </c>
      <c r="B39" s="10">
        <v>9003</v>
      </c>
      <c r="C39" s="10">
        <v>1702</v>
      </c>
      <c r="D39">
        <v>775</v>
      </c>
      <c r="E39">
        <v>903</v>
      </c>
      <c r="F39">
        <v>827</v>
      </c>
    </row>
    <row r="40" spans="1:6" x14ac:dyDescent="0.3">
      <c r="A40" s="3" t="s">
        <v>45</v>
      </c>
      <c r="B40" s="10">
        <v>12971</v>
      </c>
      <c r="C40" s="10">
        <v>28239</v>
      </c>
      <c r="D40" s="10">
        <v>37505</v>
      </c>
      <c r="E40" s="10">
        <v>42354</v>
      </c>
      <c r="F40" s="10">
        <v>43480</v>
      </c>
    </row>
    <row r="41" spans="1:6" x14ac:dyDescent="0.3">
      <c r="A41" s="3"/>
      <c r="B41" s="10"/>
      <c r="C41" s="10"/>
      <c r="D41" s="10"/>
      <c r="E41" s="10"/>
      <c r="F41" s="10"/>
    </row>
    <row r="42" spans="1:6" x14ac:dyDescent="0.3">
      <c r="A42" s="3" t="s">
        <v>46</v>
      </c>
    </row>
    <row r="43" spans="1:6" x14ac:dyDescent="0.3">
      <c r="A43" t="s">
        <v>47</v>
      </c>
      <c r="B43" s="10">
        <v>15000</v>
      </c>
      <c r="C43" s="10">
        <v>15000</v>
      </c>
      <c r="D43" s="10">
        <v>15000</v>
      </c>
      <c r="E43" s="10">
        <v>15000</v>
      </c>
      <c r="F43" s="10">
        <v>15000</v>
      </c>
    </row>
    <row r="44" spans="1:6" x14ac:dyDescent="0.3">
      <c r="A44" s="3" t="s">
        <v>48</v>
      </c>
      <c r="B44" s="10">
        <v>15000</v>
      </c>
      <c r="C44" s="10">
        <v>15000</v>
      </c>
      <c r="D44" s="10">
        <v>15000</v>
      </c>
      <c r="E44" s="10">
        <v>15000</v>
      </c>
      <c r="F44" s="10">
        <v>15000</v>
      </c>
    </row>
    <row r="45" spans="1:6" x14ac:dyDescent="0.3">
      <c r="A45" s="3"/>
      <c r="B45" s="10"/>
      <c r="C45" s="10"/>
      <c r="D45" s="10"/>
      <c r="E45" s="10"/>
      <c r="F45" s="10"/>
    </row>
    <row r="46" spans="1:6" x14ac:dyDescent="0.3">
      <c r="A46" s="3" t="s">
        <v>49</v>
      </c>
    </row>
    <row r="47" spans="1:6" x14ac:dyDescent="0.3">
      <c r="A47" t="s">
        <v>50</v>
      </c>
      <c r="B47">
        <v>0</v>
      </c>
      <c r="C47">
        <v>0</v>
      </c>
      <c r="D47" s="10">
        <v>20000</v>
      </c>
      <c r="E47">
        <v>0</v>
      </c>
      <c r="F47">
        <v>0</v>
      </c>
    </row>
    <row r="48" spans="1:6" x14ac:dyDescent="0.3">
      <c r="A48" t="s">
        <v>51</v>
      </c>
      <c r="B48" s="10">
        <v>70000</v>
      </c>
      <c r="C48">
        <v>0</v>
      </c>
      <c r="D48">
        <v>0</v>
      </c>
      <c r="E48">
        <v>0</v>
      </c>
      <c r="F48">
        <v>0</v>
      </c>
    </row>
    <row r="49" spans="1:6" x14ac:dyDescent="0.3">
      <c r="A49" s="3" t="s">
        <v>52</v>
      </c>
      <c r="B49" s="10">
        <v>70000</v>
      </c>
      <c r="C49">
        <v>0</v>
      </c>
      <c r="D49" s="10">
        <v>20000</v>
      </c>
      <c r="E49">
        <v>0</v>
      </c>
      <c r="F49">
        <v>0</v>
      </c>
    </row>
    <row r="50" spans="1:6" x14ac:dyDescent="0.3">
      <c r="A50" s="3"/>
      <c r="B50" s="10"/>
      <c r="D50" s="10"/>
    </row>
    <row r="51" spans="1:6" x14ac:dyDescent="0.3">
      <c r="A51" s="3" t="s">
        <v>53</v>
      </c>
      <c r="B51" s="10">
        <v>67971</v>
      </c>
      <c r="C51" s="10">
        <v>13239</v>
      </c>
      <c r="D51" s="10">
        <v>2505</v>
      </c>
      <c r="E51" s="10">
        <v>27354</v>
      </c>
      <c r="F51" s="10">
        <v>28480</v>
      </c>
    </row>
    <row r="52" spans="1:6" x14ac:dyDescent="0.3">
      <c r="A52" t="s">
        <v>54</v>
      </c>
      <c r="B52">
        <v>0</v>
      </c>
      <c r="C52" s="10">
        <v>67971</v>
      </c>
      <c r="D52" s="10">
        <v>81210</v>
      </c>
      <c r="E52" s="10">
        <v>83715</v>
      </c>
      <c r="F52" s="10">
        <v>111069</v>
      </c>
    </row>
    <row r="53" spans="1:6" x14ac:dyDescent="0.3">
      <c r="A53" s="3" t="s">
        <v>55</v>
      </c>
      <c r="B53" s="10">
        <v>67971</v>
      </c>
      <c r="C53" s="10">
        <v>81210</v>
      </c>
      <c r="D53" s="10">
        <v>83715</v>
      </c>
      <c r="E53" s="10">
        <v>111069</v>
      </c>
      <c r="F53" s="10">
        <v>139550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Statement Model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Syamil</dc:creator>
  <cp:lastModifiedBy>M. Syamil</cp:lastModifiedBy>
  <dcterms:created xsi:type="dcterms:W3CDTF">2022-09-01T13:52:59Z</dcterms:created>
  <dcterms:modified xsi:type="dcterms:W3CDTF">2022-10-13T08:07:50Z</dcterms:modified>
</cp:coreProperties>
</file>