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4"/>
  <workbookPr codeName="ThisWorkbook" hidePivotFieldList="1" defaultThemeVersion="166925"/>
  <mc:AlternateContent xmlns:mc="http://schemas.openxmlformats.org/markup-compatibility/2006">
    <mc:Choice Requires="x15">
      <x15ac:absPath xmlns:x15ac="http://schemas.microsoft.com/office/spreadsheetml/2010/11/ac" url="C:\Users\steve\OneDrive\Desktop\Portfolio\Excel\"/>
    </mc:Choice>
  </mc:AlternateContent>
  <xr:revisionPtr revIDLastSave="0" documentId="8_{B317B1D8-783E-4CDD-8AE8-F895EB75ADCB}" xr6:coauthVersionLast="47" xr6:coauthVersionMax="47" xr10:uidLastSave="{00000000-0000-0000-0000-000000000000}"/>
  <bookViews>
    <workbookView xWindow="-120" yWindow="-120" windowWidth="29040" windowHeight="15720" activeTab="5" xr2:uid="{7FE99482-DF49-4608-A9F7-74248AB3D9B2}"/>
    <workbookView xWindow="-120" yWindow="-120" windowWidth="29040" windowHeight="15720" activeTab="3" xr2:uid="{0FA6DFF2-C0C4-4615-8CEA-3CC5BE7F439D}"/>
  </bookViews>
  <sheets>
    <sheet name="Production" sheetId="1" r:id="rId1"/>
    <sheet name="Ingredients" sheetId="5" r:id="rId2"/>
    <sheet name="CpL" sheetId="6" state="hidden" r:id="rId3"/>
    <sheet name="Ingredient Cost" sheetId="7" r:id="rId4"/>
    <sheet name="Seasoning Info" sheetId="8" r:id="rId5"/>
    <sheet name="CAMP" sheetId="9" r:id="rId6"/>
    <sheet name="Reports" sheetId="10" r:id="rId7"/>
    <sheet name="USDA" sheetId="11" r:id="rId8"/>
  </sheets>
  <definedNames>
    <definedName name="_xlnm.Print_Area" localSheetId="2">CaseAvg[#All]</definedName>
  </definedNames>
  <calcPr calcId="191029"/>
  <pivotCaches>
    <pivotCache cacheId="0" r:id="rId9"/>
  </pivotCaches>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0" i="10" l="1"/>
  <c r="L21" i="10"/>
  <c r="L22" i="10"/>
  <c r="L23" i="10"/>
  <c r="L24" i="10"/>
  <c r="L25" i="10"/>
  <c r="L26" i="10"/>
  <c r="L27" i="10"/>
  <c r="L28" i="10"/>
  <c r="L29" i="10"/>
  <c r="L30" i="10"/>
  <c r="L31" i="10"/>
  <c r="L32" i="10"/>
  <c r="L33" i="10"/>
  <c r="L34" i="10"/>
  <c r="L35" i="10"/>
  <c r="L36" i="10"/>
  <c r="L37" i="10"/>
  <c r="L38" i="10"/>
  <c r="L19" i="10"/>
  <c r="C22" i="6"/>
  <c r="B22" i="6"/>
  <c r="C21" i="6"/>
  <c r="B21" i="6"/>
  <c r="C20" i="6"/>
  <c r="B20" i="6"/>
  <c r="C19" i="6"/>
  <c r="B19" i="6"/>
  <c r="C18" i="6"/>
  <c r="B18" i="6"/>
  <c r="C17" i="6"/>
  <c r="B17" i="6"/>
  <c r="C16" i="6"/>
  <c r="B16" i="6"/>
  <c r="C15" i="6"/>
  <c r="B15" i="6"/>
  <c r="C14" i="6"/>
  <c r="B14" i="6"/>
  <c r="C13" i="6"/>
  <c r="B13" i="6"/>
  <c r="C12" i="6"/>
  <c r="B12" i="6"/>
  <c r="C11" i="6"/>
  <c r="B11" i="6"/>
  <c r="C10" i="6"/>
  <c r="B10" i="6"/>
  <c r="C9" i="6"/>
  <c r="B9" i="6"/>
  <c r="C8" i="6"/>
  <c r="B8" i="6"/>
  <c r="C7" i="6"/>
  <c r="B7" i="6"/>
  <c r="C6" i="6"/>
  <c r="B6" i="6"/>
  <c r="C5" i="6"/>
  <c r="B5" i="6"/>
  <c r="C4" i="6"/>
  <c r="B4" i="6"/>
  <c r="C3" i="6"/>
  <c r="B3" i="6"/>
  <c r="I22" i="7"/>
  <c r="M23" i="8" a="1"/>
  <c r="M23" i="8" s="1"/>
  <c r="N23" i="8" a="1"/>
  <c r="N23" i="8" s="1"/>
  <c r="O23" i="8" a="1"/>
  <c r="O23" i="8" s="1"/>
  <c r="P23" i="8" a="1"/>
  <c r="P23" i="8" s="1"/>
  <c r="Q23" i="8" a="1"/>
  <c r="Q23" i="8" s="1"/>
  <c r="R23" i="8" a="1"/>
  <c r="R23" i="8" s="1"/>
  <c r="S23" i="8" a="1"/>
  <c r="S23" i="8" s="1"/>
  <c r="T23" i="8" a="1"/>
  <c r="T23" i="8" s="1"/>
  <c r="U23" i="8" a="1"/>
  <c r="U23" i="8" s="1"/>
  <c r="M19" i="8" a="1"/>
  <c r="M19" i="8" s="1"/>
  <c r="B462" i="1"/>
  <c r="H462" i="1" s="1"/>
  <c r="K7" i="10"/>
  <c r="A471" i="1"/>
  <c r="B471" i="1"/>
  <c r="H471" i="1" s="1"/>
  <c r="N471" i="1" s="1"/>
  <c r="Q471" i="1" s="1"/>
  <c r="J471" i="1"/>
  <c r="K471" i="1"/>
  <c r="P471" i="1"/>
  <c r="S471" i="1"/>
  <c r="R471" i="1" s="1"/>
  <c r="A436" i="1"/>
  <c r="A435" i="1"/>
  <c r="A434" i="1"/>
  <c r="A433" i="1"/>
  <c r="A432"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B437" i="1"/>
  <c r="H437" i="1" s="1"/>
  <c r="B438" i="1"/>
  <c r="H438" i="1" s="1"/>
  <c r="B439" i="1"/>
  <c r="H439" i="1" s="1"/>
  <c r="B440" i="1"/>
  <c r="H440" i="1" s="1"/>
  <c r="B441" i="1"/>
  <c r="H441" i="1" s="1"/>
  <c r="B442" i="1"/>
  <c r="H442" i="1" s="1"/>
  <c r="B443" i="1"/>
  <c r="H443" i="1" s="1"/>
  <c r="B444" i="1"/>
  <c r="H444" i="1" s="1"/>
  <c r="B445" i="1"/>
  <c r="H445" i="1" s="1"/>
  <c r="B446" i="1"/>
  <c r="H446" i="1" s="1"/>
  <c r="B447" i="1"/>
  <c r="H447" i="1" s="1"/>
  <c r="B448" i="1"/>
  <c r="H448" i="1" s="1"/>
  <c r="B449" i="1"/>
  <c r="H449" i="1" s="1"/>
  <c r="B450" i="1"/>
  <c r="H450" i="1" s="1"/>
  <c r="B451" i="1"/>
  <c r="H451" i="1" s="1"/>
  <c r="B452" i="1"/>
  <c r="H452" i="1" s="1"/>
  <c r="B453" i="1"/>
  <c r="H453" i="1" s="1"/>
  <c r="B454" i="1"/>
  <c r="H454" i="1" s="1"/>
  <c r="B455" i="1"/>
  <c r="H455" i="1" s="1"/>
  <c r="B456" i="1"/>
  <c r="H456" i="1" s="1"/>
  <c r="B457" i="1"/>
  <c r="H457" i="1" s="1"/>
  <c r="B458" i="1"/>
  <c r="H458" i="1" s="1"/>
  <c r="B459" i="1"/>
  <c r="H459" i="1" s="1"/>
  <c r="B460" i="1"/>
  <c r="H460" i="1" s="1"/>
  <c r="B461" i="1"/>
  <c r="H461" i="1" s="1"/>
  <c r="B463" i="1"/>
  <c r="H463" i="1" s="1"/>
  <c r="B464" i="1"/>
  <c r="H464" i="1" s="1"/>
  <c r="B465" i="1"/>
  <c r="H465" i="1" s="1"/>
  <c r="B466" i="1"/>
  <c r="H466" i="1" s="1"/>
  <c r="B467" i="1"/>
  <c r="H467" i="1" s="1"/>
  <c r="B468" i="1"/>
  <c r="H468" i="1" s="1"/>
  <c r="B469" i="1"/>
  <c r="H469" i="1" s="1"/>
  <c r="B470" i="1"/>
  <c r="H470" i="1" s="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S437" i="1"/>
  <c r="S438" i="1"/>
  <c r="S439" i="1"/>
  <c r="S440" i="1"/>
  <c r="S441" i="1"/>
  <c r="S442" i="1"/>
  <c r="R442" i="1" s="1"/>
  <c r="S443" i="1"/>
  <c r="R443" i="1" s="1"/>
  <c r="S444" i="1"/>
  <c r="R444" i="1" s="1"/>
  <c r="S445" i="1"/>
  <c r="S446" i="1"/>
  <c r="S447" i="1"/>
  <c r="S448" i="1"/>
  <c r="R448" i="1" s="1"/>
  <c r="S449" i="1"/>
  <c r="S450" i="1"/>
  <c r="S451" i="1"/>
  <c r="S452" i="1"/>
  <c r="R452" i="1" s="1"/>
  <c r="S453" i="1"/>
  <c r="R453" i="1" s="1"/>
  <c r="S454" i="1"/>
  <c r="S455" i="1"/>
  <c r="R455" i="1" s="1"/>
  <c r="S456" i="1"/>
  <c r="R456" i="1" s="1"/>
  <c r="S457" i="1"/>
  <c r="S458" i="1"/>
  <c r="S459" i="1"/>
  <c r="S460" i="1"/>
  <c r="R460" i="1" s="1"/>
  <c r="S461" i="1"/>
  <c r="S462" i="1"/>
  <c r="S463" i="1"/>
  <c r="S464" i="1"/>
  <c r="S465" i="1"/>
  <c r="R465" i="1" s="1"/>
  <c r="S466" i="1"/>
  <c r="R466" i="1" s="1"/>
  <c r="S467" i="1"/>
  <c r="R467" i="1" s="1"/>
  <c r="S468" i="1"/>
  <c r="R468" i="1" s="1"/>
  <c r="S469" i="1"/>
  <c r="S470" i="1"/>
  <c r="R470" i="1" s="1"/>
  <c r="B432" i="1"/>
  <c r="A429" i="1"/>
  <c r="S436" i="1"/>
  <c r="P436" i="1"/>
  <c r="K436" i="1"/>
  <c r="J436" i="1"/>
  <c r="B436" i="1"/>
  <c r="H436" i="1" s="1"/>
  <c r="N436" i="1" s="1"/>
  <c r="R436" i="1" l="1"/>
  <c r="N451" i="1"/>
  <c r="Q451" i="1" s="1"/>
  <c r="N452" i="1"/>
  <c r="Q452" i="1" s="1"/>
  <c r="N453" i="1"/>
  <c r="Q453" i="1" s="1"/>
  <c r="N454" i="1"/>
  <c r="Q454" i="1" s="1"/>
  <c r="N455" i="1"/>
  <c r="Q455" i="1" s="1"/>
  <c r="N456" i="1"/>
  <c r="Q456" i="1" s="1"/>
  <c r="N457" i="1"/>
  <c r="Q457" i="1" s="1"/>
  <c r="N458" i="1"/>
  <c r="Q458" i="1" s="1"/>
  <c r="N459" i="1"/>
  <c r="Q459" i="1" s="1"/>
  <c r="N460" i="1"/>
  <c r="Q460" i="1" s="1"/>
  <c r="N469" i="1"/>
  <c r="Q469" i="1" s="1"/>
  <c r="N461" i="1"/>
  <c r="Q461" i="1" s="1"/>
  <c r="N462" i="1"/>
  <c r="Q462" i="1" s="1"/>
  <c r="N463" i="1"/>
  <c r="Q463" i="1" s="1"/>
  <c r="N464" i="1"/>
  <c r="Q464" i="1" s="1"/>
  <c r="N465" i="1"/>
  <c r="Q465" i="1" s="1"/>
  <c r="N466" i="1"/>
  <c r="Q466" i="1" s="1"/>
  <c r="N467" i="1"/>
  <c r="Q467" i="1" s="1"/>
  <c r="N468" i="1"/>
  <c r="Q468" i="1" s="1"/>
  <c r="N470" i="1"/>
  <c r="Q470" i="1" s="1"/>
  <c r="N439" i="1"/>
  <c r="Q439" i="1" s="1"/>
  <c r="N440" i="1"/>
  <c r="Q440" i="1" s="1"/>
  <c r="N441" i="1"/>
  <c r="Q441" i="1" s="1"/>
  <c r="N442" i="1"/>
  <c r="Q442" i="1" s="1"/>
  <c r="N443" i="1"/>
  <c r="Q443" i="1" s="1"/>
  <c r="N444" i="1"/>
  <c r="Q444" i="1" s="1"/>
  <c r="N445" i="1"/>
  <c r="Q445" i="1" s="1"/>
  <c r="N446" i="1"/>
  <c r="Q446" i="1" s="1"/>
  <c r="N447" i="1"/>
  <c r="Q447" i="1" s="1"/>
  <c r="N448" i="1"/>
  <c r="Q448" i="1" s="1"/>
  <c r="N449" i="1"/>
  <c r="Q449" i="1" s="1"/>
  <c r="N450" i="1"/>
  <c r="Q450" i="1" s="1"/>
  <c r="N437" i="1"/>
  <c r="Q437" i="1" s="1"/>
  <c r="R437" i="1"/>
  <c r="R438" i="1"/>
  <c r="R439" i="1"/>
  <c r="R440" i="1"/>
  <c r="R441" i="1"/>
  <c r="R445" i="1"/>
  <c r="R446" i="1"/>
  <c r="R447" i="1"/>
  <c r="R449" i="1"/>
  <c r="R450" i="1"/>
  <c r="R451" i="1"/>
  <c r="R469" i="1"/>
  <c r="R454" i="1"/>
  <c r="R462" i="1"/>
  <c r="R463" i="1"/>
  <c r="R464" i="1"/>
  <c r="N438" i="1"/>
  <c r="Q438" i="1" s="1"/>
  <c r="R457" i="1"/>
  <c r="R458" i="1"/>
  <c r="R459" i="1"/>
  <c r="R461" i="1"/>
  <c r="Q436" i="1"/>
  <c r="S435" i="1"/>
  <c r="P435" i="1"/>
  <c r="K435" i="1"/>
  <c r="J435" i="1"/>
  <c r="R435" i="1" s="1"/>
  <c r="B435" i="1"/>
  <c r="H435" i="1" s="1"/>
  <c r="N435" i="1" s="1"/>
  <c r="S434" i="1"/>
  <c r="P434" i="1"/>
  <c r="K434" i="1"/>
  <c r="J434" i="1"/>
  <c r="B434" i="1"/>
  <c r="H434" i="1" s="1"/>
  <c r="N434" i="1" s="1"/>
  <c r="B433" i="1"/>
  <c r="H433" i="1" s="1"/>
  <c r="J433" i="1"/>
  <c r="K433" i="1"/>
  <c r="P433" i="1"/>
  <c r="S433" i="1"/>
  <c r="R433" i="1" s="1"/>
  <c r="S432" i="1"/>
  <c r="P432" i="1"/>
  <c r="K432" i="1"/>
  <c r="J432" i="1"/>
  <c r="H432" i="1"/>
  <c r="N432" i="1" s="1"/>
  <c r="A431" i="1"/>
  <c r="B431" i="1"/>
  <c r="H431" i="1" s="1"/>
  <c r="J431" i="1"/>
  <c r="K431" i="1"/>
  <c r="P431" i="1"/>
  <c r="S431" i="1"/>
  <c r="A430" i="1"/>
  <c r="B430" i="1"/>
  <c r="H430" i="1" s="1"/>
  <c r="J430" i="1"/>
  <c r="K430" i="1"/>
  <c r="P430" i="1"/>
  <c r="S430" i="1"/>
  <c r="B429" i="1"/>
  <c r="H429" i="1" s="1"/>
  <c r="J429" i="1"/>
  <c r="K429" i="1"/>
  <c r="P429" i="1"/>
  <c r="S429" i="1"/>
  <c r="R432" i="1" l="1"/>
  <c r="R434" i="1"/>
  <c r="N433" i="1"/>
  <c r="Q433" i="1" s="1"/>
  <c r="Q432" i="1"/>
  <c r="Q435" i="1"/>
  <c r="Q434" i="1"/>
  <c r="N430" i="1"/>
  <c r="R430" i="1"/>
  <c r="N431" i="1"/>
  <c r="Q431" i="1" s="1"/>
  <c r="R431" i="1"/>
  <c r="Q430" i="1"/>
  <c r="R429" i="1"/>
  <c r="N429" i="1"/>
  <c r="Q429" i="1" s="1"/>
  <c r="A428" i="1"/>
  <c r="B428" i="1"/>
  <c r="H428" i="1" s="1"/>
  <c r="J428" i="1"/>
  <c r="K428" i="1"/>
  <c r="P428" i="1"/>
  <c r="S428" i="1"/>
  <c r="A427" i="1"/>
  <c r="B427" i="1"/>
  <c r="H427" i="1" s="1"/>
  <c r="J427" i="1"/>
  <c r="K427" i="1"/>
  <c r="P427" i="1"/>
  <c r="S427" i="1"/>
  <c r="A426" i="1"/>
  <c r="B426" i="1"/>
  <c r="H426" i="1" s="1"/>
  <c r="J426" i="1"/>
  <c r="K426" i="1"/>
  <c r="P426" i="1"/>
  <c r="S426" i="1"/>
  <c r="A425" i="1"/>
  <c r="B425" i="1"/>
  <c r="H425" i="1" s="1"/>
  <c r="J425" i="1"/>
  <c r="K425" i="1"/>
  <c r="P425" i="1"/>
  <c r="S425" i="1"/>
  <c r="A424" i="1"/>
  <c r="B424" i="1"/>
  <c r="H424" i="1" s="1"/>
  <c r="J424" i="1"/>
  <c r="K424" i="1"/>
  <c r="P424" i="1"/>
  <c r="S424" i="1"/>
  <c r="A423" i="1"/>
  <c r="B423" i="1"/>
  <c r="H423" i="1" s="1"/>
  <c r="J423" i="1"/>
  <c r="K423" i="1"/>
  <c r="P423" i="1"/>
  <c r="S423" i="1"/>
  <c r="A422" i="1"/>
  <c r="B422" i="1"/>
  <c r="H422" i="1" s="1"/>
  <c r="J422" i="1"/>
  <c r="K422" i="1"/>
  <c r="P422" i="1"/>
  <c r="S422" i="1"/>
  <c r="R422" i="1" s="1"/>
  <c r="A421" i="1"/>
  <c r="B421" i="1"/>
  <c r="H421" i="1" s="1"/>
  <c r="J421" i="1"/>
  <c r="K421" i="1"/>
  <c r="P421" i="1"/>
  <c r="S421" i="1"/>
  <c r="A420" i="1"/>
  <c r="B420" i="1"/>
  <c r="H420" i="1" s="1"/>
  <c r="J420" i="1"/>
  <c r="K420" i="1"/>
  <c r="P420" i="1"/>
  <c r="S420" i="1"/>
  <c r="A419" i="1"/>
  <c r="B419" i="1"/>
  <c r="H419" i="1" s="1"/>
  <c r="J419" i="1"/>
  <c r="K419" i="1"/>
  <c r="P419" i="1"/>
  <c r="S419" i="1"/>
  <c r="A418" i="1"/>
  <c r="B418" i="1"/>
  <c r="H418" i="1" s="1"/>
  <c r="J418" i="1"/>
  <c r="K418" i="1"/>
  <c r="P418" i="1"/>
  <c r="S418" i="1"/>
  <c r="A417" i="1"/>
  <c r="B417" i="1"/>
  <c r="H417" i="1" s="1"/>
  <c r="J417" i="1"/>
  <c r="K417" i="1"/>
  <c r="P417" i="1"/>
  <c r="S417" i="1"/>
  <c r="A416" i="1"/>
  <c r="B416" i="1"/>
  <c r="H416" i="1" s="1"/>
  <c r="J416" i="1"/>
  <c r="K416" i="1"/>
  <c r="P416" i="1"/>
  <c r="S416" i="1"/>
  <c r="A415" i="1"/>
  <c r="B415" i="1"/>
  <c r="H415" i="1" s="1"/>
  <c r="J415" i="1"/>
  <c r="K415" i="1"/>
  <c r="P415" i="1"/>
  <c r="S415" i="1"/>
  <c r="A414" i="1"/>
  <c r="B414" i="1"/>
  <c r="H414" i="1" s="1"/>
  <c r="J414" i="1"/>
  <c r="K414" i="1"/>
  <c r="P414" i="1"/>
  <c r="S414" i="1"/>
  <c r="A413" i="1"/>
  <c r="B413" i="1"/>
  <c r="H413" i="1" s="1"/>
  <c r="J413" i="1"/>
  <c r="K413" i="1"/>
  <c r="P413" i="1"/>
  <c r="S413" i="1"/>
  <c r="A412" i="1"/>
  <c r="B412" i="1"/>
  <c r="H412" i="1" s="1"/>
  <c r="J412" i="1"/>
  <c r="K412" i="1"/>
  <c r="P412" i="1"/>
  <c r="S412" i="1"/>
  <c r="L6" i="10" l="1"/>
  <c r="K6" i="10"/>
  <c r="R428" i="1"/>
  <c r="N428" i="1"/>
  <c r="Q428" i="1" s="1"/>
  <c r="N427" i="1"/>
  <c r="Q427" i="1" s="1"/>
  <c r="R427" i="1"/>
  <c r="N425" i="1"/>
  <c r="Q425" i="1" s="1"/>
  <c r="N426" i="1"/>
  <c r="Q426" i="1" s="1"/>
  <c r="R426" i="1"/>
  <c r="R425" i="1"/>
  <c r="N424" i="1"/>
  <c r="Q424" i="1" s="1"/>
  <c r="R424" i="1"/>
  <c r="R423" i="1"/>
  <c r="N423" i="1"/>
  <c r="Q423" i="1" s="1"/>
  <c r="N422" i="1"/>
  <c r="Q422" i="1" s="1"/>
  <c r="N421" i="1"/>
  <c r="Q421" i="1" s="1"/>
  <c r="R421" i="1"/>
  <c r="N415" i="1"/>
  <c r="Q415" i="1" s="1"/>
  <c r="N420" i="1"/>
  <c r="Q420" i="1" s="1"/>
  <c r="R420" i="1"/>
  <c r="N414" i="1"/>
  <c r="Q414" i="1" s="1"/>
  <c r="N417" i="1"/>
  <c r="Q417" i="1" s="1"/>
  <c r="N413" i="1"/>
  <c r="Q413" i="1" s="1"/>
  <c r="N419" i="1"/>
  <c r="Q419" i="1" s="1"/>
  <c r="N418" i="1"/>
  <c r="Q418" i="1" s="1"/>
  <c r="R419" i="1"/>
  <c r="R418" i="1"/>
  <c r="R417" i="1"/>
  <c r="R416" i="1"/>
  <c r="N416" i="1"/>
  <c r="Q416" i="1" s="1"/>
  <c r="R415" i="1"/>
  <c r="R414" i="1"/>
  <c r="R413" i="1"/>
  <c r="R412" i="1"/>
  <c r="N412" i="1"/>
  <c r="Q412" i="1" s="1"/>
  <c r="N6" i="5"/>
  <c r="T6" i="5"/>
  <c r="U6" i="5" a="1"/>
  <c r="U6" i="5" s="1"/>
  <c r="A411" i="1"/>
  <c r="B411" i="1"/>
  <c r="H411" i="1" s="1"/>
  <c r="J411" i="1"/>
  <c r="K411" i="1"/>
  <c r="P411" i="1"/>
  <c r="U3" i="5" a="1"/>
  <c r="U3" i="5" s="1"/>
  <c r="U4" i="5" a="1"/>
  <c r="U4" i="5" s="1"/>
  <c r="U5" i="5" a="1"/>
  <c r="U5" i="5"/>
  <c r="U7" i="5" a="1"/>
  <c r="U7" i="5"/>
  <c r="S398" i="1" s="1"/>
  <c r="U8" i="5" a="1"/>
  <c r="U8" i="5"/>
  <c r="S236" i="1" s="1"/>
  <c r="U9" i="5" a="1"/>
  <c r="U9" i="5" s="1"/>
  <c r="S402" i="1" s="1"/>
  <c r="U10" i="5" a="1"/>
  <c r="U10" i="5" s="1"/>
  <c r="U11" i="5" a="1"/>
  <c r="U11" i="5"/>
  <c r="S229" i="1" s="1"/>
  <c r="U12" i="5" a="1"/>
  <c r="U12" i="5"/>
  <c r="S125" i="1" s="1"/>
  <c r="U13" i="5" a="1"/>
  <c r="U13" i="5"/>
  <c r="S139" i="1" s="1"/>
  <c r="U14" i="5" a="1"/>
  <c r="U14" i="5"/>
  <c r="S368" i="1" s="1"/>
  <c r="U15" i="5" a="1"/>
  <c r="U15" i="5" s="1"/>
  <c r="S38" i="1" s="1"/>
  <c r="U16" i="5" a="1"/>
  <c r="U16" i="5"/>
  <c r="S384" i="1" s="1"/>
  <c r="U17" i="5" a="1"/>
  <c r="U17" i="5" s="1"/>
  <c r="U18" i="5" a="1"/>
  <c r="U18" i="5" s="1"/>
  <c r="U19" i="5" a="1"/>
  <c r="U19" i="5"/>
  <c r="S271" i="1" s="1"/>
  <c r="U20" i="5" a="1"/>
  <c r="U20" i="5"/>
  <c r="U21" i="5" a="1"/>
  <c r="U21" i="5" s="1"/>
  <c r="S404" i="1" s="1"/>
  <c r="U22" i="5" a="1"/>
  <c r="U22" i="5"/>
  <c r="S62" i="1" s="1"/>
  <c r="R62" i="1" s="1"/>
  <c r="U23" i="5" a="1"/>
  <c r="U23" i="5" s="1"/>
  <c r="U24" i="5" a="1"/>
  <c r="U24" i="5"/>
  <c r="S322" i="1" s="1"/>
  <c r="R322" i="1" s="1"/>
  <c r="U25" i="5" a="1"/>
  <c r="U25" i="5"/>
  <c r="S68" i="1" s="1"/>
  <c r="U26" i="5" a="1"/>
  <c r="U26" i="5"/>
  <c r="U27" i="5" a="1"/>
  <c r="U27" i="5" s="1"/>
  <c r="U28" i="5" a="1"/>
  <c r="U28" i="5"/>
  <c r="S69" i="1" s="1"/>
  <c r="U29" i="5" a="1"/>
  <c r="U29" i="5"/>
  <c r="U30" i="5" a="1"/>
  <c r="U30" i="5"/>
  <c r="S163" i="1" s="1"/>
  <c r="U31" i="5" a="1"/>
  <c r="U31" i="5" s="1"/>
  <c r="S395" i="1" s="1"/>
  <c r="L7" i="10"/>
  <c r="S18" i="1"/>
  <c r="S28" i="1"/>
  <c r="S29" i="1"/>
  <c r="S67" i="1"/>
  <c r="S88" i="1"/>
  <c r="S116" i="1"/>
  <c r="S152" i="1"/>
  <c r="S160" i="1"/>
  <c r="S161" i="1"/>
  <c r="S197" i="1"/>
  <c r="S228" i="1"/>
  <c r="S232" i="1"/>
  <c r="S270" i="1"/>
  <c r="S295" i="1"/>
  <c r="S303" i="1"/>
  <c r="S330" i="1"/>
  <c r="S331" i="1"/>
  <c r="S343" i="1"/>
  <c r="S377" i="1"/>
  <c r="S378" i="1"/>
  <c r="S379" i="1"/>
  <c r="A410" i="1"/>
  <c r="B410" i="1"/>
  <c r="H410" i="1" s="1"/>
  <c r="J410" i="1"/>
  <c r="K410" i="1"/>
  <c r="P410" i="1"/>
  <c r="A409" i="1"/>
  <c r="B409" i="1"/>
  <c r="H409" i="1" s="1"/>
  <c r="J409" i="1"/>
  <c r="K409" i="1"/>
  <c r="P409" i="1"/>
  <c r="A408" i="1"/>
  <c r="B408" i="1"/>
  <c r="H408" i="1" s="1"/>
  <c r="J408" i="1"/>
  <c r="K408" i="1"/>
  <c r="P408" i="1"/>
  <c r="I9" i="9"/>
  <c r="C5" i="9"/>
  <c r="C4" i="9"/>
  <c r="C3" i="9"/>
  <c r="A10" i="9"/>
  <c r="D10" i="9" s="1"/>
  <c r="A8" i="9"/>
  <c r="C9" i="9" s="1"/>
  <c r="A3" i="9"/>
  <c r="D3" i="9" s="1"/>
  <c r="A407" i="1"/>
  <c r="B407" i="1"/>
  <c r="H407" i="1" s="1"/>
  <c r="J407" i="1"/>
  <c r="K407" i="1"/>
  <c r="P407" i="1"/>
  <c r="N13" i="5"/>
  <c r="N14" i="5"/>
  <c r="N15" i="5"/>
  <c r="N16" i="5"/>
  <c r="N17" i="5"/>
  <c r="N18" i="5"/>
  <c r="N19" i="5"/>
  <c r="T18" i="5"/>
  <c r="A380" i="1"/>
  <c r="B380" i="1"/>
  <c r="H380" i="1" s="1"/>
  <c r="J380" i="1"/>
  <c r="K380" i="1"/>
  <c r="P380" i="1"/>
  <c r="A371" i="1"/>
  <c r="A372" i="1"/>
  <c r="B371" i="1"/>
  <c r="H371" i="1" s="1"/>
  <c r="B372" i="1"/>
  <c r="H372" i="1" s="1"/>
  <c r="J371" i="1"/>
  <c r="J372" i="1"/>
  <c r="K371" i="1"/>
  <c r="K372" i="1"/>
  <c r="P371" i="1"/>
  <c r="P372" i="1"/>
  <c r="A367" i="1"/>
  <c r="B367" i="1"/>
  <c r="H367" i="1" s="1"/>
  <c r="J367" i="1"/>
  <c r="K367" i="1"/>
  <c r="P367" i="1"/>
  <c r="A362" i="1"/>
  <c r="A363" i="1"/>
  <c r="A364" i="1"/>
  <c r="A365" i="1"/>
  <c r="B362" i="1"/>
  <c r="H362" i="1" s="1"/>
  <c r="B363" i="1"/>
  <c r="H363" i="1" s="1"/>
  <c r="B364" i="1"/>
  <c r="H364" i="1" s="1"/>
  <c r="B365" i="1"/>
  <c r="H365" i="1" s="1"/>
  <c r="J362" i="1"/>
  <c r="J363" i="1"/>
  <c r="J364" i="1"/>
  <c r="J365" i="1"/>
  <c r="K362" i="1"/>
  <c r="K363" i="1"/>
  <c r="K364" i="1"/>
  <c r="K365" i="1"/>
  <c r="P362" i="1"/>
  <c r="P363" i="1"/>
  <c r="P364" i="1"/>
  <c r="P365" i="1"/>
  <c r="A355" i="1"/>
  <c r="A356" i="1"/>
  <c r="A357" i="1"/>
  <c r="A358" i="1"/>
  <c r="B355" i="1"/>
  <c r="H355" i="1" s="1"/>
  <c r="B356" i="1"/>
  <c r="H356" i="1" s="1"/>
  <c r="B357" i="1"/>
  <c r="H357" i="1" s="1"/>
  <c r="B358" i="1"/>
  <c r="H358" i="1" s="1"/>
  <c r="J355" i="1"/>
  <c r="J356" i="1"/>
  <c r="J357" i="1"/>
  <c r="J358" i="1"/>
  <c r="K355" i="1"/>
  <c r="K356" i="1"/>
  <c r="K357" i="1"/>
  <c r="K358" i="1"/>
  <c r="P355" i="1"/>
  <c r="P356" i="1"/>
  <c r="P357" i="1"/>
  <c r="P358" i="1"/>
  <c r="A350" i="1"/>
  <c r="A351" i="1"/>
  <c r="A352" i="1"/>
  <c r="A353" i="1"/>
  <c r="B350" i="1"/>
  <c r="H350" i="1" s="1"/>
  <c r="B351" i="1"/>
  <c r="H351" i="1" s="1"/>
  <c r="B352" i="1"/>
  <c r="H352" i="1" s="1"/>
  <c r="B353" i="1"/>
  <c r="H353" i="1" s="1"/>
  <c r="J350" i="1"/>
  <c r="J351" i="1"/>
  <c r="J352" i="1"/>
  <c r="J353" i="1"/>
  <c r="K350" i="1"/>
  <c r="K351" i="1"/>
  <c r="K352" i="1"/>
  <c r="K353" i="1"/>
  <c r="P350" i="1"/>
  <c r="P351" i="1"/>
  <c r="P352" i="1"/>
  <c r="P353" i="1"/>
  <c r="N411" i="1" l="1"/>
  <c r="Q411" i="1" s="1"/>
  <c r="E3" i="9"/>
  <c r="S71" i="1"/>
  <c r="S86" i="1"/>
  <c r="S56" i="1"/>
  <c r="S194" i="1"/>
  <c r="S195" i="1"/>
  <c r="S370" i="1"/>
  <c r="S306" i="1"/>
  <c r="S54" i="1"/>
  <c r="S332" i="1"/>
  <c r="S122" i="1"/>
  <c r="S406" i="1"/>
  <c r="S55" i="1"/>
  <c r="S223" i="1"/>
  <c r="S275" i="1"/>
  <c r="R275" i="1" s="1"/>
  <c r="S79" i="1"/>
  <c r="R79" i="1" s="1"/>
  <c r="S80" i="1"/>
  <c r="R80" i="1" s="1"/>
  <c r="S76" i="1"/>
  <c r="R76" i="1" s="1"/>
  <c r="S78" i="1"/>
  <c r="R78" i="1" s="1"/>
  <c r="S301" i="1"/>
  <c r="S25" i="1"/>
  <c r="S184" i="1"/>
  <c r="S382" i="1"/>
  <c r="S185" i="1"/>
  <c r="S108" i="1"/>
  <c r="S337" i="1"/>
  <c r="S222" i="1"/>
  <c r="S264" i="1"/>
  <c r="S193" i="1"/>
  <c r="S155" i="1"/>
  <c r="S4" i="1"/>
  <c r="S198" i="1"/>
  <c r="S294" i="1"/>
  <c r="S63" i="1"/>
  <c r="S235" i="1"/>
  <c r="S90" i="1"/>
  <c r="S234" i="1"/>
  <c r="S31" i="1"/>
  <c r="S405" i="1"/>
  <c r="S300" i="1"/>
  <c r="R300" i="1" s="1"/>
  <c r="S124" i="1"/>
  <c r="S121" i="1"/>
  <c r="S265" i="1"/>
  <c r="S233" i="1"/>
  <c r="S162" i="1"/>
  <c r="S257" i="1"/>
  <c r="S403" i="1"/>
  <c r="S369" i="1"/>
  <c r="S17" i="1"/>
  <c r="S328" i="1"/>
  <c r="S250" i="1"/>
  <c r="S141" i="1"/>
  <c r="S16" i="1"/>
  <c r="S364" i="1"/>
  <c r="R364" i="1" s="1"/>
  <c r="S249" i="1"/>
  <c r="S140" i="1"/>
  <c r="S75" i="1"/>
  <c r="R75" i="1" s="1"/>
  <c r="S10" i="1"/>
  <c r="S352" i="1"/>
  <c r="R352" i="1" s="1"/>
  <c r="S321" i="1"/>
  <c r="R321" i="1" s="1"/>
  <c r="S274" i="1"/>
  <c r="R274" i="1" s="1"/>
  <c r="S248" i="1"/>
  <c r="S220" i="1"/>
  <c r="S173" i="1"/>
  <c r="S104" i="1"/>
  <c r="S74" i="1"/>
  <c r="R74" i="1" s="1"/>
  <c r="S44" i="1"/>
  <c r="S388" i="1"/>
  <c r="S346" i="1"/>
  <c r="S309" i="1"/>
  <c r="S273" i="1"/>
  <c r="S247" i="1"/>
  <c r="S214" i="1"/>
  <c r="S168" i="1"/>
  <c r="S138" i="1"/>
  <c r="S98" i="1"/>
  <c r="S70" i="1"/>
  <c r="S34" i="1"/>
  <c r="S3" i="1"/>
  <c r="S118" i="1"/>
  <c r="S400" i="1"/>
  <c r="S292" i="1"/>
  <c r="S174" i="1"/>
  <c r="S105" i="1"/>
  <c r="S46" i="1"/>
  <c r="S391" i="1"/>
  <c r="S387" i="1"/>
  <c r="S345" i="1"/>
  <c r="S308" i="1"/>
  <c r="S272" i="1"/>
  <c r="S244" i="1"/>
  <c r="S212" i="1"/>
  <c r="S166" i="1"/>
  <c r="S137" i="1"/>
  <c r="S93" i="1"/>
  <c r="R93" i="1" s="1"/>
  <c r="S33" i="1"/>
  <c r="S411" i="1"/>
  <c r="R411" i="1" s="1"/>
  <c r="S258" i="1"/>
  <c r="S329" i="1"/>
  <c r="S256" i="1"/>
  <c r="S142" i="1"/>
  <c r="S401" i="1"/>
  <c r="S293" i="1"/>
  <c r="S106" i="1"/>
  <c r="S52" i="1"/>
  <c r="R52" i="1" s="1"/>
  <c r="S221" i="1"/>
  <c r="S344" i="1"/>
  <c r="S307" i="1"/>
  <c r="S211" i="1"/>
  <c r="S92" i="1"/>
  <c r="R92" i="1" s="1"/>
  <c r="S32" i="1"/>
  <c r="S23" i="1"/>
  <c r="S83" i="1"/>
  <c r="S179" i="1"/>
  <c r="S49" i="1"/>
  <c r="S61" i="1"/>
  <c r="S289" i="1"/>
  <c r="S291" i="1"/>
  <c r="S24" i="1"/>
  <c r="S132" i="1"/>
  <c r="S216" i="1"/>
  <c r="S336" i="1"/>
  <c r="S217" i="1"/>
  <c r="S254" i="1"/>
  <c r="S290" i="1"/>
  <c r="S227" i="1"/>
  <c r="S147" i="1"/>
  <c r="S267" i="1"/>
  <c r="S315" i="1"/>
  <c r="S360" i="1"/>
  <c r="S178" i="1"/>
  <c r="S89" i="1"/>
  <c r="S367" i="1"/>
  <c r="R367" i="1" s="1"/>
  <c r="S213" i="1"/>
  <c r="S196" i="1"/>
  <c r="S177" i="1"/>
  <c r="S119" i="1"/>
  <c r="S302" i="1"/>
  <c r="S349" i="1"/>
  <c r="S39" i="1"/>
  <c r="S35" i="1"/>
  <c r="R35" i="1" s="1"/>
  <c r="S13" i="1"/>
  <c r="R13" i="1" s="1"/>
  <c r="S14" i="1"/>
  <c r="R14" i="1" s="1"/>
  <c r="S15" i="1"/>
  <c r="R15" i="1" s="1"/>
  <c r="S11" i="1"/>
  <c r="S95" i="1"/>
  <c r="S203" i="1"/>
  <c r="S85" i="1"/>
  <c r="S97" i="1"/>
  <c r="S157" i="1"/>
  <c r="S158" i="1"/>
  <c r="S266" i="1"/>
  <c r="S278" i="1"/>
  <c r="S326" i="1"/>
  <c r="S51" i="1"/>
  <c r="S123" i="1"/>
  <c r="S171" i="1"/>
  <c r="S339" i="1"/>
  <c r="S12" i="1"/>
  <c r="S72" i="1"/>
  <c r="S96" i="1"/>
  <c r="S120" i="1"/>
  <c r="S144" i="1"/>
  <c r="S312" i="1"/>
  <c r="S253" i="1"/>
  <c r="S325" i="1"/>
  <c r="S159" i="1"/>
  <c r="S47" i="1"/>
  <c r="S59" i="1"/>
  <c r="S215" i="1"/>
  <c r="S239" i="1"/>
  <c r="S263" i="1"/>
  <c r="S287" i="1"/>
  <c r="S299" i="1"/>
  <c r="S335" i="1"/>
  <c r="S109" i="1"/>
  <c r="S145" i="1"/>
  <c r="S181" i="1"/>
  <c r="S241" i="1"/>
  <c r="S26" i="1"/>
  <c r="S110" i="1"/>
  <c r="S146" i="1"/>
  <c r="S182" i="1"/>
  <c r="S218" i="1"/>
  <c r="S242" i="1"/>
  <c r="S350" i="1"/>
  <c r="R350" i="1" s="1"/>
  <c r="S99" i="1"/>
  <c r="S243" i="1"/>
  <c r="S48" i="1"/>
  <c r="S60" i="1"/>
  <c r="S180" i="1"/>
  <c r="S240" i="1"/>
  <c r="S288" i="1"/>
  <c r="S410" i="1"/>
  <c r="R410" i="1" s="1"/>
  <c r="S27" i="1"/>
  <c r="S135" i="1"/>
  <c r="S183" i="1"/>
  <c r="S255" i="1"/>
  <c r="S351" i="1"/>
  <c r="R351" i="1" s="1"/>
  <c r="S366" i="1"/>
  <c r="S176" i="1"/>
  <c r="S103" i="1"/>
  <c r="S53" i="1"/>
  <c r="S381" i="1"/>
  <c r="S365" i="1"/>
  <c r="R365" i="1" s="1"/>
  <c r="S305" i="1"/>
  <c r="S286" i="1"/>
  <c r="S269" i="1"/>
  <c r="S175" i="1"/>
  <c r="S102" i="1"/>
  <c r="S82" i="1"/>
  <c r="S30" i="1"/>
  <c r="S9" i="1"/>
  <c r="S167" i="1"/>
  <c r="S374" i="1"/>
  <c r="S219" i="1"/>
  <c r="S396" i="1"/>
  <c r="S87" i="1"/>
  <c r="S107" i="1"/>
  <c r="S323" i="1"/>
  <c r="S359" i="1"/>
  <c r="S383" i="1"/>
  <c r="S37" i="1"/>
  <c r="S169" i="1"/>
  <c r="S170" i="1"/>
  <c r="S84" i="1"/>
  <c r="S372" i="1"/>
  <c r="R372" i="1" s="1"/>
  <c r="S408" i="1"/>
  <c r="R408" i="1" s="1"/>
  <c r="S373" i="1"/>
  <c r="S338" i="1"/>
  <c r="S36" i="1"/>
  <c r="S252" i="1"/>
  <c r="S324" i="1"/>
  <c r="S279" i="1"/>
  <c r="S399" i="1"/>
  <c r="S380" i="1"/>
  <c r="R380" i="1" s="1"/>
  <c r="S342" i="1"/>
  <c r="S304" i="1"/>
  <c r="S285" i="1"/>
  <c r="S268" i="1"/>
  <c r="S210" i="1"/>
  <c r="S154" i="1"/>
  <c r="S117" i="1"/>
  <c r="S101" i="1"/>
  <c r="S81" i="1"/>
  <c r="S66" i="1"/>
  <c r="S8" i="1"/>
  <c r="S394" i="1"/>
  <c r="S358" i="1"/>
  <c r="R358" i="1" s="1"/>
  <c r="S341" i="1"/>
  <c r="S320" i="1"/>
  <c r="S284" i="1"/>
  <c r="S226" i="1"/>
  <c r="S209" i="1"/>
  <c r="S190" i="1"/>
  <c r="S153" i="1"/>
  <c r="S136" i="1"/>
  <c r="S100" i="1"/>
  <c r="S65" i="1"/>
  <c r="S45" i="1"/>
  <c r="S7" i="1"/>
  <c r="S131" i="1"/>
  <c r="S191" i="1"/>
  <c r="S251" i="1"/>
  <c r="S311" i="1"/>
  <c r="S361" i="1"/>
  <c r="S192" i="1"/>
  <c r="S362" i="1"/>
  <c r="R362" i="1" s="1"/>
  <c r="S111" i="1"/>
  <c r="S231" i="1"/>
  <c r="S133" i="1"/>
  <c r="R133" i="1" s="1"/>
  <c r="S50" i="1"/>
  <c r="R50" i="1" s="1"/>
  <c r="S134" i="1"/>
  <c r="R134" i="1" s="1"/>
  <c r="S407" i="1"/>
  <c r="R407" i="1" s="1"/>
  <c r="S409" i="1"/>
  <c r="R409" i="1" s="1"/>
  <c r="S205" i="1"/>
  <c r="S313" i="1"/>
  <c r="S206" i="1"/>
  <c r="S230" i="1"/>
  <c r="S314" i="1"/>
  <c r="S207" i="1"/>
  <c r="S327" i="1"/>
  <c r="S363" i="1"/>
  <c r="R363" i="1" s="1"/>
  <c r="S348" i="1"/>
  <c r="R348" i="1" s="1"/>
  <c r="S386" i="1"/>
  <c r="R386" i="1" s="1"/>
  <c r="S393" i="1"/>
  <c r="S357" i="1"/>
  <c r="R357" i="1" s="1"/>
  <c r="S340" i="1"/>
  <c r="S319" i="1"/>
  <c r="S283" i="1"/>
  <c r="S246" i="1"/>
  <c r="S225" i="1"/>
  <c r="S208" i="1"/>
  <c r="S189" i="1"/>
  <c r="R189" i="1" s="1"/>
  <c r="S172" i="1"/>
  <c r="S130" i="1"/>
  <c r="S115" i="1"/>
  <c r="S64" i="1"/>
  <c r="S6" i="1"/>
  <c r="R6" i="1" s="1"/>
  <c r="S392" i="1"/>
  <c r="S356" i="1"/>
  <c r="R356" i="1" s="1"/>
  <c r="S318" i="1"/>
  <c r="S282" i="1"/>
  <c r="S262" i="1"/>
  <c r="S245" i="1"/>
  <c r="S224" i="1"/>
  <c r="S202" i="1"/>
  <c r="S188" i="1"/>
  <c r="R188" i="1" s="1"/>
  <c r="S151" i="1"/>
  <c r="S129" i="1"/>
  <c r="S114" i="1"/>
  <c r="S94" i="1"/>
  <c r="S43" i="1"/>
  <c r="S22" i="1"/>
  <c r="S5" i="1"/>
  <c r="S376" i="1"/>
  <c r="S355" i="1"/>
  <c r="R355" i="1" s="1"/>
  <c r="S334" i="1"/>
  <c r="S317" i="1"/>
  <c r="S298" i="1"/>
  <c r="S281" i="1"/>
  <c r="S261" i="1"/>
  <c r="S201" i="1"/>
  <c r="S187" i="1"/>
  <c r="R187" i="1" s="1"/>
  <c r="S150" i="1"/>
  <c r="S128" i="1"/>
  <c r="S113" i="1"/>
  <c r="S77" i="1"/>
  <c r="S42" i="1"/>
  <c r="S21" i="1"/>
  <c r="S390" i="1"/>
  <c r="R390" i="1" s="1"/>
  <c r="S375" i="1"/>
  <c r="S354" i="1"/>
  <c r="S333" i="1"/>
  <c r="S316" i="1"/>
  <c r="S297" i="1"/>
  <c r="S280" i="1"/>
  <c r="S260" i="1"/>
  <c r="S238" i="1"/>
  <c r="S200" i="1"/>
  <c r="S186" i="1"/>
  <c r="S165" i="1"/>
  <c r="S149" i="1"/>
  <c r="S127" i="1"/>
  <c r="S112" i="1"/>
  <c r="S58" i="1"/>
  <c r="S41" i="1"/>
  <c r="R41" i="1" s="1"/>
  <c r="S20" i="1"/>
  <c r="R20" i="1" s="1"/>
  <c r="S389" i="1"/>
  <c r="R389" i="1" s="1"/>
  <c r="S353" i="1"/>
  <c r="R353" i="1" s="1"/>
  <c r="S310" i="1"/>
  <c r="S296" i="1"/>
  <c r="S259" i="1"/>
  <c r="S237" i="1"/>
  <c r="S199" i="1"/>
  <c r="S164" i="1"/>
  <c r="S148" i="1"/>
  <c r="S126" i="1"/>
  <c r="S91" i="1"/>
  <c r="S57" i="1"/>
  <c r="S40" i="1"/>
  <c r="R40" i="1" s="1"/>
  <c r="S19" i="1"/>
  <c r="S397" i="1"/>
  <c r="S277" i="1"/>
  <c r="R277" i="1" s="1"/>
  <c r="S276" i="1"/>
  <c r="R276" i="1" s="1"/>
  <c r="S204" i="1"/>
  <c r="S156" i="1"/>
  <c r="S385" i="1"/>
  <c r="S73" i="1"/>
  <c r="R73" i="1" s="1"/>
  <c r="S371" i="1"/>
  <c r="R371" i="1" s="1"/>
  <c r="S347" i="1"/>
  <c r="S143" i="1"/>
  <c r="A9" i="9"/>
  <c r="D9" i="9" s="1"/>
  <c r="E9" i="9" s="1"/>
  <c r="D8" i="9"/>
  <c r="E8" i="9" s="1"/>
  <c r="B8" i="9"/>
  <c r="C8" i="9"/>
  <c r="B10" i="9"/>
  <c r="N410" i="1"/>
  <c r="Q410" i="1" s="1"/>
  <c r="N409" i="1"/>
  <c r="Q409" i="1" s="1"/>
  <c r="N408" i="1"/>
  <c r="Q408" i="1" s="1"/>
  <c r="N407" i="1"/>
  <c r="Q407" i="1" s="1"/>
  <c r="N372" i="1"/>
  <c r="Q372" i="1" s="1"/>
  <c r="N380" i="1"/>
  <c r="Q380" i="1" s="1"/>
  <c r="N367" i="1"/>
  <c r="Q367" i="1" s="1"/>
  <c r="N371" i="1"/>
  <c r="Q371" i="1" s="1"/>
  <c r="N363" i="1"/>
  <c r="Q363" i="1" s="1"/>
  <c r="N365" i="1"/>
  <c r="Q365" i="1" s="1"/>
  <c r="N364" i="1"/>
  <c r="Q364" i="1" s="1"/>
  <c r="N362" i="1"/>
  <c r="Q362" i="1" s="1"/>
  <c r="N357" i="1"/>
  <c r="Q357" i="1" s="1"/>
  <c r="N358" i="1"/>
  <c r="Q358" i="1" s="1"/>
  <c r="N356" i="1"/>
  <c r="Q356" i="1" s="1"/>
  <c r="N355" i="1"/>
  <c r="Q355" i="1" s="1"/>
  <c r="N352" i="1"/>
  <c r="Q352" i="1" s="1"/>
  <c r="N351" i="1"/>
  <c r="Q351" i="1" s="1"/>
  <c r="N353" i="1"/>
  <c r="Q353" i="1" s="1"/>
  <c r="N350" i="1"/>
  <c r="Q350" i="1" s="1"/>
  <c r="R391" i="1" l="1"/>
  <c r="L5" i="10"/>
  <c r="K5" i="10"/>
  <c r="L4" i="10"/>
  <c r="K4" i="10"/>
  <c r="K22" i="1"/>
  <c r="J21" i="1"/>
  <c r="B19" i="1"/>
  <c r="H19" i="1" s="1"/>
  <c r="K3" i="1"/>
  <c r="K4" i="1"/>
  <c r="K5" i="1"/>
  <c r="K6" i="1"/>
  <c r="K7" i="1"/>
  <c r="K8" i="1"/>
  <c r="K9" i="1"/>
  <c r="K10" i="1"/>
  <c r="K11" i="1"/>
  <c r="K12" i="1"/>
  <c r="K13" i="1"/>
  <c r="K14" i="1"/>
  <c r="K15" i="1"/>
  <c r="K16" i="1"/>
  <c r="K17" i="1"/>
  <c r="K18" i="1"/>
  <c r="K19" i="1"/>
  <c r="K20" i="1"/>
  <c r="K21"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4" i="1"/>
  <c r="K359" i="1"/>
  <c r="K360" i="1"/>
  <c r="K361" i="1"/>
  <c r="K366" i="1"/>
  <c r="K368" i="1"/>
  <c r="K369" i="1"/>
  <c r="K370" i="1"/>
  <c r="K373" i="1"/>
  <c r="K374" i="1"/>
  <c r="K375" i="1"/>
  <c r="K376" i="1"/>
  <c r="K377" i="1"/>
  <c r="K378" i="1"/>
  <c r="K379" i="1"/>
  <c r="K381" i="1"/>
  <c r="K382" i="1"/>
  <c r="K383" i="1"/>
  <c r="K384" i="1"/>
  <c r="K385" i="1"/>
  <c r="K386" i="1"/>
  <c r="K387" i="1"/>
  <c r="K388" i="1"/>
  <c r="K389" i="1"/>
  <c r="K390" i="1"/>
  <c r="K391" i="1"/>
  <c r="K392" i="1"/>
  <c r="K393" i="1"/>
  <c r="K394" i="1"/>
  <c r="K395" i="1"/>
  <c r="K396" i="1"/>
  <c r="K397" i="1"/>
  <c r="K398" i="1"/>
  <c r="K399" i="1"/>
  <c r="K400" i="1"/>
  <c r="K401" i="1"/>
  <c r="K402" i="1"/>
  <c r="K403" i="1"/>
  <c r="K404" i="1"/>
  <c r="K406" i="1"/>
  <c r="K405" i="1"/>
  <c r="J3" i="1"/>
  <c r="J4" i="1"/>
  <c r="J5" i="1"/>
  <c r="J6" i="1"/>
  <c r="J7" i="1"/>
  <c r="J8" i="1"/>
  <c r="J9" i="1"/>
  <c r="J10" i="1"/>
  <c r="J11" i="1"/>
  <c r="J12" i="1"/>
  <c r="J13" i="1"/>
  <c r="J14" i="1"/>
  <c r="J15" i="1"/>
  <c r="J16" i="1"/>
  <c r="J17" i="1"/>
  <c r="J18" i="1"/>
  <c r="J19" i="1"/>
  <c r="J20"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4" i="1"/>
  <c r="J359" i="1"/>
  <c r="J360" i="1"/>
  <c r="J361" i="1"/>
  <c r="J366" i="1"/>
  <c r="J368" i="1"/>
  <c r="J369" i="1"/>
  <c r="J370" i="1"/>
  <c r="J373" i="1"/>
  <c r="J374" i="1"/>
  <c r="J375" i="1"/>
  <c r="J376" i="1"/>
  <c r="J377" i="1"/>
  <c r="J378" i="1"/>
  <c r="J379" i="1"/>
  <c r="J381" i="1"/>
  <c r="J382" i="1"/>
  <c r="J383" i="1"/>
  <c r="J384" i="1"/>
  <c r="J385" i="1"/>
  <c r="J386" i="1"/>
  <c r="J387" i="1"/>
  <c r="J388" i="1"/>
  <c r="J389" i="1"/>
  <c r="J390" i="1"/>
  <c r="J391" i="1"/>
  <c r="J392" i="1"/>
  <c r="J393" i="1"/>
  <c r="J394" i="1"/>
  <c r="J395" i="1"/>
  <c r="J396" i="1"/>
  <c r="J397" i="1"/>
  <c r="J398" i="1"/>
  <c r="J399" i="1"/>
  <c r="J400" i="1"/>
  <c r="J401" i="1"/>
  <c r="J402" i="1"/>
  <c r="J403" i="1"/>
  <c r="J404" i="1"/>
  <c r="J406" i="1"/>
  <c r="J405" i="1"/>
  <c r="N5" i="5"/>
  <c r="B3" i="1"/>
  <c r="H3" i="1" s="1"/>
  <c r="B4" i="1"/>
  <c r="H4" i="1" s="1"/>
  <c r="B5" i="1"/>
  <c r="H5" i="1" s="1"/>
  <c r="B6" i="1"/>
  <c r="H6" i="1" s="1"/>
  <c r="B7" i="1"/>
  <c r="H7" i="1" s="1"/>
  <c r="B8" i="1"/>
  <c r="H8" i="1" s="1"/>
  <c r="B9" i="1"/>
  <c r="H9" i="1" s="1"/>
  <c r="B10" i="1"/>
  <c r="H10" i="1" s="1"/>
  <c r="B11" i="1"/>
  <c r="H11" i="1" s="1"/>
  <c r="B12" i="1"/>
  <c r="H12" i="1" s="1"/>
  <c r="B13" i="1"/>
  <c r="H13" i="1" s="1"/>
  <c r="B14" i="1"/>
  <c r="H14" i="1" s="1"/>
  <c r="B15" i="1"/>
  <c r="H15" i="1" s="1"/>
  <c r="B16" i="1"/>
  <c r="H16" i="1" s="1"/>
  <c r="B17" i="1"/>
  <c r="H17" i="1" s="1"/>
  <c r="B18" i="1"/>
  <c r="H18" i="1" s="1"/>
  <c r="B20" i="1"/>
  <c r="H20" i="1" s="1"/>
  <c r="B21" i="1"/>
  <c r="H21" i="1" s="1"/>
  <c r="B22" i="1"/>
  <c r="H22" i="1" s="1"/>
  <c r="B23" i="1"/>
  <c r="H23" i="1" s="1"/>
  <c r="B24" i="1"/>
  <c r="H24" i="1" s="1"/>
  <c r="B25" i="1"/>
  <c r="H25" i="1" s="1"/>
  <c r="B26" i="1"/>
  <c r="H26" i="1" s="1"/>
  <c r="B27" i="1"/>
  <c r="H27" i="1" s="1"/>
  <c r="B28" i="1"/>
  <c r="H28" i="1" s="1"/>
  <c r="B29" i="1"/>
  <c r="H29" i="1" s="1"/>
  <c r="B30" i="1"/>
  <c r="H30" i="1" s="1"/>
  <c r="B31" i="1"/>
  <c r="H31" i="1" s="1"/>
  <c r="B32" i="1"/>
  <c r="H32" i="1" s="1"/>
  <c r="B33" i="1"/>
  <c r="H33" i="1" s="1"/>
  <c r="B34" i="1"/>
  <c r="H34" i="1" s="1"/>
  <c r="B35" i="1"/>
  <c r="H35" i="1" s="1"/>
  <c r="B36" i="1"/>
  <c r="H36" i="1" s="1"/>
  <c r="B37" i="1"/>
  <c r="H37" i="1" s="1"/>
  <c r="B38" i="1"/>
  <c r="H38" i="1" s="1"/>
  <c r="B39" i="1"/>
  <c r="H39" i="1" s="1"/>
  <c r="B40" i="1"/>
  <c r="H40" i="1" s="1"/>
  <c r="B41" i="1"/>
  <c r="H41" i="1" s="1"/>
  <c r="B42" i="1"/>
  <c r="H42" i="1" s="1"/>
  <c r="B43" i="1"/>
  <c r="H43" i="1" s="1"/>
  <c r="B44" i="1"/>
  <c r="H44" i="1" s="1"/>
  <c r="B45" i="1"/>
  <c r="H45" i="1" s="1"/>
  <c r="B46" i="1"/>
  <c r="H46" i="1" s="1"/>
  <c r="B47" i="1"/>
  <c r="H47" i="1" s="1"/>
  <c r="B48" i="1"/>
  <c r="H48" i="1" s="1"/>
  <c r="B49" i="1"/>
  <c r="H49" i="1" s="1"/>
  <c r="B50" i="1"/>
  <c r="H50" i="1" s="1"/>
  <c r="B51" i="1"/>
  <c r="H51" i="1" s="1"/>
  <c r="B52" i="1"/>
  <c r="H52" i="1" s="1"/>
  <c r="B53" i="1"/>
  <c r="H53" i="1" s="1"/>
  <c r="B54" i="1"/>
  <c r="H54" i="1" s="1"/>
  <c r="B55" i="1"/>
  <c r="H55" i="1" s="1"/>
  <c r="B56" i="1"/>
  <c r="H56" i="1" s="1"/>
  <c r="B57" i="1"/>
  <c r="H57" i="1" s="1"/>
  <c r="B58" i="1"/>
  <c r="H58" i="1" s="1"/>
  <c r="B59" i="1"/>
  <c r="H59" i="1" s="1"/>
  <c r="B60" i="1"/>
  <c r="H60" i="1" s="1"/>
  <c r="B61" i="1"/>
  <c r="H61" i="1" s="1"/>
  <c r="B62" i="1"/>
  <c r="H62" i="1" s="1"/>
  <c r="B63" i="1"/>
  <c r="H63" i="1" s="1"/>
  <c r="B64" i="1"/>
  <c r="H64" i="1" s="1"/>
  <c r="B65" i="1"/>
  <c r="H65" i="1" s="1"/>
  <c r="B66" i="1"/>
  <c r="H66" i="1" s="1"/>
  <c r="B67" i="1"/>
  <c r="H67" i="1" s="1"/>
  <c r="B68" i="1"/>
  <c r="H68" i="1" s="1"/>
  <c r="B69" i="1"/>
  <c r="H69" i="1" s="1"/>
  <c r="B70" i="1"/>
  <c r="H70" i="1" s="1"/>
  <c r="B71" i="1"/>
  <c r="H71" i="1" s="1"/>
  <c r="B72" i="1"/>
  <c r="H72" i="1" s="1"/>
  <c r="B73" i="1"/>
  <c r="H73" i="1" s="1"/>
  <c r="B74" i="1"/>
  <c r="H74" i="1" s="1"/>
  <c r="B75" i="1"/>
  <c r="H75" i="1" s="1"/>
  <c r="B76" i="1"/>
  <c r="H76" i="1" s="1"/>
  <c r="B77" i="1"/>
  <c r="H77" i="1" s="1"/>
  <c r="B78" i="1"/>
  <c r="H78" i="1" s="1"/>
  <c r="B79" i="1"/>
  <c r="H79" i="1" s="1"/>
  <c r="B80" i="1"/>
  <c r="H80" i="1" s="1"/>
  <c r="B81" i="1"/>
  <c r="H81" i="1" s="1"/>
  <c r="B82" i="1"/>
  <c r="H82" i="1" s="1"/>
  <c r="B83" i="1"/>
  <c r="H83" i="1" s="1"/>
  <c r="B84" i="1"/>
  <c r="H84" i="1" s="1"/>
  <c r="B85" i="1"/>
  <c r="H85" i="1" s="1"/>
  <c r="B86" i="1"/>
  <c r="H86" i="1" s="1"/>
  <c r="B87" i="1"/>
  <c r="H87" i="1" s="1"/>
  <c r="B88" i="1"/>
  <c r="H88" i="1" s="1"/>
  <c r="B89" i="1"/>
  <c r="H89" i="1" s="1"/>
  <c r="B90" i="1"/>
  <c r="H90" i="1" s="1"/>
  <c r="B91" i="1"/>
  <c r="H91" i="1" s="1"/>
  <c r="B92" i="1"/>
  <c r="H92" i="1" s="1"/>
  <c r="B93" i="1"/>
  <c r="H93" i="1" s="1"/>
  <c r="B94" i="1"/>
  <c r="H94" i="1" s="1"/>
  <c r="B95" i="1"/>
  <c r="H95" i="1" s="1"/>
  <c r="B96" i="1"/>
  <c r="H96" i="1" s="1"/>
  <c r="B97" i="1"/>
  <c r="H97" i="1" s="1"/>
  <c r="B98" i="1"/>
  <c r="H98" i="1" s="1"/>
  <c r="B99" i="1"/>
  <c r="H99" i="1" s="1"/>
  <c r="B100" i="1"/>
  <c r="H100" i="1" s="1"/>
  <c r="B101" i="1"/>
  <c r="H101" i="1" s="1"/>
  <c r="B102" i="1"/>
  <c r="H102" i="1" s="1"/>
  <c r="B103" i="1"/>
  <c r="H103" i="1" s="1"/>
  <c r="B104" i="1"/>
  <c r="H104" i="1" s="1"/>
  <c r="B105" i="1"/>
  <c r="H105" i="1" s="1"/>
  <c r="B106" i="1"/>
  <c r="H106" i="1" s="1"/>
  <c r="B107" i="1"/>
  <c r="H107" i="1" s="1"/>
  <c r="B108" i="1"/>
  <c r="H108" i="1" s="1"/>
  <c r="B109" i="1"/>
  <c r="H109" i="1" s="1"/>
  <c r="B110" i="1"/>
  <c r="H110" i="1" s="1"/>
  <c r="B111" i="1"/>
  <c r="H111" i="1" s="1"/>
  <c r="B112" i="1"/>
  <c r="H112" i="1" s="1"/>
  <c r="B113" i="1"/>
  <c r="H113" i="1" s="1"/>
  <c r="B114" i="1"/>
  <c r="H114" i="1" s="1"/>
  <c r="B115" i="1"/>
  <c r="H115" i="1" s="1"/>
  <c r="B116" i="1"/>
  <c r="H116" i="1" s="1"/>
  <c r="B117" i="1"/>
  <c r="H117" i="1" s="1"/>
  <c r="B118" i="1"/>
  <c r="H118" i="1" s="1"/>
  <c r="B119" i="1"/>
  <c r="H119" i="1" s="1"/>
  <c r="B120" i="1"/>
  <c r="H120" i="1" s="1"/>
  <c r="B121" i="1"/>
  <c r="H121" i="1" s="1"/>
  <c r="B122" i="1"/>
  <c r="H122" i="1" s="1"/>
  <c r="B123" i="1"/>
  <c r="H123" i="1" s="1"/>
  <c r="B124" i="1"/>
  <c r="H124" i="1" s="1"/>
  <c r="B125" i="1"/>
  <c r="H125" i="1" s="1"/>
  <c r="B126" i="1"/>
  <c r="H126" i="1" s="1"/>
  <c r="B127" i="1"/>
  <c r="H127" i="1" s="1"/>
  <c r="B128" i="1"/>
  <c r="H128" i="1" s="1"/>
  <c r="B129" i="1"/>
  <c r="H129" i="1" s="1"/>
  <c r="B130" i="1"/>
  <c r="H130" i="1" s="1"/>
  <c r="B131" i="1"/>
  <c r="H131" i="1" s="1"/>
  <c r="B132" i="1"/>
  <c r="H132" i="1" s="1"/>
  <c r="B133" i="1"/>
  <c r="H133" i="1" s="1"/>
  <c r="B134" i="1"/>
  <c r="H134" i="1" s="1"/>
  <c r="B135" i="1"/>
  <c r="H135" i="1" s="1"/>
  <c r="B136" i="1"/>
  <c r="H136" i="1" s="1"/>
  <c r="B137" i="1"/>
  <c r="H137" i="1" s="1"/>
  <c r="B138" i="1"/>
  <c r="H138" i="1" s="1"/>
  <c r="B139" i="1"/>
  <c r="H139" i="1" s="1"/>
  <c r="B140" i="1"/>
  <c r="H140" i="1" s="1"/>
  <c r="B141" i="1"/>
  <c r="H141" i="1" s="1"/>
  <c r="B142" i="1"/>
  <c r="H142" i="1" s="1"/>
  <c r="B143" i="1"/>
  <c r="H143" i="1" s="1"/>
  <c r="B144" i="1"/>
  <c r="H144" i="1" s="1"/>
  <c r="B145" i="1"/>
  <c r="H145" i="1" s="1"/>
  <c r="B146" i="1"/>
  <c r="H146" i="1" s="1"/>
  <c r="B147" i="1"/>
  <c r="H147" i="1" s="1"/>
  <c r="B148" i="1"/>
  <c r="H148" i="1" s="1"/>
  <c r="B149" i="1"/>
  <c r="H149" i="1" s="1"/>
  <c r="B150" i="1"/>
  <c r="H150" i="1" s="1"/>
  <c r="B151" i="1"/>
  <c r="H151" i="1" s="1"/>
  <c r="B152" i="1"/>
  <c r="H152" i="1" s="1"/>
  <c r="B153" i="1"/>
  <c r="H153" i="1" s="1"/>
  <c r="B154" i="1"/>
  <c r="H154" i="1" s="1"/>
  <c r="B155" i="1"/>
  <c r="H155" i="1" s="1"/>
  <c r="B156" i="1"/>
  <c r="H156" i="1" s="1"/>
  <c r="B157" i="1"/>
  <c r="H157" i="1" s="1"/>
  <c r="B158" i="1"/>
  <c r="H158" i="1" s="1"/>
  <c r="B159" i="1"/>
  <c r="H159" i="1" s="1"/>
  <c r="B160" i="1"/>
  <c r="H160" i="1" s="1"/>
  <c r="B161" i="1"/>
  <c r="H161" i="1" s="1"/>
  <c r="B162" i="1"/>
  <c r="H162" i="1" s="1"/>
  <c r="B163" i="1"/>
  <c r="H163" i="1" s="1"/>
  <c r="B164" i="1"/>
  <c r="H164" i="1" s="1"/>
  <c r="B165" i="1"/>
  <c r="H165" i="1" s="1"/>
  <c r="B166" i="1"/>
  <c r="H166" i="1" s="1"/>
  <c r="B167" i="1"/>
  <c r="H167" i="1" s="1"/>
  <c r="B168" i="1"/>
  <c r="H168" i="1" s="1"/>
  <c r="B169" i="1"/>
  <c r="H169" i="1" s="1"/>
  <c r="B170" i="1"/>
  <c r="H170" i="1" s="1"/>
  <c r="B171" i="1"/>
  <c r="H171" i="1" s="1"/>
  <c r="B172" i="1"/>
  <c r="H172" i="1" s="1"/>
  <c r="B173" i="1"/>
  <c r="H173" i="1" s="1"/>
  <c r="B174" i="1"/>
  <c r="H174" i="1" s="1"/>
  <c r="B175" i="1"/>
  <c r="H175" i="1" s="1"/>
  <c r="B176" i="1"/>
  <c r="H176" i="1" s="1"/>
  <c r="B177" i="1"/>
  <c r="H177" i="1" s="1"/>
  <c r="B178" i="1"/>
  <c r="H178" i="1" s="1"/>
  <c r="B179" i="1"/>
  <c r="H179" i="1" s="1"/>
  <c r="B180" i="1"/>
  <c r="H180" i="1" s="1"/>
  <c r="B181" i="1"/>
  <c r="H181" i="1" s="1"/>
  <c r="B182" i="1"/>
  <c r="H182" i="1" s="1"/>
  <c r="B183" i="1"/>
  <c r="H183" i="1" s="1"/>
  <c r="B184" i="1"/>
  <c r="H184" i="1" s="1"/>
  <c r="B185" i="1"/>
  <c r="H185" i="1" s="1"/>
  <c r="B186" i="1"/>
  <c r="H186" i="1" s="1"/>
  <c r="B187" i="1"/>
  <c r="H187" i="1" s="1"/>
  <c r="B188" i="1"/>
  <c r="H188" i="1" s="1"/>
  <c r="B189" i="1"/>
  <c r="H189" i="1" s="1"/>
  <c r="B190" i="1"/>
  <c r="H190" i="1" s="1"/>
  <c r="B191" i="1"/>
  <c r="H191" i="1" s="1"/>
  <c r="B192" i="1"/>
  <c r="H192" i="1" s="1"/>
  <c r="B193" i="1"/>
  <c r="H193" i="1" s="1"/>
  <c r="B194" i="1"/>
  <c r="H194" i="1" s="1"/>
  <c r="B195" i="1"/>
  <c r="H195" i="1" s="1"/>
  <c r="B196" i="1"/>
  <c r="H196" i="1" s="1"/>
  <c r="B197" i="1"/>
  <c r="H197" i="1" s="1"/>
  <c r="B198" i="1"/>
  <c r="H198" i="1" s="1"/>
  <c r="B199" i="1"/>
  <c r="H199" i="1" s="1"/>
  <c r="B200" i="1"/>
  <c r="H200" i="1" s="1"/>
  <c r="B201" i="1"/>
  <c r="H201" i="1" s="1"/>
  <c r="B202" i="1"/>
  <c r="H202" i="1" s="1"/>
  <c r="B203" i="1"/>
  <c r="H203" i="1" s="1"/>
  <c r="B204" i="1"/>
  <c r="H204" i="1" s="1"/>
  <c r="B205" i="1"/>
  <c r="H205" i="1" s="1"/>
  <c r="B206" i="1"/>
  <c r="H206" i="1" s="1"/>
  <c r="B207" i="1"/>
  <c r="H207" i="1" s="1"/>
  <c r="B208" i="1"/>
  <c r="H208" i="1" s="1"/>
  <c r="B209" i="1"/>
  <c r="H209" i="1" s="1"/>
  <c r="B210" i="1"/>
  <c r="H210" i="1" s="1"/>
  <c r="B211" i="1"/>
  <c r="H211" i="1" s="1"/>
  <c r="B212" i="1"/>
  <c r="H212" i="1" s="1"/>
  <c r="B213" i="1"/>
  <c r="H213" i="1" s="1"/>
  <c r="B214" i="1"/>
  <c r="H214" i="1" s="1"/>
  <c r="B215" i="1"/>
  <c r="H215" i="1" s="1"/>
  <c r="B216" i="1"/>
  <c r="H216" i="1" s="1"/>
  <c r="B217" i="1"/>
  <c r="H217" i="1" s="1"/>
  <c r="B218" i="1"/>
  <c r="H218" i="1" s="1"/>
  <c r="B219" i="1"/>
  <c r="H219" i="1" s="1"/>
  <c r="B220" i="1"/>
  <c r="H220" i="1" s="1"/>
  <c r="B221" i="1"/>
  <c r="H221" i="1" s="1"/>
  <c r="B222" i="1"/>
  <c r="H222" i="1" s="1"/>
  <c r="B223" i="1"/>
  <c r="H223" i="1" s="1"/>
  <c r="B224" i="1"/>
  <c r="H224" i="1" s="1"/>
  <c r="B225" i="1"/>
  <c r="H225" i="1" s="1"/>
  <c r="B226" i="1"/>
  <c r="H226" i="1" s="1"/>
  <c r="B227" i="1"/>
  <c r="H227" i="1" s="1"/>
  <c r="B228" i="1"/>
  <c r="H228" i="1" s="1"/>
  <c r="B229" i="1"/>
  <c r="H229" i="1" s="1"/>
  <c r="B230" i="1"/>
  <c r="H230" i="1" s="1"/>
  <c r="B231" i="1"/>
  <c r="H231" i="1" s="1"/>
  <c r="B232" i="1"/>
  <c r="H232" i="1" s="1"/>
  <c r="B233" i="1"/>
  <c r="H233" i="1" s="1"/>
  <c r="B234" i="1"/>
  <c r="H234" i="1" s="1"/>
  <c r="B235" i="1"/>
  <c r="H235" i="1" s="1"/>
  <c r="B236" i="1"/>
  <c r="H236" i="1" s="1"/>
  <c r="B237" i="1"/>
  <c r="H237" i="1" s="1"/>
  <c r="B238" i="1"/>
  <c r="H238" i="1" s="1"/>
  <c r="B239" i="1"/>
  <c r="H239" i="1" s="1"/>
  <c r="B240" i="1"/>
  <c r="H240" i="1" s="1"/>
  <c r="B241" i="1"/>
  <c r="H241" i="1" s="1"/>
  <c r="B242" i="1"/>
  <c r="H242" i="1" s="1"/>
  <c r="B243" i="1"/>
  <c r="H243" i="1" s="1"/>
  <c r="B244" i="1"/>
  <c r="H244" i="1" s="1"/>
  <c r="B245" i="1"/>
  <c r="H245" i="1" s="1"/>
  <c r="B246" i="1"/>
  <c r="H246" i="1" s="1"/>
  <c r="B247" i="1"/>
  <c r="H247" i="1" s="1"/>
  <c r="B248" i="1"/>
  <c r="H248" i="1" s="1"/>
  <c r="B249" i="1"/>
  <c r="H249" i="1" s="1"/>
  <c r="B250" i="1"/>
  <c r="H250" i="1" s="1"/>
  <c r="B251" i="1"/>
  <c r="H251" i="1" s="1"/>
  <c r="B252" i="1"/>
  <c r="H252" i="1" s="1"/>
  <c r="B253" i="1"/>
  <c r="H253" i="1" s="1"/>
  <c r="B254" i="1"/>
  <c r="H254" i="1" s="1"/>
  <c r="B255" i="1"/>
  <c r="H255" i="1" s="1"/>
  <c r="B256" i="1"/>
  <c r="H256" i="1" s="1"/>
  <c r="B257" i="1"/>
  <c r="H257" i="1" s="1"/>
  <c r="B258" i="1"/>
  <c r="H258" i="1" s="1"/>
  <c r="B259" i="1"/>
  <c r="H259" i="1" s="1"/>
  <c r="B260" i="1"/>
  <c r="H260" i="1" s="1"/>
  <c r="B261" i="1"/>
  <c r="H261" i="1" s="1"/>
  <c r="B262" i="1"/>
  <c r="H262" i="1" s="1"/>
  <c r="B263" i="1"/>
  <c r="H263" i="1" s="1"/>
  <c r="B264" i="1"/>
  <c r="H264" i="1" s="1"/>
  <c r="B265" i="1"/>
  <c r="H265" i="1" s="1"/>
  <c r="B266" i="1"/>
  <c r="H266" i="1" s="1"/>
  <c r="B267" i="1"/>
  <c r="H267" i="1" s="1"/>
  <c r="B268" i="1"/>
  <c r="H268" i="1" s="1"/>
  <c r="B269" i="1"/>
  <c r="H269" i="1" s="1"/>
  <c r="B270" i="1"/>
  <c r="H270" i="1" s="1"/>
  <c r="B271" i="1"/>
  <c r="H271" i="1" s="1"/>
  <c r="B272" i="1"/>
  <c r="H272" i="1" s="1"/>
  <c r="B273" i="1"/>
  <c r="H273" i="1" s="1"/>
  <c r="B274" i="1"/>
  <c r="H274" i="1" s="1"/>
  <c r="B275" i="1"/>
  <c r="H275" i="1" s="1"/>
  <c r="B276" i="1"/>
  <c r="H276" i="1" s="1"/>
  <c r="B277" i="1"/>
  <c r="H277" i="1" s="1"/>
  <c r="B278" i="1"/>
  <c r="H278" i="1" s="1"/>
  <c r="B279" i="1"/>
  <c r="H279" i="1" s="1"/>
  <c r="B280" i="1"/>
  <c r="H280" i="1" s="1"/>
  <c r="B281" i="1"/>
  <c r="H281" i="1" s="1"/>
  <c r="B282" i="1"/>
  <c r="H282" i="1" s="1"/>
  <c r="B283" i="1"/>
  <c r="H283" i="1" s="1"/>
  <c r="B284" i="1"/>
  <c r="H284" i="1" s="1"/>
  <c r="B285" i="1"/>
  <c r="H285" i="1" s="1"/>
  <c r="B286" i="1"/>
  <c r="H286" i="1" s="1"/>
  <c r="B287" i="1"/>
  <c r="H287" i="1" s="1"/>
  <c r="B288" i="1"/>
  <c r="H288" i="1" s="1"/>
  <c r="B289" i="1"/>
  <c r="H289" i="1" s="1"/>
  <c r="B290" i="1"/>
  <c r="H290" i="1" s="1"/>
  <c r="B291" i="1"/>
  <c r="H291" i="1" s="1"/>
  <c r="B292" i="1"/>
  <c r="H292" i="1" s="1"/>
  <c r="B293" i="1"/>
  <c r="H293" i="1" s="1"/>
  <c r="B294" i="1"/>
  <c r="H294" i="1" s="1"/>
  <c r="B295" i="1"/>
  <c r="H295" i="1" s="1"/>
  <c r="B296" i="1"/>
  <c r="H296" i="1" s="1"/>
  <c r="B297" i="1"/>
  <c r="H297" i="1" s="1"/>
  <c r="B298" i="1"/>
  <c r="H298" i="1" s="1"/>
  <c r="B299" i="1"/>
  <c r="H299" i="1" s="1"/>
  <c r="B300" i="1"/>
  <c r="H300" i="1" s="1"/>
  <c r="B301" i="1"/>
  <c r="H301" i="1" s="1"/>
  <c r="B302" i="1"/>
  <c r="H302" i="1" s="1"/>
  <c r="B303" i="1"/>
  <c r="H303" i="1" s="1"/>
  <c r="B304" i="1"/>
  <c r="H304" i="1" s="1"/>
  <c r="B305" i="1"/>
  <c r="H305" i="1" s="1"/>
  <c r="B306" i="1"/>
  <c r="H306" i="1" s="1"/>
  <c r="B307" i="1"/>
  <c r="H307" i="1" s="1"/>
  <c r="B308" i="1"/>
  <c r="H308" i="1" s="1"/>
  <c r="B309" i="1"/>
  <c r="H309" i="1" s="1"/>
  <c r="B310" i="1"/>
  <c r="H310" i="1" s="1"/>
  <c r="B311" i="1"/>
  <c r="H311" i="1" s="1"/>
  <c r="B312" i="1"/>
  <c r="H312" i="1" s="1"/>
  <c r="B313" i="1"/>
  <c r="H313" i="1" s="1"/>
  <c r="B314" i="1"/>
  <c r="H314" i="1" s="1"/>
  <c r="B315" i="1"/>
  <c r="H315" i="1" s="1"/>
  <c r="B316" i="1"/>
  <c r="H316" i="1" s="1"/>
  <c r="B317" i="1"/>
  <c r="H317" i="1" s="1"/>
  <c r="B318" i="1"/>
  <c r="H318" i="1" s="1"/>
  <c r="B319" i="1"/>
  <c r="H319" i="1" s="1"/>
  <c r="B320" i="1"/>
  <c r="H320" i="1" s="1"/>
  <c r="B321" i="1"/>
  <c r="H321" i="1" s="1"/>
  <c r="B322" i="1"/>
  <c r="H322" i="1" s="1"/>
  <c r="B323" i="1"/>
  <c r="H323" i="1" s="1"/>
  <c r="B324" i="1"/>
  <c r="H324" i="1" s="1"/>
  <c r="B325" i="1"/>
  <c r="H325" i="1" s="1"/>
  <c r="B326" i="1"/>
  <c r="H326" i="1" s="1"/>
  <c r="B327" i="1"/>
  <c r="H327" i="1" s="1"/>
  <c r="B328" i="1"/>
  <c r="H328" i="1" s="1"/>
  <c r="B329" i="1"/>
  <c r="H329" i="1" s="1"/>
  <c r="B330" i="1"/>
  <c r="H330" i="1" s="1"/>
  <c r="B331" i="1"/>
  <c r="H331" i="1" s="1"/>
  <c r="B332" i="1"/>
  <c r="H332" i="1" s="1"/>
  <c r="B333" i="1"/>
  <c r="H333" i="1" s="1"/>
  <c r="B334" i="1"/>
  <c r="H334" i="1" s="1"/>
  <c r="B335" i="1"/>
  <c r="H335" i="1" s="1"/>
  <c r="B336" i="1"/>
  <c r="H336" i="1" s="1"/>
  <c r="B337" i="1"/>
  <c r="H337" i="1" s="1"/>
  <c r="B338" i="1"/>
  <c r="H338" i="1" s="1"/>
  <c r="B339" i="1"/>
  <c r="H339" i="1" s="1"/>
  <c r="B340" i="1"/>
  <c r="H340" i="1" s="1"/>
  <c r="B341" i="1"/>
  <c r="H341" i="1" s="1"/>
  <c r="B342" i="1"/>
  <c r="H342" i="1" s="1"/>
  <c r="B343" i="1"/>
  <c r="H343" i="1" s="1"/>
  <c r="B344" i="1"/>
  <c r="H344" i="1" s="1"/>
  <c r="B345" i="1"/>
  <c r="H345" i="1" s="1"/>
  <c r="B346" i="1"/>
  <c r="H346" i="1" s="1"/>
  <c r="B347" i="1"/>
  <c r="H347" i="1" s="1"/>
  <c r="B348" i="1"/>
  <c r="H348" i="1" s="1"/>
  <c r="B349" i="1"/>
  <c r="H349" i="1" s="1"/>
  <c r="B354" i="1"/>
  <c r="H354" i="1" s="1"/>
  <c r="B359" i="1"/>
  <c r="H359" i="1" s="1"/>
  <c r="B360" i="1"/>
  <c r="H360" i="1" s="1"/>
  <c r="B361" i="1"/>
  <c r="H361" i="1" s="1"/>
  <c r="B366" i="1"/>
  <c r="H366" i="1" s="1"/>
  <c r="B368" i="1"/>
  <c r="H368" i="1" s="1"/>
  <c r="B369" i="1"/>
  <c r="H369" i="1" s="1"/>
  <c r="B370" i="1"/>
  <c r="H370" i="1" s="1"/>
  <c r="B373" i="1"/>
  <c r="H373" i="1" s="1"/>
  <c r="B374" i="1"/>
  <c r="H374" i="1" s="1"/>
  <c r="B375" i="1"/>
  <c r="H375" i="1" s="1"/>
  <c r="B376" i="1"/>
  <c r="H376" i="1" s="1"/>
  <c r="B377" i="1"/>
  <c r="H377" i="1" s="1"/>
  <c r="B378" i="1"/>
  <c r="H378" i="1" s="1"/>
  <c r="B379" i="1"/>
  <c r="H379" i="1" s="1"/>
  <c r="B381" i="1"/>
  <c r="H381" i="1" s="1"/>
  <c r="B382" i="1"/>
  <c r="H382" i="1" s="1"/>
  <c r="B383" i="1"/>
  <c r="H383" i="1" s="1"/>
  <c r="B384" i="1"/>
  <c r="H384" i="1" s="1"/>
  <c r="B385" i="1"/>
  <c r="H385" i="1" s="1"/>
  <c r="B386" i="1"/>
  <c r="H386" i="1" s="1"/>
  <c r="B387" i="1"/>
  <c r="H387" i="1" s="1"/>
  <c r="B388" i="1"/>
  <c r="H388" i="1" s="1"/>
  <c r="B389" i="1"/>
  <c r="H389" i="1" s="1"/>
  <c r="B390" i="1"/>
  <c r="H390" i="1" s="1"/>
  <c r="B391" i="1"/>
  <c r="H391" i="1" s="1"/>
  <c r="B392" i="1"/>
  <c r="H392" i="1" s="1"/>
  <c r="B393" i="1"/>
  <c r="H393" i="1" s="1"/>
  <c r="B394" i="1"/>
  <c r="H394" i="1" s="1"/>
  <c r="B395" i="1"/>
  <c r="H395" i="1" s="1"/>
  <c r="B396" i="1"/>
  <c r="H396" i="1" s="1"/>
  <c r="B397" i="1"/>
  <c r="H397" i="1" s="1"/>
  <c r="B398" i="1"/>
  <c r="H398" i="1" s="1"/>
  <c r="B399" i="1"/>
  <c r="H399" i="1" s="1"/>
  <c r="B400" i="1"/>
  <c r="H400" i="1" s="1"/>
  <c r="B401" i="1"/>
  <c r="H401" i="1" s="1"/>
  <c r="B402" i="1"/>
  <c r="H402" i="1" s="1"/>
  <c r="B403" i="1"/>
  <c r="H403" i="1" s="1"/>
  <c r="B404" i="1"/>
  <c r="H404" i="1" s="1"/>
  <c r="B406" i="1"/>
  <c r="H406" i="1" s="1"/>
  <c r="B405" i="1"/>
  <c r="H405" i="1" s="1"/>
  <c r="A405" i="1" l="1"/>
  <c r="P405" i="1"/>
  <c r="R405" i="1" s="1"/>
  <c r="A406" i="1"/>
  <c r="P406" i="1"/>
  <c r="R406" i="1" s="1"/>
  <c r="T3" i="5"/>
  <c r="N10" i="5"/>
  <c r="P5" i="1"/>
  <c r="R5" i="1" s="1"/>
  <c r="P4" i="1"/>
  <c r="R4" i="1" s="1"/>
  <c r="A6" i="1"/>
  <c r="A19" i="1"/>
  <c r="N405" i="1" l="1"/>
  <c r="Q405" i="1" s="1"/>
  <c r="N406" i="1"/>
  <c r="Q406" i="1" s="1"/>
  <c r="A21" i="1"/>
  <c r="A22" i="1"/>
  <c r="A91" i="1"/>
  <c r="A99" i="1"/>
  <c r="A100" i="1"/>
  <c r="A129" i="1"/>
  <c r="A135" i="1"/>
  <c r="A25" i="1"/>
  <c r="A108" i="1"/>
  <c r="A138" i="1"/>
  <c r="A115" i="1"/>
  <c r="A125" i="1"/>
  <c r="A126" i="1"/>
  <c r="A36" i="1"/>
  <c r="A64" i="1"/>
  <c r="A139" i="1"/>
  <c r="A7" i="1"/>
  <c r="A8" i="1"/>
  <c r="A11" i="1"/>
  <c r="A12" i="1"/>
  <c r="A17" i="1"/>
  <c r="A34" i="1"/>
  <c r="A42" i="1"/>
  <c r="A51" i="1"/>
  <c r="A53" i="1"/>
  <c r="A65" i="1"/>
  <c r="A66" i="1"/>
  <c r="A85" i="1"/>
  <c r="A95" i="1"/>
  <c r="A96" i="1"/>
  <c r="A97" i="1"/>
  <c r="A113" i="1"/>
  <c r="A120" i="1"/>
  <c r="A123" i="1"/>
  <c r="A124" i="1"/>
  <c r="A38" i="1"/>
  <c r="A4" i="1"/>
  <c r="A63" i="1"/>
  <c r="A121" i="1"/>
  <c r="A3" i="1"/>
  <c r="A32" i="1"/>
  <c r="A44" i="1"/>
  <c r="A54" i="1"/>
  <c r="A56" i="1"/>
  <c r="A70" i="1"/>
  <c r="A71" i="1"/>
  <c r="A86" i="1"/>
  <c r="A98" i="1"/>
  <c r="A122" i="1"/>
  <c r="A143" i="1"/>
  <c r="A5" i="1"/>
  <c r="A37" i="1"/>
  <c r="A45" i="1"/>
  <c r="A57" i="1"/>
  <c r="A67" i="1"/>
  <c r="A77" i="1"/>
  <c r="A84" i="1"/>
  <c r="A90" i="1"/>
  <c r="A101" i="1"/>
  <c r="A107" i="1"/>
  <c r="A127" i="1"/>
  <c r="A141" i="1"/>
  <c r="A13" i="1"/>
  <c r="A14" i="1"/>
  <c r="A15" i="1"/>
  <c r="A20" i="1"/>
  <c r="A35" i="1"/>
  <c r="A40" i="1"/>
  <c r="A41" i="1"/>
  <c r="A9" i="1"/>
  <c r="A43" i="1"/>
  <c r="A58" i="1"/>
  <c r="A89" i="1"/>
  <c r="A128" i="1"/>
  <c r="A62" i="1"/>
  <c r="A73" i="1"/>
  <c r="A74" i="1"/>
  <c r="A75" i="1"/>
  <c r="A76" i="1"/>
  <c r="A78" i="1"/>
  <c r="A79" i="1"/>
  <c r="A80" i="1"/>
  <c r="A92" i="1"/>
  <c r="A93" i="1"/>
  <c r="A50" i="1"/>
  <c r="A52" i="1"/>
  <c r="A133" i="1"/>
  <c r="A134" i="1"/>
  <c r="A10" i="1"/>
  <c r="A68" i="1"/>
  <c r="A87" i="1"/>
  <c r="A117" i="1"/>
  <c r="A136" i="1"/>
  <c r="A26" i="1"/>
  <c r="A27" i="1"/>
  <c r="A47" i="1"/>
  <c r="A48" i="1"/>
  <c r="A59" i="1"/>
  <c r="A60" i="1"/>
  <c r="A109" i="1"/>
  <c r="A110" i="1"/>
  <c r="A116" i="1"/>
  <c r="A30" i="1"/>
  <c r="A72" i="1"/>
  <c r="A81" i="1"/>
  <c r="A114" i="1"/>
  <c r="A140" i="1"/>
  <c r="A33" i="1"/>
  <c r="A55" i="1"/>
  <c r="A105" i="1"/>
  <c r="A31" i="1"/>
  <c r="A118" i="1"/>
  <c r="A23" i="1"/>
  <c r="A49" i="1"/>
  <c r="A82" i="1"/>
  <c r="A132" i="1"/>
  <c r="A28" i="1"/>
  <c r="A46" i="1"/>
  <c r="A111" i="1"/>
  <c r="A39" i="1"/>
  <c r="A119" i="1"/>
  <c r="A24" i="1"/>
  <c r="A61" i="1"/>
  <c r="A83" i="1"/>
  <c r="A102" i="1"/>
  <c r="A103" i="1"/>
  <c r="A130" i="1"/>
  <c r="A69" i="1"/>
  <c r="A137" i="1"/>
  <c r="A16" i="1"/>
  <c r="A18" i="1"/>
  <c r="A29" i="1"/>
  <c r="A88" i="1"/>
  <c r="A94" i="1"/>
  <c r="A104" i="1"/>
  <c r="A106" i="1"/>
  <c r="A112" i="1"/>
  <c r="A131" i="1"/>
  <c r="A142" i="1"/>
  <c r="P21" i="1"/>
  <c r="R21" i="1" s="1"/>
  <c r="P22" i="1"/>
  <c r="R22" i="1" s="1"/>
  <c r="P91" i="1"/>
  <c r="R91" i="1" s="1"/>
  <c r="P99" i="1"/>
  <c r="R99" i="1" s="1"/>
  <c r="P100" i="1"/>
  <c r="R100" i="1" s="1"/>
  <c r="P129" i="1"/>
  <c r="R129" i="1" s="1"/>
  <c r="P135" i="1"/>
  <c r="R135" i="1" s="1"/>
  <c r="P25" i="1"/>
  <c r="R25" i="1" s="1"/>
  <c r="P108" i="1"/>
  <c r="R108" i="1" s="1"/>
  <c r="P138" i="1"/>
  <c r="R138" i="1" s="1"/>
  <c r="P115" i="1"/>
  <c r="R115" i="1" s="1"/>
  <c r="P125" i="1"/>
  <c r="R125" i="1" s="1"/>
  <c r="P126" i="1"/>
  <c r="R126" i="1" s="1"/>
  <c r="P36" i="1"/>
  <c r="R36" i="1" s="1"/>
  <c r="P64" i="1"/>
  <c r="R64" i="1" s="1"/>
  <c r="P139" i="1"/>
  <c r="R139" i="1" s="1"/>
  <c r="P7" i="1"/>
  <c r="R7" i="1" s="1"/>
  <c r="P8" i="1"/>
  <c r="R8" i="1" s="1"/>
  <c r="P11" i="1"/>
  <c r="R11" i="1" s="1"/>
  <c r="P12" i="1"/>
  <c r="R12" i="1" s="1"/>
  <c r="P17" i="1"/>
  <c r="R17" i="1" s="1"/>
  <c r="P34" i="1"/>
  <c r="R34" i="1" s="1"/>
  <c r="P42" i="1"/>
  <c r="R42" i="1" s="1"/>
  <c r="P51" i="1"/>
  <c r="R51" i="1" s="1"/>
  <c r="P53" i="1"/>
  <c r="R53" i="1" s="1"/>
  <c r="P65" i="1"/>
  <c r="R65" i="1" s="1"/>
  <c r="P66" i="1"/>
  <c r="R66" i="1" s="1"/>
  <c r="P85" i="1"/>
  <c r="R85" i="1" s="1"/>
  <c r="P95" i="1"/>
  <c r="R95" i="1" s="1"/>
  <c r="P96" i="1"/>
  <c r="R96" i="1" s="1"/>
  <c r="P97" i="1"/>
  <c r="R97" i="1" s="1"/>
  <c r="P113" i="1"/>
  <c r="R113" i="1" s="1"/>
  <c r="P120" i="1"/>
  <c r="R120" i="1" s="1"/>
  <c r="P123" i="1"/>
  <c r="R123" i="1" s="1"/>
  <c r="P124" i="1"/>
  <c r="R124" i="1" s="1"/>
  <c r="P38" i="1"/>
  <c r="R38" i="1" s="1"/>
  <c r="P63" i="1"/>
  <c r="R63" i="1" s="1"/>
  <c r="P121" i="1"/>
  <c r="R121" i="1" s="1"/>
  <c r="P3" i="1"/>
  <c r="R3" i="1" s="1"/>
  <c r="P32" i="1"/>
  <c r="R32" i="1" s="1"/>
  <c r="P44" i="1"/>
  <c r="R44" i="1" s="1"/>
  <c r="P54" i="1"/>
  <c r="R54" i="1" s="1"/>
  <c r="P56" i="1"/>
  <c r="R56" i="1" s="1"/>
  <c r="P70" i="1"/>
  <c r="R70" i="1" s="1"/>
  <c r="P71" i="1"/>
  <c r="R71" i="1" s="1"/>
  <c r="P86" i="1"/>
  <c r="R86" i="1" s="1"/>
  <c r="P98" i="1"/>
  <c r="R98" i="1" s="1"/>
  <c r="P122" i="1"/>
  <c r="R122" i="1" s="1"/>
  <c r="P143" i="1"/>
  <c r="R143" i="1" s="1"/>
  <c r="P19" i="1"/>
  <c r="R19" i="1" s="1"/>
  <c r="P37" i="1"/>
  <c r="R37" i="1" s="1"/>
  <c r="P45" i="1"/>
  <c r="R45" i="1" s="1"/>
  <c r="P57" i="1"/>
  <c r="R57" i="1" s="1"/>
  <c r="P67" i="1"/>
  <c r="R67" i="1" s="1"/>
  <c r="P77" i="1"/>
  <c r="R77" i="1" s="1"/>
  <c r="P84" i="1"/>
  <c r="R84" i="1" s="1"/>
  <c r="P90" i="1"/>
  <c r="R90" i="1" s="1"/>
  <c r="P101" i="1"/>
  <c r="R101" i="1" s="1"/>
  <c r="P107" i="1"/>
  <c r="R107" i="1" s="1"/>
  <c r="P127" i="1"/>
  <c r="R127" i="1" s="1"/>
  <c r="P141" i="1"/>
  <c r="R141" i="1" s="1"/>
  <c r="P6" i="1"/>
  <c r="P13" i="1"/>
  <c r="P14" i="1"/>
  <c r="P15" i="1"/>
  <c r="P20" i="1"/>
  <c r="P35" i="1"/>
  <c r="P40" i="1"/>
  <c r="P41" i="1"/>
  <c r="P9" i="1"/>
  <c r="R9" i="1" s="1"/>
  <c r="P43" i="1"/>
  <c r="R43" i="1" s="1"/>
  <c r="P58" i="1"/>
  <c r="R58" i="1" s="1"/>
  <c r="P89" i="1"/>
  <c r="R89" i="1" s="1"/>
  <c r="P128" i="1"/>
  <c r="R128" i="1" s="1"/>
  <c r="P62" i="1"/>
  <c r="P73" i="1"/>
  <c r="P74" i="1"/>
  <c r="P75" i="1"/>
  <c r="P76" i="1"/>
  <c r="P78" i="1"/>
  <c r="P79" i="1"/>
  <c r="P80" i="1"/>
  <c r="P92" i="1"/>
  <c r="P93" i="1"/>
  <c r="P50" i="1"/>
  <c r="P52" i="1"/>
  <c r="P133" i="1"/>
  <c r="P134" i="1"/>
  <c r="P10" i="1"/>
  <c r="R10" i="1" s="1"/>
  <c r="P68" i="1"/>
  <c r="R68" i="1" s="1"/>
  <c r="P87" i="1"/>
  <c r="R87" i="1" s="1"/>
  <c r="P117" i="1"/>
  <c r="R117" i="1" s="1"/>
  <c r="P136" i="1"/>
  <c r="R136" i="1" s="1"/>
  <c r="P26" i="1"/>
  <c r="R26" i="1" s="1"/>
  <c r="P27" i="1"/>
  <c r="R27" i="1" s="1"/>
  <c r="P47" i="1"/>
  <c r="R47" i="1" s="1"/>
  <c r="P48" i="1"/>
  <c r="R48" i="1" s="1"/>
  <c r="P59" i="1"/>
  <c r="R59" i="1" s="1"/>
  <c r="P60" i="1"/>
  <c r="R60" i="1" s="1"/>
  <c r="P109" i="1"/>
  <c r="R109" i="1" s="1"/>
  <c r="P110" i="1"/>
  <c r="R110" i="1" s="1"/>
  <c r="P116" i="1"/>
  <c r="R116" i="1" s="1"/>
  <c r="P30" i="1"/>
  <c r="R30" i="1" s="1"/>
  <c r="P72" i="1"/>
  <c r="R72" i="1" s="1"/>
  <c r="P81" i="1"/>
  <c r="R81" i="1" s="1"/>
  <c r="P114" i="1"/>
  <c r="R114" i="1" s="1"/>
  <c r="P140" i="1"/>
  <c r="R140" i="1" s="1"/>
  <c r="P33" i="1"/>
  <c r="R33" i="1" s="1"/>
  <c r="P55" i="1"/>
  <c r="R55" i="1" s="1"/>
  <c r="P105" i="1"/>
  <c r="R105" i="1" s="1"/>
  <c r="P31" i="1"/>
  <c r="R31" i="1" s="1"/>
  <c r="P118" i="1"/>
  <c r="R118" i="1" s="1"/>
  <c r="P23" i="1"/>
  <c r="R23" i="1" s="1"/>
  <c r="P49" i="1"/>
  <c r="R49" i="1" s="1"/>
  <c r="P82" i="1"/>
  <c r="R82" i="1" s="1"/>
  <c r="P132" i="1"/>
  <c r="R132" i="1" s="1"/>
  <c r="P28" i="1"/>
  <c r="R28" i="1" s="1"/>
  <c r="P46" i="1"/>
  <c r="R46" i="1" s="1"/>
  <c r="P111" i="1"/>
  <c r="R111" i="1" s="1"/>
  <c r="P39" i="1"/>
  <c r="R39" i="1" s="1"/>
  <c r="P119" i="1"/>
  <c r="R119" i="1" s="1"/>
  <c r="P24" i="1"/>
  <c r="R24" i="1" s="1"/>
  <c r="P61" i="1"/>
  <c r="R61" i="1" s="1"/>
  <c r="P83" i="1"/>
  <c r="R83" i="1" s="1"/>
  <c r="P102" i="1"/>
  <c r="R102" i="1" s="1"/>
  <c r="P103" i="1"/>
  <c r="R103" i="1" s="1"/>
  <c r="P130" i="1"/>
  <c r="R130" i="1" s="1"/>
  <c r="P69" i="1"/>
  <c r="R69" i="1" s="1"/>
  <c r="P137" i="1"/>
  <c r="R137" i="1" s="1"/>
  <c r="P16" i="1"/>
  <c r="R16" i="1" s="1"/>
  <c r="P18" i="1"/>
  <c r="R18" i="1" s="1"/>
  <c r="P29" i="1"/>
  <c r="R29" i="1" s="1"/>
  <c r="P88" i="1"/>
  <c r="R88" i="1" s="1"/>
  <c r="P94" i="1"/>
  <c r="R94" i="1" s="1"/>
  <c r="P104" i="1"/>
  <c r="R104" i="1" s="1"/>
  <c r="P106" i="1"/>
  <c r="R106" i="1" s="1"/>
  <c r="P112" i="1"/>
  <c r="R112" i="1" s="1"/>
  <c r="P131" i="1"/>
  <c r="R131" i="1" s="1"/>
  <c r="P142" i="1"/>
  <c r="R142" i="1" s="1"/>
  <c r="A144" i="1" l="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P144" i="1"/>
  <c r="R144" i="1" s="1"/>
  <c r="P145" i="1"/>
  <c r="R145" i="1" s="1"/>
  <c r="P146" i="1"/>
  <c r="R146" i="1" s="1"/>
  <c r="P147" i="1"/>
  <c r="R147" i="1" s="1"/>
  <c r="P148" i="1"/>
  <c r="R148" i="1" s="1"/>
  <c r="P149" i="1"/>
  <c r="R149" i="1" s="1"/>
  <c r="P150" i="1"/>
  <c r="R150" i="1" s="1"/>
  <c r="P151" i="1"/>
  <c r="R151" i="1" s="1"/>
  <c r="P152" i="1"/>
  <c r="R152" i="1" s="1"/>
  <c r="P153" i="1"/>
  <c r="R153" i="1" s="1"/>
  <c r="P154" i="1"/>
  <c r="R154" i="1" s="1"/>
  <c r="P155" i="1"/>
  <c r="R155" i="1" s="1"/>
  <c r="P156" i="1"/>
  <c r="R156" i="1" s="1"/>
  <c r="P157" i="1"/>
  <c r="R157" i="1" s="1"/>
  <c r="P158" i="1"/>
  <c r="R158" i="1" s="1"/>
  <c r="P159" i="1"/>
  <c r="R159" i="1" s="1"/>
  <c r="P160" i="1"/>
  <c r="R160" i="1" s="1"/>
  <c r="P161" i="1"/>
  <c r="R161" i="1" s="1"/>
  <c r="P162" i="1"/>
  <c r="R162" i="1" s="1"/>
  <c r="P163" i="1"/>
  <c r="R163" i="1" s="1"/>
  <c r="P164" i="1"/>
  <c r="R164" i="1" s="1"/>
  <c r="P165" i="1"/>
  <c r="R165" i="1" s="1"/>
  <c r="P166" i="1"/>
  <c r="R166" i="1" s="1"/>
  <c r="P167" i="1"/>
  <c r="R167" i="1" s="1"/>
  <c r="P168" i="1"/>
  <c r="R168" i="1" s="1"/>
  <c r="P169" i="1"/>
  <c r="R169" i="1" s="1"/>
  <c r="P170" i="1"/>
  <c r="R170" i="1" s="1"/>
  <c r="P171" i="1"/>
  <c r="R171" i="1" s="1"/>
  <c r="P172" i="1"/>
  <c r="R172" i="1" s="1"/>
  <c r="P173" i="1"/>
  <c r="R173" i="1" s="1"/>
  <c r="P174" i="1"/>
  <c r="R174" i="1" s="1"/>
  <c r="P175" i="1"/>
  <c r="R175" i="1" s="1"/>
  <c r="P176" i="1"/>
  <c r="R176" i="1" s="1"/>
  <c r="P177" i="1"/>
  <c r="R177" i="1" s="1"/>
  <c r="P178" i="1"/>
  <c r="R178" i="1" s="1"/>
  <c r="P179" i="1"/>
  <c r="R179" i="1" s="1"/>
  <c r="P180" i="1"/>
  <c r="R180" i="1" s="1"/>
  <c r="P181" i="1"/>
  <c r="R181" i="1" s="1"/>
  <c r="P182" i="1"/>
  <c r="R182" i="1" s="1"/>
  <c r="P183" i="1"/>
  <c r="R183" i="1" s="1"/>
  <c r="P184" i="1"/>
  <c r="R184" i="1" s="1"/>
  <c r="P185" i="1"/>
  <c r="R185" i="1" s="1"/>
  <c r="P186" i="1"/>
  <c r="R186" i="1" s="1"/>
  <c r="P187" i="1"/>
  <c r="P188" i="1"/>
  <c r="P189" i="1"/>
  <c r="P190" i="1"/>
  <c r="R190" i="1" s="1"/>
  <c r="P191" i="1"/>
  <c r="R191" i="1" s="1"/>
  <c r="P192" i="1"/>
  <c r="R192" i="1" s="1"/>
  <c r="P193" i="1"/>
  <c r="R193" i="1" s="1"/>
  <c r="P194" i="1"/>
  <c r="R194" i="1" s="1"/>
  <c r="P195" i="1"/>
  <c r="R195" i="1" s="1"/>
  <c r="P196" i="1"/>
  <c r="R196" i="1" s="1"/>
  <c r="P197" i="1"/>
  <c r="R197" i="1" s="1"/>
  <c r="P198" i="1"/>
  <c r="R198" i="1" s="1"/>
  <c r="P199" i="1"/>
  <c r="R199" i="1" s="1"/>
  <c r="P200" i="1"/>
  <c r="R200" i="1" s="1"/>
  <c r="P201" i="1"/>
  <c r="R201" i="1" s="1"/>
  <c r="P202" i="1"/>
  <c r="R202" i="1" s="1"/>
  <c r="P203" i="1"/>
  <c r="R203" i="1" s="1"/>
  <c r="P204" i="1"/>
  <c r="R204" i="1" s="1"/>
  <c r="P205" i="1"/>
  <c r="R205" i="1" s="1"/>
  <c r="P206" i="1"/>
  <c r="R206" i="1" s="1"/>
  <c r="P207" i="1"/>
  <c r="R207" i="1" s="1"/>
  <c r="P208" i="1"/>
  <c r="R208" i="1" s="1"/>
  <c r="P209" i="1"/>
  <c r="R209" i="1" s="1"/>
  <c r="P210" i="1"/>
  <c r="R210" i="1" s="1"/>
  <c r="P211" i="1"/>
  <c r="R211" i="1" s="1"/>
  <c r="P212" i="1"/>
  <c r="R212" i="1" s="1"/>
  <c r="P213" i="1"/>
  <c r="R213" i="1" s="1"/>
  <c r="P214" i="1"/>
  <c r="R214" i="1" s="1"/>
  <c r="P215" i="1"/>
  <c r="R215" i="1" s="1"/>
  <c r="P216" i="1"/>
  <c r="R216" i="1" s="1"/>
  <c r="P217" i="1"/>
  <c r="R217" i="1" s="1"/>
  <c r="P218" i="1"/>
  <c r="R218" i="1" s="1"/>
  <c r="P219" i="1"/>
  <c r="R219" i="1" s="1"/>
  <c r="P220" i="1"/>
  <c r="R220" i="1" s="1"/>
  <c r="P221" i="1"/>
  <c r="R221" i="1" s="1"/>
  <c r="P222" i="1"/>
  <c r="R222" i="1" s="1"/>
  <c r="P223" i="1"/>
  <c r="R223" i="1" s="1"/>
  <c r="P224" i="1"/>
  <c r="R224" i="1" s="1"/>
  <c r="P225" i="1"/>
  <c r="R225" i="1" s="1"/>
  <c r="P226" i="1"/>
  <c r="R226" i="1" s="1"/>
  <c r="P227" i="1"/>
  <c r="R227" i="1" s="1"/>
  <c r="P228" i="1"/>
  <c r="R228" i="1" s="1"/>
  <c r="P229" i="1"/>
  <c r="R229" i="1" s="1"/>
  <c r="P230" i="1"/>
  <c r="R230" i="1" s="1"/>
  <c r="P231" i="1"/>
  <c r="R231" i="1" s="1"/>
  <c r="P232" i="1"/>
  <c r="R232" i="1" s="1"/>
  <c r="P233" i="1"/>
  <c r="R233" i="1" s="1"/>
  <c r="P234" i="1"/>
  <c r="R234" i="1" s="1"/>
  <c r="P235" i="1"/>
  <c r="R235" i="1" s="1"/>
  <c r="P236" i="1"/>
  <c r="R236" i="1" s="1"/>
  <c r="P237" i="1"/>
  <c r="R237" i="1" s="1"/>
  <c r="P238" i="1"/>
  <c r="R238" i="1" s="1"/>
  <c r="P239" i="1"/>
  <c r="R239" i="1" s="1"/>
  <c r="P240" i="1"/>
  <c r="R240" i="1" s="1"/>
  <c r="P241" i="1"/>
  <c r="R241" i="1" s="1"/>
  <c r="P242" i="1"/>
  <c r="R242" i="1" s="1"/>
  <c r="P243" i="1"/>
  <c r="R243" i="1" s="1"/>
  <c r="P244" i="1"/>
  <c r="R244" i="1" s="1"/>
  <c r="P245" i="1"/>
  <c r="R245" i="1" s="1"/>
  <c r="P246" i="1"/>
  <c r="R246" i="1" s="1"/>
  <c r="P247" i="1"/>
  <c r="R247" i="1" s="1"/>
  <c r="P248" i="1"/>
  <c r="R248" i="1" s="1"/>
  <c r="P249" i="1"/>
  <c r="R249" i="1" s="1"/>
  <c r="P250" i="1"/>
  <c r="R250" i="1" s="1"/>
  <c r="P251" i="1"/>
  <c r="R251" i="1" s="1"/>
  <c r="P252" i="1"/>
  <c r="R252" i="1" s="1"/>
  <c r="P253" i="1"/>
  <c r="R253" i="1" s="1"/>
  <c r="P254" i="1"/>
  <c r="R254" i="1" s="1"/>
  <c r="P255" i="1"/>
  <c r="R255" i="1" s="1"/>
  <c r="P256" i="1"/>
  <c r="R256" i="1" s="1"/>
  <c r="P257" i="1"/>
  <c r="R257" i="1" s="1"/>
  <c r="P258" i="1"/>
  <c r="R258" i="1" s="1"/>
  <c r="P259" i="1"/>
  <c r="R259" i="1" s="1"/>
  <c r="P260" i="1"/>
  <c r="R260" i="1" s="1"/>
  <c r="P261" i="1"/>
  <c r="R261" i="1" s="1"/>
  <c r="P262" i="1"/>
  <c r="R262" i="1" s="1"/>
  <c r="P263" i="1"/>
  <c r="R263" i="1" s="1"/>
  <c r="P264" i="1"/>
  <c r="R264" i="1" s="1"/>
  <c r="P265" i="1"/>
  <c r="R265" i="1" s="1"/>
  <c r="P266" i="1"/>
  <c r="R266" i="1" s="1"/>
  <c r="P267" i="1"/>
  <c r="R267" i="1" s="1"/>
  <c r="P268" i="1"/>
  <c r="R268" i="1" s="1"/>
  <c r="P269" i="1"/>
  <c r="R269" i="1" s="1"/>
  <c r="P270" i="1"/>
  <c r="R270" i="1" s="1"/>
  <c r="P271" i="1"/>
  <c r="R271" i="1" s="1"/>
  <c r="P272" i="1"/>
  <c r="R272" i="1" s="1"/>
  <c r="P273" i="1"/>
  <c r="R273" i="1" s="1"/>
  <c r="P274" i="1"/>
  <c r="P275" i="1"/>
  <c r="P276" i="1"/>
  <c r="P277" i="1"/>
  <c r="P278" i="1"/>
  <c r="R278" i="1" s="1"/>
  <c r="P279" i="1"/>
  <c r="R279" i="1" s="1"/>
  <c r="P280" i="1"/>
  <c r="R280" i="1" s="1"/>
  <c r="P281" i="1"/>
  <c r="R281" i="1" s="1"/>
  <c r="P282" i="1"/>
  <c r="R282" i="1" s="1"/>
  <c r="P283" i="1"/>
  <c r="R283" i="1" s="1"/>
  <c r="P284" i="1"/>
  <c r="R284" i="1" s="1"/>
  <c r="P285" i="1"/>
  <c r="R285" i="1" s="1"/>
  <c r="P286" i="1"/>
  <c r="R286" i="1" s="1"/>
  <c r="P287" i="1"/>
  <c r="R287" i="1" s="1"/>
  <c r="P288" i="1"/>
  <c r="R288" i="1" s="1"/>
  <c r="P289" i="1"/>
  <c r="R289" i="1" s="1"/>
  <c r="P290" i="1"/>
  <c r="R290" i="1" s="1"/>
  <c r="P291" i="1"/>
  <c r="R291" i="1" s="1"/>
  <c r="P292" i="1"/>
  <c r="R292" i="1" s="1"/>
  <c r="P293" i="1"/>
  <c r="R293" i="1" s="1"/>
  <c r="P294" i="1"/>
  <c r="R294" i="1" s="1"/>
  <c r="P295" i="1"/>
  <c r="R295" i="1" s="1"/>
  <c r="P296" i="1"/>
  <c r="R296" i="1" s="1"/>
  <c r="P297" i="1"/>
  <c r="R297" i="1" s="1"/>
  <c r="P298" i="1"/>
  <c r="R298" i="1" s="1"/>
  <c r="P299" i="1"/>
  <c r="R299" i="1" s="1"/>
  <c r="P300" i="1"/>
  <c r="P301" i="1"/>
  <c r="R301" i="1" s="1"/>
  <c r="P302" i="1"/>
  <c r="R302" i="1" s="1"/>
  <c r="P303" i="1"/>
  <c r="R303" i="1" s="1"/>
  <c r="P304" i="1"/>
  <c r="R304" i="1" s="1"/>
  <c r="P305" i="1"/>
  <c r="R305" i="1" s="1"/>
  <c r="P306" i="1"/>
  <c r="R306" i="1" s="1"/>
  <c r="P307" i="1"/>
  <c r="R307" i="1" s="1"/>
  <c r="P308" i="1"/>
  <c r="R308" i="1" s="1"/>
  <c r="P309" i="1"/>
  <c r="R309" i="1" s="1"/>
  <c r="P310" i="1"/>
  <c r="R310" i="1" s="1"/>
  <c r="P311" i="1"/>
  <c r="R311" i="1" s="1"/>
  <c r="P312" i="1"/>
  <c r="R312" i="1" s="1"/>
  <c r="P313" i="1"/>
  <c r="R313" i="1" s="1"/>
  <c r="P314" i="1"/>
  <c r="R314" i="1" s="1"/>
  <c r="P315" i="1"/>
  <c r="R315" i="1" s="1"/>
  <c r="P316" i="1"/>
  <c r="R316" i="1" s="1"/>
  <c r="P317" i="1"/>
  <c r="R317" i="1" s="1"/>
  <c r="P318" i="1"/>
  <c r="R318" i="1" s="1"/>
  <c r="P319" i="1"/>
  <c r="R319" i="1" s="1"/>
  <c r="P320" i="1"/>
  <c r="R320" i="1" s="1"/>
  <c r="P321" i="1"/>
  <c r="P322" i="1"/>
  <c r="P323" i="1"/>
  <c r="R323" i="1" s="1"/>
  <c r="P324" i="1"/>
  <c r="R324" i="1" s="1"/>
  <c r="P325" i="1"/>
  <c r="R325" i="1" s="1"/>
  <c r="P326" i="1"/>
  <c r="R326" i="1" s="1"/>
  <c r="P327" i="1"/>
  <c r="R327" i="1" s="1"/>
  <c r="P328" i="1"/>
  <c r="R328" i="1" s="1"/>
  <c r="P329" i="1"/>
  <c r="R329" i="1" s="1"/>
  <c r="P330" i="1"/>
  <c r="R330" i="1" s="1"/>
  <c r="P331" i="1"/>
  <c r="R331" i="1" s="1"/>
  <c r="P332" i="1"/>
  <c r="R332" i="1" s="1"/>
  <c r="P333" i="1"/>
  <c r="R333" i="1" s="1"/>
  <c r="P334" i="1"/>
  <c r="R334" i="1" s="1"/>
  <c r="P335" i="1"/>
  <c r="R335" i="1" s="1"/>
  <c r="P336" i="1"/>
  <c r="R336" i="1" s="1"/>
  <c r="P337" i="1"/>
  <c r="R337" i="1" s="1"/>
  <c r="P338" i="1"/>
  <c r="R338" i="1" s="1"/>
  <c r="P339" i="1"/>
  <c r="R339" i="1" s="1"/>
  <c r="P340" i="1"/>
  <c r="R340" i="1" s="1"/>
  <c r="P341" i="1"/>
  <c r="R341" i="1" s="1"/>
  <c r="P342" i="1"/>
  <c r="R342" i="1" s="1"/>
  <c r="P343" i="1"/>
  <c r="R343" i="1" s="1"/>
  <c r="A404" i="1" l="1"/>
  <c r="P404" i="1"/>
  <c r="R404" i="1" s="1"/>
  <c r="A403" i="1"/>
  <c r="P403" i="1"/>
  <c r="R403" i="1" s="1"/>
  <c r="N403" i="1" l="1"/>
  <c r="Q403" i="1" s="1"/>
  <c r="N404" i="1"/>
  <c r="Q404" i="1" s="1"/>
  <c r="A402" i="1" l="1"/>
  <c r="P402" i="1"/>
  <c r="R402" i="1" s="1"/>
  <c r="P344" i="1"/>
  <c r="R344" i="1" s="1"/>
  <c r="P345" i="1"/>
  <c r="R345" i="1" s="1"/>
  <c r="P346" i="1"/>
  <c r="R346" i="1" s="1"/>
  <c r="P347" i="1"/>
  <c r="R347" i="1" s="1"/>
  <c r="P348" i="1"/>
  <c r="P349" i="1"/>
  <c r="R349" i="1" s="1"/>
  <c r="P354" i="1"/>
  <c r="R354" i="1" s="1"/>
  <c r="P359" i="1"/>
  <c r="R359" i="1" s="1"/>
  <c r="P360" i="1"/>
  <c r="R360" i="1" s="1"/>
  <c r="P361" i="1"/>
  <c r="R361" i="1" s="1"/>
  <c r="P366" i="1"/>
  <c r="R366" i="1" s="1"/>
  <c r="P368" i="1"/>
  <c r="R368" i="1" s="1"/>
  <c r="P369" i="1"/>
  <c r="R369" i="1" s="1"/>
  <c r="P370" i="1"/>
  <c r="R370" i="1" s="1"/>
  <c r="P373" i="1"/>
  <c r="R373" i="1" s="1"/>
  <c r="P374" i="1"/>
  <c r="R374" i="1" s="1"/>
  <c r="P375" i="1"/>
  <c r="R375" i="1" s="1"/>
  <c r="P376" i="1"/>
  <c r="R376" i="1" s="1"/>
  <c r="P377" i="1"/>
  <c r="R377" i="1" s="1"/>
  <c r="P378" i="1"/>
  <c r="R378" i="1" s="1"/>
  <c r="P379" i="1"/>
  <c r="R379" i="1" s="1"/>
  <c r="P381" i="1"/>
  <c r="R381" i="1" s="1"/>
  <c r="P382" i="1"/>
  <c r="R382" i="1" s="1"/>
  <c r="P383" i="1"/>
  <c r="R383" i="1" s="1"/>
  <c r="P384" i="1"/>
  <c r="R384" i="1" s="1"/>
  <c r="P385" i="1"/>
  <c r="R385" i="1" s="1"/>
  <c r="P386" i="1"/>
  <c r="P387" i="1"/>
  <c r="R387" i="1" s="1"/>
  <c r="P388" i="1"/>
  <c r="R388" i="1" s="1"/>
  <c r="P389" i="1"/>
  <c r="P390" i="1"/>
  <c r="P391" i="1"/>
  <c r="P392" i="1"/>
  <c r="R392" i="1" s="1"/>
  <c r="P393" i="1"/>
  <c r="R393" i="1" s="1"/>
  <c r="P394" i="1"/>
  <c r="R394" i="1" s="1"/>
  <c r="P395" i="1"/>
  <c r="R395" i="1" s="1"/>
  <c r="P396" i="1"/>
  <c r="R396" i="1" s="1"/>
  <c r="P397" i="1"/>
  <c r="R397" i="1" s="1"/>
  <c r="P398" i="1"/>
  <c r="R398" i="1" s="1"/>
  <c r="P399" i="1"/>
  <c r="R399" i="1" s="1"/>
  <c r="P400" i="1"/>
  <c r="R400" i="1" s="1"/>
  <c r="P401" i="1"/>
  <c r="R401" i="1" s="1"/>
  <c r="I382" i="1"/>
  <c r="I384" i="1"/>
  <c r="I385" i="1"/>
  <c r="I386" i="1"/>
  <c r="N3" i="5"/>
  <c r="N4" i="5"/>
  <c r="I348" i="1"/>
  <c r="N7" i="5"/>
  <c r="I398" i="1" s="1"/>
  <c r="N8" i="5"/>
  <c r="N9" i="5"/>
  <c r="N11" i="5"/>
  <c r="I377" i="1" s="1"/>
  <c r="N12" i="5"/>
  <c r="I379" i="1" s="1"/>
  <c r="I369" i="1"/>
  <c r="I376" i="1"/>
  <c r="I38" i="1"/>
  <c r="N38" i="1" s="1"/>
  <c r="Q38" i="1" s="1"/>
  <c r="I370" i="1"/>
  <c r="I383" i="1"/>
  <c r="N20" i="5"/>
  <c r="N21" i="5"/>
  <c r="N22" i="5"/>
  <c r="N23" i="5"/>
  <c r="N24" i="5"/>
  <c r="N25" i="5"/>
  <c r="I396" i="1" s="1"/>
  <c r="N26" i="5"/>
  <c r="N27" i="5"/>
  <c r="N28" i="5"/>
  <c r="I388" i="1" s="1"/>
  <c r="N29" i="5"/>
  <c r="N30" i="5"/>
  <c r="N31" i="5"/>
  <c r="I395" i="1" s="1"/>
  <c r="A4" i="9"/>
  <c r="D4" i="9" s="1"/>
  <c r="E4" i="9" s="1"/>
  <c r="K13" i="10" l="1"/>
  <c r="K15" i="10"/>
  <c r="L15" i="10" s="1"/>
  <c r="M15" i="10" s="1"/>
  <c r="K14" i="10"/>
  <c r="L14" i="10" s="1"/>
  <c r="M14" i="10" s="1"/>
  <c r="L16" i="10"/>
  <c r="B13" i="11"/>
  <c r="I378" i="1"/>
  <c r="N378" i="1" s="1"/>
  <c r="Q378" i="1" s="1"/>
  <c r="I368" i="1"/>
  <c r="N368" i="1" s="1"/>
  <c r="Q368" i="1" s="1"/>
  <c r="I394" i="1"/>
  <c r="N394" i="1" s="1"/>
  <c r="Q394" i="1" s="1"/>
  <c r="I393" i="1"/>
  <c r="N393" i="1" s="1"/>
  <c r="Q393" i="1" s="1"/>
  <c r="I374" i="1"/>
  <c r="N374" i="1" s="1"/>
  <c r="Q374" i="1" s="1"/>
  <c r="I387" i="1"/>
  <c r="N387" i="1" s="1"/>
  <c r="Q387" i="1" s="1"/>
  <c r="I373" i="1"/>
  <c r="N373" i="1" s="1"/>
  <c r="Q373" i="1" s="1"/>
  <c r="I236" i="1"/>
  <c r="N236" i="1" s="1"/>
  <c r="Q236" i="1" s="1"/>
  <c r="I284" i="1"/>
  <c r="N284" i="1" s="1"/>
  <c r="Q284" i="1" s="1"/>
  <c r="I334" i="1"/>
  <c r="N334" i="1" s="1"/>
  <c r="Q334" i="1" s="1"/>
  <c r="I175" i="1"/>
  <c r="N175" i="1" s="1"/>
  <c r="Q175" i="1" s="1"/>
  <c r="I237" i="1"/>
  <c r="N237" i="1" s="1"/>
  <c r="Q237" i="1" s="1"/>
  <c r="I285" i="1"/>
  <c r="N285" i="1" s="1"/>
  <c r="Q285" i="1" s="1"/>
  <c r="I335" i="1"/>
  <c r="N335" i="1" s="1"/>
  <c r="Q335" i="1" s="1"/>
  <c r="I91" i="1"/>
  <c r="N91" i="1" s="1"/>
  <c r="Q91" i="1" s="1"/>
  <c r="I176" i="1"/>
  <c r="N176" i="1" s="1"/>
  <c r="Q176" i="1" s="1"/>
  <c r="I214" i="1"/>
  <c r="N214" i="1" s="1"/>
  <c r="Q214" i="1" s="1"/>
  <c r="I238" i="1"/>
  <c r="N238" i="1" s="1"/>
  <c r="Q238" i="1" s="1"/>
  <c r="I262" i="1"/>
  <c r="N262" i="1" s="1"/>
  <c r="Q262" i="1" s="1"/>
  <c r="I286" i="1"/>
  <c r="N286" i="1" s="1"/>
  <c r="Q286" i="1" s="1"/>
  <c r="I100" i="1"/>
  <c r="N100" i="1" s="1"/>
  <c r="Q100" i="1" s="1"/>
  <c r="I182" i="1"/>
  <c r="N182" i="1" s="1"/>
  <c r="Q182" i="1" s="1"/>
  <c r="I235" i="1"/>
  <c r="N235" i="1" s="1"/>
  <c r="Q235" i="1" s="1"/>
  <c r="I59" i="1"/>
  <c r="N59" i="1" s="1"/>
  <c r="Q59" i="1" s="1"/>
  <c r="I109" i="1"/>
  <c r="N109" i="1" s="1"/>
  <c r="Q109" i="1" s="1"/>
  <c r="I240" i="1"/>
  <c r="N240" i="1" s="1"/>
  <c r="Q240" i="1" s="1"/>
  <c r="I288" i="1"/>
  <c r="N288" i="1" s="1"/>
  <c r="Q288" i="1" s="1"/>
  <c r="I110" i="1"/>
  <c r="N110" i="1" s="1"/>
  <c r="Q110" i="1" s="1"/>
  <c r="I241" i="1"/>
  <c r="N241" i="1" s="1"/>
  <c r="Q241" i="1" s="1"/>
  <c r="I129" i="1"/>
  <c r="N129" i="1" s="1"/>
  <c r="Q129" i="1" s="1"/>
  <c r="I257" i="1"/>
  <c r="N257" i="1" s="1"/>
  <c r="Q257" i="1" s="1"/>
  <c r="I145" i="1"/>
  <c r="N145" i="1" s="1"/>
  <c r="Q145" i="1" s="1"/>
  <c r="I48" i="1"/>
  <c r="N48" i="1" s="1"/>
  <c r="Q48" i="1" s="1"/>
  <c r="I180" i="1"/>
  <c r="N180" i="1" s="1"/>
  <c r="Q180" i="1" s="1"/>
  <c r="I215" i="1"/>
  <c r="N215" i="1" s="1"/>
  <c r="Q215" i="1" s="1"/>
  <c r="I263" i="1"/>
  <c r="N263" i="1" s="1"/>
  <c r="Q263" i="1" s="1"/>
  <c r="I21" i="1"/>
  <c r="N21" i="1" s="1"/>
  <c r="Q21" i="1" s="1"/>
  <c r="I135" i="1"/>
  <c r="N135" i="1" s="1"/>
  <c r="Q135" i="1" s="1"/>
  <c r="I183" i="1"/>
  <c r="N183" i="1" s="1"/>
  <c r="Q183" i="1" s="1"/>
  <c r="I218" i="1"/>
  <c r="N218" i="1" s="1"/>
  <c r="Q218" i="1" s="1"/>
  <c r="I299" i="1"/>
  <c r="N299" i="1" s="1"/>
  <c r="Q299" i="1" s="1"/>
  <c r="I316" i="1"/>
  <c r="N316" i="1" s="1"/>
  <c r="Q316" i="1" s="1"/>
  <c r="I319" i="1"/>
  <c r="N319" i="1" s="1"/>
  <c r="Q319" i="1" s="1"/>
  <c r="I26" i="1"/>
  <c r="N26" i="1" s="1"/>
  <c r="Q26" i="1" s="1"/>
  <c r="I258" i="1"/>
  <c r="N258" i="1" s="1"/>
  <c r="Q258" i="1" s="1"/>
  <c r="I22" i="1"/>
  <c r="N22" i="1" s="1"/>
  <c r="Q22" i="1" s="1"/>
  <c r="I317" i="1"/>
  <c r="N317" i="1" s="1"/>
  <c r="Q317" i="1" s="1"/>
  <c r="I318" i="1"/>
  <c r="N318" i="1" s="1"/>
  <c r="Q318" i="1" s="1"/>
  <c r="I239" i="1"/>
  <c r="N239" i="1" s="1"/>
  <c r="Q239" i="1" s="1"/>
  <c r="I287" i="1"/>
  <c r="N287" i="1" s="1"/>
  <c r="Q287" i="1" s="1"/>
  <c r="I255" i="1"/>
  <c r="N255" i="1" s="1"/>
  <c r="Q255" i="1" s="1"/>
  <c r="I27" i="1"/>
  <c r="N27" i="1" s="1"/>
  <c r="Q27" i="1" s="1"/>
  <c r="I60" i="1"/>
  <c r="N60" i="1" s="1"/>
  <c r="Q60" i="1" s="1"/>
  <c r="I256" i="1"/>
  <c r="N256" i="1" s="1"/>
  <c r="Q256" i="1" s="1"/>
  <c r="I242" i="1"/>
  <c r="N242" i="1" s="1"/>
  <c r="Q242" i="1" s="1"/>
  <c r="I47" i="1"/>
  <c r="N47" i="1" s="1"/>
  <c r="Q47" i="1" s="1"/>
  <c r="I243" i="1"/>
  <c r="N243" i="1" s="1"/>
  <c r="Q243" i="1" s="1"/>
  <c r="I146" i="1"/>
  <c r="N146" i="1" s="1"/>
  <c r="Q146" i="1" s="1"/>
  <c r="I99" i="1"/>
  <c r="N99" i="1" s="1"/>
  <c r="Q99" i="1" s="1"/>
  <c r="I181" i="1"/>
  <c r="N181" i="1" s="1"/>
  <c r="Q181" i="1" s="1"/>
  <c r="I89" i="1"/>
  <c r="N89" i="1" s="1"/>
  <c r="Q89" i="1" s="1"/>
  <c r="I128" i="1"/>
  <c r="N128" i="1" s="1"/>
  <c r="Q128" i="1" s="1"/>
  <c r="I315" i="1"/>
  <c r="N315" i="1" s="1"/>
  <c r="Q315" i="1" s="1"/>
  <c r="I283" i="1"/>
  <c r="N283" i="1" s="1"/>
  <c r="Q283" i="1" s="1"/>
  <c r="I333" i="1"/>
  <c r="N333" i="1" s="1"/>
  <c r="Q333" i="1" s="1"/>
  <c r="I43" i="1"/>
  <c r="N43" i="1" s="1"/>
  <c r="Q43" i="1" s="1"/>
  <c r="I196" i="1"/>
  <c r="N196" i="1" s="1"/>
  <c r="Q196" i="1" s="1"/>
  <c r="I9" i="1"/>
  <c r="N9" i="1" s="1"/>
  <c r="Q9" i="1" s="1"/>
  <c r="I58" i="1"/>
  <c r="N58" i="1" s="1"/>
  <c r="Q58" i="1" s="1"/>
  <c r="I227" i="1"/>
  <c r="N227" i="1" s="1"/>
  <c r="Q227" i="1" s="1"/>
  <c r="I267" i="1"/>
  <c r="N267" i="1" s="1"/>
  <c r="Q267" i="1" s="1"/>
  <c r="I360" i="1"/>
  <c r="N360" i="1" s="1"/>
  <c r="Q360" i="1" s="1"/>
  <c r="I147" i="1"/>
  <c r="N147" i="1" s="1"/>
  <c r="Q147" i="1" s="1"/>
  <c r="I15" i="1"/>
  <c r="N15" i="1" s="1"/>
  <c r="Q15" i="1" s="1"/>
  <c r="I40" i="1"/>
  <c r="N40" i="1" s="1"/>
  <c r="Q40" i="1" s="1"/>
  <c r="I41" i="1"/>
  <c r="N41" i="1" s="1"/>
  <c r="Q41" i="1" s="1"/>
  <c r="I20" i="1"/>
  <c r="N20" i="1" s="1"/>
  <c r="Q20" i="1" s="1"/>
  <c r="I14" i="1"/>
  <c r="N14" i="1" s="1"/>
  <c r="Q14" i="1" s="1"/>
  <c r="I13" i="1"/>
  <c r="N13" i="1" s="1"/>
  <c r="Q13" i="1" s="1"/>
  <c r="I6" i="1"/>
  <c r="N6" i="1" s="1"/>
  <c r="Q6" i="1" s="1"/>
  <c r="I35" i="1"/>
  <c r="N35" i="1" s="1"/>
  <c r="Q35" i="1" s="1"/>
  <c r="I345" i="1"/>
  <c r="N345" i="1" s="1"/>
  <c r="Q345" i="1" s="1"/>
  <c r="I228" i="1"/>
  <c r="N228" i="1" s="1"/>
  <c r="Q228" i="1" s="1"/>
  <c r="I168" i="1"/>
  <c r="N168" i="1" s="1"/>
  <c r="Q168" i="1" s="1"/>
  <c r="I137" i="1"/>
  <c r="N137" i="1" s="1"/>
  <c r="Q137" i="1" s="1"/>
  <c r="I303" i="1"/>
  <c r="N303" i="1" s="1"/>
  <c r="Q303" i="1" s="1"/>
  <c r="I69" i="1"/>
  <c r="N69" i="1" s="1"/>
  <c r="Q69" i="1" s="1"/>
  <c r="I294" i="1"/>
  <c r="N294" i="1" s="1"/>
  <c r="Q294" i="1" s="1"/>
  <c r="I198" i="1"/>
  <c r="N198" i="1" s="1"/>
  <c r="Q198" i="1" s="1"/>
  <c r="I401" i="1"/>
  <c r="N401" i="1" s="1"/>
  <c r="Q401" i="1" s="1"/>
  <c r="I102" i="1"/>
  <c r="N102" i="1" s="1"/>
  <c r="Q102" i="1" s="1"/>
  <c r="I213" i="1"/>
  <c r="N213" i="1" s="1"/>
  <c r="Q213" i="1" s="1"/>
  <c r="I261" i="1"/>
  <c r="N261" i="1" s="1"/>
  <c r="Q261" i="1" s="1"/>
  <c r="I103" i="1"/>
  <c r="N103" i="1" s="1"/>
  <c r="Q103" i="1" s="1"/>
  <c r="I217" i="1"/>
  <c r="N217" i="1" s="1"/>
  <c r="Q217" i="1" s="1"/>
  <c r="I23" i="1"/>
  <c r="N23" i="1" s="1"/>
  <c r="Q23" i="1" s="1"/>
  <c r="I254" i="1"/>
  <c r="N254" i="1" s="1"/>
  <c r="Q254" i="1" s="1"/>
  <c r="I366" i="1"/>
  <c r="N366" i="1" s="1"/>
  <c r="Q366" i="1" s="1"/>
  <c r="I178" i="1"/>
  <c r="N178" i="1" s="1"/>
  <c r="Q178" i="1" s="1"/>
  <c r="I291" i="1"/>
  <c r="N291" i="1" s="1"/>
  <c r="Q291" i="1" s="1"/>
  <c r="I82" i="1"/>
  <c r="N82" i="1" s="1"/>
  <c r="Q82" i="1" s="1"/>
  <c r="I49" i="1"/>
  <c r="N49" i="1" s="1"/>
  <c r="Q49" i="1" s="1"/>
  <c r="I83" i="1"/>
  <c r="N83" i="1" s="1"/>
  <c r="Q83" i="1" s="1"/>
  <c r="I132" i="1"/>
  <c r="N132" i="1" s="1"/>
  <c r="Q132" i="1" s="1"/>
  <c r="I354" i="1"/>
  <c r="N354" i="1" s="1"/>
  <c r="Q354" i="1" s="1"/>
  <c r="I320" i="1"/>
  <c r="N320" i="1" s="1"/>
  <c r="Q320" i="1" s="1"/>
  <c r="I289" i="1"/>
  <c r="N289" i="1" s="1"/>
  <c r="Q289" i="1" s="1"/>
  <c r="I177" i="1"/>
  <c r="N177" i="1" s="1"/>
  <c r="Q177" i="1" s="1"/>
  <c r="I24" i="1"/>
  <c r="N24" i="1" s="1"/>
  <c r="Q24" i="1" s="1"/>
  <c r="I336" i="1"/>
  <c r="N336" i="1" s="1"/>
  <c r="Q336" i="1" s="1"/>
  <c r="I61" i="1"/>
  <c r="N61" i="1" s="1"/>
  <c r="Q61" i="1" s="1"/>
  <c r="I290" i="1"/>
  <c r="N290" i="1" s="1"/>
  <c r="Q290" i="1" s="1"/>
  <c r="I130" i="1"/>
  <c r="N130" i="1" s="1"/>
  <c r="Q130" i="1" s="1"/>
  <c r="I179" i="1"/>
  <c r="N179" i="1" s="1"/>
  <c r="Q179" i="1" s="1"/>
  <c r="I216" i="1"/>
  <c r="N216" i="1" s="1"/>
  <c r="Q216" i="1" s="1"/>
  <c r="I400" i="1"/>
  <c r="N400" i="1" s="1"/>
  <c r="Q400" i="1" s="1"/>
  <c r="I200" i="1"/>
  <c r="N200" i="1" s="1"/>
  <c r="Q200" i="1" s="1"/>
  <c r="I139" i="1"/>
  <c r="N139" i="1" s="1"/>
  <c r="Q139" i="1" s="1"/>
  <c r="I324" i="1"/>
  <c r="N324" i="1" s="1"/>
  <c r="Q324" i="1" s="1"/>
  <c r="I36" i="1"/>
  <c r="N36" i="1" s="1"/>
  <c r="Q36" i="1" s="1"/>
  <c r="I199" i="1"/>
  <c r="N199" i="1" s="1"/>
  <c r="Q199" i="1" s="1"/>
  <c r="I64" i="1"/>
  <c r="N64" i="1" s="1"/>
  <c r="Q64" i="1" s="1"/>
  <c r="I161" i="1"/>
  <c r="N161" i="1" s="1"/>
  <c r="Q161" i="1" s="1"/>
  <c r="I148" i="1"/>
  <c r="N148" i="1" s="1"/>
  <c r="Q148" i="1" s="1"/>
  <c r="I252" i="1"/>
  <c r="N252" i="1" s="1"/>
  <c r="Q252" i="1" s="1"/>
  <c r="I279" i="1"/>
  <c r="N279" i="1" s="1"/>
  <c r="Q279" i="1" s="1"/>
  <c r="I399" i="1"/>
  <c r="N399" i="1" s="1"/>
  <c r="Q399" i="1" s="1"/>
  <c r="I78" i="1"/>
  <c r="N78" i="1" s="1"/>
  <c r="Q78" i="1" s="1"/>
  <c r="I79" i="1"/>
  <c r="N79" i="1" s="1"/>
  <c r="Q79" i="1" s="1"/>
  <c r="I274" i="1"/>
  <c r="N274" i="1" s="1"/>
  <c r="Q274" i="1" s="1"/>
  <c r="I74" i="1"/>
  <c r="N74" i="1" s="1"/>
  <c r="Q74" i="1" s="1"/>
  <c r="I76" i="1"/>
  <c r="N76" i="1" s="1"/>
  <c r="Q76" i="1" s="1"/>
  <c r="I80" i="1"/>
  <c r="N80" i="1" s="1"/>
  <c r="Q80" i="1" s="1"/>
  <c r="I73" i="1"/>
  <c r="N73" i="1" s="1"/>
  <c r="Q73" i="1" s="1"/>
  <c r="I93" i="1"/>
  <c r="N93" i="1" s="1"/>
  <c r="Q93" i="1" s="1"/>
  <c r="I275" i="1"/>
  <c r="N275" i="1" s="1"/>
  <c r="Q275" i="1" s="1"/>
  <c r="I92" i="1"/>
  <c r="N92" i="1" s="1"/>
  <c r="Q92" i="1" s="1"/>
  <c r="I75" i="1"/>
  <c r="N75" i="1" s="1"/>
  <c r="Q75" i="1" s="1"/>
  <c r="I276" i="1"/>
  <c r="N276" i="1" s="1"/>
  <c r="Q276" i="1" s="1"/>
  <c r="I277" i="1"/>
  <c r="N277" i="1" s="1"/>
  <c r="Q277" i="1" s="1"/>
  <c r="I347" i="1"/>
  <c r="N347" i="1" s="1"/>
  <c r="Q347" i="1" s="1"/>
  <c r="I3" i="1"/>
  <c r="N3" i="1" s="1"/>
  <c r="Q3" i="1" s="1"/>
  <c r="I54" i="1"/>
  <c r="N54" i="1" s="1"/>
  <c r="Q54" i="1" s="1"/>
  <c r="I70" i="1"/>
  <c r="N70" i="1" s="1"/>
  <c r="Q70" i="1" s="1"/>
  <c r="I122" i="1"/>
  <c r="N122" i="1" s="1"/>
  <c r="Q122" i="1" s="1"/>
  <c r="I143" i="1"/>
  <c r="N143" i="1" s="1"/>
  <c r="Q143" i="1" s="1"/>
  <c r="I307" i="1"/>
  <c r="N307" i="1" s="1"/>
  <c r="Q307" i="1" s="1"/>
  <c r="I32" i="1"/>
  <c r="N32" i="1" s="1"/>
  <c r="Q32" i="1" s="1"/>
  <c r="I244" i="1"/>
  <c r="N244" i="1" s="1"/>
  <c r="Q244" i="1" s="1"/>
  <c r="I292" i="1"/>
  <c r="N292" i="1" s="1"/>
  <c r="Q292" i="1" s="1"/>
  <c r="I55" i="1"/>
  <c r="N55" i="1" s="1"/>
  <c r="Q55" i="1" s="1"/>
  <c r="I71" i="1"/>
  <c r="N71" i="1" s="1"/>
  <c r="Q71" i="1" s="1"/>
  <c r="I86" i="1"/>
  <c r="N86" i="1" s="1"/>
  <c r="Q86" i="1" s="1"/>
  <c r="I346" i="1"/>
  <c r="N346" i="1" s="1"/>
  <c r="Q346" i="1" s="1"/>
  <c r="I221" i="1"/>
  <c r="N221" i="1" s="1"/>
  <c r="Q221" i="1" s="1"/>
  <c r="I44" i="1"/>
  <c r="N44" i="1" s="1"/>
  <c r="Q44" i="1" s="1"/>
  <c r="I223" i="1"/>
  <c r="N223" i="1" s="1"/>
  <c r="Q223" i="1" s="1"/>
  <c r="I308" i="1"/>
  <c r="N308" i="1" s="1"/>
  <c r="Q308" i="1" s="1"/>
  <c r="I33" i="1"/>
  <c r="N33" i="1" s="1"/>
  <c r="Q33" i="1" s="1"/>
  <c r="I309" i="1"/>
  <c r="N309" i="1" s="1"/>
  <c r="Q309" i="1" s="1"/>
  <c r="I56" i="1"/>
  <c r="N56" i="1" s="1"/>
  <c r="Q56" i="1" s="1"/>
  <c r="I105" i="1"/>
  <c r="N105" i="1" s="1"/>
  <c r="Q105" i="1" s="1"/>
  <c r="I332" i="1"/>
  <c r="N332" i="1" s="1"/>
  <c r="Q332" i="1" s="1"/>
  <c r="I220" i="1"/>
  <c r="N220" i="1" s="1"/>
  <c r="Q220" i="1" s="1"/>
  <c r="I156" i="1"/>
  <c r="N156" i="1" s="1"/>
  <c r="Q156" i="1" s="1"/>
  <c r="I306" i="1"/>
  <c r="N306" i="1" s="1"/>
  <c r="Q306" i="1" s="1"/>
  <c r="I194" i="1"/>
  <c r="N194" i="1" s="1"/>
  <c r="Q194" i="1" s="1"/>
  <c r="I195" i="1"/>
  <c r="N195" i="1" s="1"/>
  <c r="Q195" i="1" s="1"/>
  <c r="I98" i="1"/>
  <c r="N98" i="1" s="1"/>
  <c r="Q98" i="1" s="1"/>
  <c r="I310" i="1"/>
  <c r="N310" i="1" s="1"/>
  <c r="Q310" i="1" s="1"/>
  <c r="I250" i="1"/>
  <c r="N250" i="1" s="1"/>
  <c r="Q250" i="1" s="1"/>
  <c r="I167" i="1"/>
  <c r="N167" i="1" s="1"/>
  <c r="Q167" i="1" s="1"/>
  <c r="I10" i="1"/>
  <c r="N10" i="1" s="1"/>
  <c r="Q10" i="1" s="1"/>
  <c r="I340" i="1"/>
  <c r="N340" i="1" s="1"/>
  <c r="Q340" i="1" s="1"/>
  <c r="I117" i="1"/>
  <c r="N117" i="1" s="1"/>
  <c r="Q117" i="1" s="1"/>
  <c r="I87" i="1"/>
  <c r="N87" i="1" s="1"/>
  <c r="Q87" i="1" s="1"/>
  <c r="I136" i="1"/>
  <c r="N136" i="1" s="1"/>
  <c r="Q136" i="1" s="1"/>
  <c r="I219" i="1"/>
  <c r="N219" i="1" s="1"/>
  <c r="Q219" i="1" s="1"/>
  <c r="I68" i="1"/>
  <c r="N68" i="1" s="1"/>
  <c r="Q68" i="1" s="1"/>
  <c r="I197" i="1"/>
  <c r="N197" i="1" s="1"/>
  <c r="Q197" i="1" s="1"/>
  <c r="I293" i="1"/>
  <c r="N293" i="1" s="1"/>
  <c r="Q293" i="1" s="1"/>
  <c r="I126" i="1"/>
  <c r="N126" i="1" s="1"/>
  <c r="Q126" i="1" s="1"/>
  <c r="I150" i="1"/>
  <c r="N150" i="1" s="1"/>
  <c r="Q150" i="1" s="1"/>
  <c r="I174" i="1"/>
  <c r="N174" i="1" s="1"/>
  <c r="Q174" i="1" s="1"/>
  <c r="I115" i="1"/>
  <c r="N115" i="1" s="1"/>
  <c r="Q115" i="1" s="1"/>
  <c r="I151" i="1"/>
  <c r="N151" i="1" s="1"/>
  <c r="Q151" i="1" s="1"/>
  <c r="I273" i="1"/>
  <c r="N273" i="1" s="1"/>
  <c r="Q273" i="1" s="1"/>
  <c r="I116" i="1"/>
  <c r="N116" i="1" s="1"/>
  <c r="Q116" i="1" s="1"/>
  <c r="I149" i="1"/>
  <c r="N149" i="1" s="1"/>
  <c r="Q149" i="1" s="1"/>
  <c r="I247" i="1"/>
  <c r="N247" i="1" s="1"/>
  <c r="Q247" i="1" s="1"/>
  <c r="I205" i="1"/>
  <c r="N205" i="1" s="1"/>
  <c r="Q205" i="1" s="1"/>
  <c r="I207" i="1"/>
  <c r="N207" i="1" s="1"/>
  <c r="Q207" i="1" s="1"/>
  <c r="I313" i="1"/>
  <c r="N313" i="1" s="1"/>
  <c r="Q313" i="1" s="1"/>
  <c r="I259" i="1"/>
  <c r="N259" i="1" s="1"/>
  <c r="Q259" i="1" s="1"/>
  <c r="I230" i="1"/>
  <c r="N230" i="1" s="1"/>
  <c r="Q230" i="1" s="1"/>
  <c r="I328" i="1"/>
  <c r="N328" i="1" s="1"/>
  <c r="Q328" i="1" s="1"/>
  <c r="I282" i="1"/>
  <c r="N282" i="1" s="1"/>
  <c r="Q282" i="1" s="1"/>
  <c r="I206" i="1"/>
  <c r="N206" i="1" s="1"/>
  <c r="Q206" i="1" s="1"/>
  <c r="I125" i="1"/>
  <c r="N125" i="1" s="1"/>
  <c r="Q125" i="1" s="1"/>
  <c r="I208" i="1"/>
  <c r="N208" i="1" s="1"/>
  <c r="Q208" i="1" s="1"/>
  <c r="I327" i="1"/>
  <c r="N327" i="1" s="1"/>
  <c r="Q327" i="1" s="1"/>
  <c r="I329" i="1"/>
  <c r="N329" i="1" s="1"/>
  <c r="Q329" i="1" s="1"/>
  <c r="I314" i="1"/>
  <c r="N314" i="1" s="1"/>
  <c r="Q314" i="1" s="1"/>
  <c r="I390" i="1"/>
  <c r="N390" i="1" s="1"/>
  <c r="Q390" i="1" s="1"/>
  <c r="I77" i="1"/>
  <c r="N77" i="1" s="1"/>
  <c r="Q77" i="1" s="1"/>
  <c r="I101" i="1"/>
  <c r="N101" i="1" s="1"/>
  <c r="Q101" i="1" s="1"/>
  <c r="I224" i="1"/>
  <c r="N224" i="1" s="1"/>
  <c r="Q224" i="1" s="1"/>
  <c r="I90" i="1"/>
  <c r="N90" i="1" s="1"/>
  <c r="Q90" i="1" s="1"/>
  <c r="I127" i="1"/>
  <c r="N127" i="1" s="1"/>
  <c r="Q127" i="1" s="1"/>
  <c r="I249" i="1"/>
  <c r="N249" i="1" s="1"/>
  <c r="Q249" i="1" s="1"/>
  <c r="I323" i="1"/>
  <c r="N323" i="1" s="1"/>
  <c r="Q323" i="1" s="1"/>
  <c r="I67" i="1"/>
  <c r="N67" i="1" s="1"/>
  <c r="Q67" i="1" s="1"/>
  <c r="I190" i="1"/>
  <c r="N190" i="1" s="1"/>
  <c r="Q190" i="1" s="1"/>
  <c r="I280" i="1"/>
  <c r="N280" i="1" s="1"/>
  <c r="Q280" i="1" s="1"/>
  <c r="I57" i="1"/>
  <c r="N57" i="1" s="1"/>
  <c r="Q57" i="1" s="1"/>
  <c r="I141" i="1"/>
  <c r="N141" i="1" s="1"/>
  <c r="Q141" i="1" s="1"/>
  <c r="I304" i="1"/>
  <c r="N304" i="1" s="1"/>
  <c r="Q304" i="1" s="1"/>
  <c r="I359" i="1"/>
  <c r="N359" i="1" s="1"/>
  <c r="Q359" i="1" s="1"/>
  <c r="I338" i="1"/>
  <c r="N338" i="1" s="1"/>
  <c r="Q338" i="1" s="1"/>
  <c r="I271" i="1"/>
  <c r="N271" i="1" s="1"/>
  <c r="Q271" i="1" s="1"/>
  <c r="I209" i="1"/>
  <c r="N209" i="1" s="1"/>
  <c r="Q209" i="1" s="1"/>
  <c r="I5" i="1"/>
  <c r="N5" i="1" s="1"/>
  <c r="Q5" i="1" s="1"/>
  <c r="I37" i="1"/>
  <c r="N37" i="1" s="1"/>
  <c r="Q37" i="1" s="1"/>
  <c r="I233" i="1"/>
  <c r="N233" i="1" s="1"/>
  <c r="Q233" i="1" s="1"/>
  <c r="I107" i="1"/>
  <c r="N107" i="1" s="1"/>
  <c r="Q107" i="1" s="1"/>
  <c r="I270" i="1"/>
  <c r="N270" i="1" s="1"/>
  <c r="Q270" i="1" s="1"/>
  <c r="I160" i="1"/>
  <c r="N160" i="1" s="1"/>
  <c r="Q160" i="1" s="1"/>
  <c r="I210" i="1"/>
  <c r="N210" i="1" s="1"/>
  <c r="Q210" i="1" s="1"/>
  <c r="I19" i="1"/>
  <c r="N19" i="1" s="1"/>
  <c r="Q19" i="1" s="1"/>
  <c r="I84" i="1"/>
  <c r="N84" i="1" s="1"/>
  <c r="Q84" i="1" s="1"/>
  <c r="I118" i="1"/>
  <c r="N118" i="1" s="1"/>
  <c r="Q118" i="1" s="1"/>
  <c r="I169" i="1"/>
  <c r="N169" i="1" s="1"/>
  <c r="Q169" i="1" s="1"/>
  <c r="I234" i="1"/>
  <c r="N234" i="1" s="1"/>
  <c r="Q234" i="1" s="1"/>
  <c r="I170" i="1"/>
  <c r="N170" i="1" s="1"/>
  <c r="Q170" i="1" s="1"/>
  <c r="I45" i="1"/>
  <c r="N45" i="1" s="1"/>
  <c r="Q45" i="1" s="1"/>
  <c r="I31" i="1"/>
  <c r="N31" i="1" s="1"/>
  <c r="Q31" i="1" s="1"/>
  <c r="I344" i="1"/>
  <c r="N344" i="1" s="1"/>
  <c r="Q344" i="1" s="1"/>
  <c r="I28" i="1"/>
  <c r="N28" i="1" s="1"/>
  <c r="Q28" i="1" s="1"/>
  <c r="I212" i="1"/>
  <c r="N212" i="1" s="1"/>
  <c r="Q212" i="1" s="1"/>
  <c r="I260" i="1"/>
  <c r="N260" i="1" s="1"/>
  <c r="Q260" i="1" s="1"/>
  <c r="I296" i="1"/>
  <c r="N296" i="1" s="1"/>
  <c r="Q296" i="1" s="1"/>
  <c r="I16" i="1"/>
  <c r="N16" i="1" s="1"/>
  <c r="Q16" i="1" s="1"/>
  <c r="I29" i="1"/>
  <c r="N29" i="1" s="1"/>
  <c r="Q29" i="1" s="1"/>
  <c r="I163" i="1"/>
  <c r="N163" i="1" s="1"/>
  <c r="Q163" i="1" s="1"/>
  <c r="I311" i="1"/>
  <c r="N311" i="1" s="1"/>
  <c r="Q311" i="1" s="1"/>
  <c r="I164" i="1"/>
  <c r="N164" i="1" s="1"/>
  <c r="Q164" i="1" s="1"/>
  <c r="I298" i="1"/>
  <c r="N298" i="1" s="1"/>
  <c r="Q298" i="1" s="1"/>
  <c r="I232" i="1"/>
  <c r="N232" i="1" s="1"/>
  <c r="Q232" i="1" s="1"/>
  <c r="I331" i="1"/>
  <c r="N331" i="1" s="1"/>
  <c r="Q331" i="1" s="1"/>
  <c r="I88" i="1"/>
  <c r="N88" i="1" s="1"/>
  <c r="Q88" i="1" s="1"/>
  <c r="I191" i="1"/>
  <c r="N191" i="1" s="1"/>
  <c r="Q191" i="1" s="1"/>
  <c r="I46" i="1"/>
  <c r="N46" i="1" s="1"/>
  <c r="Q46" i="1" s="1"/>
  <c r="I131" i="1"/>
  <c r="N131" i="1" s="1"/>
  <c r="Q131" i="1" s="1"/>
  <c r="I104" i="1"/>
  <c r="N104" i="1" s="1"/>
  <c r="Q104" i="1" s="1"/>
  <c r="I251" i="1"/>
  <c r="N251" i="1" s="1"/>
  <c r="Q251" i="1" s="1"/>
  <c r="I281" i="1"/>
  <c r="N281" i="1" s="1"/>
  <c r="Q281" i="1" s="1"/>
  <c r="I106" i="1"/>
  <c r="N106" i="1" s="1"/>
  <c r="Q106" i="1" s="1"/>
  <c r="I142" i="1"/>
  <c r="N142" i="1" s="1"/>
  <c r="Q142" i="1" s="1"/>
  <c r="I192" i="1"/>
  <c r="N192" i="1" s="1"/>
  <c r="Q192" i="1" s="1"/>
  <c r="I111" i="1"/>
  <c r="N111" i="1" s="1"/>
  <c r="Q111" i="1" s="1"/>
  <c r="I112" i="1"/>
  <c r="N112" i="1" s="1"/>
  <c r="Q112" i="1" s="1"/>
  <c r="I211" i="1"/>
  <c r="N211" i="1" s="1"/>
  <c r="Q211" i="1" s="1"/>
  <c r="I165" i="1"/>
  <c r="N165" i="1" s="1"/>
  <c r="Q165" i="1" s="1"/>
  <c r="I94" i="1"/>
  <c r="N94" i="1" s="1"/>
  <c r="Q94" i="1" s="1"/>
  <c r="I361" i="1"/>
  <c r="N361" i="1" s="1"/>
  <c r="Q361" i="1" s="1"/>
  <c r="I18" i="1"/>
  <c r="N18" i="1" s="1"/>
  <c r="Q18" i="1" s="1"/>
  <c r="I245" i="1"/>
  <c r="N245" i="1" s="1"/>
  <c r="Q245" i="1" s="1"/>
  <c r="I343" i="1"/>
  <c r="N343" i="1" s="1"/>
  <c r="Q343" i="1" s="1"/>
  <c r="I231" i="1"/>
  <c r="N231" i="1" s="1"/>
  <c r="Q231" i="1" s="1"/>
  <c r="I246" i="1"/>
  <c r="N246" i="1" s="1"/>
  <c r="Q246" i="1" s="1"/>
  <c r="I4" i="1"/>
  <c r="N4" i="1" s="1"/>
  <c r="Q4" i="1" s="1"/>
  <c r="I265" i="1"/>
  <c r="N265" i="1" s="1"/>
  <c r="Q265" i="1" s="1"/>
  <c r="I155" i="1"/>
  <c r="N155" i="1" s="1"/>
  <c r="Q155" i="1" s="1"/>
  <c r="I193" i="1"/>
  <c r="N193" i="1" s="1"/>
  <c r="Q193" i="1" s="1"/>
  <c r="I63" i="1"/>
  <c r="N63" i="1" s="1"/>
  <c r="Q63" i="1" s="1"/>
  <c r="I121" i="1"/>
  <c r="N121" i="1" s="1"/>
  <c r="Q121" i="1" s="1"/>
  <c r="I222" i="1"/>
  <c r="N222" i="1" s="1"/>
  <c r="Q222" i="1" s="1"/>
  <c r="I166" i="1"/>
  <c r="N166" i="1" s="1"/>
  <c r="Q166" i="1" s="1"/>
  <c r="I264" i="1"/>
  <c r="N264" i="1" s="1"/>
  <c r="Q264" i="1" s="1"/>
  <c r="I381" i="1"/>
  <c r="N381" i="1" s="1"/>
  <c r="Q381" i="1" s="1"/>
  <c r="I65" i="1"/>
  <c r="N65" i="1" s="1"/>
  <c r="Q65" i="1" s="1"/>
  <c r="I114" i="1"/>
  <c r="N114" i="1" s="1"/>
  <c r="Q114" i="1" s="1"/>
  <c r="I162" i="1"/>
  <c r="N162" i="1" s="1"/>
  <c r="Q162" i="1" s="1"/>
  <c r="I53" i="1"/>
  <c r="N53" i="1" s="1"/>
  <c r="Q53" i="1" s="1"/>
  <c r="I66" i="1"/>
  <c r="N66" i="1" s="1"/>
  <c r="Q66" i="1" s="1"/>
  <c r="I201" i="1"/>
  <c r="N201" i="1" s="1"/>
  <c r="Q201" i="1" s="1"/>
  <c r="I225" i="1"/>
  <c r="N225" i="1" s="1"/>
  <c r="Q225" i="1" s="1"/>
  <c r="I297" i="1"/>
  <c r="N297" i="1" s="1"/>
  <c r="Q297" i="1" s="1"/>
  <c r="I17" i="1"/>
  <c r="N17" i="1" s="1"/>
  <c r="Q17" i="1" s="1"/>
  <c r="I30" i="1"/>
  <c r="N30" i="1" s="1"/>
  <c r="Q30" i="1" s="1"/>
  <c r="I42" i="1"/>
  <c r="N42" i="1" s="1"/>
  <c r="Q42" i="1" s="1"/>
  <c r="I140" i="1"/>
  <c r="N140" i="1" s="1"/>
  <c r="Q140" i="1" s="1"/>
  <c r="I202" i="1"/>
  <c r="N202" i="1" s="1"/>
  <c r="Q202" i="1" s="1"/>
  <c r="I226" i="1"/>
  <c r="N226" i="1" s="1"/>
  <c r="Q226" i="1" s="1"/>
  <c r="I312" i="1"/>
  <c r="N312" i="1" s="1"/>
  <c r="Q312" i="1" s="1"/>
  <c r="I51" i="1"/>
  <c r="N51" i="1" s="1"/>
  <c r="Q51" i="1" s="1"/>
  <c r="I85" i="1"/>
  <c r="N85" i="1" s="1"/>
  <c r="Q85" i="1" s="1"/>
  <c r="I8" i="1"/>
  <c r="N8" i="1" s="1"/>
  <c r="Q8" i="1" s="1"/>
  <c r="I157" i="1"/>
  <c r="N157" i="1" s="1"/>
  <c r="Q157" i="1" s="1"/>
  <c r="I159" i="1"/>
  <c r="N159" i="1" s="1"/>
  <c r="Q159" i="1" s="1"/>
  <c r="I7" i="1"/>
  <c r="N7" i="1" s="1"/>
  <c r="Q7" i="1" s="1"/>
  <c r="I96" i="1"/>
  <c r="N96" i="1" s="1"/>
  <c r="Q96" i="1" s="1"/>
  <c r="I341" i="1"/>
  <c r="N341" i="1" s="1"/>
  <c r="Q341" i="1" s="1"/>
  <c r="I342" i="1"/>
  <c r="N342" i="1" s="1"/>
  <c r="Q342" i="1" s="1"/>
  <c r="I34" i="1"/>
  <c r="N34" i="1" s="1"/>
  <c r="Q34" i="1" s="1"/>
  <c r="I120" i="1"/>
  <c r="N120" i="1" s="1"/>
  <c r="Q120" i="1" s="1"/>
  <c r="I153" i="1"/>
  <c r="N153" i="1" s="1"/>
  <c r="Q153" i="1" s="1"/>
  <c r="I203" i="1"/>
  <c r="N203" i="1" s="1"/>
  <c r="Q203" i="1" s="1"/>
  <c r="I266" i="1"/>
  <c r="N266" i="1" s="1"/>
  <c r="Q266" i="1" s="1"/>
  <c r="I253" i="1"/>
  <c r="N253" i="1" s="1"/>
  <c r="Q253" i="1" s="1"/>
  <c r="I123" i="1"/>
  <c r="N123" i="1" s="1"/>
  <c r="Q123" i="1" s="1"/>
  <c r="I171" i="1"/>
  <c r="N171" i="1" s="1"/>
  <c r="Q171" i="1" s="1"/>
  <c r="I269" i="1"/>
  <c r="N269" i="1" s="1"/>
  <c r="Q269" i="1" s="1"/>
  <c r="I158" i="1"/>
  <c r="N158" i="1" s="1"/>
  <c r="Q158" i="1" s="1"/>
  <c r="I339" i="1"/>
  <c r="N339" i="1" s="1"/>
  <c r="Q339" i="1" s="1"/>
  <c r="I113" i="1"/>
  <c r="N113" i="1" s="1"/>
  <c r="Q113" i="1" s="1"/>
  <c r="I278" i="1"/>
  <c r="N278" i="1" s="1"/>
  <c r="Q278" i="1" s="1"/>
  <c r="I72" i="1"/>
  <c r="N72" i="1" s="1"/>
  <c r="Q72" i="1" s="1"/>
  <c r="I154" i="1"/>
  <c r="N154" i="1" s="1"/>
  <c r="Q154" i="1" s="1"/>
  <c r="I268" i="1"/>
  <c r="N268" i="1" s="1"/>
  <c r="Q268" i="1" s="1"/>
  <c r="I124" i="1"/>
  <c r="N124" i="1" s="1"/>
  <c r="Q124" i="1" s="1"/>
  <c r="I172" i="1"/>
  <c r="N172" i="1" s="1"/>
  <c r="Q172" i="1" s="1"/>
  <c r="I305" i="1"/>
  <c r="N305" i="1" s="1"/>
  <c r="Q305" i="1" s="1"/>
  <c r="I11" i="1"/>
  <c r="N11" i="1" s="1"/>
  <c r="Q11" i="1" s="1"/>
  <c r="I12" i="1"/>
  <c r="N12" i="1" s="1"/>
  <c r="Q12" i="1" s="1"/>
  <c r="I95" i="1"/>
  <c r="N95" i="1" s="1"/>
  <c r="Q95" i="1" s="1"/>
  <c r="I144" i="1"/>
  <c r="N144" i="1" s="1"/>
  <c r="Q144" i="1" s="1"/>
  <c r="I325" i="1"/>
  <c r="N325" i="1" s="1"/>
  <c r="Q325" i="1" s="1"/>
  <c r="I81" i="1"/>
  <c r="N81" i="1" s="1"/>
  <c r="Q81" i="1" s="1"/>
  <c r="I326" i="1"/>
  <c r="N326" i="1" s="1"/>
  <c r="Q326" i="1" s="1"/>
  <c r="I97" i="1"/>
  <c r="N97" i="1" s="1"/>
  <c r="Q97" i="1" s="1"/>
  <c r="I392" i="1"/>
  <c r="N392" i="1" s="1"/>
  <c r="Q392" i="1" s="1"/>
  <c r="I119" i="1"/>
  <c r="N119" i="1" s="1"/>
  <c r="Q119" i="1" s="1"/>
  <c r="I39" i="1"/>
  <c r="N39" i="1" s="1"/>
  <c r="Q39" i="1" s="1"/>
  <c r="I186" i="1"/>
  <c r="N186" i="1" s="1"/>
  <c r="Q186" i="1" s="1"/>
  <c r="I302" i="1"/>
  <c r="N302" i="1" s="1"/>
  <c r="Q302" i="1" s="1"/>
  <c r="I349" i="1"/>
  <c r="N349" i="1" s="1"/>
  <c r="Q349" i="1" s="1"/>
  <c r="I391" i="1"/>
  <c r="N391" i="1" s="1"/>
  <c r="Q391" i="1" s="1"/>
  <c r="I52" i="1"/>
  <c r="N52" i="1" s="1"/>
  <c r="Q52" i="1" s="1"/>
  <c r="I188" i="1"/>
  <c r="N188" i="1" s="1"/>
  <c r="Q188" i="1" s="1"/>
  <c r="I322" i="1"/>
  <c r="N322" i="1" s="1"/>
  <c r="Q322" i="1" s="1"/>
  <c r="I189" i="1"/>
  <c r="N189" i="1" s="1"/>
  <c r="Q189" i="1" s="1"/>
  <c r="I134" i="1"/>
  <c r="N134" i="1" s="1"/>
  <c r="Q134" i="1" s="1"/>
  <c r="I321" i="1"/>
  <c r="N321" i="1" s="1"/>
  <c r="Q321" i="1" s="1"/>
  <c r="I187" i="1"/>
  <c r="N187" i="1" s="1"/>
  <c r="Q187" i="1" s="1"/>
  <c r="I50" i="1"/>
  <c r="N50" i="1" s="1"/>
  <c r="Q50" i="1" s="1"/>
  <c r="I133" i="1"/>
  <c r="N133" i="1" s="1"/>
  <c r="Q133" i="1" s="1"/>
  <c r="I138" i="1"/>
  <c r="N138" i="1" s="1"/>
  <c r="Q138" i="1" s="1"/>
  <c r="I248" i="1"/>
  <c r="N248" i="1" s="1"/>
  <c r="Q248" i="1" s="1"/>
  <c r="I272" i="1"/>
  <c r="N272" i="1" s="1"/>
  <c r="Q272" i="1" s="1"/>
  <c r="I152" i="1"/>
  <c r="N152" i="1" s="1"/>
  <c r="Q152" i="1" s="1"/>
  <c r="I295" i="1"/>
  <c r="N295" i="1" s="1"/>
  <c r="Q295" i="1" s="1"/>
  <c r="I330" i="1"/>
  <c r="N330" i="1" s="1"/>
  <c r="Q330" i="1" s="1"/>
  <c r="I204" i="1"/>
  <c r="N204" i="1" s="1"/>
  <c r="Q204" i="1" s="1"/>
  <c r="I173" i="1"/>
  <c r="N173" i="1" s="1"/>
  <c r="Q173" i="1" s="1"/>
  <c r="I229" i="1"/>
  <c r="N229" i="1" s="1"/>
  <c r="Q229" i="1" s="1"/>
  <c r="I375" i="1"/>
  <c r="N375" i="1" s="1"/>
  <c r="Q375" i="1" s="1"/>
  <c r="I389" i="1"/>
  <c r="N389" i="1" s="1"/>
  <c r="Q389" i="1" s="1"/>
  <c r="I397" i="1"/>
  <c r="N397" i="1" s="1"/>
  <c r="Q397" i="1" s="1"/>
  <c r="I62" i="1"/>
  <c r="N62" i="1" s="1"/>
  <c r="Q62" i="1" s="1"/>
  <c r="I300" i="1"/>
  <c r="I301" i="1"/>
  <c r="N301" i="1" s="1"/>
  <c r="Q301" i="1" s="1"/>
  <c r="I184" i="1"/>
  <c r="N184" i="1" s="1"/>
  <c r="Q184" i="1" s="1"/>
  <c r="I185" i="1"/>
  <c r="N185" i="1" s="1"/>
  <c r="Q185" i="1" s="1"/>
  <c r="I108" i="1"/>
  <c r="N108" i="1" s="1"/>
  <c r="Q108" i="1" s="1"/>
  <c r="I25" i="1"/>
  <c r="N25" i="1" s="1"/>
  <c r="Q25" i="1" s="1"/>
  <c r="I337" i="1"/>
  <c r="N337" i="1" s="1"/>
  <c r="Q337" i="1" s="1"/>
  <c r="N402" i="1"/>
  <c r="Q402" i="1" s="1"/>
  <c r="N398" i="1"/>
  <c r="Q398" i="1" s="1"/>
  <c r="N386" i="1"/>
  <c r="Q386" i="1" s="1"/>
  <c r="N388" i="1"/>
  <c r="Q388" i="1" s="1"/>
  <c r="N396" i="1"/>
  <c r="Q396" i="1" s="1"/>
  <c r="N384" i="1"/>
  <c r="Q384" i="1" s="1"/>
  <c r="N369" i="1"/>
  <c r="Q369" i="1" s="1"/>
  <c r="N370" i="1"/>
  <c r="Q370" i="1" s="1"/>
  <c r="N348" i="1"/>
  <c r="Q348" i="1" s="1"/>
  <c r="N376" i="1"/>
  <c r="Q376" i="1" s="1"/>
  <c r="N385" i="1"/>
  <c r="Q385" i="1" s="1"/>
  <c r="N395" i="1"/>
  <c r="Q395" i="1" s="1"/>
  <c r="N382" i="1"/>
  <c r="Q382" i="1" s="1"/>
  <c r="N377" i="1"/>
  <c r="Q377" i="1" s="1"/>
  <c r="N383" i="1"/>
  <c r="Q383" i="1" s="1"/>
  <c r="N379" i="1"/>
  <c r="Q379" i="1" s="1"/>
  <c r="M16" i="10" l="1"/>
  <c r="K16" i="10"/>
  <c r="A13" i="11"/>
  <c r="G3" i="9"/>
  <c r="N300" i="1"/>
  <c r="Q300" i="1" s="1"/>
  <c r="C7" i="9"/>
  <c r="C6" i="9"/>
  <c r="T9" i="5"/>
  <c r="C10" i="9"/>
  <c r="E10" i="9" s="1"/>
  <c r="A401" i="1"/>
  <c r="A6" i="9"/>
  <c r="D6" i="9" s="1"/>
  <c r="A7" i="9"/>
  <c r="D7" i="9" s="1"/>
  <c r="A5" i="9"/>
  <c r="D5" i="9" s="1"/>
  <c r="E5" i="9" s="1"/>
  <c r="C11" i="9" l="1"/>
  <c r="G5" i="9" s="1"/>
  <c r="E7" i="9"/>
  <c r="E6" i="9"/>
  <c r="A400" i="1"/>
  <c r="J32" i="8"/>
  <c r="I6" i="7" s="1"/>
  <c r="U25" i="8" a="1"/>
  <c r="U25" i="8" s="1"/>
  <c r="U26" i="8" a="1"/>
  <c r="U26" i="8" s="1"/>
  <c r="U27" i="8" a="1"/>
  <c r="U27" i="8" s="1"/>
  <c r="U28" i="8" a="1"/>
  <c r="U28" i="8" s="1"/>
  <c r="U29" i="8" a="1"/>
  <c r="U29" i="8" s="1"/>
  <c r="U30" i="8" a="1"/>
  <c r="U30" i="8" s="1"/>
  <c r="U31" i="8" a="1"/>
  <c r="U31" i="8" s="1"/>
  <c r="U3" i="8" a="1"/>
  <c r="U3" i="8" s="1"/>
  <c r="U4" i="8" a="1"/>
  <c r="U4" i="8" s="1"/>
  <c r="U5" i="8" a="1"/>
  <c r="U5" i="8" s="1"/>
  <c r="U6" i="8" a="1"/>
  <c r="U6" i="8" s="1"/>
  <c r="U7" i="8" a="1"/>
  <c r="U7" i="8" s="1"/>
  <c r="U8" i="8" a="1"/>
  <c r="U8" i="8" s="1"/>
  <c r="U9" i="8" a="1"/>
  <c r="U9" i="8" s="1"/>
  <c r="U10" i="8" a="1"/>
  <c r="U10" i="8" s="1"/>
  <c r="U11" i="8" a="1"/>
  <c r="U11" i="8" s="1"/>
  <c r="U12" i="8" a="1"/>
  <c r="U12" i="8" s="1"/>
  <c r="U13" i="8" a="1"/>
  <c r="U13" i="8" s="1"/>
  <c r="U14" i="8" a="1"/>
  <c r="U14" i="8" s="1"/>
  <c r="U15" i="8" a="1"/>
  <c r="U15" i="8" s="1"/>
  <c r="U16" i="8" a="1"/>
  <c r="U16" i="8" s="1"/>
  <c r="U17" i="8" a="1"/>
  <c r="U17" i="8" s="1"/>
  <c r="U18" i="8" a="1"/>
  <c r="U18" i="8" s="1"/>
  <c r="U19" i="8" a="1"/>
  <c r="U19" i="8" s="1"/>
  <c r="U20" i="8" a="1"/>
  <c r="U20" i="8" s="1"/>
  <c r="U21" i="8" a="1"/>
  <c r="U21" i="8" s="1"/>
  <c r="U22" i="8" a="1"/>
  <c r="U22" i="8" s="1"/>
  <c r="U24" i="8" a="1"/>
  <c r="U24" i="8" s="1"/>
  <c r="E11" i="9" l="1"/>
  <c r="I3" i="9" s="1"/>
  <c r="U32" i="8"/>
  <c r="B9" i="9"/>
  <c r="I10" i="9" l="1"/>
  <c r="K10" i="9"/>
  <c r="I5" i="9"/>
  <c r="A399" i="1"/>
  <c r="T7" i="5"/>
  <c r="A398" i="1"/>
  <c r="N3" i="8" l="1" a="1"/>
  <c r="N3" i="8" s="1"/>
  <c r="M4" i="8" a="1"/>
  <c r="M4" i="8" s="1"/>
  <c r="N4" i="8" a="1"/>
  <c r="N4" i="8" s="1"/>
  <c r="O4" i="8" a="1"/>
  <c r="O4" i="8" s="1"/>
  <c r="P4" i="8" a="1"/>
  <c r="P4" i="8" s="1"/>
  <c r="Q4" i="8" a="1"/>
  <c r="Q4" i="8" s="1"/>
  <c r="R4" i="8" a="1"/>
  <c r="R4" i="8" s="1"/>
  <c r="S4" i="8" a="1"/>
  <c r="S4" i="8" s="1"/>
  <c r="T4" i="8" a="1"/>
  <c r="T4" i="8" s="1"/>
  <c r="M5" i="8" a="1"/>
  <c r="M5" i="8" s="1"/>
  <c r="N5" i="8" a="1"/>
  <c r="N5" i="8" s="1"/>
  <c r="O5" i="8" a="1"/>
  <c r="O5" i="8" s="1"/>
  <c r="P5" i="8" a="1"/>
  <c r="P5" i="8" s="1"/>
  <c r="Q5" i="8" a="1"/>
  <c r="Q5" i="8" s="1"/>
  <c r="R5" i="8" a="1"/>
  <c r="R5" i="8" s="1"/>
  <c r="S5" i="8" a="1"/>
  <c r="S5" i="8" s="1"/>
  <c r="T5" i="8" a="1"/>
  <c r="T5" i="8" s="1"/>
  <c r="M6" i="8" a="1"/>
  <c r="M6" i="8" s="1"/>
  <c r="N6" i="8" a="1"/>
  <c r="N6" i="8" s="1"/>
  <c r="O6" i="8" a="1"/>
  <c r="O6" i="8" s="1"/>
  <c r="P6" i="8" a="1"/>
  <c r="P6" i="8" s="1"/>
  <c r="Q6" i="8" a="1"/>
  <c r="Q6" i="8" s="1"/>
  <c r="R6" i="8" a="1"/>
  <c r="R6" i="8" s="1"/>
  <c r="S6" i="8" a="1"/>
  <c r="S6" i="8" s="1"/>
  <c r="T6" i="8" a="1"/>
  <c r="T6" i="8" s="1"/>
  <c r="M7" i="8" a="1"/>
  <c r="M7" i="8" s="1"/>
  <c r="N7" i="8" a="1"/>
  <c r="N7" i="8" s="1"/>
  <c r="O7" i="8" a="1"/>
  <c r="O7" i="8" s="1"/>
  <c r="P7" i="8" a="1"/>
  <c r="P7" i="8" s="1"/>
  <c r="Q7" i="8" a="1"/>
  <c r="Q7" i="8" s="1"/>
  <c r="R7" i="8" a="1"/>
  <c r="R7" i="8" s="1"/>
  <c r="S7" i="8" a="1"/>
  <c r="S7" i="8" s="1"/>
  <c r="T7" i="8" a="1"/>
  <c r="T7" i="8" s="1"/>
  <c r="M8" i="8" a="1"/>
  <c r="M8" i="8" s="1"/>
  <c r="N8" i="8" a="1"/>
  <c r="N8" i="8" s="1"/>
  <c r="O8" i="8" a="1"/>
  <c r="O8" i="8" s="1"/>
  <c r="P8" i="8" a="1"/>
  <c r="P8" i="8" s="1"/>
  <c r="Q8" i="8" a="1"/>
  <c r="Q8" i="8" s="1"/>
  <c r="R8" i="8" a="1"/>
  <c r="R8" i="8" s="1"/>
  <c r="S8" i="8" a="1"/>
  <c r="S8" i="8" s="1"/>
  <c r="T8" i="8" a="1"/>
  <c r="T8" i="8" s="1"/>
  <c r="M9" i="8" a="1"/>
  <c r="M9" i="8" s="1"/>
  <c r="N9" i="8" a="1"/>
  <c r="N9" i="8" s="1"/>
  <c r="O9" i="8" a="1"/>
  <c r="O9" i="8" s="1"/>
  <c r="P9" i="8" a="1"/>
  <c r="P9" i="8" s="1"/>
  <c r="Q9" i="8" a="1"/>
  <c r="Q9" i="8" s="1"/>
  <c r="R9" i="8" a="1"/>
  <c r="R9" i="8" s="1"/>
  <c r="S9" i="8" a="1"/>
  <c r="S9" i="8" s="1"/>
  <c r="T9" i="8" a="1"/>
  <c r="T9" i="8" s="1"/>
  <c r="M10" i="8" a="1"/>
  <c r="M10" i="8" s="1"/>
  <c r="N10" i="8" a="1"/>
  <c r="N10" i="8" s="1"/>
  <c r="O10" i="8" a="1"/>
  <c r="O10" i="8" s="1"/>
  <c r="P10" i="8" a="1"/>
  <c r="P10" i="8" s="1"/>
  <c r="Q10" i="8" a="1"/>
  <c r="Q10" i="8" s="1"/>
  <c r="R10" i="8" a="1"/>
  <c r="R10" i="8" s="1"/>
  <c r="S10" i="8" a="1"/>
  <c r="S10" i="8" s="1"/>
  <c r="T10" i="8" a="1"/>
  <c r="T10" i="8" s="1"/>
  <c r="M11" i="8" a="1"/>
  <c r="M11" i="8" s="1"/>
  <c r="N11" i="8" a="1"/>
  <c r="N11" i="8" s="1"/>
  <c r="O11" i="8" a="1"/>
  <c r="O11" i="8" s="1"/>
  <c r="P11" i="8" a="1"/>
  <c r="P11" i="8" s="1"/>
  <c r="Q11" i="8" a="1"/>
  <c r="Q11" i="8" s="1"/>
  <c r="R11" i="8" a="1"/>
  <c r="R11" i="8" s="1"/>
  <c r="S11" i="8" a="1"/>
  <c r="S11" i="8" s="1"/>
  <c r="T11" i="8" a="1"/>
  <c r="T11" i="8" s="1"/>
  <c r="M12" i="8" a="1"/>
  <c r="M12" i="8" s="1"/>
  <c r="N12" i="8" a="1"/>
  <c r="N12" i="8" s="1"/>
  <c r="O12" i="8" a="1"/>
  <c r="O12" i="8" s="1"/>
  <c r="P12" i="8" a="1"/>
  <c r="P12" i="8" s="1"/>
  <c r="Q12" i="8" a="1"/>
  <c r="Q12" i="8" s="1"/>
  <c r="R12" i="8" a="1"/>
  <c r="R12" i="8" s="1"/>
  <c r="S12" i="8" a="1"/>
  <c r="S12" i="8" s="1"/>
  <c r="T12" i="8" a="1"/>
  <c r="T12" i="8" s="1"/>
  <c r="M13" i="8" a="1"/>
  <c r="M13" i="8" s="1"/>
  <c r="N13" i="8" a="1"/>
  <c r="N13" i="8" s="1"/>
  <c r="O13" i="8" a="1"/>
  <c r="O13" i="8" s="1"/>
  <c r="P13" i="8" a="1"/>
  <c r="P13" i="8" s="1"/>
  <c r="Q13" i="8" a="1"/>
  <c r="Q13" i="8" s="1"/>
  <c r="R13" i="8" a="1"/>
  <c r="R13" i="8" s="1"/>
  <c r="S13" i="8" a="1"/>
  <c r="S13" i="8" s="1"/>
  <c r="T13" i="8" a="1"/>
  <c r="T13" i="8" s="1"/>
  <c r="M14" i="8" a="1"/>
  <c r="M14" i="8" s="1"/>
  <c r="N14" i="8" a="1"/>
  <c r="N14" i="8" s="1"/>
  <c r="O14" i="8" a="1"/>
  <c r="O14" i="8" s="1"/>
  <c r="P14" i="8" a="1"/>
  <c r="P14" i="8" s="1"/>
  <c r="Q14" i="8" a="1"/>
  <c r="Q14" i="8" s="1"/>
  <c r="R14" i="8" a="1"/>
  <c r="R14" i="8" s="1"/>
  <c r="S14" i="8" a="1"/>
  <c r="S14" i="8" s="1"/>
  <c r="T14" i="8" a="1"/>
  <c r="T14" i="8" s="1"/>
  <c r="M15" i="8" a="1"/>
  <c r="M15" i="8" s="1"/>
  <c r="N15" i="8" a="1"/>
  <c r="N15" i="8" s="1"/>
  <c r="O15" i="8" a="1"/>
  <c r="O15" i="8" s="1"/>
  <c r="P15" i="8" a="1"/>
  <c r="P15" i="8" s="1"/>
  <c r="Q15" i="8" a="1"/>
  <c r="Q15" i="8" s="1"/>
  <c r="R15" i="8" a="1"/>
  <c r="R15" i="8" s="1"/>
  <c r="S15" i="8" a="1"/>
  <c r="S15" i="8" s="1"/>
  <c r="T15" i="8" a="1"/>
  <c r="T15" i="8" s="1"/>
  <c r="M16" i="8" a="1"/>
  <c r="M16" i="8" s="1"/>
  <c r="N16" i="8" a="1"/>
  <c r="N16" i="8" s="1"/>
  <c r="O16" i="8" a="1"/>
  <c r="O16" i="8" s="1"/>
  <c r="P16" i="8" a="1"/>
  <c r="P16" i="8" s="1"/>
  <c r="Q16" i="8" a="1"/>
  <c r="Q16" i="8" s="1"/>
  <c r="R16" i="8" a="1"/>
  <c r="R16" i="8" s="1"/>
  <c r="S16" i="8" a="1"/>
  <c r="S16" i="8" s="1"/>
  <c r="T16" i="8" a="1"/>
  <c r="T16" i="8" s="1"/>
  <c r="M17" i="8" a="1"/>
  <c r="M17" i="8" s="1"/>
  <c r="N17" i="8" a="1"/>
  <c r="N17" i="8" s="1"/>
  <c r="O17" i="8" a="1"/>
  <c r="O17" i="8" s="1"/>
  <c r="P17" i="8" a="1"/>
  <c r="P17" i="8" s="1"/>
  <c r="Q17" i="8" a="1"/>
  <c r="Q17" i="8" s="1"/>
  <c r="R17" i="8" a="1"/>
  <c r="R17" i="8" s="1"/>
  <c r="S17" i="8" a="1"/>
  <c r="S17" i="8" s="1"/>
  <c r="T17" i="8" a="1"/>
  <c r="T17" i="8" s="1"/>
  <c r="M18" i="8" a="1"/>
  <c r="M18" i="8" s="1"/>
  <c r="N18" i="8" a="1"/>
  <c r="N18" i="8" s="1"/>
  <c r="O18" i="8" a="1"/>
  <c r="O18" i="8" s="1"/>
  <c r="P18" i="8" a="1"/>
  <c r="P18" i="8" s="1"/>
  <c r="Q18" i="8" a="1"/>
  <c r="Q18" i="8" s="1"/>
  <c r="R18" i="8" a="1"/>
  <c r="R18" i="8" s="1"/>
  <c r="S18" i="8" a="1"/>
  <c r="S18" i="8" s="1"/>
  <c r="T18" i="8" a="1"/>
  <c r="T18" i="8" s="1"/>
  <c r="N19" i="8" a="1"/>
  <c r="N19" i="8" s="1"/>
  <c r="O19" i="8" a="1"/>
  <c r="O19" i="8" s="1"/>
  <c r="P19" i="8" a="1"/>
  <c r="P19" i="8" s="1"/>
  <c r="Q19" i="8" a="1"/>
  <c r="Q19" i="8" s="1"/>
  <c r="R19" i="8" a="1"/>
  <c r="R19" i="8" s="1"/>
  <c r="S19" i="8" a="1"/>
  <c r="S19" i="8" s="1"/>
  <c r="T19" i="8" a="1"/>
  <c r="T19" i="8" s="1"/>
  <c r="M20" i="8" a="1"/>
  <c r="M20" i="8" s="1"/>
  <c r="N20" i="8" a="1"/>
  <c r="N20" i="8" s="1"/>
  <c r="O20" i="8" a="1"/>
  <c r="O20" i="8" s="1"/>
  <c r="P20" i="8" a="1"/>
  <c r="P20" i="8" s="1"/>
  <c r="Q20" i="8" a="1"/>
  <c r="Q20" i="8" s="1"/>
  <c r="R20" i="8" a="1"/>
  <c r="R20" i="8" s="1"/>
  <c r="S20" i="8" a="1"/>
  <c r="S20" i="8" s="1"/>
  <c r="T20" i="8" a="1"/>
  <c r="T20" i="8" s="1"/>
  <c r="M21" i="8" a="1"/>
  <c r="M21" i="8" s="1"/>
  <c r="N21" i="8" a="1"/>
  <c r="N21" i="8" s="1"/>
  <c r="O21" i="8" a="1"/>
  <c r="O21" i="8" s="1"/>
  <c r="P21" i="8" a="1"/>
  <c r="P21" i="8" s="1"/>
  <c r="Q21" i="8" a="1"/>
  <c r="Q21" i="8" s="1"/>
  <c r="R21" i="8" a="1"/>
  <c r="R21" i="8" s="1"/>
  <c r="S21" i="8" a="1"/>
  <c r="S21" i="8" s="1"/>
  <c r="T21" i="8" a="1"/>
  <c r="T21" i="8" s="1"/>
  <c r="M22" i="8" a="1"/>
  <c r="M22" i="8" s="1"/>
  <c r="N22" i="8" a="1"/>
  <c r="N22" i="8" s="1"/>
  <c r="O22" i="8" a="1"/>
  <c r="O22" i="8" s="1"/>
  <c r="P22" i="8" a="1"/>
  <c r="P22" i="8" s="1"/>
  <c r="Q22" i="8" a="1"/>
  <c r="Q22" i="8" s="1"/>
  <c r="R22" i="8" a="1"/>
  <c r="R22" i="8" s="1"/>
  <c r="S22" i="8" a="1"/>
  <c r="S22" i="8" s="1"/>
  <c r="T22" i="8" a="1"/>
  <c r="T22" i="8" s="1"/>
  <c r="M24" i="8" a="1"/>
  <c r="M24" i="8" s="1"/>
  <c r="N24" i="8" a="1"/>
  <c r="N24" i="8" s="1"/>
  <c r="O24" i="8" a="1"/>
  <c r="O24" i="8" s="1"/>
  <c r="P24" i="8" a="1"/>
  <c r="P24" i="8" s="1"/>
  <c r="Q24" i="8" a="1"/>
  <c r="Q24" i="8" s="1"/>
  <c r="R24" i="8" a="1"/>
  <c r="R24" i="8" s="1"/>
  <c r="S24" i="8" a="1"/>
  <c r="S24" i="8" s="1"/>
  <c r="T24" i="8" a="1"/>
  <c r="T24" i="8" s="1"/>
  <c r="M25" i="8" a="1"/>
  <c r="M25" i="8" s="1"/>
  <c r="N25" i="8" a="1"/>
  <c r="N25" i="8" s="1"/>
  <c r="O25" i="8" a="1"/>
  <c r="O25" i="8" s="1"/>
  <c r="P25" i="8" a="1"/>
  <c r="P25" i="8" s="1"/>
  <c r="Q25" i="8" a="1"/>
  <c r="Q25" i="8" s="1"/>
  <c r="R25" i="8" a="1"/>
  <c r="R25" i="8" s="1"/>
  <c r="S25" i="8" a="1"/>
  <c r="S25" i="8" s="1"/>
  <c r="T25" i="8" a="1"/>
  <c r="T25" i="8" s="1"/>
  <c r="M26" i="8" a="1"/>
  <c r="M26" i="8" s="1"/>
  <c r="N26" i="8" a="1"/>
  <c r="N26" i="8" s="1"/>
  <c r="O26" i="8" a="1"/>
  <c r="O26" i="8" s="1"/>
  <c r="P26" i="8" a="1"/>
  <c r="P26" i="8" s="1"/>
  <c r="Q26" i="8" a="1"/>
  <c r="Q26" i="8" s="1"/>
  <c r="R26" i="8" a="1"/>
  <c r="R26" i="8" s="1"/>
  <c r="S26" i="8" a="1"/>
  <c r="S26" i="8" s="1"/>
  <c r="T26" i="8" a="1"/>
  <c r="T26" i="8" s="1"/>
  <c r="M27" i="8" a="1"/>
  <c r="M27" i="8" s="1"/>
  <c r="N27" i="8" a="1"/>
  <c r="N27" i="8" s="1"/>
  <c r="O27" i="8" a="1"/>
  <c r="O27" i="8" s="1"/>
  <c r="P27" i="8" a="1"/>
  <c r="P27" i="8" s="1"/>
  <c r="Q27" i="8" a="1"/>
  <c r="Q27" i="8" s="1"/>
  <c r="R27" i="8" a="1"/>
  <c r="R27" i="8" s="1"/>
  <c r="S27" i="8" a="1"/>
  <c r="S27" i="8" s="1"/>
  <c r="T27" i="8" a="1"/>
  <c r="T27" i="8" s="1"/>
  <c r="M28" i="8" a="1"/>
  <c r="M28" i="8" s="1"/>
  <c r="N28" i="8" a="1"/>
  <c r="N28" i="8" s="1"/>
  <c r="O28" i="8" a="1"/>
  <c r="O28" i="8" s="1"/>
  <c r="P28" i="8" a="1"/>
  <c r="P28" i="8" s="1"/>
  <c r="Q28" i="8" a="1"/>
  <c r="Q28" i="8" s="1"/>
  <c r="R28" i="8" a="1"/>
  <c r="R28" i="8" s="1"/>
  <c r="S28" i="8" a="1"/>
  <c r="S28" i="8" s="1"/>
  <c r="T28" i="8" a="1"/>
  <c r="T28" i="8" s="1"/>
  <c r="M29" i="8" a="1"/>
  <c r="M29" i="8" s="1"/>
  <c r="N29" i="8" a="1"/>
  <c r="N29" i="8" s="1"/>
  <c r="O29" i="8" a="1"/>
  <c r="O29" i="8" s="1"/>
  <c r="P29" i="8" a="1"/>
  <c r="P29" i="8" s="1"/>
  <c r="Q29" i="8" a="1"/>
  <c r="Q29" i="8" s="1"/>
  <c r="R29" i="8" a="1"/>
  <c r="R29" i="8" s="1"/>
  <c r="S29" i="8" a="1"/>
  <c r="S29" i="8" s="1"/>
  <c r="T29" i="8" a="1"/>
  <c r="T29" i="8" s="1"/>
  <c r="M30" i="8" a="1"/>
  <c r="M30" i="8" s="1"/>
  <c r="N30" i="8" a="1"/>
  <c r="N30" i="8" s="1"/>
  <c r="O30" i="8" a="1"/>
  <c r="O30" i="8" s="1"/>
  <c r="P30" i="8" a="1"/>
  <c r="P30" i="8" s="1"/>
  <c r="Q30" i="8" a="1"/>
  <c r="Q30" i="8" s="1"/>
  <c r="R30" i="8" a="1"/>
  <c r="R30" i="8" s="1"/>
  <c r="S30" i="8" a="1"/>
  <c r="S30" i="8" s="1"/>
  <c r="T30" i="8" a="1"/>
  <c r="T30" i="8" s="1"/>
  <c r="M31" i="8" a="1"/>
  <c r="M31" i="8" s="1"/>
  <c r="N31" i="8" a="1"/>
  <c r="N31" i="8" s="1"/>
  <c r="O31" i="8" a="1"/>
  <c r="O31" i="8" s="1"/>
  <c r="P31" i="8" a="1"/>
  <c r="P31" i="8" s="1"/>
  <c r="Q31" i="8" a="1"/>
  <c r="Q31" i="8" s="1"/>
  <c r="R31" i="8" a="1"/>
  <c r="R31" i="8" s="1"/>
  <c r="S31" i="8" a="1"/>
  <c r="S31" i="8" s="1"/>
  <c r="T31" i="8" a="1"/>
  <c r="T31" i="8" s="1"/>
  <c r="O3" i="8" a="1"/>
  <c r="O3" i="8" s="1"/>
  <c r="P3" i="8" a="1"/>
  <c r="P3" i="8" s="1"/>
  <c r="Q3" i="8" a="1"/>
  <c r="Q3" i="8" s="1"/>
  <c r="R3" i="8" a="1"/>
  <c r="R3" i="8" s="1"/>
  <c r="S3" i="8" a="1"/>
  <c r="S3" i="8" s="1"/>
  <c r="T3" i="8" a="1"/>
  <c r="T3" i="8" s="1"/>
  <c r="M3" i="8" a="1"/>
  <c r="M3" i="8" s="1"/>
  <c r="C32" i="8"/>
  <c r="I14" i="7" s="1"/>
  <c r="D32" i="8"/>
  <c r="I17" i="7" s="1"/>
  <c r="E32" i="8"/>
  <c r="I20" i="7" s="1"/>
  <c r="F32" i="8"/>
  <c r="I21" i="7" s="1"/>
  <c r="G32" i="8"/>
  <c r="I13" i="7" s="1"/>
  <c r="H32" i="8"/>
  <c r="I10" i="7" s="1"/>
  <c r="I32" i="8"/>
  <c r="I16" i="7" s="1"/>
  <c r="B32" i="8"/>
  <c r="O32" i="8" l="1"/>
  <c r="P32" i="8"/>
  <c r="N32" i="8"/>
  <c r="M32" i="8"/>
  <c r="R32" i="8"/>
  <c r="Q32" i="8"/>
  <c r="T32" i="8" l="1"/>
  <c r="S32" i="8"/>
  <c r="T31" i="5" l="1"/>
  <c r="T30" i="5"/>
  <c r="T29" i="5"/>
  <c r="T28" i="5"/>
  <c r="T27" i="5"/>
  <c r="T26" i="5"/>
  <c r="T25" i="5"/>
  <c r="T24" i="5"/>
  <c r="T23" i="5"/>
  <c r="T22" i="5"/>
  <c r="T21" i="5"/>
  <c r="T20" i="5"/>
  <c r="T19" i="5"/>
  <c r="T17" i="5"/>
  <c r="T16" i="5"/>
  <c r="T15" i="5"/>
  <c r="T14" i="5"/>
  <c r="T13" i="5"/>
  <c r="T12" i="5"/>
  <c r="T11" i="5"/>
  <c r="T10" i="5"/>
  <c r="T8" i="5"/>
  <c r="T5" i="5"/>
  <c r="T4" i="5"/>
  <c r="A397" i="1"/>
  <c r="A396" i="1"/>
  <c r="A395" i="1"/>
  <c r="A394" i="1"/>
  <c r="A393" i="1"/>
  <c r="A392" i="1"/>
  <c r="A391" i="1"/>
  <c r="A390" i="1"/>
  <c r="A389" i="1"/>
  <c r="A388" i="1"/>
  <c r="A387" i="1"/>
  <c r="A386" i="1"/>
  <c r="A385" i="1"/>
  <c r="A384" i="1"/>
  <c r="A383" i="1"/>
  <c r="A382" i="1"/>
  <c r="A381" i="1"/>
  <c r="A379" i="1"/>
  <c r="A378" i="1"/>
  <c r="A377" i="1"/>
  <c r="A376" i="1"/>
  <c r="A375" i="1"/>
  <c r="A374" i="1"/>
  <c r="A373" i="1"/>
  <c r="A370" i="1"/>
  <c r="A369" i="1"/>
  <c r="A368" i="1"/>
  <c r="A366" i="1"/>
  <c r="A361" i="1"/>
  <c r="A360" i="1"/>
  <c r="A359" i="1"/>
  <c r="A354" i="1"/>
  <c r="A349" i="1"/>
  <c r="A348" i="1"/>
  <c r="A347" i="1"/>
  <c r="A346" i="1"/>
  <c r="A345" i="1"/>
  <c r="A34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<sst xmlns="http://schemas.openxmlformats.org/spreadsheetml/2006/main" count="1219" uniqueCount="304">
  <si>
    <t>Julian</t>
  </si>
  <si>
    <t>Date</t>
  </si>
  <si>
    <t>Product</t>
  </si>
  <si>
    <t>Type</t>
  </si>
  <si>
    <t>Lot
Number</t>
  </si>
  <si>
    <t>Lots Done</t>
  </si>
  <si>
    <t>Extra Wt</t>
  </si>
  <si>
    <t>Dinner Patty</t>
  </si>
  <si>
    <t>Supreme Pizza Patty</t>
  </si>
  <si>
    <t>Bulk Ground Chicken</t>
  </si>
  <si>
    <t>Bean Burger</t>
  </si>
  <si>
    <t>Pork BBQ Patty</t>
  </si>
  <si>
    <t>Spicy Breaded Chicken Patty</t>
  </si>
  <si>
    <t>Garlic &amp; Herb Chicken Patty</t>
  </si>
  <si>
    <t>Tuscan Herb Chicken Patty</t>
  </si>
  <si>
    <t>Breakfast Patty</t>
  </si>
  <si>
    <t>Breakfast Maple Patty</t>
  </si>
  <si>
    <t>Meatloaf Patty</t>
  </si>
  <si>
    <t>Breakfast Pork Patty</t>
  </si>
  <si>
    <t>Breakfast Chicken Links</t>
  </si>
  <si>
    <t>Breakfast Maple Links</t>
  </si>
  <si>
    <t>Breaded Chicken Patty</t>
  </si>
  <si>
    <t>Breaded Pork Patty</t>
  </si>
  <si>
    <t>Bulk Breakfast Patty</t>
  </si>
  <si>
    <t>Hush Puppies</t>
  </si>
  <si>
    <t>Tuscan Herb 2oz</t>
  </si>
  <si>
    <t>ProdName</t>
  </si>
  <si>
    <t>Ingr1</t>
  </si>
  <si>
    <t>Ingr2</t>
  </si>
  <si>
    <t>Ingr3</t>
  </si>
  <si>
    <t>Ingr4</t>
  </si>
  <si>
    <t>Ingr5</t>
  </si>
  <si>
    <t>Wt1</t>
  </si>
  <si>
    <t>Wt2</t>
  </si>
  <si>
    <t>Wt3</t>
  </si>
  <si>
    <t>Wt4</t>
  </si>
  <si>
    <t>Wt5</t>
  </si>
  <si>
    <t>Case Wt.</t>
  </si>
  <si>
    <t>Box Size</t>
  </si>
  <si>
    <t>Batter</t>
  </si>
  <si>
    <t>Breader</t>
  </si>
  <si>
    <t>Price Lb.</t>
  </si>
  <si>
    <t>Price Case</t>
  </si>
  <si>
    <t>Apples</t>
  </si>
  <si>
    <t>Other</t>
  </si>
  <si>
    <t>Fish Portion</t>
  </si>
  <si>
    <t>Gouda Shouda</t>
  </si>
  <si>
    <t>Krabby Patty</t>
  </si>
  <si>
    <t>Surf Burger</t>
  </si>
  <si>
    <t>Cases per Lot</t>
  </si>
  <si>
    <t>Case Weight</t>
  </si>
  <si>
    <t>Ingredient</t>
  </si>
  <si>
    <t>Cost</t>
  </si>
  <si>
    <t>Chicken - Tenders</t>
  </si>
  <si>
    <t>Chicken - Ground</t>
  </si>
  <si>
    <t>Chicken - Skin</t>
  </si>
  <si>
    <t>Pork - Trim</t>
  </si>
  <si>
    <t>Fish - Imitation Crab</t>
  </si>
  <si>
    <t>Cheese - Gouda</t>
  </si>
  <si>
    <t>Beans - Pinto</t>
  </si>
  <si>
    <t>Cost/lb.</t>
  </si>
  <si>
    <t>Breader - OM</t>
  </si>
  <si>
    <t>Breaded Internal</t>
  </si>
  <si>
    <t>Breader - Chicken</t>
  </si>
  <si>
    <t>Arrowroot Powder</t>
  </si>
  <si>
    <t>Basil</t>
  </si>
  <si>
    <t>Black Pepper</t>
  </si>
  <si>
    <t>Brown Sugar</t>
  </si>
  <si>
    <t>Celery Seed</t>
  </si>
  <si>
    <t>Chili Powder</t>
  </si>
  <si>
    <t>Citric Acid</t>
  </si>
  <si>
    <t>Crushed Red Pepper</t>
  </si>
  <si>
    <t>Fennel</t>
  </si>
  <si>
    <t>Garlic Powder</t>
  </si>
  <si>
    <t>Ground Mustard</t>
  </si>
  <si>
    <t>Ground Red Pepper</t>
  </si>
  <si>
    <t>Italian Seasoning</t>
  </si>
  <si>
    <t>MSG</t>
  </si>
  <si>
    <t>Onion Powder</t>
  </si>
  <si>
    <t>Oregano</t>
  </si>
  <si>
    <t>Parsley Flakes</t>
  </si>
  <si>
    <t>Red Bell Pepper</t>
  </si>
  <si>
    <t>Salt</t>
  </si>
  <si>
    <t>Sazon</t>
  </si>
  <si>
    <t>Starch</t>
  </si>
  <si>
    <t>Sugar</t>
  </si>
  <si>
    <t>Thyme</t>
  </si>
  <si>
    <t>Tomato Powder</t>
  </si>
  <si>
    <t>White Pepper</t>
  </si>
  <si>
    <t>Liquid Smoke</t>
  </si>
  <si>
    <t>Maple Flavoring</t>
  </si>
  <si>
    <t>Worcestershire Sauce</t>
  </si>
  <si>
    <t>Tier 1 - Main Ingredients</t>
  </si>
  <si>
    <t>Tier 3 - Individual Ingredients</t>
  </si>
  <si>
    <t>Tier 4 - Packing &amp; Storage</t>
  </si>
  <si>
    <t>Item</t>
  </si>
  <si>
    <t>Unit</t>
  </si>
  <si>
    <t>Box - 6.75"</t>
  </si>
  <si>
    <t>Box - 4.5"</t>
  </si>
  <si>
    <t>Box Liner</t>
  </si>
  <si>
    <t>Qty</t>
  </si>
  <si>
    <t>Box Label</t>
  </si>
  <si>
    <t>each</t>
  </si>
  <si>
    <t>Box Tape</t>
  </si>
  <si>
    <t>Packing Tape</t>
  </si>
  <si>
    <t>Pallet Corner</t>
  </si>
  <si>
    <t>Pallet Top Cover</t>
  </si>
  <si>
    <t>Tuscan Herb</t>
  </si>
  <si>
    <t>Garlic &amp; Herb</t>
  </si>
  <si>
    <t>Meatloaf</t>
  </si>
  <si>
    <t>Pizza Patty</t>
  </si>
  <si>
    <t>Spicy Internal</t>
  </si>
  <si>
    <t>Maple Breakfast</t>
  </si>
  <si>
    <t>Total</t>
  </si>
  <si>
    <t>Breakfast</t>
  </si>
  <si>
    <t>Fish - Fillets</t>
  </si>
  <si>
    <t>box</t>
  </si>
  <si>
    <t>roll</t>
  </si>
  <si>
    <t>Wt</t>
  </si>
  <si>
    <t>Bag</t>
  </si>
  <si>
    <t>Pre-Mix</t>
  </si>
  <si>
    <t>Sage</t>
  </si>
  <si>
    <t>5039/0512</t>
  </si>
  <si>
    <t>Breaded Chicken Nuggets</t>
  </si>
  <si>
    <t>B009-24</t>
  </si>
  <si>
    <t>7273/0512</t>
  </si>
  <si>
    <t>8285</t>
  </si>
  <si>
    <t>6262/0512</t>
  </si>
  <si>
    <t>3083</t>
  </si>
  <si>
    <t>8285/3083</t>
  </si>
  <si>
    <t>2221</t>
  </si>
  <si>
    <t>B78/24</t>
  </si>
  <si>
    <t>B81-24</t>
  </si>
  <si>
    <t>B85-24</t>
  </si>
  <si>
    <t>H94-24</t>
  </si>
  <si>
    <t>7136</t>
  </si>
  <si>
    <t>Case Total</t>
  </si>
  <si>
    <t>Block</t>
  </si>
  <si>
    <t>Box</t>
  </si>
  <si>
    <t>Each</t>
  </si>
  <si>
    <t>Onions - Diced</t>
  </si>
  <si>
    <t>Peppers - Diced</t>
  </si>
  <si>
    <t>Jalapenos - Diced</t>
  </si>
  <si>
    <t>Apples - Sliced</t>
  </si>
  <si>
    <t>Cornmeal</t>
  </si>
  <si>
    <t>Lot</t>
  </si>
  <si>
    <t>Ground Chicken</t>
  </si>
  <si>
    <t>Breaded Chicken</t>
  </si>
  <si>
    <t>Ground Pork</t>
  </si>
  <si>
    <t>Breaded Pork</t>
  </si>
  <si>
    <t>Lot Wt</t>
  </si>
  <si>
    <t>Breaded Chicken Patty (2oz)</t>
  </si>
  <si>
    <t>IngrBreader</t>
  </si>
  <si>
    <t>Unit Cost</t>
  </si>
  <si>
    <t>Lot Cost</t>
  </si>
  <si>
    <t>lb</t>
  </si>
  <si>
    <t>Meat Wt</t>
  </si>
  <si>
    <t>TtlWt</t>
  </si>
  <si>
    <t>BtTtl</t>
  </si>
  <si>
    <t>BrTtl</t>
  </si>
  <si>
    <t>RawWt</t>
  </si>
  <si>
    <t>SatWt</t>
  </si>
  <si>
    <t>Gain</t>
  </si>
  <si>
    <t>Avg. Sat. Weight</t>
  </si>
  <si>
    <t>Saturated Lot</t>
  </si>
  <si>
    <t>Saturation</t>
  </si>
  <si>
    <t>Raw Wt. Cost</t>
  </si>
  <si>
    <t>Sat. Cost</t>
  </si>
  <si>
    <t>Sell Price</t>
  </si>
  <si>
    <t>Markup</t>
  </si>
  <si>
    <t>Avg Figures</t>
  </si>
  <si>
    <t>2070/4296</t>
  </si>
  <si>
    <t>2913/4296</t>
  </si>
  <si>
    <t>2913/512</t>
  </si>
  <si>
    <t>42070/512</t>
  </si>
  <si>
    <t>3129/512</t>
  </si>
  <si>
    <t>H227-23</t>
  </si>
  <si>
    <t>H228-23</t>
  </si>
  <si>
    <t>H229-23</t>
  </si>
  <si>
    <t>H233-23</t>
  </si>
  <si>
    <t>G275-23</t>
  </si>
  <si>
    <t>4018/4296</t>
  </si>
  <si>
    <t>4218/4296</t>
  </si>
  <si>
    <t>2620/4296</t>
  </si>
  <si>
    <t>G137-22</t>
  </si>
  <si>
    <t>H166-22</t>
  </si>
  <si>
    <t>H167-22</t>
  </si>
  <si>
    <t>H172-22</t>
  </si>
  <si>
    <t>H173-22</t>
  </si>
  <si>
    <t>H179-22</t>
  </si>
  <si>
    <t>H180-22</t>
  </si>
  <si>
    <t>H181-22</t>
  </si>
  <si>
    <t>H236-22</t>
  </si>
  <si>
    <t>H244-22</t>
  </si>
  <si>
    <t>Tier 2 - Secondary &amp; Whole Mix Ingredients</t>
  </si>
  <si>
    <t>Blocks Used</t>
  </si>
  <si>
    <t>Batter Used</t>
  </si>
  <si>
    <t>Breader Used</t>
  </si>
  <si>
    <t>Table Name: Ingredients</t>
  </si>
  <si>
    <t>Table Name: Production</t>
  </si>
  <si>
    <t>Table Name: CaseAvg</t>
  </si>
  <si>
    <t>Table Name: Tier1</t>
  </si>
  <si>
    <t>Table Name: Tier4</t>
  </si>
  <si>
    <t>Table Name: Tier3</t>
  </si>
  <si>
    <t>Table Name: Tier2</t>
  </si>
  <si>
    <t>Table Name: IngrWt</t>
  </si>
  <si>
    <t>Table Name: IngrCost</t>
  </si>
  <si>
    <t>Enter different sell prices below to check potential markup values</t>
  </si>
  <si>
    <t>2070/0512</t>
  </si>
  <si>
    <t>8285/0512</t>
  </si>
  <si>
    <t>&lt;--Choose Product Here</t>
  </si>
  <si>
    <t>&lt;-Choose New Sell Price Here</t>
  </si>
  <si>
    <t>Bulk Ground Pork</t>
  </si>
  <si>
    <t>Grand Total</t>
  </si>
  <si>
    <t>2022</t>
  </si>
  <si>
    <t>2023</t>
  </si>
  <si>
    <t>2024</t>
  </si>
  <si>
    <t>Jan</t>
  </si>
  <si>
    <t>Feb</t>
  </si>
  <si>
    <t>Mar</t>
  </si>
  <si>
    <t>Apr</t>
  </si>
  <si>
    <t>May</t>
  </si>
  <si>
    <t>Jun</t>
  </si>
  <si>
    <t>Jul</t>
  </si>
  <si>
    <t>Aug</t>
  </si>
  <si>
    <t>Sep</t>
  </si>
  <si>
    <t>Oct</t>
  </si>
  <si>
    <t>Nov</t>
  </si>
  <si>
    <t>Dec</t>
  </si>
  <si>
    <t>Years</t>
  </si>
  <si>
    <t>Months</t>
  </si>
  <si>
    <t>Total Weight</t>
  </si>
  <si>
    <t>Qtr1</t>
  </si>
  <si>
    <t>Qtr2</t>
  </si>
  <si>
    <t>Boxes Used</t>
  </si>
  <si>
    <t>Choose Year</t>
  </si>
  <si>
    <t>Ttl Cs</t>
  </si>
  <si>
    <t>Avg Cs/Day</t>
  </si>
  <si>
    <t>Box Count Information</t>
  </si>
  <si>
    <t>BtBrPct</t>
  </si>
  <si>
    <t>Year</t>
  </si>
  <si>
    <t>Quarter</t>
  </si>
  <si>
    <t>Species</t>
  </si>
  <si>
    <t>Qtr3</t>
  </si>
  <si>
    <t>Qtr4</t>
  </si>
  <si>
    <t>VIRGINIA DEPARTMENT OF AGRICULTURE AND CONSUMER SERVICES</t>
  </si>
  <si>
    <t>DIVISION OF CONSUMER PROTECTION</t>
  </si>
  <si>
    <t>OFFICE OF MEAT &amp; POULTRY SERVICES</t>
  </si>
  <si>
    <t>The response to this information is required by law.  The Agency needs to keep on record the number of pounds of meat and poultry food products prepared at establishments.  The data is used to produce management reports and statistical summaries on processing inspection activities.</t>
  </si>
  <si>
    <t>MEAT AND POULTRY PROCESSING OPERATIONS AT FEDERAL (T/A) ESTABLISHMENTS</t>
  </si>
  <si>
    <t>A.  TO BE COMPLETED BY ESTABLISHMENT</t>
  </si>
  <si>
    <t>1.  NAME OF FIRM</t>
  </si>
  <si>
    <t>2.  EST. NO.</t>
  </si>
  <si>
    <t>3.  NAME AND TITLE OF COMPANY REPRESENTATIVE (Please print)</t>
  </si>
  <si>
    <t>4.  TOTAL POUNDS OF MEAT AND POULTRY PRODUCTION FOR THIS QUARTER</t>
  </si>
  <si>
    <t>POULTRY AMOUNT</t>
  </si>
  <si>
    <t>MEAT AMOUNT</t>
  </si>
  <si>
    <t>B.  TO BE COMPLETED BY OMPS INSPECTOR</t>
  </si>
  <si>
    <t>7.  TOTAL POUNDS OF PRODUCTS CONDEMNED BY INSPECTION TEAM and/or ESTABLISHMENT  (CARCASSESS, PARTS, CUTS, FINISHED PRODUCTS, ETC.)</t>
  </si>
  <si>
    <t>8.  QUARTER (Circle One):</t>
  </si>
  <si>
    <t>January 1 – March 31         April 1 – June 30         July 1 – September 30         October 1 – December 31</t>
  </si>
  <si>
    <t>VDACS-03060</t>
  </si>
  <si>
    <t>OMPS (4/23)</t>
  </si>
  <si>
    <t>Poultry</t>
  </si>
  <si>
    <t>Meat</t>
  </si>
  <si>
    <t>DATE:</t>
  </si>
  <si>
    <t>5.  SIGNATURE OF COMPANY REPRESENTATIVE</t>
  </si>
  <si>
    <t>6.  SIGNATURE OF MPS INSPECTOR</t>
  </si>
  <si>
    <t>USDA Quarterly Info</t>
  </si>
  <si>
    <t>Beef - Ground</t>
  </si>
  <si>
    <t>Beef Patty</t>
  </si>
  <si>
    <t>Ground Beef</t>
  </si>
  <si>
    <t>Average</t>
  </si>
  <si>
    <t>Breader/Batter to Meat Ratio</t>
  </si>
  <si>
    <t>Highest</t>
  </si>
  <si>
    <t>Lowest</t>
  </si>
  <si>
    <t>Most Recent</t>
  </si>
  <si>
    <t>In the cell below, select quarter to transfer data to USDA sheet</t>
  </si>
  <si>
    <t>Tonnage Totals by Year</t>
  </si>
  <si>
    <t>B179-20</t>
  </si>
  <si>
    <t>7136/2069</t>
  </si>
  <si>
    <t>5039/3981/0512</t>
  </si>
  <si>
    <t>3981/0512</t>
  </si>
  <si>
    <t>3891/0512</t>
  </si>
  <si>
    <t>A228/24</t>
  </si>
  <si>
    <t>A232/24</t>
  </si>
  <si>
    <t>A233/24</t>
  </si>
  <si>
    <t>1531/0512</t>
  </si>
  <si>
    <t>A241/22</t>
  </si>
  <si>
    <t>3045/3054</t>
  </si>
  <si>
    <t>A249-24</t>
  </si>
  <si>
    <t>A253-24</t>
  </si>
  <si>
    <t>A255/24</t>
  </si>
  <si>
    <t>A256/24</t>
  </si>
  <si>
    <t>A263/24</t>
  </si>
  <si>
    <t>H274-24</t>
  </si>
  <si>
    <t>A274-24</t>
  </si>
  <si>
    <t>H275-24</t>
  </si>
  <si>
    <t>A275-24</t>
  </si>
  <si>
    <t>A277-24</t>
  </si>
  <si>
    <t>Flour - OM</t>
  </si>
  <si>
    <t>BBQ</t>
  </si>
  <si>
    <t>MEAT PROCESSING PLANT</t>
  </si>
  <si>
    <t>Average Cases Per 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</si>
</sst>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7" formatCode="&quot;$&quot;#,##0.00_);\(&quot;$&quot;#,##0.00\)"/>
    <numFmt numFmtId="44" formatCode="_(&quot;$&quot;* #,##0.00_);_(&quot;$&quot;* \(#,##0.00\);_(&quot;$&quot;* &quot;-&quot;??_);_(@_)"/>
    <numFmt numFmtId="43" formatCode="_(* #,##0.00_);_(* \(#,##0.00\);_(* &quot;-&quot;??_);_(@_)"/>
    <numFmt numFmtId="164" formatCode="mm/dd/yy;@"/>
    <numFmt numFmtId="165" formatCode="#,##0.0"/>
    <numFmt numFmtId="166" formatCode="* ddd\ \-\ dd"/>
    <numFmt numFmtId="167" formatCode="mm\-dd\-yyyy"/>
  </numFmts>
  <fonts count="29" x14ac:knownFonts="1">
    <font>
      <sz val="11"/>
      <color theme="1"/>
      <name val="Calibri"/>
      <family val="2"/>
      <scheme val="minor"/>
    </font>
    <font>
      <sz val="11"/>
      <color theme="1"/>
      <name val="Calibri"/>
      <family val="2"/>
      <scheme val="minor"/>
    </font>
    <font>
      <sz val="10"/>
      <name val="Arial"/>
      <family val="2"/>
    </font>
    <font>
      <b/>
      <sz val="8"/>
      <color theme="0"/>
      <name val="Cambria"/>
      <family val="1"/>
    </font>
    <font>
      <sz val="8"/>
      <color theme="1"/>
      <name val="Cambria"/>
      <family val="1"/>
    </font>
    <font>
      <sz val="8"/>
      <color theme="0"/>
      <name val="Cambria"/>
      <family val="1"/>
    </font>
    <font>
      <sz val="8"/>
      <name val="Calibri"/>
      <family val="2"/>
      <scheme val="minor"/>
    </font>
    <font>
      <sz val="8"/>
      <color theme="1"/>
      <name val="Cambria"/>
      <family val="1"/>
    </font>
    <font>
      <sz val="8"/>
      <color theme="1"/>
      <name val="Cambria"/>
      <family val="1"/>
    </font>
    <font>
      <sz val="10"/>
      <color theme="1"/>
      <name val="Calibri"/>
      <family val="2"/>
      <scheme val="minor"/>
    </font>
    <font>
      <b/>
      <sz val="8"/>
      <name val="Cambria"/>
      <family val="1"/>
    </font>
    <font>
      <sz val="8"/>
      <name val="Cambria"/>
      <family val="1"/>
    </font>
    <font>
      <sz val="8"/>
      <color theme="1"/>
      <name val="Calibri"/>
      <family val="2"/>
      <scheme val="minor"/>
    </font>
    <font>
      <b/>
      <i/>
      <sz val="8"/>
      <color theme="1"/>
      <name val="Cambria"/>
      <family val="1"/>
    </font>
    <font>
      <sz val="8"/>
      <color theme="1"/>
      <name val="Cambria"/>
      <family val="1"/>
    </font>
    <font>
      <b/>
      <sz val="11"/>
      <color theme="0"/>
      <name val="Calibri"/>
      <family val="2"/>
      <scheme val="minor"/>
    </font>
    <font>
      <sz val="11"/>
      <color theme="0"/>
      <name val="Calibri"/>
      <family val="2"/>
      <scheme val="minor"/>
    </font>
    <font>
      <sz val="12"/>
      <color theme="1"/>
      <name val="Arial"/>
      <family val="2"/>
    </font>
    <font>
      <b/>
      <sz val="11"/>
      <color theme="1"/>
      <name val="Arial"/>
      <family val="2"/>
    </font>
    <font>
      <b/>
      <sz val="11"/>
      <color rgb="FF000000"/>
      <name val="Arial"/>
      <family val="2"/>
    </font>
    <font>
      <sz val="11"/>
      <color rgb="FFFF0000"/>
      <name val="Arial"/>
      <family val="2"/>
    </font>
    <font>
      <b/>
      <sz val="10"/>
      <color theme="1"/>
      <name val="Arial"/>
      <family val="2"/>
    </font>
    <font>
      <sz val="11"/>
      <color theme="1"/>
      <name val="Arial"/>
      <family val="2"/>
    </font>
    <font>
      <sz val="18"/>
      <color theme="4" tint="-0.499984740745262"/>
      <name val="Arial"/>
      <family val="2"/>
    </font>
    <font>
      <b/>
      <sz val="18"/>
      <color theme="4" tint="-0.499984740745262"/>
      <name val="Arial"/>
      <family val="2"/>
    </font>
    <font>
      <sz val="8"/>
      <color theme="1"/>
      <name val="Cambria"/>
      <family val="1"/>
    </font>
    <font>
      <sz val="8"/>
      <color theme="1"/>
      <name val="Cambria"/>
      <family val="1"/>
    </font>
    <font>
      <sz val="8"/>
      <color theme="1"/>
      <name val="Cambria"/>
      <family val="1"/>
    </font>
    <font>
      <sz val="8"/>
      <color theme="1"/>
      <name val="Cambria"/>
      <family val="1"/>
    </font>
  </fonts>
  <fills count="10">
    <fill>
      <patternFill patternType="none"/>
    </fill>
    <fill>
      <patternFill patternType="gray125"/>
    </fill>
    <fill>
      <patternFill patternType="solid">
        <fgColor theme="4" tint="-0.249977111117893"/>
        <bgColor indexed="64"/>
      </patternFill>
    </fill>
    <fill>
      <patternFill patternType="solid">
        <fgColor theme="4" tint="0.79998168889431442"/>
        <bgColor indexed="64"/>
      </patternFill>
    </fill>
    <fill>
      <patternFill patternType="solid">
        <fgColor theme="4"/>
        <bgColor indexed="64"/>
      </patternFill>
    </fill>
    <fill>
      <patternFill patternType="solid">
        <fgColor theme="8" tint="-0.249977111117893"/>
        <bgColor indexed="64"/>
      </patternFill>
    </fill>
    <fill>
      <patternFill patternType="solid">
        <fgColor theme="0" tint="-0.14999847407452621"/>
        <bgColor indexed="64"/>
      </patternFill>
    </fill>
    <fill>
      <patternFill patternType="solid">
        <fgColor theme="8"/>
        <bgColor indexed="64"/>
      </patternFill>
    </fill>
    <fill>
      <patternFill patternType="solid">
        <fgColor theme="1"/>
        <bgColor indexed="64"/>
      </patternFill>
    </fill>
    <fill>
      <patternFill patternType="solid">
        <fgColor rgb="FFFFFF00"/>
        <bgColor indexed="64"/>
      </patternFill>
    </fill>
  </fills>
  <borders count="10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style="medium">
        <color indexed="64"/>
      </left>
      <right/>
      <top/>
      <bottom style="thin">
        <color theme="4" tint="0.39997558519241921"/>
      </bottom>
      <diagonal/>
    </border>
    <border>
      <left style="medium">
        <color indexed="64"/>
      </left>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style="thin">
        <color theme="4" tint="0.39997558519241921"/>
      </right>
      <top/>
      <bottom style="thin">
        <color theme="4" tint="0.39997558519241921"/>
      </bottom>
      <diagonal/>
    </border>
    <border>
      <left style="thin">
        <color theme="4" tint="0.39997558519241921"/>
      </left>
      <right style="thin">
        <color theme="4" tint="0.39997558519241921"/>
      </right>
      <top/>
      <bottom style="thin">
        <color theme="4" tint="0.39997558519241921"/>
      </bottom>
      <diagonal/>
    </border>
    <border>
      <left/>
      <right style="medium">
        <color theme="4" tint="0.39997558519241921"/>
      </right>
      <top/>
      <bottom style="thin">
        <color theme="4" tint="0.39997558519241921"/>
      </bottom>
      <diagonal/>
    </border>
    <border>
      <left/>
      <right style="medium">
        <color theme="4" tint="0.39997558519241921"/>
      </right>
      <top style="thin">
        <color theme="4" tint="0.39997558519241921"/>
      </top>
      <bottom style="thin">
        <color theme="4" tint="0.39997558519241921"/>
      </bottom>
      <diagonal/>
    </border>
    <border>
      <left style="medium">
        <color theme="4" tint="0.39997558519241921"/>
      </left>
      <right/>
      <top/>
      <bottom/>
      <diagonal/>
    </border>
    <border>
      <left style="thin">
        <color theme="4" tint="0.39997558519241921"/>
      </left>
      <right style="medium">
        <color theme="4" tint="0.39997558519241921"/>
      </right>
      <top style="thin">
        <color theme="4" tint="0.39997558519241921"/>
      </top>
      <bottom style="thin">
        <color theme="4" tint="0.39997558519241921"/>
      </bottom>
      <diagonal/>
    </border>
    <border>
      <left/>
      <right style="double">
        <color theme="4" tint="0.39997558519241921"/>
      </right>
      <top/>
      <bottom style="thin">
        <color theme="4" tint="0.39997558519241921"/>
      </bottom>
      <diagonal/>
    </border>
    <border>
      <left/>
      <right style="double">
        <color theme="4" tint="0.39997558519241921"/>
      </right>
      <top style="thin">
        <color theme="4" tint="0.39997558519241921"/>
      </top>
      <bottom style="thin">
        <color theme="4" tint="0.39997558519241921"/>
      </bottom>
      <diagonal/>
    </border>
    <border>
      <left style="double">
        <color theme="4" tint="0.39997558519241921"/>
      </left>
      <right style="thin">
        <color theme="4" tint="0.39997558519241921"/>
      </right>
      <top/>
      <bottom style="double">
        <color theme="4" tint="0.39997558519241921"/>
      </bottom>
      <diagonal/>
    </border>
    <border>
      <left style="thin">
        <color theme="4" tint="0.39997558519241921"/>
      </left>
      <right style="medium">
        <color theme="4" tint="0.39997558519241921"/>
      </right>
      <top/>
      <bottom style="double">
        <color theme="4" tint="0.39997558519241921"/>
      </bottom>
      <diagonal/>
    </border>
    <border>
      <left/>
      <right style="thin">
        <color theme="4" tint="0.39997558519241921"/>
      </right>
      <top/>
      <bottom style="double">
        <color theme="4" tint="0.39997558519241921"/>
      </bottom>
      <diagonal/>
    </border>
    <border>
      <left style="medium">
        <color indexed="64"/>
      </left>
      <right/>
      <top style="thin">
        <color theme="4" tint="0.39997558519241921"/>
      </top>
      <bottom style="double">
        <color theme="4" tint="0.39997558519241921"/>
      </bottom>
      <diagonal/>
    </border>
    <border>
      <left/>
      <right style="thin">
        <color theme="4" tint="0.39997558519241921"/>
      </right>
      <top style="thin">
        <color theme="4" tint="0.39997558519241921"/>
      </top>
      <bottom style="double">
        <color theme="4" tint="0.39997558519241921"/>
      </bottom>
      <diagonal/>
    </border>
    <border>
      <left style="thin">
        <color theme="4" tint="0.39997558519241921"/>
      </left>
      <right style="thin">
        <color theme="4" tint="0.39997558519241921"/>
      </right>
      <top style="thin">
        <color theme="4" tint="0.39997558519241921"/>
      </top>
      <bottom style="double">
        <color theme="4" tint="0.39997558519241921"/>
      </bottom>
      <diagonal/>
    </border>
    <border>
      <left/>
      <right style="double">
        <color theme="4" tint="0.39997558519241921"/>
      </right>
      <top style="thin">
        <color theme="4" tint="0.39997558519241921"/>
      </top>
      <bottom style="double">
        <color theme="4" tint="0.39997558519241921"/>
      </bottom>
      <diagonal/>
    </border>
    <border>
      <left style="double">
        <color theme="4" tint="0.39997558519241921"/>
      </left>
      <right style="thin">
        <color theme="4" tint="0.39997558519241921"/>
      </right>
      <top/>
      <bottom style="thin">
        <color theme="4" tint="0.39997558519241921"/>
      </bottom>
      <diagonal/>
    </border>
    <border>
      <left style="double">
        <color theme="4" tint="0.39997558519241921"/>
      </left>
      <right style="thin">
        <color theme="4" tint="0.39997558519241921"/>
      </right>
      <top style="thin">
        <color theme="4" tint="0.39997558519241921"/>
      </top>
      <bottom style="thin">
        <color theme="4" tint="0.39997558519241921"/>
      </bottom>
      <diagonal/>
    </border>
    <border>
      <left style="double">
        <color theme="4" tint="0.39997558519241921"/>
      </left>
      <right style="thin">
        <color theme="4" tint="0.39997558519241921"/>
      </right>
      <top style="thin">
        <color theme="4" tint="0.39997558519241921"/>
      </top>
      <bottom style="double">
        <color theme="4" tint="0.39997558519241921"/>
      </bottom>
      <diagonal/>
    </border>
    <border>
      <left style="thin">
        <color theme="4" tint="0.39997558519241921"/>
      </left>
      <right/>
      <top/>
      <bottom style="thin">
        <color theme="4" tint="0.39997558519241921"/>
      </bottom>
      <diagonal/>
    </border>
    <border>
      <left style="medium">
        <color theme="4" tint="0.39997558519241921"/>
      </left>
      <right/>
      <top style="thin">
        <color theme="4" tint="0.39997558519241921"/>
      </top>
      <bottom/>
      <diagonal/>
    </border>
    <border>
      <left style="medium">
        <color theme="4" tint="0.39997558519241921"/>
      </left>
      <right/>
      <top/>
      <bottom style="thin">
        <color theme="4" tint="0.39997558519241921"/>
      </bottom>
      <diagonal/>
    </border>
    <border>
      <left/>
      <right style="thin">
        <color theme="4" tint="0.39997558519241921"/>
      </right>
      <top style="thin">
        <color theme="4" tint="0.39997558519241921"/>
      </top>
      <bottom/>
      <diagonal/>
    </border>
    <border>
      <left/>
      <right style="thin">
        <color theme="4" tint="0.39997558519241921"/>
      </right>
      <top/>
      <bottom/>
      <diagonal/>
    </border>
    <border>
      <left style="thin">
        <color theme="4" tint="0.39997558519241921"/>
      </left>
      <right/>
      <top style="double">
        <color theme="4" tint="0.39997558519241921"/>
      </top>
      <bottom/>
      <diagonal/>
    </border>
    <border>
      <left style="thin">
        <color theme="4" tint="0.39997558519241921"/>
      </left>
      <right style="thin">
        <color theme="4" tint="0.39997558519241921"/>
      </right>
      <top style="double">
        <color theme="4" tint="0.39997558519241921"/>
      </top>
      <bottom style="thin">
        <color theme="4" tint="0.39997558519241921"/>
      </bottom>
      <diagonal/>
    </border>
    <border>
      <left/>
      <right/>
      <top/>
      <bottom style="medium">
        <color theme="0"/>
      </bottom>
      <diagonal/>
    </border>
    <border>
      <left/>
      <right style="thin">
        <color theme="0"/>
      </right>
      <top/>
      <bottom style="thin">
        <color theme="0"/>
      </bottom>
      <diagonal/>
    </border>
    <border>
      <left/>
      <right style="thin">
        <color theme="0"/>
      </right>
      <top/>
      <bottom style="medium">
        <color theme="0"/>
      </bottom>
      <diagonal/>
    </border>
    <border>
      <left style="thin">
        <color indexed="64"/>
      </left>
      <right style="thin">
        <color indexed="64"/>
      </right>
      <top/>
      <bottom/>
      <diagonal/>
    </border>
    <border>
      <left/>
      <right/>
      <top style="medium">
        <color rgb="FF000000"/>
      </top>
      <bottom/>
      <diagonal/>
    </border>
    <border>
      <left style="medium">
        <color rgb="FF000000"/>
      </left>
      <right/>
      <top/>
      <bottom style="medium">
        <color rgb="FF000000"/>
      </bottom>
      <diagonal/>
    </border>
    <border>
      <left/>
      <right/>
      <top/>
      <bottom style="medium">
        <color rgb="FF000000"/>
      </bottom>
      <diagonal/>
    </border>
    <border>
      <left style="medium">
        <color rgb="FF000000"/>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medium">
        <color indexed="64"/>
      </bottom>
      <diagonal/>
    </border>
    <border>
      <left style="thin">
        <color theme="0"/>
      </left>
      <right style="thin">
        <color theme="0"/>
      </right>
      <top style="medium">
        <color theme="0"/>
      </top>
      <bottom style="medium">
        <color theme="0"/>
      </bottom>
      <diagonal/>
    </border>
    <border>
      <left/>
      <right/>
      <top style="medium">
        <color theme="0"/>
      </top>
      <bottom/>
      <diagonal/>
    </border>
    <border>
      <left style="medium">
        <color indexed="64"/>
      </left>
      <right/>
      <top style="medium">
        <color indexed="64"/>
      </top>
      <bottom style="medium">
        <color theme="0"/>
      </bottom>
      <diagonal/>
    </border>
    <border>
      <left/>
      <right/>
      <top style="medium">
        <color indexed="64"/>
      </top>
      <bottom style="medium">
        <color theme="0"/>
      </bottom>
      <diagonal/>
    </border>
    <border>
      <left/>
      <right style="medium">
        <color indexed="64"/>
      </right>
      <top style="medium">
        <color indexed="64"/>
      </top>
      <bottom style="medium">
        <color theme="0"/>
      </bottom>
      <diagonal/>
    </border>
    <border>
      <left style="medium">
        <color indexed="64"/>
      </left>
      <right style="thin">
        <color theme="0"/>
      </right>
      <top/>
      <bottom style="medium">
        <color theme="0"/>
      </bottom>
      <diagonal/>
    </border>
    <border>
      <left/>
      <right style="medium">
        <color indexed="64"/>
      </right>
      <top/>
      <bottom style="medium">
        <color theme="0"/>
      </bottom>
      <diagonal/>
    </border>
    <border>
      <left style="medium">
        <color indexed="64"/>
      </left>
      <right style="thin">
        <color theme="0"/>
      </right>
      <top style="medium">
        <color theme="0"/>
      </top>
      <bottom style="medium">
        <color theme="0"/>
      </bottom>
      <diagonal/>
    </border>
    <border>
      <left/>
      <right style="medium">
        <color indexed="64"/>
      </right>
      <top style="medium">
        <color theme="0"/>
      </top>
      <bottom style="medium">
        <color theme="0"/>
      </bottom>
      <diagonal/>
    </border>
    <border>
      <left/>
      <right style="medium">
        <color indexed="64"/>
      </right>
      <top/>
      <bottom/>
      <diagonal/>
    </border>
    <border>
      <left style="medium">
        <color indexed="64"/>
      </left>
      <right/>
      <top style="medium">
        <color theme="0"/>
      </top>
      <bottom/>
      <diagonal/>
    </border>
    <border>
      <left/>
      <right style="medium">
        <color indexed="64"/>
      </right>
      <top style="medium">
        <color theme="0"/>
      </top>
      <bottom/>
      <diagonal/>
    </border>
    <border>
      <left style="medium">
        <color indexed="64"/>
      </left>
      <right/>
      <top/>
      <bottom style="medium">
        <color theme="0"/>
      </bottom>
      <diagonal/>
    </border>
    <border>
      <left style="medium">
        <color indexed="64"/>
      </left>
      <right style="thin">
        <color theme="0"/>
      </right>
      <top style="medium">
        <color theme="0"/>
      </top>
      <bottom style="thin">
        <color theme="0"/>
      </bottom>
      <diagonal/>
    </border>
    <border>
      <left/>
      <right style="thin">
        <color theme="0"/>
      </right>
      <top style="medium">
        <color theme="0"/>
      </top>
      <bottom style="thin">
        <color theme="0"/>
      </bottom>
      <diagonal/>
    </border>
    <border>
      <left/>
      <right style="medium">
        <color indexed="64"/>
      </right>
      <top style="medium">
        <color theme="0"/>
      </top>
      <bottom style="thin">
        <color theme="0"/>
      </bottom>
      <diagonal/>
    </border>
    <border>
      <left style="medium">
        <color indexed="64"/>
      </left>
      <right style="thin">
        <color theme="0"/>
      </right>
      <top style="thin">
        <color theme="0"/>
      </top>
      <bottom style="thin">
        <color theme="0"/>
      </bottom>
      <diagonal/>
    </border>
    <border>
      <left/>
      <right style="thin">
        <color theme="0"/>
      </right>
      <top style="thin">
        <color theme="0"/>
      </top>
      <bottom style="thin">
        <color theme="0"/>
      </bottom>
      <diagonal/>
    </border>
    <border>
      <left/>
      <right style="medium">
        <color indexed="64"/>
      </right>
      <top style="thin">
        <color theme="0"/>
      </top>
      <bottom style="thin">
        <color theme="0"/>
      </bottom>
      <diagonal/>
    </border>
    <border>
      <left style="medium">
        <color indexed="64"/>
      </left>
      <right style="thin">
        <color theme="0"/>
      </right>
      <top/>
      <bottom style="thin">
        <color theme="0"/>
      </bottom>
      <diagonal/>
    </border>
    <border>
      <left/>
      <right style="medium">
        <color indexed="64"/>
      </right>
      <top/>
      <bottom style="thin">
        <color theme="0"/>
      </bottom>
      <diagonal/>
    </border>
    <border>
      <left/>
      <right/>
      <top style="medium">
        <color rgb="FF000000"/>
      </top>
      <bottom style="medium">
        <color indexed="64"/>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top/>
      <bottom style="medium">
        <color rgb="FF000000"/>
      </bottom>
      <diagonal/>
    </border>
    <border>
      <left/>
      <right style="medium">
        <color indexed="64"/>
      </right>
      <top/>
      <bottom style="medium">
        <color rgb="FF000000"/>
      </bottom>
      <diagonal/>
    </border>
    <border>
      <left style="medium">
        <color indexed="64"/>
      </left>
      <right/>
      <top/>
      <bottom/>
      <diagonal/>
    </border>
    <border>
      <left style="medium">
        <color indexed="64"/>
      </left>
      <right style="medium">
        <color rgb="FF000000"/>
      </right>
      <top/>
      <bottom/>
      <diagonal/>
    </border>
    <border>
      <left style="medium">
        <color indexed="64"/>
      </left>
      <right style="medium">
        <color rgb="FF000000"/>
      </right>
      <top/>
      <bottom style="medium">
        <color rgb="FF000000"/>
      </bottom>
      <diagonal/>
    </border>
    <border>
      <left style="medium">
        <color indexed="64"/>
      </left>
      <right/>
      <top style="medium">
        <color rgb="FF000000"/>
      </top>
      <bottom/>
      <diagonal/>
    </border>
    <border>
      <left style="medium">
        <color indexed="64"/>
      </left>
      <right/>
      <top style="medium">
        <color rgb="FF000000"/>
      </top>
      <bottom style="medium">
        <color indexed="64"/>
      </bottom>
      <diagonal/>
    </border>
    <border>
      <left/>
      <right style="medium">
        <color indexed="64"/>
      </right>
      <top style="medium">
        <color rgb="FF000000"/>
      </top>
      <bottom style="medium">
        <color indexed="64"/>
      </bottom>
      <diagonal/>
    </border>
    <border>
      <left style="medium">
        <color theme="0"/>
      </left>
      <right style="medium">
        <color theme="0"/>
      </right>
      <top style="medium">
        <color theme="0"/>
      </top>
      <bottom style="medium">
        <color theme="0"/>
      </bottom>
      <diagonal/>
    </border>
    <border>
      <left style="medium">
        <color indexed="64"/>
      </left>
      <right style="medium">
        <color theme="0"/>
      </right>
      <top/>
      <bottom style="medium">
        <color indexed="64"/>
      </bottom>
      <diagonal/>
    </border>
    <border>
      <left style="medium">
        <color theme="0"/>
      </left>
      <right style="thin">
        <color theme="0"/>
      </right>
      <top/>
      <bottom style="medium">
        <color indexed="64"/>
      </bottom>
      <diagonal/>
    </border>
    <border>
      <left style="medium">
        <color indexed="64"/>
      </left>
      <right style="medium">
        <color theme="0"/>
      </right>
      <top style="medium">
        <color theme="0"/>
      </top>
      <bottom style="medium">
        <color theme="0"/>
      </bottom>
      <diagonal/>
    </border>
    <border>
      <left style="medium">
        <color indexed="64"/>
      </left>
      <right style="medium">
        <color theme="0"/>
      </right>
      <top style="medium">
        <color theme="0"/>
      </top>
      <bottom style="thin">
        <color theme="0"/>
      </bottom>
      <diagonal/>
    </border>
    <border>
      <left style="medium">
        <color indexed="64"/>
      </left>
      <right style="medium">
        <color theme="0"/>
      </right>
      <top style="thin">
        <color theme="0"/>
      </top>
      <bottom style="thin">
        <color theme="0"/>
      </bottom>
      <diagonal/>
    </border>
    <border>
      <left style="medium">
        <color theme="0"/>
      </left>
      <right style="thin">
        <color theme="0"/>
      </right>
      <top style="medium">
        <color theme="0"/>
      </top>
      <bottom style="thin">
        <color theme="0"/>
      </bottom>
      <diagonal/>
    </border>
    <border>
      <left style="medium">
        <color theme="0"/>
      </left>
      <right style="thin">
        <color theme="0"/>
      </right>
      <top/>
      <bottom style="thin">
        <color theme="0"/>
      </bottom>
      <diagonal/>
    </border>
    <border>
      <left style="medium">
        <color indexed="64"/>
      </left>
      <right/>
      <top style="medium">
        <color theme="0"/>
      </top>
      <bottom style="medium">
        <color theme="0"/>
      </bottom>
      <diagonal/>
    </border>
    <border>
      <left/>
      <right/>
      <top style="medium">
        <color theme="0"/>
      </top>
      <bottom style="medium">
        <color theme="0"/>
      </bottom>
      <diagonal/>
    </border>
    <border>
      <left style="medium">
        <color theme="0"/>
      </left>
      <right style="thin">
        <color theme="0"/>
      </right>
      <top style="medium">
        <color theme="0"/>
      </top>
      <bottom style="medium">
        <color theme="0"/>
      </bottom>
      <diagonal/>
    </border>
    <border>
      <left/>
      <right style="thin">
        <color theme="0"/>
      </right>
      <top/>
      <bottom style="medium">
        <color indexed="64"/>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medium">
        <color indexed="64"/>
      </left>
      <right style="thin">
        <color theme="0"/>
      </right>
      <top style="medium">
        <color indexed="64"/>
      </top>
      <bottom style="medium">
        <color theme="0"/>
      </bottom>
      <diagonal/>
    </border>
    <border>
      <left style="thin">
        <color theme="0"/>
      </left>
      <right style="thin">
        <color theme="0"/>
      </right>
      <top style="medium">
        <color indexed="64"/>
      </top>
      <bottom style="medium">
        <color theme="0"/>
      </bottom>
      <diagonal/>
    </border>
    <border>
      <left style="thin">
        <color theme="0"/>
      </left>
      <right style="medium">
        <color indexed="64"/>
      </right>
      <top style="medium">
        <color indexed="64"/>
      </top>
      <bottom style="medium">
        <color theme="0"/>
      </bottom>
      <diagonal/>
    </border>
    <border>
      <left style="thin">
        <color theme="0"/>
      </left>
      <right style="medium">
        <color indexed="64"/>
      </right>
      <top/>
      <bottom style="thin">
        <color theme="0"/>
      </bottom>
      <diagonal/>
    </border>
    <border>
      <left style="thin">
        <color theme="0"/>
      </left>
      <right style="medium">
        <color indexed="64"/>
      </right>
      <top style="thin">
        <color theme="0"/>
      </top>
      <bottom style="thin">
        <color theme="0"/>
      </bottom>
      <diagonal/>
    </border>
    <border>
      <left style="medium">
        <color indexed="64"/>
      </left>
      <right style="thin">
        <color theme="0"/>
      </right>
      <top style="thin">
        <color theme="0"/>
      </top>
      <bottom style="medium">
        <color indexed="64"/>
      </bottom>
      <diagonal/>
    </border>
    <border>
      <left style="thin">
        <color theme="0"/>
      </left>
      <right style="thin">
        <color theme="0"/>
      </right>
      <top style="thin">
        <color theme="0"/>
      </top>
      <bottom style="medium">
        <color indexed="64"/>
      </bottom>
      <diagonal/>
    </border>
    <border>
      <left style="thin">
        <color theme="0"/>
      </left>
      <right style="medium">
        <color indexed="64"/>
      </right>
      <top style="thin">
        <color theme="0"/>
      </top>
      <bottom style="medium">
        <color indexed="64"/>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xf numFmtId="9" fontId="1" fillId="0" borderId="0" applyFont="0" applyFill="0" applyBorder="0" applyAlignment="0" applyProtection="0"/>
  </cellStyleXfs>
  <cellXfs count="315">
    <xf numFmtId="0" fontId="0" fillId="0" borderId="0" xfId="0"/>
    <xf numFmtId="44" fontId="4" fillId="0" borderId="0" xfId="2" applyFont="1" applyFill="1" applyBorder="1" applyAlignment="1" applyProtection="1">
      <alignment horizontal="right"/>
      <protection locked="0"/>
    </xf>
    <xf numFmtId="0" fontId="9" fillId="0" borderId="0" xfId="0" applyFont="1"/>
    <xf numFmtId="0" fontId="4" fillId="2" borderId="0" xfId="0" applyFont="1" applyFill="1"/>
    <xf numFmtId="0" fontId="4" fillId="0" borderId="0" xfId="0" applyFont="1"/>
    <xf numFmtId="2" fontId="4" fillId="0" borderId="0" xfId="0" applyNumberFormat="1" applyFont="1"/>
    <xf numFmtId="44" fontId="4" fillId="0" borderId="0" xfId="2" applyFont="1"/>
    <xf numFmtId="44" fontId="4" fillId="0" borderId="0" xfId="2" applyFont="1" applyAlignment="1"/>
    <xf numFmtId="0" fontId="4" fillId="0" borderId="0" xfId="0" applyFont="1" applyAlignment="1" applyProtection="1">
      <alignment vertical="center"/>
      <protection locked="0"/>
    </xf>
    <xf numFmtId="0" fontId="4" fillId="0" borderId="0" xfId="0" applyFont="1" applyAlignment="1" applyProtection="1">
      <alignment horizontal="center" vertical="center" wrapText="1"/>
      <protection locked="0"/>
    </xf>
    <xf numFmtId="0" fontId="4" fillId="0" borderId="0" xfId="0" applyFont="1" applyProtection="1">
      <protection locked="0"/>
    </xf>
    <xf numFmtId="0" fontId="4" fillId="0" borderId="0" xfId="0" applyFont="1" applyAlignment="1" applyProtection="1">
      <alignment vertical="center" wrapText="1"/>
      <protection locked="0"/>
    </xf>
    <xf numFmtId="2" fontId="4" fillId="0" borderId="0" xfId="0" applyNumberFormat="1" applyFont="1" applyAlignment="1" applyProtection="1">
      <alignment horizontal="center" vertical="center"/>
      <protection locked="0"/>
    </xf>
    <xf numFmtId="44" fontId="4" fillId="0" borderId="0" xfId="2" applyFont="1" applyAlignment="1" applyProtection="1">
      <alignment horizontal="center" vertical="center"/>
      <protection locked="0"/>
    </xf>
    <xf numFmtId="2" fontId="4" fillId="0" borderId="0" xfId="0" applyNumberFormat="1" applyFont="1" applyAlignment="1" applyProtection="1">
      <alignment horizontal="center"/>
      <protection locked="0"/>
    </xf>
    <xf numFmtId="44" fontId="4" fillId="0" borderId="0" xfId="0" applyNumberFormat="1" applyFont="1" applyAlignment="1" applyProtection="1">
      <alignment horizontal="center"/>
      <protection locked="0"/>
    </xf>
    <xf numFmtId="0" fontId="0" fillId="0" borderId="0" xfId="0" applyAlignment="1">
      <alignment vertical="top"/>
    </xf>
    <xf numFmtId="0" fontId="5" fillId="0" borderId="0" xfId="3" applyFont="1"/>
    <xf numFmtId="0" fontId="5" fillId="0" borderId="0" xfId="3" applyFont="1" applyAlignment="1">
      <alignment horizontal="left"/>
    </xf>
    <xf numFmtId="0" fontId="4" fillId="0" borderId="0" xfId="3" applyFont="1"/>
    <xf numFmtId="0" fontId="4" fillId="0" borderId="0" xfId="3" applyFont="1" applyAlignment="1">
      <alignment horizontal="center"/>
    </xf>
    <xf numFmtId="0" fontId="13" fillId="0" borderId="0" xfId="0" applyFont="1" applyAlignment="1">
      <alignment horizontal="center" vertical="center" wrapText="1"/>
    </xf>
    <xf numFmtId="0" fontId="4" fillId="0" borderId="0" xfId="0" applyFont="1" applyAlignment="1">
      <alignment horizontal="center" vertical="center"/>
    </xf>
    <xf numFmtId="165" fontId="4" fillId="0" borderId="0" xfId="0" applyNumberFormat="1" applyFont="1" applyAlignment="1">
      <alignment horizontal="center" vertical="center"/>
    </xf>
    <xf numFmtId="44" fontId="10" fillId="0" borderId="3" xfId="2" applyFont="1" applyFill="1" applyBorder="1" applyAlignment="1" applyProtection="1"/>
    <xf numFmtId="7" fontId="11" fillId="0" borderId="9" xfId="2" applyNumberFormat="1" applyFont="1" applyFill="1" applyBorder="1" applyProtection="1"/>
    <xf numFmtId="7" fontId="11" fillId="3" borderId="7" xfId="2" applyNumberFormat="1" applyFont="1" applyFill="1" applyBorder="1" applyProtection="1"/>
    <xf numFmtId="7" fontId="11" fillId="0" borderId="7" xfId="2" applyNumberFormat="1" applyFont="1" applyFill="1" applyBorder="1" applyProtection="1"/>
    <xf numFmtId="7" fontId="11" fillId="3" borderId="9" xfId="2" applyNumberFormat="1" applyFont="1" applyFill="1" applyBorder="1" applyProtection="1"/>
    <xf numFmtId="44" fontId="10" fillId="3" borderId="8" xfId="2" applyFont="1" applyFill="1" applyBorder="1" applyAlignment="1" applyProtection="1"/>
    <xf numFmtId="44" fontId="10" fillId="3" borderId="13" xfId="2" applyFont="1" applyFill="1" applyBorder="1" applyProtection="1"/>
    <xf numFmtId="44" fontId="10" fillId="0" borderId="13" xfId="2" applyFont="1" applyFill="1" applyBorder="1" applyProtection="1"/>
    <xf numFmtId="0" fontId="10" fillId="3" borderId="2" xfId="2" applyNumberFormat="1" applyFont="1" applyFill="1" applyBorder="1" applyAlignment="1" applyProtection="1">
      <alignment horizontal="right"/>
    </xf>
    <xf numFmtId="9" fontId="10" fillId="0" borderId="17" xfId="4" applyFont="1" applyFill="1" applyBorder="1" applyProtection="1"/>
    <xf numFmtId="0" fontId="10" fillId="0" borderId="18" xfId="4" applyNumberFormat="1" applyFont="1" applyFill="1" applyBorder="1" applyAlignment="1" applyProtection="1">
      <alignment horizontal="right"/>
    </xf>
    <xf numFmtId="44" fontId="10" fillId="0" borderId="0" xfId="2" applyFont="1" applyBorder="1" applyAlignment="1" applyProtection="1"/>
    <xf numFmtId="7" fontId="11" fillId="0" borderId="21" xfId="2" applyNumberFormat="1" applyFont="1" applyFill="1" applyBorder="1" applyProtection="1"/>
    <xf numFmtId="44" fontId="4" fillId="0" borderId="14" xfId="2" applyFont="1" applyFill="1" applyBorder="1" applyProtection="1"/>
    <xf numFmtId="44" fontId="4" fillId="3" borderId="15" xfId="2" applyFont="1" applyFill="1" applyBorder="1" applyProtection="1"/>
    <xf numFmtId="44" fontId="4" fillId="0" borderId="15" xfId="2" applyFont="1" applyFill="1" applyBorder="1" applyProtection="1"/>
    <xf numFmtId="44" fontId="4" fillId="3" borderId="14" xfId="2" applyFont="1" applyFill="1" applyBorder="1" applyProtection="1"/>
    <xf numFmtId="44" fontId="4" fillId="0" borderId="22" xfId="2" applyFont="1" applyFill="1" applyBorder="1" applyProtection="1"/>
    <xf numFmtId="44" fontId="10" fillId="3" borderId="10" xfId="2" applyFont="1" applyFill="1" applyBorder="1" applyProtection="1"/>
    <xf numFmtId="0" fontId="10" fillId="0" borderId="31" xfId="2" applyNumberFormat="1" applyFont="1" applyBorder="1" applyAlignment="1" applyProtection="1">
      <alignment horizontal="right"/>
    </xf>
    <xf numFmtId="2" fontId="3" fillId="4" borderId="32" xfId="2" applyNumberFormat="1" applyFont="1" applyFill="1" applyBorder="1" applyAlignment="1" applyProtection="1">
      <alignment horizontal="right"/>
    </xf>
    <xf numFmtId="44" fontId="3" fillId="4" borderId="32" xfId="2" applyFont="1" applyFill="1" applyBorder="1" applyAlignment="1" applyProtection="1">
      <alignment horizontal="right"/>
    </xf>
    <xf numFmtId="9" fontId="10" fillId="0" borderId="18" xfId="4" applyFont="1" applyFill="1" applyBorder="1" applyProtection="1"/>
    <xf numFmtId="44" fontId="10" fillId="0" borderId="7" xfId="2" applyFont="1" applyFill="1" applyBorder="1" applyAlignment="1" applyProtection="1"/>
    <xf numFmtId="0" fontId="3" fillId="0" borderId="0" xfId="3" applyFont="1" applyAlignment="1">
      <alignment horizontal="center" vertical="center" wrapText="1"/>
    </xf>
    <xf numFmtId="0" fontId="3" fillId="0" borderId="0" xfId="3" applyFont="1" applyAlignment="1" applyProtection="1">
      <alignment horizontal="center" vertical="center" wrapText="1"/>
      <protection locked="0"/>
    </xf>
    <xf numFmtId="49" fontId="3" fillId="0" borderId="0" xfId="3" applyNumberFormat="1" applyFont="1" applyAlignment="1" applyProtection="1">
      <alignment horizontal="center" vertical="center" wrapText="1"/>
      <protection locked="0"/>
    </xf>
    <xf numFmtId="0" fontId="3" fillId="0" borderId="0" xfId="3" applyFont="1" applyAlignment="1">
      <alignment horizontal="center" vertical="center"/>
    </xf>
    <xf numFmtId="0" fontId="3" fillId="0" borderId="0" xfId="3" applyFont="1" applyAlignment="1" applyProtection="1">
      <alignment horizontal="center" vertical="center"/>
      <protection locked="0"/>
    </xf>
    <xf numFmtId="164" fontId="4" fillId="0" borderId="0" xfId="3" applyNumberFormat="1" applyFont="1" applyAlignment="1" applyProtection="1">
      <alignment horizontal="center" vertical="center"/>
      <protection locked="0"/>
    </xf>
    <xf numFmtId="0" fontId="4" fillId="0" borderId="0" xfId="3" applyFont="1" applyAlignment="1" applyProtection="1">
      <alignment horizontal="center" vertical="center" wrapText="1"/>
      <protection locked="0"/>
    </xf>
    <xf numFmtId="0" fontId="4" fillId="0" borderId="0" xfId="3" applyFont="1" applyAlignment="1">
      <alignment horizontal="center" vertical="center"/>
    </xf>
    <xf numFmtId="0" fontId="4" fillId="0" borderId="0" xfId="3" applyFont="1" applyAlignment="1" applyProtection="1">
      <alignment horizontal="center" vertical="center"/>
      <protection locked="0"/>
    </xf>
    <xf numFmtId="0" fontId="0" fillId="0" borderId="0" xfId="0" quotePrefix="1" applyAlignment="1">
      <alignment wrapText="1"/>
    </xf>
    <xf numFmtId="0" fontId="0" fillId="0" borderId="0" xfId="0" quotePrefix="1"/>
    <xf numFmtId="164" fontId="7" fillId="0" borderId="0" xfId="3" applyNumberFormat="1" applyFont="1" applyAlignment="1" applyProtection="1">
      <alignment horizontal="center" vertical="center"/>
      <protection locked="0"/>
    </xf>
    <xf numFmtId="0" fontId="7" fillId="0" borderId="0" xfId="3" applyFont="1" applyAlignment="1" applyProtection="1">
      <alignment horizontal="center" vertical="center" wrapText="1"/>
      <protection locked="0"/>
    </xf>
    <xf numFmtId="0" fontId="7" fillId="0" borderId="0" xfId="3" applyFont="1" applyAlignment="1">
      <alignment horizontal="center" vertical="center"/>
    </xf>
    <xf numFmtId="0" fontId="7" fillId="0" borderId="0" xfId="3" applyFont="1" applyAlignment="1" applyProtection="1">
      <alignment horizontal="center" vertical="center"/>
      <protection locked="0"/>
    </xf>
    <xf numFmtId="164" fontId="8" fillId="0" borderId="0" xfId="3" applyNumberFormat="1" applyFont="1" applyAlignment="1" applyProtection="1">
      <alignment horizontal="center" vertical="center"/>
      <protection locked="0"/>
    </xf>
    <xf numFmtId="0" fontId="8" fillId="0" borderId="0" xfId="3" applyFont="1" applyAlignment="1">
      <alignment horizontal="center" vertical="center"/>
    </xf>
    <xf numFmtId="0" fontId="8" fillId="0" borderId="0" xfId="3" applyFont="1" applyAlignment="1" applyProtection="1">
      <alignment horizontal="center" vertical="center"/>
      <protection locked="0"/>
    </xf>
    <xf numFmtId="0" fontId="8" fillId="0" borderId="0" xfId="3" applyFont="1" applyAlignment="1" applyProtection="1">
      <alignment horizontal="center" vertical="center" wrapText="1"/>
      <protection locked="0"/>
    </xf>
    <xf numFmtId="0" fontId="3" fillId="0" borderId="0" xfId="3" applyFont="1"/>
    <xf numFmtId="0" fontId="3" fillId="2" borderId="0" xfId="0" applyFont="1" applyFill="1" applyAlignment="1">
      <alignment horizontal="centerContinuous" vertical="center"/>
    </xf>
    <xf numFmtId="0" fontId="4" fillId="2" borderId="0" xfId="0" applyFont="1" applyFill="1" applyAlignment="1">
      <alignment vertical="center"/>
    </xf>
    <xf numFmtId="0" fontId="4" fillId="0" borderId="0" xfId="0" applyFont="1" applyAlignment="1">
      <alignment vertical="center"/>
    </xf>
    <xf numFmtId="44" fontId="3" fillId="2" borderId="7" xfId="2" applyFont="1" applyFill="1" applyBorder="1" applyProtection="1">
      <protection locked="0"/>
    </xf>
    <xf numFmtId="0" fontId="8" fillId="0" borderId="0" xfId="3" applyFont="1"/>
    <xf numFmtId="44" fontId="8" fillId="0" borderId="0" xfId="2" applyFont="1" applyFill="1" applyBorder="1" applyAlignment="1" applyProtection="1">
      <alignment horizontal="right"/>
      <protection locked="0"/>
    </xf>
    <xf numFmtId="0" fontId="8" fillId="0" borderId="0" xfId="0" applyFont="1" applyAlignment="1">
      <alignment horizontal="center" vertical="center"/>
    </xf>
    <xf numFmtId="165" fontId="8" fillId="0" borderId="0" xfId="0" applyNumberFormat="1" applyFont="1" applyAlignment="1">
      <alignment horizontal="center" vertical="center"/>
    </xf>
    <xf numFmtId="0" fontId="4" fillId="0" borderId="26" xfId="0" applyFont="1" applyBorder="1" applyAlignment="1">
      <alignment horizontal="left" vertical="top"/>
    </xf>
    <xf numFmtId="0" fontId="4" fillId="0" borderId="4" xfId="0" applyFont="1" applyBorder="1"/>
    <xf numFmtId="0" fontId="3" fillId="4" borderId="5" xfId="0" applyFont="1" applyFill="1" applyBorder="1"/>
    <xf numFmtId="0" fontId="11" fillId="3" borderId="5" xfId="0" applyFont="1" applyFill="1" applyBorder="1"/>
    <xf numFmtId="2" fontId="4" fillId="3" borderId="9" xfId="0" applyNumberFormat="1" applyFont="1" applyFill="1" applyBorder="1"/>
    <xf numFmtId="2" fontId="11" fillId="3" borderId="23" xfId="0" applyNumberFormat="1" applyFont="1" applyFill="1" applyBorder="1" applyAlignment="1">
      <alignment horizontal="right"/>
    </xf>
    <xf numFmtId="2" fontId="4" fillId="3" borderId="14" xfId="0" applyNumberFormat="1" applyFont="1" applyFill="1" applyBorder="1"/>
    <xf numFmtId="0" fontId="10" fillId="3" borderId="8" xfId="0" applyFont="1" applyFill="1" applyBorder="1" applyAlignment="1">
      <alignment horizontal="right"/>
    </xf>
    <xf numFmtId="0" fontId="11" fillId="0" borderId="5" xfId="0" applyFont="1" applyBorder="1"/>
    <xf numFmtId="2" fontId="4" fillId="0" borderId="9" xfId="0" applyNumberFormat="1" applyFont="1" applyBorder="1"/>
    <xf numFmtId="2" fontId="4" fillId="0" borderId="23" xfId="0" applyNumberFormat="1" applyFont="1" applyBorder="1" applyAlignment="1">
      <alignment horizontal="right"/>
    </xf>
    <xf numFmtId="2" fontId="4" fillId="0" borderId="14" xfId="0" applyNumberFormat="1" applyFont="1" applyBorder="1"/>
    <xf numFmtId="0" fontId="10" fillId="0" borderId="8" xfId="0" applyFont="1" applyBorder="1" applyAlignment="1">
      <alignment horizontal="right"/>
    </xf>
    <xf numFmtId="0" fontId="4" fillId="0" borderId="10" xfId="0" applyFont="1" applyBorder="1"/>
    <xf numFmtId="0" fontId="11" fillId="3" borderId="6" xfId="0" applyFont="1" applyFill="1" applyBorder="1"/>
    <xf numFmtId="2" fontId="4" fillId="3" borderId="7" xfId="0" applyNumberFormat="1" applyFont="1" applyFill="1" applyBorder="1"/>
    <xf numFmtId="2" fontId="11" fillId="3" borderId="24" xfId="0" applyNumberFormat="1" applyFont="1" applyFill="1" applyBorder="1" applyAlignment="1">
      <alignment horizontal="right"/>
    </xf>
    <xf numFmtId="2" fontId="4" fillId="3" borderId="15" xfId="0" applyNumberFormat="1" applyFont="1" applyFill="1" applyBorder="1"/>
    <xf numFmtId="0" fontId="10" fillId="3" borderId="3" xfId="0" applyFont="1" applyFill="1" applyBorder="1" applyAlignment="1">
      <alignment horizontal="right"/>
    </xf>
    <xf numFmtId="44" fontId="10" fillId="3" borderId="11" xfId="0" applyNumberFormat="1" applyFont="1" applyFill="1" applyBorder="1"/>
    <xf numFmtId="0" fontId="11" fillId="0" borderId="6" xfId="0" applyFont="1" applyBorder="1"/>
    <xf numFmtId="2" fontId="4" fillId="0" borderId="7" xfId="0" applyNumberFormat="1" applyFont="1" applyBorder="1"/>
    <xf numFmtId="2" fontId="4" fillId="0" borderId="24" xfId="0" applyNumberFormat="1" applyFont="1" applyBorder="1" applyAlignment="1">
      <alignment horizontal="right"/>
    </xf>
    <xf numFmtId="0" fontId="4" fillId="0" borderId="15" xfId="0" applyFont="1" applyBorder="1"/>
    <xf numFmtId="0" fontId="10" fillId="0" borderId="3" xfId="0" applyFont="1" applyBorder="1" applyAlignment="1">
      <alignment horizontal="right"/>
    </xf>
    <xf numFmtId="0" fontId="4" fillId="0" borderId="11" xfId="0" applyFont="1" applyBorder="1"/>
    <xf numFmtId="0" fontId="11" fillId="0" borderId="1" xfId="0" quotePrefix="1" applyFont="1" applyBorder="1"/>
    <xf numFmtId="0" fontId="11" fillId="0" borderId="3" xfId="0" applyFont="1" applyBorder="1" applyAlignment="1">
      <alignment horizontal="right"/>
    </xf>
    <xf numFmtId="2" fontId="11" fillId="0" borderId="24" xfId="0" applyNumberFormat="1" applyFont="1" applyBorder="1" applyAlignment="1">
      <alignment horizontal="right"/>
    </xf>
    <xf numFmtId="2" fontId="4" fillId="0" borderId="15" xfId="0" applyNumberFormat="1" applyFont="1" applyBorder="1"/>
    <xf numFmtId="0" fontId="11" fillId="3" borderId="3" xfId="0" applyFont="1" applyFill="1" applyBorder="1" applyAlignment="1">
      <alignment horizontal="right"/>
    </xf>
    <xf numFmtId="0" fontId="11" fillId="0" borderId="19" xfId="0" applyFont="1" applyBorder="1"/>
    <xf numFmtId="0" fontId="11" fillId="0" borderId="20" xfId="0" applyFont="1" applyBorder="1" applyAlignment="1">
      <alignment horizontal="right"/>
    </xf>
    <xf numFmtId="2" fontId="11" fillId="0" borderId="21" xfId="0" applyNumberFormat="1" applyFont="1" applyBorder="1" applyAlignment="1">
      <alignment horizontal="right"/>
    </xf>
    <xf numFmtId="2" fontId="11" fillId="0" borderId="25" xfId="0" applyNumberFormat="1" applyFont="1" applyBorder="1" applyAlignment="1">
      <alignment horizontal="right"/>
    </xf>
    <xf numFmtId="2" fontId="4" fillId="0" borderId="22" xfId="0" applyNumberFormat="1" applyFont="1" applyBorder="1"/>
    <xf numFmtId="2" fontId="10" fillId="0" borderId="16" xfId="0" applyNumberFormat="1" applyFont="1" applyBorder="1" applyAlignment="1">
      <alignment horizontal="right"/>
    </xf>
    <xf numFmtId="0" fontId="3" fillId="4" borderId="32" xfId="0" applyFont="1" applyFill="1" applyBorder="1"/>
    <xf numFmtId="0" fontId="3" fillId="4" borderId="32" xfId="0" applyFont="1" applyFill="1" applyBorder="1" applyAlignment="1">
      <alignment horizontal="right"/>
    </xf>
    <xf numFmtId="0" fontId="12" fillId="0" borderId="0" xfId="0" applyFont="1"/>
    <xf numFmtId="0" fontId="12" fillId="0" borderId="0" xfId="0" quotePrefix="1" applyFont="1"/>
    <xf numFmtId="7" fontId="12" fillId="0" borderId="0" xfId="0" quotePrefix="1" applyNumberFormat="1" applyFont="1"/>
    <xf numFmtId="164" fontId="14" fillId="0" borderId="0" xfId="3" applyNumberFormat="1" applyFont="1" applyAlignment="1" applyProtection="1">
      <alignment horizontal="center" vertical="center"/>
      <protection locked="0"/>
    </xf>
    <xf numFmtId="0" fontId="14" fillId="0" borderId="0" xfId="3" applyFont="1" applyAlignment="1" applyProtection="1">
      <alignment horizontal="center" vertical="center" wrapText="1"/>
      <protection locked="0"/>
    </xf>
    <xf numFmtId="0" fontId="14" fillId="0" borderId="0" xfId="3" applyFont="1" applyAlignment="1">
      <alignment horizontal="center" vertical="center"/>
    </xf>
    <xf numFmtId="0" fontId="14" fillId="0" borderId="0" xfId="3" applyFont="1" applyAlignment="1" applyProtection="1">
      <alignment horizontal="center" vertical="center"/>
      <protection locked="0"/>
    </xf>
    <xf numFmtId="0" fontId="3" fillId="4" borderId="4" xfId="0" applyFont="1" applyFill="1" applyBorder="1" applyAlignment="1">
      <alignment horizontal="right" wrapText="1"/>
    </xf>
    <xf numFmtId="0" fontId="3" fillId="4" borderId="14" xfId="0" applyFont="1" applyFill="1" applyBorder="1" applyAlignment="1">
      <alignment horizontal="right" wrapText="1"/>
    </xf>
    <xf numFmtId="0" fontId="3" fillId="4" borderId="4" xfId="0" applyFont="1" applyFill="1" applyBorder="1" applyAlignment="1">
      <alignment horizontal="right"/>
    </xf>
    <xf numFmtId="0" fontId="11" fillId="3" borderId="8" xfId="0" applyFont="1" applyFill="1" applyBorder="1" applyAlignment="1">
      <alignment horizontal="right"/>
    </xf>
    <xf numFmtId="0" fontId="11" fillId="0" borderId="8" xfId="0" applyFont="1" applyBorder="1" applyAlignment="1">
      <alignment horizontal="right"/>
    </xf>
    <xf numFmtId="0" fontId="12" fillId="0" borderId="0" xfId="0" applyFont="1" applyAlignment="1">
      <alignment horizontal="right"/>
    </xf>
    <xf numFmtId="0" fontId="3" fillId="0" borderId="36" xfId="0" applyFont="1" applyBorder="1" applyAlignment="1" applyProtection="1">
      <alignment horizontal="center" vertical="center" wrapText="1"/>
      <protection locked="0"/>
    </xf>
    <xf numFmtId="14" fontId="0" fillId="0" borderId="0" xfId="0" applyNumberFormat="1"/>
    <xf numFmtId="0" fontId="5" fillId="0" borderId="36" xfId="0" applyFont="1" applyBorder="1"/>
    <xf numFmtId="9" fontId="0" fillId="0" borderId="0" xfId="4" applyFont="1"/>
    <xf numFmtId="9" fontId="3" fillId="0" borderId="36" xfId="4" applyFont="1" applyFill="1" applyBorder="1" applyAlignment="1" applyProtection="1">
      <alignment horizontal="center" vertical="center" wrapText="1"/>
      <protection locked="0"/>
    </xf>
    <xf numFmtId="0" fontId="18" fillId="0" borderId="0" xfId="0" applyFont="1" applyAlignment="1">
      <alignment horizontal="justify" vertical="center"/>
    </xf>
    <xf numFmtId="0" fontId="0" fillId="0" borderId="0" xfId="0" applyAlignment="1">
      <alignment horizontal="centerContinuous"/>
    </xf>
    <xf numFmtId="0" fontId="17" fillId="0" borderId="0" xfId="0" applyFont="1" applyAlignment="1">
      <alignment horizontal="centerContinuous" vertical="center"/>
    </xf>
    <xf numFmtId="0" fontId="18" fillId="0" borderId="45" xfId="0" applyFont="1" applyBorder="1" applyAlignment="1">
      <alignment vertical="top" wrapText="1"/>
    </xf>
    <xf numFmtId="0" fontId="24" fillId="0" borderId="46" xfId="0" applyFont="1" applyBorder="1" applyAlignment="1">
      <alignment horizontal="center" wrapText="1"/>
    </xf>
    <xf numFmtId="0" fontId="18" fillId="0" borderId="0" xfId="0" applyFont="1" applyAlignment="1">
      <alignment horizontal="right" vertical="center"/>
    </xf>
    <xf numFmtId="0" fontId="15" fillId="5" borderId="48" xfId="0" applyFont="1" applyFill="1" applyBorder="1" applyAlignment="1">
      <alignment horizontal="right"/>
    </xf>
    <xf numFmtId="0" fontId="15" fillId="5" borderId="53" xfId="0" applyFont="1" applyFill="1" applyBorder="1"/>
    <xf numFmtId="0" fontId="15" fillId="5" borderId="55" xfId="0" applyFont="1" applyFill="1" applyBorder="1"/>
    <xf numFmtId="0" fontId="15" fillId="5" borderId="56" xfId="0" applyFont="1" applyFill="1" applyBorder="1" applyAlignment="1">
      <alignment horizontal="right"/>
    </xf>
    <xf numFmtId="0" fontId="15" fillId="5" borderId="61" xfId="0" quotePrefix="1" applyFont="1" applyFill="1" applyBorder="1"/>
    <xf numFmtId="0" fontId="15" fillId="5" borderId="64" xfId="0" applyFont="1" applyFill="1" applyBorder="1"/>
    <xf numFmtId="0" fontId="15" fillId="5" borderId="67" xfId="0" applyFont="1" applyFill="1" applyBorder="1"/>
    <xf numFmtId="0" fontId="18" fillId="0" borderId="57" xfId="0" applyFont="1" applyBorder="1" applyAlignment="1">
      <alignment vertical="center" wrapText="1"/>
    </xf>
    <xf numFmtId="0" fontId="24" fillId="0" borderId="74" xfId="0" applyFont="1" applyBorder="1" applyAlignment="1">
      <alignment horizontal="left" vertical="center" wrapText="1"/>
    </xf>
    <xf numFmtId="0" fontId="18" fillId="0" borderId="76" xfId="0" applyFont="1" applyBorder="1" applyAlignment="1">
      <alignment vertical="center" wrapText="1"/>
    </xf>
    <xf numFmtId="0" fontId="24" fillId="0" borderId="77" xfId="0" applyFont="1" applyBorder="1" applyAlignment="1">
      <alignment horizontal="center" vertical="center" wrapText="1"/>
    </xf>
    <xf numFmtId="0" fontId="18" fillId="0" borderId="57" xfId="0" applyFont="1" applyBorder="1" applyAlignment="1">
      <alignment vertical="top" wrapText="1"/>
    </xf>
    <xf numFmtId="0" fontId="20" fillId="0" borderId="77" xfId="0" applyFont="1" applyBorder="1" applyAlignment="1">
      <alignment vertical="center" wrapText="1"/>
    </xf>
    <xf numFmtId="0" fontId="23" fillId="0" borderId="74" xfId="0" applyFont="1" applyBorder="1" applyAlignment="1">
      <alignment horizontal="left" vertical="center" wrapText="1"/>
    </xf>
    <xf numFmtId="0" fontId="15" fillId="5" borderId="50" xfId="0" applyFont="1" applyFill="1" applyBorder="1" applyAlignment="1">
      <alignment horizontal="centerContinuous"/>
    </xf>
    <xf numFmtId="0" fontId="16" fillId="5" borderId="51" xfId="0" applyFont="1" applyFill="1" applyBorder="1" applyAlignment="1">
      <alignment horizontal="centerContinuous"/>
    </xf>
    <xf numFmtId="0" fontId="16" fillId="5" borderId="52" xfId="0" applyFont="1" applyFill="1" applyBorder="1" applyAlignment="1">
      <alignment horizontal="centerContinuous"/>
    </xf>
    <xf numFmtId="0" fontId="15" fillId="5" borderId="82" xfId="0" applyFont="1" applyFill="1" applyBorder="1"/>
    <xf numFmtId="167" fontId="16" fillId="7" borderId="44" xfId="0" applyNumberFormat="1" applyFont="1" applyFill="1" applyBorder="1"/>
    <xf numFmtId="0" fontId="0" fillId="5" borderId="51" xfId="0" applyFill="1" applyBorder="1" applyAlignment="1">
      <alignment horizontal="centerContinuous"/>
    </xf>
    <xf numFmtId="0" fontId="0" fillId="5" borderId="52" xfId="0" applyFill="1" applyBorder="1" applyAlignment="1">
      <alignment horizontal="centerContinuous"/>
    </xf>
    <xf numFmtId="0" fontId="15" fillId="8" borderId="50" xfId="0" applyFont="1" applyFill="1" applyBorder="1" applyAlignment="1">
      <alignment horizontal="centerContinuous"/>
    </xf>
    <xf numFmtId="0" fontId="15" fillId="5" borderId="84" xfId="0" applyFont="1" applyFill="1" applyBorder="1"/>
    <xf numFmtId="0" fontId="15" fillId="5" borderId="85" xfId="0" applyFont="1" applyFill="1" applyBorder="1"/>
    <xf numFmtId="0" fontId="15" fillId="5" borderId="86" xfId="0" applyFont="1" applyFill="1" applyBorder="1"/>
    <xf numFmtId="167" fontId="16" fillId="7" borderId="63" xfId="0" applyNumberFormat="1" applyFont="1" applyFill="1" applyBorder="1"/>
    <xf numFmtId="167" fontId="16" fillId="7" borderId="68" xfId="0" applyNumberFormat="1" applyFont="1" applyFill="1" applyBorder="1"/>
    <xf numFmtId="0" fontId="0" fillId="0" borderId="0" xfId="0" pivotButton="1"/>
    <xf numFmtId="0" fontId="0" fillId="0" borderId="0" xfId="0" applyAlignment="1">
      <alignment horizontal="left"/>
    </xf>
    <xf numFmtId="3" fontId="0" fillId="0" borderId="0" xfId="0" applyNumberFormat="1"/>
    <xf numFmtId="3" fontId="16" fillId="7" borderId="62" xfId="0" applyNumberFormat="1" applyFont="1" applyFill="1" applyBorder="1"/>
    <xf numFmtId="3" fontId="16" fillId="7" borderId="63" xfId="0" applyNumberFormat="1" applyFont="1" applyFill="1" applyBorder="1"/>
    <xf numFmtId="3" fontId="16" fillId="7" borderId="65" xfId="0" applyNumberFormat="1" applyFont="1" applyFill="1" applyBorder="1"/>
    <xf numFmtId="3" fontId="16" fillId="7" borderId="66" xfId="0" applyNumberFormat="1" applyFont="1" applyFill="1" applyBorder="1"/>
    <xf numFmtId="3" fontId="16" fillId="7" borderId="34" xfId="0" applyNumberFormat="1" applyFont="1" applyFill="1" applyBorder="1"/>
    <xf numFmtId="3" fontId="16" fillId="7" borderId="68" xfId="0" applyNumberFormat="1" applyFont="1" applyFill="1" applyBorder="1"/>
    <xf numFmtId="3" fontId="16" fillId="7" borderId="35" xfId="0" applyNumberFormat="1" applyFont="1" applyFill="1" applyBorder="1"/>
    <xf numFmtId="3" fontId="16" fillId="7" borderId="54" xfId="0" applyNumberFormat="1" applyFont="1" applyFill="1" applyBorder="1"/>
    <xf numFmtId="0" fontId="16" fillId="5" borderId="56" xfId="0" applyFont="1" applyFill="1" applyBorder="1"/>
    <xf numFmtId="0" fontId="16" fillId="5" borderId="89" xfId="0" applyFont="1" applyFill="1" applyBorder="1"/>
    <xf numFmtId="0" fontId="16" fillId="5" borderId="90" xfId="0" applyFont="1" applyFill="1" applyBorder="1"/>
    <xf numFmtId="9" fontId="15" fillId="5" borderId="91" xfId="4" applyFont="1" applyFill="1" applyBorder="1" applyAlignment="1">
      <alignment horizontal="center"/>
    </xf>
    <xf numFmtId="9" fontId="15" fillId="5" borderId="54" xfId="4" applyFont="1" applyFill="1" applyBorder="1" applyAlignment="1">
      <alignment horizontal="center"/>
    </xf>
    <xf numFmtId="0" fontId="0" fillId="0" borderId="47" xfId="0" applyBorder="1"/>
    <xf numFmtId="9" fontId="15" fillId="5" borderId="54" xfId="4" applyFont="1" applyFill="1" applyBorder="1" applyAlignment="1">
      <alignment horizontal="centerContinuous"/>
    </xf>
    <xf numFmtId="9" fontId="16" fillId="7" borderId="87" xfId="4" applyFont="1" applyFill="1" applyBorder="1" applyAlignment="1">
      <alignment horizontal="center"/>
    </xf>
    <xf numFmtId="9" fontId="16" fillId="7" borderId="88" xfId="4" applyFont="1" applyFill="1" applyBorder="1" applyAlignment="1">
      <alignment horizontal="center"/>
    </xf>
    <xf numFmtId="9" fontId="16" fillId="7" borderId="83" xfId="4" applyFont="1" applyFill="1" applyBorder="1" applyAlignment="1">
      <alignment horizontal="center"/>
    </xf>
    <xf numFmtId="9" fontId="16" fillId="7" borderId="81" xfId="4" applyFont="1" applyFill="1" applyBorder="1" applyAlignment="1">
      <alignment horizontal="center"/>
    </xf>
    <xf numFmtId="167" fontId="16" fillId="7" borderId="62" xfId="0" applyNumberFormat="1" applyFont="1" applyFill="1" applyBorder="1" applyAlignment="1">
      <alignment horizontal="center"/>
    </xf>
    <xf numFmtId="167" fontId="16" fillId="7" borderId="34" xfId="0" applyNumberFormat="1" applyFont="1" applyFill="1" applyBorder="1" applyAlignment="1">
      <alignment horizontal="center"/>
    </xf>
    <xf numFmtId="167" fontId="16" fillId="7" borderId="92" xfId="0" applyNumberFormat="1" applyFont="1" applyFill="1" applyBorder="1" applyAlignment="1">
      <alignment horizontal="center"/>
    </xf>
    <xf numFmtId="164" fontId="25" fillId="0" borderId="0" xfId="3" applyNumberFormat="1" applyFont="1" applyAlignment="1" applyProtection="1">
      <alignment horizontal="center" vertical="center"/>
      <protection locked="0"/>
    </xf>
    <xf numFmtId="0" fontId="25" fillId="0" borderId="0" xfId="3" applyFont="1" applyAlignment="1" applyProtection="1">
      <alignment horizontal="center" vertical="center" wrapText="1"/>
      <protection locked="0"/>
    </xf>
    <xf numFmtId="0" fontId="25" fillId="0" borderId="0" xfId="3" applyFont="1" applyAlignment="1">
      <alignment horizontal="center" vertical="center"/>
    </xf>
    <xf numFmtId="0" fontId="25" fillId="0" borderId="0" xfId="3" applyFont="1" applyAlignment="1" applyProtection="1">
      <alignment horizontal="center" vertical="center"/>
      <protection locked="0"/>
    </xf>
    <xf numFmtId="164" fontId="26" fillId="0" borderId="0" xfId="3" applyNumberFormat="1" applyFont="1" applyAlignment="1" applyProtection="1">
      <alignment horizontal="center" vertical="center"/>
      <protection locked="0"/>
    </xf>
    <xf numFmtId="0" fontId="26" fillId="0" borderId="0" xfId="3" applyFont="1" applyAlignment="1" applyProtection="1">
      <alignment horizontal="center" vertical="center" wrapText="1"/>
      <protection locked="0"/>
    </xf>
    <xf numFmtId="0" fontId="26" fillId="0" borderId="0" xfId="3" applyFont="1" applyAlignment="1">
      <alignment horizontal="center" vertical="center"/>
    </xf>
    <xf numFmtId="0" fontId="26" fillId="0" borderId="0" xfId="3" applyFont="1" applyAlignment="1" applyProtection="1">
      <alignment horizontal="center" vertical="center"/>
      <protection locked="0"/>
    </xf>
    <xf numFmtId="164" fontId="27" fillId="0" borderId="0" xfId="3" applyNumberFormat="1" applyFont="1" applyAlignment="1" applyProtection="1">
      <alignment horizontal="center" vertical="center"/>
      <protection locked="0"/>
    </xf>
    <xf numFmtId="0" fontId="27" fillId="0" borderId="0" xfId="3" applyFont="1" applyAlignment="1" applyProtection="1">
      <alignment horizontal="center" vertical="center" wrapText="1"/>
      <protection locked="0"/>
    </xf>
    <xf numFmtId="0" fontId="27" fillId="0" borderId="0" xfId="3" applyFont="1" applyAlignment="1">
      <alignment horizontal="center" vertical="center"/>
    </xf>
    <xf numFmtId="0" fontId="27" fillId="0" borderId="0" xfId="3" applyFont="1" applyAlignment="1" applyProtection="1">
      <alignment horizontal="center" vertical="center"/>
      <protection locked="0"/>
    </xf>
    <xf numFmtId="164" fontId="28" fillId="0" borderId="0" xfId="3" applyNumberFormat="1" applyFont="1" applyAlignment="1" applyProtection="1">
      <alignment horizontal="center" vertical="center"/>
      <protection locked="0"/>
    </xf>
    <xf numFmtId="0" fontId="28" fillId="0" borderId="0" xfId="3" applyFont="1" applyAlignment="1" applyProtection="1">
      <alignment horizontal="center" vertical="center" wrapText="1"/>
      <protection locked="0"/>
    </xf>
    <xf numFmtId="0" fontId="28" fillId="0" borderId="0" xfId="3" applyFont="1" applyAlignment="1">
      <alignment horizontal="center" vertical="center"/>
    </xf>
    <xf numFmtId="0" fontId="28" fillId="0" borderId="0" xfId="3" applyFont="1" applyAlignment="1" applyProtection="1">
      <alignment horizontal="center" vertical="center"/>
      <protection locked="0"/>
    </xf>
    <xf numFmtId="164" fontId="4" fillId="9" borderId="0" xfId="3" applyNumberFormat="1" applyFont="1" applyFill="1" applyAlignment="1">
      <alignment horizontal="center" vertical="center"/>
    </xf>
    <xf numFmtId="0" fontId="4" fillId="9" borderId="0" xfId="3" applyFont="1" applyFill="1" applyAlignment="1">
      <alignment horizontal="center" vertical="center"/>
    </xf>
    <xf numFmtId="0" fontId="4" fillId="9" borderId="0" xfId="3" applyFont="1" applyFill="1" applyAlignment="1">
      <alignment horizontal="center" vertical="center" wrapText="1"/>
    </xf>
    <xf numFmtId="39" fontId="4" fillId="9" borderId="0" xfId="1" applyNumberFormat="1" applyFont="1" applyFill="1" applyBorder="1" applyAlignment="1" applyProtection="1">
      <alignment horizontal="center" vertical="center"/>
    </xf>
    <xf numFmtId="1" fontId="4" fillId="9" borderId="0" xfId="3" applyNumberFormat="1" applyFont="1" applyFill="1" applyAlignment="1">
      <alignment horizontal="center" vertical="center"/>
    </xf>
    <xf numFmtId="0" fontId="7" fillId="9" borderId="0" xfId="3" applyFont="1" applyFill="1" applyAlignment="1">
      <alignment horizontal="center" vertical="center"/>
    </xf>
    <xf numFmtId="39" fontId="8" fillId="9" borderId="0" xfId="1" applyNumberFormat="1" applyFont="1" applyFill="1" applyBorder="1" applyAlignment="1" applyProtection="1">
      <alignment horizontal="center" vertical="center"/>
    </xf>
    <xf numFmtId="39" fontId="8" fillId="9" borderId="0" xfId="1" applyNumberFormat="1" applyFont="1" applyFill="1" applyAlignment="1" applyProtection="1">
      <alignment horizontal="center" vertical="center"/>
    </xf>
    <xf numFmtId="39" fontId="4" fillId="9" borderId="0" xfId="1" applyNumberFormat="1" applyFont="1" applyFill="1" applyAlignment="1" applyProtection="1">
      <alignment horizontal="center" vertical="center"/>
    </xf>
    <xf numFmtId="39" fontId="14" fillId="9" borderId="0" xfId="1" applyNumberFormat="1" applyFont="1" applyFill="1" applyAlignment="1" applyProtection="1">
      <alignment horizontal="center" vertical="center"/>
    </xf>
    <xf numFmtId="39" fontId="25" fillId="9" borderId="0" xfId="1" applyNumberFormat="1" applyFont="1" applyFill="1" applyAlignment="1" applyProtection="1">
      <alignment horizontal="center" vertical="center"/>
    </xf>
    <xf numFmtId="39" fontId="26" fillId="9" borderId="0" xfId="1" applyNumberFormat="1" applyFont="1" applyFill="1" applyAlignment="1" applyProtection="1">
      <alignment horizontal="center" vertical="center"/>
    </xf>
    <xf numFmtId="39" fontId="27" fillId="9" borderId="0" xfId="1" applyNumberFormat="1" applyFont="1" applyFill="1" applyAlignment="1" applyProtection="1">
      <alignment horizontal="center" vertical="center"/>
    </xf>
    <xf numFmtId="39" fontId="28" fillId="9" borderId="0" xfId="1" applyNumberFormat="1" applyFont="1" applyFill="1" applyAlignment="1" applyProtection="1">
      <alignment horizontal="center" vertical="center"/>
    </xf>
    <xf numFmtId="1" fontId="7" fillId="9" borderId="0" xfId="3" applyNumberFormat="1" applyFont="1" applyFill="1" applyAlignment="1">
      <alignment horizontal="center" vertical="center"/>
    </xf>
    <xf numFmtId="9" fontId="4" fillId="9" borderId="0" xfId="4" applyFont="1" applyFill="1" applyAlignment="1" applyProtection="1">
      <alignment horizontal="center" vertical="center"/>
    </xf>
    <xf numFmtId="0" fontId="4" fillId="9" borderId="0" xfId="0" applyFont="1" applyFill="1" applyAlignment="1">
      <alignment horizontal="center" vertical="center"/>
    </xf>
    <xf numFmtId="9" fontId="25" fillId="9" borderId="0" xfId="4" applyFont="1" applyFill="1" applyAlignment="1" applyProtection="1">
      <alignment horizontal="center" vertical="center"/>
    </xf>
    <xf numFmtId="0" fontId="25" fillId="9" borderId="0" xfId="0" applyFont="1" applyFill="1" applyAlignment="1">
      <alignment horizontal="center" vertical="center"/>
    </xf>
    <xf numFmtId="9" fontId="26" fillId="9" borderId="0" xfId="4" applyFont="1" applyFill="1" applyAlignment="1" applyProtection="1">
      <alignment horizontal="center" vertical="center"/>
    </xf>
    <xf numFmtId="0" fontId="26" fillId="9" borderId="0" xfId="0" applyFont="1" applyFill="1" applyAlignment="1">
      <alignment horizontal="center" vertical="center"/>
    </xf>
    <xf numFmtId="9" fontId="27" fillId="9" borderId="0" xfId="4" applyFont="1" applyFill="1" applyAlignment="1" applyProtection="1">
      <alignment horizontal="center" vertical="center"/>
    </xf>
    <xf numFmtId="0" fontId="27" fillId="9" borderId="0" xfId="0" applyFont="1" applyFill="1" applyAlignment="1">
      <alignment horizontal="center" vertical="center"/>
    </xf>
    <xf numFmtId="9" fontId="28" fillId="9" borderId="0" xfId="4" applyFont="1" applyFill="1" applyAlignment="1" applyProtection="1">
      <alignment horizontal="center" vertical="center"/>
    </xf>
    <xf numFmtId="0" fontId="28" fillId="9" borderId="0" xfId="0" applyFont="1" applyFill="1" applyAlignment="1">
      <alignment horizontal="center" vertical="center"/>
    </xf>
    <xf numFmtId="0" fontId="28" fillId="9" borderId="0" xfId="3" applyFont="1" applyFill="1" applyAlignment="1">
      <alignment horizontal="center" vertical="center"/>
    </xf>
    <xf numFmtId="44" fontId="3" fillId="4" borderId="27" xfId="2" applyFont="1" applyFill="1" applyBorder="1" applyAlignment="1" applyProtection="1">
      <alignment horizontal="center" vertical="center" wrapText="1"/>
    </xf>
    <xf numFmtId="44" fontId="3" fillId="4" borderId="29" xfId="2" applyFont="1" applyFill="1" applyBorder="1" applyAlignment="1" applyProtection="1">
      <alignment horizontal="center" vertical="center" wrapText="1"/>
    </xf>
    <xf numFmtId="44" fontId="3" fillId="4" borderId="12" xfId="2" applyFont="1" applyFill="1" applyBorder="1" applyAlignment="1" applyProtection="1">
      <alignment horizontal="center" vertical="center" wrapText="1"/>
    </xf>
    <xf numFmtId="44" fontId="3" fillId="4" borderId="30" xfId="2" applyFont="1" applyFill="1" applyBorder="1" applyAlignment="1" applyProtection="1">
      <alignment horizontal="center" vertical="center" wrapText="1"/>
    </xf>
    <xf numFmtId="44" fontId="3" fillId="4" borderId="28" xfId="2" applyFont="1" applyFill="1" applyBorder="1" applyAlignment="1" applyProtection="1">
      <alignment horizontal="center" vertical="center" wrapText="1"/>
    </xf>
    <xf numFmtId="44" fontId="3" fillId="4" borderId="8" xfId="2" applyFont="1" applyFill="1" applyBorder="1" applyAlignment="1" applyProtection="1">
      <alignment horizontal="center" vertical="center" wrapText="1"/>
    </xf>
    <xf numFmtId="0" fontId="3" fillId="2" borderId="1" xfId="0" applyFont="1" applyFill="1" applyBorder="1" applyAlignment="1" applyProtection="1">
      <alignment vertical="center"/>
      <protection locked="0"/>
    </xf>
    <xf numFmtId="0" fontId="3" fillId="2" borderId="3" xfId="0" applyFont="1" applyFill="1" applyBorder="1" applyAlignment="1" applyProtection="1">
      <alignment vertical="center"/>
      <protection locked="0"/>
    </xf>
    <xf numFmtId="0" fontId="3" fillId="4" borderId="4" xfId="0" applyFont="1" applyFill="1" applyBorder="1" applyAlignment="1">
      <alignment horizontal="center"/>
    </xf>
    <xf numFmtId="0" fontId="3" fillId="4" borderId="14" xfId="0" applyFont="1" applyFill="1" applyBorder="1" applyAlignment="1">
      <alignment horizontal="center"/>
    </xf>
    <xf numFmtId="0" fontId="3" fillId="4" borderId="10" xfId="0" applyFont="1" applyFill="1" applyBorder="1" applyAlignment="1">
      <alignment horizontal="center"/>
    </xf>
    <xf numFmtId="0" fontId="15" fillId="5" borderId="33" xfId="0" applyFont="1" applyFill="1" applyBorder="1" applyAlignment="1">
      <alignment horizontal="center"/>
    </xf>
    <xf numFmtId="0" fontId="15" fillId="5" borderId="54" xfId="0" applyFont="1" applyFill="1" applyBorder="1" applyAlignment="1">
      <alignment horizontal="center"/>
    </xf>
    <xf numFmtId="0" fontId="15" fillId="5" borderId="50" xfId="0" applyFont="1" applyFill="1" applyBorder="1" applyAlignment="1">
      <alignment horizontal="center"/>
    </xf>
    <xf numFmtId="0" fontId="15" fillId="5" borderId="51" xfId="0" applyFont="1" applyFill="1" applyBorder="1" applyAlignment="1">
      <alignment horizontal="center"/>
    </xf>
    <xf numFmtId="0" fontId="15" fillId="5" borderId="52" xfId="0" applyFont="1" applyFill="1" applyBorder="1" applyAlignment="1">
      <alignment horizontal="center"/>
    </xf>
    <xf numFmtId="0" fontId="15" fillId="5" borderId="58" xfId="0" applyFont="1" applyFill="1" applyBorder="1" applyAlignment="1">
      <alignment horizontal="center" wrapText="1"/>
    </xf>
    <xf numFmtId="0" fontId="15" fillId="5" borderId="49" xfId="0" applyFont="1" applyFill="1" applyBorder="1" applyAlignment="1">
      <alignment horizontal="center" wrapText="1"/>
    </xf>
    <xf numFmtId="0" fontId="15" fillId="5" borderId="59" xfId="0" applyFont="1" applyFill="1" applyBorder="1" applyAlignment="1">
      <alignment horizontal="center" wrapText="1"/>
    </xf>
    <xf numFmtId="0" fontId="15" fillId="5" borderId="60" xfId="0" applyFont="1" applyFill="1" applyBorder="1" applyAlignment="1">
      <alignment horizontal="center" wrapText="1"/>
    </xf>
    <xf numFmtId="0" fontId="15" fillId="5" borderId="33" xfId="0" applyFont="1" applyFill="1" applyBorder="1" applyAlignment="1">
      <alignment horizontal="center" wrapText="1"/>
    </xf>
    <xf numFmtId="0" fontId="15" fillId="5" borderId="54" xfId="0" applyFont="1" applyFill="1" applyBorder="1" applyAlignment="1">
      <alignment horizontal="center" wrapText="1"/>
    </xf>
    <xf numFmtId="0" fontId="15" fillId="5" borderId="43" xfId="0" applyFont="1" applyFill="1" applyBorder="1" applyAlignment="1">
      <alignment horizontal="center"/>
    </xf>
    <xf numFmtId="0" fontId="15" fillId="5" borderId="47" xfId="0" applyFont="1" applyFill="1" applyBorder="1" applyAlignment="1">
      <alignment horizontal="center"/>
    </xf>
    <xf numFmtId="0" fontId="15" fillId="5" borderId="44" xfId="0" applyFont="1" applyFill="1" applyBorder="1" applyAlignment="1">
      <alignment horizontal="center"/>
    </xf>
    <xf numFmtId="0" fontId="19" fillId="6" borderId="75" xfId="0" applyFont="1" applyFill="1" applyBorder="1" applyAlignment="1">
      <alignment horizontal="center" wrapText="1"/>
    </xf>
    <xf numFmtId="0" fontId="19" fillId="6" borderId="0" xfId="0" applyFont="1" applyFill="1" applyAlignment="1">
      <alignment horizontal="center" wrapText="1"/>
    </xf>
    <xf numFmtId="0" fontId="19" fillId="6" borderId="57" xfId="0" applyFont="1" applyFill="1" applyBorder="1" applyAlignment="1">
      <alignment horizontal="center" wrapText="1"/>
    </xf>
    <xf numFmtId="0" fontId="18" fillId="0" borderId="41" xfId="0" applyFont="1" applyBorder="1" applyAlignment="1">
      <alignment vertical="top" wrapText="1"/>
    </xf>
    <xf numFmtId="0" fontId="18" fillId="0" borderId="42" xfId="0" applyFont="1" applyBorder="1" applyAlignment="1">
      <alignment vertical="top" wrapText="1"/>
    </xf>
    <xf numFmtId="0" fontId="24" fillId="0" borderId="43" xfId="0" applyFont="1" applyBorder="1" applyAlignment="1">
      <alignment horizontal="left" wrapText="1"/>
    </xf>
    <xf numFmtId="0" fontId="24" fillId="0" borderId="44" xfId="0" applyFont="1" applyBorder="1" applyAlignment="1">
      <alignment horizontal="left" wrapText="1"/>
    </xf>
    <xf numFmtId="0" fontId="17" fillId="0" borderId="70" xfId="0" applyFont="1" applyBorder="1" applyAlignment="1">
      <alignment vertical="center" wrapText="1"/>
    </xf>
    <xf numFmtId="0" fontId="17" fillId="0" borderId="71" xfId="0" applyFont="1" applyBorder="1" applyAlignment="1">
      <alignment vertical="center" wrapText="1"/>
    </xf>
    <xf numFmtId="0" fontId="17" fillId="0" borderId="72" xfId="0" applyFont="1" applyBorder="1" applyAlignment="1">
      <alignment vertical="center" wrapText="1"/>
    </xf>
    <xf numFmtId="0" fontId="18" fillId="0" borderId="73" xfId="0" applyFont="1" applyBorder="1" applyAlignment="1">
      <alignment horizontal="center" wrapText="1"/>
    </xf>
    <xf numFmtId="0" fontId="18" fillId="0" borderId="39" xfId="0" applyFont="1" applyBorder="1" applyAlignment="1">
      <alignment horizontal="center" wrapText="1"/>
    </xf>
    <xf numFmtId="0" fontId="18" fillId="0" borderId="74" xfId="0" applyFont="1" applyBorder="1" applyAlignment="1">
      <alignment horizontal="center" wrapText="1"/>
    </xf>
    <xf numFmtId="0" fontId="18" fillId="0" borderId="40" xfId="0" applyFont="1" applyBorder="1" applyAlignment="1">
      <alignment vertical="center" wrapText="1"/>
    </xf>
    <xf numFmtId="0" fontId="18" fillId="0" borderId="57" xfId="0" applyFont="1" applyBorder="1" applyAlignment="1">
      <alignment vertical="center" wrapText="1"/>
    </xf>
    <xf numFmtId="0" fontId="24" fillId="0" borderId="38" xfId="0" applyFont="1" applyBorder="1" applyAlignment="1">
      <alignment horizontal="center" vertical="center" wrapText="1"/>
    </xf>
    <xf numFmtId="0" fontId="24" fillId="0" borderId="74" xfId="0" applyFont="1" applyBorder="1" applyAlignment="1">
      <alignment horizontal="center" vertical="center" wrapText="1"/>
    </xf>
    <xf numFmtId="0" fontId="18" fillId="0" borderId="75" xfId="0" applyFont="1" applyBorder="1" applyAlignment="1">
      <alignment vertical="center" wrapText="1"/>
    </xf>
    <xf numFmtId="0" fontId="18" fillId="0" borderId="0" xfId="0" applyFont="1" applyAlignment="1">
      <alignment vertical="center" wrapText="1"/>
    </xf>
    <xf numFmtId="0" fontId="24" fillId="0" borderId="73" xfId="0" applyFont="1" applyBorder="1" applyAlignment="1">
      <alignment horizontal="left" vertical="center" wrapText="1"/>
    </xf>
    <xf numFmtId="0" fontId="24" fillId="0" borderId="39" xfId="0" applyFont="1" applyBorder="1" applyAlignment="1">
      <alignment horizontal="left" vertical="center" wrapText="1"/>
    </xf>
    <xf numFmtId="0" fontId="24" fillId="0" borderId="74" xfId="0" applyFont="1" applyBorder="1" applyAlignment="1">
      <alignment horizontal="left" vertical="center" wrapText="1"/>
    </xf>
    <xf numFmtId="0" fontId="18" fillId="0" borderId="73" xfId="0" applyFont="1" applyBorder="1" applyAlignment="1">
      <alignment wrapText="1"/>
    </xf>
    <xf numFmtId="0" fontId="18" fillId="0" borderId="39" xfId="0" applyFont="1" applyBorder="1" applyAlignment="1">
      <alignment wrapText="1"/>
    </xf>
    <xf numFmtId="0" fontId="18" fillId="0" borderId="74" xfId="0" applyFont="1" applyBorder="1" applyAlignment="1">
      <alignment wrapText="1"/>
    </xf>
    <xf numFmtId="0" fontId="18" fillId="0" borderId="38" xfId="0" applyFont="1" applyBorder="1" applyAlignment="1">
      <alignment horizontal="center" vertical="center" wrapText="1"/>
    </xf>
    <xf numFmtId="0" fontId="18" fillId="0" borderId="74" xfId="0" applyFont="1" applyBorder="1" applyAlignment="1">
      <alignment horizontal="center" vertical="center" wrapText="1"/>
    </xf>
    <xf numFmtId="0" fontId="22" fillId="0" borderId="43" xfId="0" applyFont="1" applyBorder="1" applyAlignment="1">
      <alignment vertical="center" wrapText="1"/>
    </xf>
    <xf numFmtId="0" fontId="22" fillId="0" borderId="47" xfId="0" applyFont="1" applyBorder="1" applyAlignment="1">
      <alignment vertical="center" wrapText="1"/>
    </xf>
    <xf numFmtId="0" fontId="22" fillId="0" borderId="44" xfId="0" applyFont="1" applyBorder="1" applyAlignment="1">
      <alignment vertical="center" wrapText="1"/>
    </xf>
    <xf numFmtId="0" fontId="19" fillId="6" borderId="79" xfId="0" applyFont="1" applyFill="1" applyBorder="1" applyAlignment="1">
      <alignment horizontal="center" wrapText="1"/>
    </xf>
    <xf numFmtId="0" fontId="19" fillId="6" borderId="69" xfId="0" applyFont="1" applyFill="1" applyBorder="1" applyAlignment="1">
      <alignment horizontal="center" wrapText="1"/>
    </xf>
    <xf numFmtId="0" fontId="19" fillId="6" borderId="80" xfId="0" applyFont="1" applyFill="1" applyBorder="1" applyAlignment="1">
      <alignment horizontal="center" wrapText="1"/>
    </xf>
    <xf numFmtId="0" fontId="21" fillId="0" borderId="73" xfId="0" applyFont="1" applyBorder="1" applyAlignment="1">
      <alignment wrapText="1"/>
    </xf>
    <xf numFmtId="0" fontId="21" fillId="0" borderId="39" xfId="0" applyFont="1" applyBorder="1" applyAlignment="1">
      <alignment wrapText="1"/>
    </xf>
    <xf numFmtId="0" fontId="21" fillId="0" borderId="74" xfId="0" applyFont="1" applyBorder="1" applyAlignment="1">
      <alignment wrapText="1"/>
    </xf>
    <xf numFmtId="0" fontId="18" fillId="0" borderId="78" xfId="0" applyFont="1" applyBorder="1" applyAlignment="1">
      <alignment horizontal="left" vertical="center" wrapText="1"/>
    </xf>
    <xf numFmtId="0" fontId="18" fillId="0" borderId="37" xfId="0" applyFont="1" applyBorder="1" applyAlignment="1">
      <alignment horizontal="left" vertical="center" wrapText="1"/>
    </xf>
    <xf numFmtId="0" fontId="18" fillId="0" borderId="78" xfId="0" applyFont="1" applyBorder="1" applyAlignment="1">
      <alignment horizontal="left" vertical="top" wrapText="1"/>
    </xf>
    <xf numFmtId="0" fontId="18" fillId="0" borderId="37" xfId="0" applyFont="1" applyBorder="1" applyAlignment="1">
      <alignment horizontal="left" vertical="top" wrapText="1"/>
    </xf>
    <xf numFmtId="0" fontId="23" fillId="0" borderId="73" xfId="0" applyFont="1" applyBorder="1" applyAlignment="1">
      <alignment horizontal="left" vertical="center" wrapText="1"/>
    </xf>
    <xf numFmtId="0" fontId="23" fillId="0" borderId="39" xfId="0" applyFont="1" applyBorder="1" applyAlignment="1">
      <alignment horizontal="left" vertical="center" wrapText="1"/>
    </xf>
    <xf numFmtId="0" fontId="16" fillId="5" borderId="93" xfId="0" applyFont="1" applyFill="1" applyBorder="1" applyAlignment="1">
      <alignment horizontal="left"/>
    </xf>
    <xf numFmtId="0" fontId="16" fillId="5" borderId="94" xfId="0" applyFont="1" applyFill="1" applyBorder="1" applyAlignment="1">
      <alignment horizontal="left"/>
    </xf>
    <xf numFmtId="0" fontId="15" fillId="5" borderId="95" xfId="0" applyFont="1" applyFill="1" applyBorder="1" applyAlignment="1">
      <alignment horizontal="centerContinuous"/>
    </xf>
    <xf numFmtId="0" fontId="15" fillId="5" borderId="96" xfId="0" applyFont="1" applyFill="1" applyBorder="1" applyAlignment="1">
      <alignment horizontal="centerContinuous"/>
    </xf>
    <xf numFmtId="0" fontId="15" fillId="5" borderId="97" xfId="0" applyFont="1" applyFill="1" applyBorder="1" applyAlignment="1">
      <alignment horizontal="centerContinuous"/>
    </xf>
    <xf numFmtId="0" fontId="16" fillId="5" borderId="67" xfId="0" applyFont="1" applyFill="1" applyBorder="1" applyAlignment="1">
      <alignment horizontal="left"/>
    </xf>
    <xf numFmtId="0" fontId="16" fillId="7" borderId="98" xfId="0" applyFont="1" applyFill="1" applyBorder="1" applyAlignment="1">
      <alignment horizontal="center"/>
    </xf>
    <xf numFmtId="0" fontId="16" fillId="5" borderId="64" xfId="0" applyFont="1" applyFill="1" applyBorder="1" applyAlignment="1">
      <alignment horizontal="left"/>
    </xf>
    <xf numFmtId="0" fontId="16" fillId="7" borderId="99" xfId="0" applyFont="1" applyFill="1" applyBorder="1" applyAlignment="1">
      <alignment horizontal="center"/>
    </xf>
    <xf numFmtId="0" fontId="16" fillId="5" borderId="100" xfId="0" applyFont="1" applyFill="1" applyBorder="1" applyAlignment="1">
      <alignment horizontal="left"/>
    </xf>
    <xf numFmtId="0" fontId="16" fillId="5" borderId="101" xfId="0" applyFont="1" applyFill="1" applyBorder="1" applyAlignment="1">
      <alignment horizontal="left"/>
    </xf>
    <xf numFmtId="0" fontId="16" fillId="7" borderId="102" xfId="0" applyFont="1" applyFill="1" applyBorder="1" applyAlignment="1">
      <alignment horizontal="center"/>
    </xf>
    <xf numFmtId="44" fontId="4" fillId="9" borderId="0" xfId="2" applyFont="1" applyFill="1" applyBorder="1"/>
    <xf numFmtId="0" fontId="4" fillId="9" borderId="0" xfId="0" applyFont="1" applyFill="1"/>
    <xf numFmtId="44" fontId="8" fillId="9" borderId="0" xfId="2" applyFont="1" applyFill="1" applyBorder="1"/>
  </cellXfs>
  <cellStyles count="5">
    <cellStyle name="Comma" xfId="1" builtinId="3"/>
    <cellStyle name="Currency" xfId="2" builtinId="4"/>
    <cellStyle name="Normal" xfId="0" builtinId="0"/>
    <cellStyle name="Normal 2" xfId="3" xr:uid="{AAA53245-2FF5-4508-8270-8E2E6838B0D7}"/>
    <cellStyle name="Percent" xfId="4" builtinId="5"/>
  </cellStyles>
  <dxfs count="137">
    <dxf>
      <fill>
        <patternFill patternType="gray125"/>
      </fill>
      <border>
        <left/>
        <right/>
        <top style="thin">
          <color theme="4" tint="0.39991454817346722"/>
        </top>
        <bottom style="thin">
          <color theme="4" tint="0.39991454817346722"/>
        </bottom>
        <vertical/>
        <horizontal/>
      </border>
    </dxf>
    <dxf>
      <fill>
        <patternFill patternType="gray125"/>
      </fill>
      <border>
        <left/>
        <right/>
        <top style="thin">
          <color theme="4" tint="0.39991454817346722"/>
        </top>
        <bottom style="thin">
          <color theme="4" tint="0.39991454817346722"/>
        </bottom>
        <vertical/>
        <horizontal/>
      </border>
    </dxf>
    <dxf>
      <font>
        <b val="0"/>
        <i val="0"/>
        <strike val="0"/>
        <condense val="0"/>
        <extend val="0"/>
        <outline val="0"/>
        <shadow val="0"/>
        <u val="none"/>
        <vertAlign val="baseline"/>
        <sz val="8"/>
        <color theme="1"/>
        <name val="Cambria"/>
        <scheme val="none"/>
      </font>
      <numFmt numFmtId="0" formatCode="General"/>
      <fill>
        <patternFill patternType="solid">
          <fgColor indexed="64"/>
          <bgColor rgb="FFFFFF00"/>
        </patternFill>
      </fill>
    </dxf>
    <dxf>
      <font>
        <b val="0"/>
        <i val="0"/>
        <strike val="0"/>
        <condense val="0"/>
        <extend val="0"/>
        <outline val="0"/>
        <shadow val="0"/>
        <u val="none"/>
        <vertAlign val="baseline"/>
        <sz val="8"/>
        <color theme="1"/>
        <name val="Cambria"/>
        <scheme val="none"/>
      </font>
      <numFmt numFmtId="34" formatCode="_(&quot;$&quot;* #,##0.00_);_(&quot;$&quot;* \(#,##0.00\);_(&quot;$&quot;* &quot;-&quot;??_);_(@_)"/>
      <fill>
        <patternFill patternType="solid">
          <fgColor indexed="64"/>
          <bgColor rgb="FFFFFF00"/>
        </patternFill>
      </fill>
    </dxf>
    <dxf>
      <font>
        <b val="0"/>
        <i val="0"/>
        <strike val="0"/>
        <condense val="0"/>
        <extend val="0"/>
        <outline val="0"/>
        <shadow val="0"/>
        <u val="none"/>
        <vertAlign val="baseline"/>
        <sz val="8"/>
        <color theme="1"/>
        <name val="Cambria"/>
        <scheme val="none"/>
      </font>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8"/>
        <color theme="1"/>
        <name val="Cambria"/>
        <scheme val="none"/>
      </font>
      <fill>
        <patternFill patternType="none">
          <fgColor indexed="64"/>
          <bgColor auto="1"/>
        </patternFill>
      </fill>
    </dxf>
    <dxf>
      <fill>
        <patternFill patternType="gray125"/>
      </fill>
      <border>
        <top style="thin">
          <color theme="4" tint="0.39994506668294322"/>
        </top>
        <bottom style="thin">
          <color theme="4" tint="0.39994506668294322"/>
        </bottom>
        <vertical/>
        <horizontal/>
      </border>
    </dxf>
    <dxf>
      <fill>
        <patternFill patternType="gray125"/>
      </fill>
      <border>
        <top style="thin">
          <color theme="4" tint="0.39994506668294322"/>
        </top>
        <bottom style="thin">
          <color theme="4" tint="0.39994506668294322"/>
        </bottom>
        <vertical/>
        <horizontal/>
      </border>
    </dxf>
    <dxf>
      <font>
        <color rgb="FFC00000"/>
      </font>
    </dxf>
    <dxf>
      <fill>
        <patternFill patternType="gray125"/>
      </fill>
      <border>
        <top style="thin">
          <color theme="4" tint="0.39994506668294322"/>
        </top>
        <bottom style="thin">
          <color theme="4" tint="0.39994506668294322"/>
        </bottom>
        <vertical/>
        <horizontal/>
      </border>
    </dxf>
    <dxf>
      <fill>
        <patternFill patternType="gray125"/>
      </fill>
      <border>
        <left/>
        <right/>
        <top style="thin">
          <color theme="4" tint="0.39994506668294322"/>
        </top>
        <bottom style="thin">
          <color theme="4" tint="0.39994506668294322"/>
        </bottom>
        <vertical/>
        <horizontal/>
      </border>
    </dxf>
    <dxf>
      <fill>
        <patternFill patternType="gray125"/>
      </fill>
      <border>
        <left/>
        <right/>
        <top style="thin">
          <color theme="4" tint="0.39994506668294322"/>
        </top>
        <bottom style="thin">
          <color theme="4" tint="0.39994506668294322"/>
        </bottom>
        <vertical/>
        <horizontal/>
      </border>
    </dxf>
    <dxf>
      <fill>
        <patternFill patternType="gray125"/>
      </fill>
      <border>
        <left/>
        <right/>
        <top style="thin">
          <color theme="4" tint="0.39994506668294322"/>
        </top>
        <bottom style="thin">
          <color theme="4" tint="0.39994506668294322"/>
        </bottom>
        <vertical/>
        <horizontal/>
      </border>
    </dxf>
    <dxf>
      <fill>
        <patternFill patternType="gray125"/>
      </fill>
      <border>
        <left/>
        <right/>
        <top style="thin">
          <color theme="4" tint="0.39994506668294322"/>
        </top>
        <bottom style="thin">
          <color theme="4" tint="0.39994506668294322"/>
        </bottom>
        <vertical/>
        <horizontal/>
      </border>
    </dxf>
    <dxf>
      <fill>
        <patternFill patternType="gray125"/>
      </fill>
      <border>
        <top style="thin">
          <color theme="4" tint="0.39994506668294322"/>
        </top>
        <bottom style="thin">
          <color theme="4" tint="0.39994506668294322"/>
        </bottom>
        <vertical/>
        <horizontal/>
      </border>
    </dxf>
    <dxf>
      <fill>
        <patternFill patternType="gray125">
          <fgColor auto="1"/>
        </patternFill>
      </fill>
      <border>
        <left/>
        <right/>
        <top style="thin">
          <color theme="4" tint="0.39994506668294322"/>
        </top>
        <bottom style="thin">
          <color theme="4" tint="0.39994506668294322"/>
        </bottom>
      </border>
    </dxf>
    <dxf>
      <fill>
        <patternFill patternType="gray125">
          <fgColor auto="1"/>
        </patternFill>
      </fill>
      <border>
        <left/>
        <right/>
        <top style="thin">
          <color theme="4" tint="0.39994506668294322"/>
        </top>
        <bottom style="thin">
          <color theme="4" tint="0.39994506668294322"/>
        </bottom>
      </border>
    </dxf>
    <dxf>
      <font>
        <b val="0"/>
        <i val="0"/>
        <strike val="0"/>
        <condense val="0"/>
        <extend val="0"/>
        <outline val="0"/>
        <shadow val="0"/>
        <u val="none"/>
        <vertAlign val="baseline"/>
        <sz val="8"/>
        <color theme="1"/>
        <name val="Cambria"/>
        <family val="1"/>
        <scheme val="none"/>
      </font>
      <numFmt numFmtId="34" formatCode="_(&quot;$&quot;* #,##0.00_);_(&quot;$&quot;* \(#,##0.00\);_(&quot;$&quot;* &quot;-&quot;??_);_(@_)"/>
      <alignment horizontal="center" vertical="bottom" textRotation="0" wrapText="0" indent="0" justifyLastLine="0" shrinkToFit="0" readingOrder="0"/>
      <protection locked="0" hidden="0"/>
    </dxf>
    <dxf>
      <font>
        <strike val="0"/>
        <outline val="0"/>
        <shadow val="0"/>
        <u val="none"/>
        <vertAlign val="baseline"/>
        <sz val="8"/>
        <color theme="1"/>
        <name val="Cambria"/>
        <family val="1"/>
        <scheme val="none"/>
      </font>
      <fill>
        <patternFill patternType="none">
          <fgColor indexed="64"/>
          <bgColor indexed="65"/>
        </patternFill>
      </fill>
      <alignment horizontal="center" textRotation="0" wrapText="0" indent="0" justifyLastLine="0" shrinkToFit="0" readingOrder="0"/>
      <protection locked="0" hidden="0"/>
    </dxf>
    <dxf>
      <font>
        <b val="0"/>
        <i val="0"/>
        <strike val="0"/>
        <condense val="0"/>
        <extend val="0"/>
        <outline val="0"/>
        <shadow val="0"/>
        <u val="none"/>
        <vertAlign val="baseline"/>
        <sz val="8"/>
        <color theme="1"/>
        <name val="Cambria"/>
        <family val="1"/>
        <scheme val="none"/>
      </font>
      <numFmt numFmtId="34" formatCode="_(&quot;$&quot;* #,##0.00_);_(&quot;$&quot;* \(#,##0.00\);_(&quot;$&quot;* &quot;-&quot;??_);_(@_)"/>
      <alignment horizontal="center" vertical="bottom" textRotation="0" wrapText="0" indent="0" justifyLastLine="0" shrinkToFit="0" readingOrder="0"/>
      <protection locked="0" hidden="0"/>
    </dxf>
    <dxf>
      <font>
        <strike val="0"/>
        <outline val="0"/>
        <shadow val="0"/>
        <u val="none"/>
        <vertAlign val="baseline"/>
        <sz val="8"/>
        <color theme="1"/>
        <name val="Cambria"/>
        <family val="1"/>
        <scheme val="none"/>
      </font>
      <alignment horizontal="center" vertical="center" textRotation="0" wrapText="0" indent="0" justifyLastLine="0" shrinkToFit="0" readingOrder="0"/>
      <protection locked="0" hidden="0"/>
    </dxf>
    <dxf>
      <font>
        <b val="0"/>
        <i val="0"/>
        <strike val="0"/>
        <condense val="0"/>
        <extend val="0"/>
        <outline val="0"/>
        <shadow val="0"/>
        <u val="none"/>
        <vertAlign val="baseline"/>
        <sz val="8"/>
        <color theme="1"/>
        <name val="Cambria"/>
        <family val="1"/>
        <scheme val="none"/>
      </font>
      <numFmt numFmtId="34" formatCode="_(&quot;$&quot;* #,##0.00_);_(&quot;$&quot;* \(#,##0.00\);_(&quot;$&quot;* &quot;-&quot;??_);_(@_)"/>
      <alignment horizontal="center" vertical="bottom" textRotation="0" wrapText="0" indent="0" justifyLastLine="0" shrinkToFit="0" readingOrder="0"/>
      <protection locked="0" hidden="0"/>
    </dxf>
    <dxf>
      <font>
        <strike val="0"/>
        <outline val="0"/>
        <shadow val="0"/>
        <u val="none"/>
        <vertAlign val="baseline"/>
        <sz val="8"/>
        <color theme="1"/>
        <name val="Cambria"/>
        <family val="1"/>
        <scheme val="none"/>
      </font>
      <alignment horizontal="center" vertical="bottom" textRotation="0" wrapText="0" indent="0" justifyLastLine="0" shrinkToFit="0" readingOrder="0"/>
      <protection locked="0" hidden="0"/>
    </dxf>
    <dxf>
      <font>
        <b val="0"/>
        <i val="0"/>
        <strike val="0"/>
        <condense val="0"/>
        <extend val="0"/>
        <outline val="0"/>
        <shadow val="0"/>
        <u val="none"/>
        <vertAlign val="baseline"/>
        <sz val="8"/>
        <color theme="1"/>
        <name val="Cambria"/>
        <family val="1"/>
        <scheme val="none"/>
      </font>
      <numFmt numFmtId="34" formatCode="_(&quot;$&quot;* #,##0.00_);_(&quot;$&quot;* \(#,##0.00\);_(&quot;$&quot;* &quot;-&quot;??_);_(@_)"/>
      <alignment horizontal="center" vertical="bottom" textRotation="0" wrapText="0" indent="0" justifyLastLine="0" shrinkToFit="0" readingOrder="0"/>
      <protection locked="0" hidden="0"/>
    </dxf>
    <dxf>
      <font>
        <strike val="0"/>
        <outline val="0"/>
        <shadow val="0"/>
        <u val="none"/>
        <vertAlign val="baseline"/>
        <sz val="8"/>
        <color theme="1"/>
        <name val="Cambria"/>
        <family val="1"/>
        <scheme val="none"/>
      </font>
      <fill>
        <patternFill patternType="none">
          <fgColor indexed="64"/>
          <bgColor indexed="65"/>
        </patternFill>
      </fill>
      <alignment horizontal="center" textRotation="0" wrapText="0" indent="0" justifyLastLine="0" shrinkToFit="0" readingOrder="0"/>
      <protection locked="0" hidden="0"/>
    </dxf>
    <dxf>
      <font>
        <b val="0"/>
        <i val="0"/>
        <strike val="0"/>
        <condense val="0"/>
        <extend val="0"/>
        <outline val="0"/>
        <shadow val="0"/>
        <u val="none"/>
        <vertAlign val="baseline"/>
        <sz val="8"/>
        <color theme="1"/>
        <name val="Cambria"/>
        <family val="1"/>
        <scheme val="none"/>
      </font>
      <numFmt numFmtId="34" formatCode="_(&quot;$&quot;* #,##0.00_);_(&quot;$&quot;* \(#,##0.00\);_(&quot;$&quot;* &quot;-&quot;??_);_(@_)"/>
      <alignment horizontal="center" vertical="bottom" textRotation="0" wrapText="0" indent="0" justifyLastLine="0" shrinkToFit="0" readingOrder="0"/>
      <protection locked="0" hidden="0"/>
    </dxf>
    <dxf>
      <font>
        <strike val="0"/>
        <outline val="0"/>
        <shadow val="0"/>
        <u val="none"/>
        <vertAlign val="baseline"/>
        <sz val="8"/>
        <color theme="1"/>
        <name val="Cambria"/>
        <family val="1"/>
        <scheme val="none"/>
      </font>
      <fill>
        <patternFill patternType="none">
          <fgColor indexed="64"/>
          <bgColor indexed="65"/>
        </patternFill>
      </fill>
      <alignment horizontal="center" textRotation="0" wrapText="0" indent="0" justifyLastLine="0" shrinkToFit="0" readingOrder="0"/>
      <protection locked="0" hidden="0"/>
    </dxf>
    <dxf>
      <font>
        <b val="0"/>
        <i val="0"/>
        <strike val="0"/>
        <condense val="0"/>
        <extend val="0"/>
        <outline val="0"/>
        <shadow val="0"/>
        <u val="none"/>
        <vertAlign val="baseline"/>
        <sz val="8"/>
        <color theme="1"/>
        <name val="Cambria"/>
        <family val="1"/>
        <scheme val="none"/>
      </font>
      <numFmt numFmtId="34" formatCode="_(&quot;$&quot;* #,##0.00_);_(&quot;$&quot;* \(#,##0.00\);_(&quot;$&quot;* &quot;-&quot;??_);_(@_)"/>
      <alignment horizontal="center" vertical="bottom" textRotation="0" wrapText="0" indent="0" justifyLastLine="0" shrinkToFit="0" readingOrder="0"/>
      <protection locked="0" hidden="0"/>
    </dxf>
    <dxf>
      <font>
        <strike val="0"/>
        <outline val="0"/>
        <shadow val="0"/>
        <u val="none"/>
        <vertAlign val="baseline"/>
        <sz val="8"/>
        <color theme="1"/>
        <name val="Cambria"/>
        <family val="1"/>
        <scheme val="none"/>
      </font>
      <fill>
        <patternFill patternType="none">
          <fgColor indexed="64"/>
          <bgColor indexed="65"/>
        </patternFill>
      </fill>
      <alignment horizontal="center" textRotation="0" wrapText="0" indent="0" justifyLastLine="0" shrinkToFit="0" readingOrder="0"/>
      <protection locked="0" hidden="0"/>
    </dxf>
    <dxf>
      <font>
        <b val="0"/>
        <i val="0"/>
        <strike val="0"/>
        <condense val="0"/>
        <extend val="0"/>
        <outline val="0"/>
        <shadow val="0"/>
        <u val="none"/>
        <vertAlign val="baseline"/>
        <sz val="8"/>
        <color theme="1"/>
        <name val="Cambria"/>
        <family val="1"/>
        <scheme val="none"/>
      </font>
      <numFmt numFmtId="34" formatCode="_(&quot;$&quot;* #,##0.00_);_(&quot;$&quot;* \(#,##0.00\);_(&quot;$&quot;* &quot;-&quot;??_);_(@_)"/>
      <alignment horizontal="center" vertical="bottom" textRotation="0" wrapText="0" indent="0" justifyLastLine="0" shrinkToFit="0" readingOrder="0"/>
      <protection locked="0" hidden="0"/>
    </dxf>
    <dxf>
      <font>
        <strike val="0"/>
        <outline val="0"/>
        <shadow val="0"/>
        <u val="none"/>
        <vertAlign val="baseline"/>
        <sz val="8"/>
        <color theme="1"/>
        <name val="Cambria"/>
        <family val="1"/>
        <scheme val="none"/>
      </font>
      <fill>
        <patternFill patternType="none">
          <fgColor indexed="64"/>
          <bgColor indexed="65"/>
        </patternFill>
      </fill>
      <alignment horizontal="center" textRotation="0" wrapText="0" indent="0" justifyLastLine="0" shrinkToFit="0" readingOrder="0"/>
      <protection locked="0" hidden="0"/>
    </dxf>
    <dxf>
      <font>
        <b val="0"/>
        <i val="0"/>
        <strike val="0"/>
        <condense val="0"/>
        <extend val="0"/>
        <outline val="0"/>
        <shadow val="0"/>
        <u val="none"/>
        <vertAlign val="baseline"/>
        <sz val="8"/>
        <color theme="1"/>
        <name val="Cambria"/>
        <family val="1"/>
        <scheme val="none"/>
      </font>
      <numFmt numFmtId="34" formatCode="_(&quot;$&quot;* #,##0.00_);_(&quot;$&quot;* \(#,##0.00\);_(&quot;$&quot;* &quot;-&quot;??_);_(@_)"/>
      <alignment horizontal="center" vertical="bottom" textRotation="0" wrapText="0" indent="0" justifyLastLine="0" shrinkToFit="0" readingOrder="0"/>
      <protection locked="0" hidden="0"/>
    </dxf>
    <dxf>
      <font>
        <strike val="0"/>
        <outline val="0"/>
        <shadow val="0"/>
        <u val="none"/>
        <vertAlign val="baseline"/>
        <sz val="8"/>
        <color theme="1"/>
        <name val="Cambria"/>
        <family val="1"/>
        <scheme val="none"/>
      </font>
      <fill>
        <patternFill patternType="none">
          <fgColor indexed="64"/>
          <bgColor indexed="65"/>
        </patternFill>
      </fill>
      <alignment horizontal="center" textRotation="0" wrapText="0" indent="0" justifyLastLine="0" shrinkToFit="0" readingOrder="0"/>
      <protection locked="0" hidden="0"/>
    </dxf>
    <dxf>
      <font>
        <b val="0"/>
        <i val="0"/>
        <strike val="0"/>
        <condense val="0"/>
        <extend val="0"/>
        <outline val="0"/>
        <shadow val="0"/>
        <u val="none"/>
        <vertAlign val="baseline"/>
        <sz val="8"/>
        <color theme="1"/>
        <name val="Cambria"/>
        <family val="1"/>
        <scheme val="none"/>
      </font>
      <numFmt numFmtId="34" formatCode="_(&quot;$&quot;* #,##0.00_);_(&quot;$&quot;* \(#,##0.00\);_(&quot;$&quot;* &quot;-&quot;??_);_(@_)"/>
      <alignment horizontal="center" vertical="bottom" textRotation="0" wrapText="0" indent="0" justifyLastLine="0" shrinkToFit="0" readingOrder="0"/>
      <protection locked="0" hidden="0"/>
    </dxf>
    <dxf>
      <font>
        <strike val="0"/>
        <outline val="0"/>
        <shadow val="0"/>
        <u val="none"/>
        <vertAlign val="baseline"/>
        <sz val="8"/>
        <color theme="1"/>
        <name val="Cambria"/>
        <family val="1"/>
        <scheme val="none"/>
      </font>
      <numFmt numFmtId="34" formatCode="_(&quot;$&quot;* #,##0.00_);_(&quot;$&quot;* \(#,##0.00\);_(&quot;$&quot;* &quot;-&quot;??_);_(@_)"/>
      <fill>
        <patternFill patternType="none">
          <fgColor indexed="64"/>
          <bgColor indexed="65"/>
        </patternFill>
      </fill>
      <alignment horizontal="center" textRotation="0" wrapText="0" indent="0" justifyLastLine="0" shrinkToFit="0" readingOrder="0"/>
      <protection locked="0" hidden="0"/>
    </dxf>
    <dxf>
      <font>
        <b val="0"/>
        <i val="0"/>
        <strike val="0"/>
        <condense val="0"/>
        <extend val="0"/>
        <outline val="0"/>
        <shadow val="0"/>
        <u val="none"/>
        <vertAlign val="baseline"/>
        <sz val="8"/>
        <color theme="1"/>
        <name val="Cambria"/>
        <family val="1"/>
        <scheme val="none"/>
      </font>
      <protection locked="0" hidden="0"/>
    </dxf>
    <dxf>
      <font>
        <strike val="0"/>
        <outline val="0"/>
        <shadow val="0"/>
        <u val="none"/>
        <vertAlign val="baseline"/>
        <sz val="8"/>
        <color theme="1"/>
        <name val="Cambria"/>
        <family val="1"/>
        <scheme val="none"/>
      </font>
      <protection locked="0" hidden="0"/>
    </dxf>
    <dxf>
      <font>
        <strike val="0"/>
        <outline val="0"/>
        <shadow val="0"/>
        <u val="none"/>
        <vertAlign val="baseline"/>
        <sz val="8"/>
        <color theme="1"/>
        <name val="Cambria"/>
        <family val="1"/>
        <scheme val="none"/>
      </font>
      <protection locked="0" hidden="0"/>
    </dxf>
    <dxf>
      <font>
        <strike val="0"/>
        <outline val="0"/>
        <shadow val="0"/>
        <u val="none"/>
        <vertAlign val="baseline"/>
        <sz val="8"/>
        <color theme="1"/>
        <name val="Cambria"/>
        <family val="1"/>
        <scheme val="none"/>
      </font>
      <fill>
        <patternFill patternType="none">
          <fgColor indexed="64"/>
          <bgColor indexed="65"/>
        </patternFill>
      </fill>
      <protection locked="0" hidden="0"/>
    </dxf>
    <dxf>
      <font>
        <b val="0"/>
        <i val="0"/>
        <strike val="0"/>
        <condense val="0"/>
        <extend val="0"/>
        <outline val="0"/>
        <shadow val="0"/>
        <u val="none"/>
        <vertAlign val="baseline"/>
        <sz val="8"/>
        <color theme="1"/>
        <name val="Cambria"/>
        <family val="1"/>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8"/>
        <color theme="1"/>
        <name val="Cambria"/>
        <family val="1"/>
        <scheme val="none"/>
      </font>
      <numFmt numFmtId="2" formatCode="0.00"/>
      <alignment horizontal="center" vertical="bottom" textRotation="0" wrapText="0" indent="0" justifyLastLine="0" shrinkToFit="0" readingOrder="0"/>
      <protection locked="0" hidden="0"/>
    </dxf>
    <dxf>
      <font>
        <strike val="0"/>
        <outline val="0"/>
        <shadow val="0"/>
        <u val="none"/>
        <vertAlign val="baseline"/>
        <sz val="8"/>
        <color theme="1"/>
        <name val="Cambria"/>
        <family val="1"/>
        <scheme val="none"/>
      </font>
      <numFmt numFmtId="2" formatCode="0.00"/>
      <fill>
        <patternFill patternType="none">
          <fgColor indexed="64"/>
          <bgColor indexed="65"/>
        </patternFill>
      </fill>
      <alignment horizontal="center" textRotation="0" wrapText="0" indent="0" justifyLastLine="0" shrinkToFit="0" readingOrder="0"/>
      <protection locked="0" hidden="0"/>
    </dxf>
    <dxf>
      <font>
        <b val="0"/>
        <i val="0"/>
        <strike val="0"/>
        <condense val="0"/>
        <extend val="0"/>
        <outline val="0"/>
        <shadow val="0"/>
        <u val="none"/>
        <vertAlign val="baseline"/>
        <sz val="8"/>
        <color theme="1"/>
        <name val="Cambria"/>
        <family val="1"/>
        <scheme val="none"/>
      </font>
      <numFmt numFmtId="2" formatCode="0.00"/>
      <alignment horizontal="center" vertical="bottom" textRotation="0" wrapText="0" indent="0" justifyLastLine="0" shrinkToFit="0" readingOrder="0"/>
      <protection locked="0" hidden="0"/>
    </dxf>
    <dxf>
      <font>
        <strike val="0"/>
        <outline val="0"/>
        <shadow val="0"/>
        <u val="none"/>
        <vertAlign val="baseline"/>
        <sz val="8"/>
        <color theme="1"/>
        <name val="Cambria"/>
        <family val="1"/>
        <scheme val="none"/>
      </font>
      <numFmt numFmtId="2" formatCode="0.00"/>
      <alignment horizontal="center" vertical="center" textRotation="0" wrapText="0" indent="0" justifyLastLine="0" shrinkToFit="0" readingOrder="0"/>
      <protection locked="0" hidden="0"/>
    </dxf>
    <dxf>
      <font>
        <b val="0"/>
        <i val="0"/>
        <strike val="0"/>
        <condense val="0"/>
        <extend val="0"/>
        <outline val="0"/>
        <shadow val="0"/>
        <u val="none"/>
        <vertAlign val="baseline"/>
        <sz val="8"/>
        <color theme="1"/>
        <name val="Cambria"/>
        <family val="1"/>
        <scheme val="none"/>
      </font>
      <numFmt numFmtId="2" formatCode="0.00"/>
      <alignment horizontal="center" vertical="bottom" textRotation="0" wrapText="0" indent="0" justifyLastLine="0" shrinkToFit="0" readingOrder="0"/>
      <protection locked="0" hidden="0"/>
    </dxf>
    <dxf>
      <font>
        <strike val="0"/>
        <outline val="0"/>
        <shadow val="0"/>
        <u val="none"/>
        <vertAlign val="baseline"/>
        <sz val="8"/>
        <color theme="1"/>
        <name val="Cambria"/>
        <family val="1"/>
        <scheme val="none"/>
      </font>
      <numFmt numFmtId="2" formatCode="0.00"/>
      <alignment horizontal="center" vertical="bottom" textRotation="0" wrapText="0" indent="0" justifyLastLine="0" shrinkToFit="0" readingOrder="0"/>
      <protection locked="0" hidden="0"/>
    </dxf>
    <dxf>
      <font>
        <b val="0"/>
        <i val="0"/>
        <strike val="0"/>
        <condense val="0"/>
        <extend val="0"/>
        <outline val="0"/>
        <shadow val="0"/>
        <u val="none"/>
        <vertAlign val="baseline"/>
        <sz val="8"/>
        <color theme="1"/>
        <name val="Cambria"/>
        <family val="1"/>
        <scheme val="none"/>
      </font>
      <numFmt numFmtId="2" formatCode="0.00"/>
      <alignment horizontal="center" vertical="bottom" textRotation="0" wrapText="0" indent="0" justifyLastLine="0" shrinkToFit="0" readingOrder="0"/>
      <protection locked="0" hidden="0"/>
    </dxf>
    <dxf>
      <font>
        <strike val="0"/>
        <outline val="0"/>
        <shadow val="0"/>
        <u val="none"/>
        <vertAlign val="baseline"/>
        <sz val="8"/>
        <color theme="1"/>
        <name val="Cambria"/>
        <family val="1"/>
        <scheme val="none"/>
      </font>
      <numFmt numFmtId="2" formatCode="0.00"/>
      <fill>
        <patternFill patternType="none">
          <fgColor indexed="64"/>
          <bgColor indexed="65"/>
        </patternFill>
      </fill>
      <alignment horizontal="center" textRotation="0" wrapText="0" indent="0" justifyLastLine="0" shrinkToFit="0" readingOrder="0"/>
      <protection locked="0" hidden="0"/>
    </dxf>
    <dxf>
      <font>
        <b val="0"/>
        <i val="0"/>
        <strike val="0"/>
        <condense val="0"/>
        <extend val="0"/>
        <outline val="0"/>
        <shadow val="0"/>
        <u val="none"/>
        <vertAlign val="baseline"/>
        <sz val="8"/>
        <color theme="1"/>
        <name val="Cambria"/>
        <family val="1"/>
        <scheme val="none"/>
      </font>
      <numFmt numFmtId="2" formatCode="0.00"/>
      <alignment horizontal="center" vertical="bottom" textRotation="0" wrapText="0" indent="0" justifyLastLine="0" shrinkToFit="0" readingOrder="0"/>
      <protection locked="0" hidden="0"/>
    </dxf>
    <dxf>
      <font>
        <strike val="0"/>
        <outline val="0"/>
        <shadow val="0"/>
        <u val="none"/>
        <vertAlign val="baseline"/>
        <sz val="8"/>
        <color theme="1"/>
        <name val="Cambria"/>
        <family val="1"/>
        <scheme val="none"/>
      </font>
      <numFmt numFmtId="2" formatCode="0.00"/>
      <fill>
        <patternFill patternType="none">
          <fgColor indexed="64"/>
          <bgColor indexed="65"/>
        </patternFill>
      </fill>
      <alignment horizontal="center" textRotation="0" wrapText="0" indent="0" justifyLastLine="0" shrinkToFit="0" readingOrder="0"/>
      <protection locked="0" hidden="0"/>
    </dxf>
    <dxf>
      <font>
        <b val="0"/>
        <i val="0"/>
        <strike val="0"/>
        <condense val="0"/>
        <extend val="0"/>
        <outline val="0"/>
        <shadow val="0"/>
        <u val="none"/>
        <vertAlign val="baseline"/>
        <sz val="8"/>
        <color theme="1"/>
        <name val="Cambria"/>
        <family val="1"/>
        <scheme val="none"/>
      </font>
      <numFmt numFmtId="2" formatCode="0.00"/>
      <alignment horizontal="center" vertical="bottom" textRotation="0" wrapText="0" indent="0" justifyLastLine="0" shrinkToFit="0" readingOrder="0"/>
      <protection locked="0" hidden="0"/>
    </dxf>
    <dxf>
      <font>
        <strike val="0"/>
        <outline val="0"/>
        <shadow val="0"/>
        <u val="none"/>
        <vertAlign val="baseline"/>
        <sz val="8"/>
        <color theme="1"/>
        <name val="Cambria"/>
        <family val="1"/>
        <scheme val="none"/>
      </font>
      <numFmt numFmtId="2" formatCode="0.00"/>
      <fill>
        <patternFill patternType="none">
          <fgColor indexed="64"/>
          <bgColor indexed="65"/>
        </patternFill>
      </fill>
      <alignment horizontal="center" textRotation="0" wrapText="0" indent="0" justifyLastLine="0" shrinkToFit="0" readingOrder="0"/>
      <protection locked="0" hidden="0"/>
    </dxf>
    <dxf>
      <font>
        <b val="0"/>
        <i val="0"/>
        <strike val="0"/>
        <condense val="0"/>
        <extend val="0"/>
        <outline val="0"/>
        <shadow val="0"/>
        <u val="none"/>
        <vertAlign val="baseline"/>
        <sz val="8"/>
        <color theme="1"/>
        <name val="Cambria"/>
        <family val="1"/>
        <scheme val="none"/>
      </font>
      <numFmt numFmtId="2" formatCode="0.00"/>
      <alignment horizontal="center" vertical="bottom" textRotation="0" wrapText="0" indent="0" justifyLastLine="0" shrinkToFit="0" readingOrder="0"/>
      <protection locked="0" hidden="0"/>
    </dxf>
    <dxf>
      <font>
        <strike val="0"/>
        <outline val="0"/>
        <shadow val="0"/>
        <u val="none"/>
        <vertAlign val="baseline"/>
        <sz val="8"/>
        <color theme="1"/>
        <name val="Cambria"/>
        <family val="1"/>
        <scheme val="none"/>
      </font>
      <numFmt numFmtId="2" formatCode="0.00"/>
      <fill>
        <patternFill patternType="none">
          <fgColor indexed="64"/>
          <bgColor indexed="65"/>
        </patternFill>
      </fill>
      <alignment horizontal="center" textRotation="0" wrapText="0" indent="0" justifyLastLine="0" shrinkToFit="0" readingOrder="0"/>
      <protection locked="0" hidden="0"/>
    </dxf>
    <dxf>
      <font>
        <b val="0"/>
        <i val="0"/>
        <strike val="0"/>
        <condense val="0"/>
        <extend val="0"/>
        <outline val="0"/>
        <shadow val="0"/>
        <u val="none"/>
        <vertAlign val="baseline"/>
        <sz val="8"/>
        <color theme="1"/>
        <name val="Cambria"/>
        <family val="1"/>
        <scheme val="none"/>
      </font>
      <numFmt numFmtId="2" formatCode="0.00"/>
      <alignment horizontal="center" vertical="bottom" textRotation="0" wrapText="0" indent="0" justifyLastLine="0" shrinkToFit="0" readingOrder="0"/>
      <protection locked="0" hidden="0"/>
    </dxf>
    <dxf>
      <font>
        <strike val="0"/>
        <outline val="0"/>
        <shadow val="0"/>
        <u val="none"/>
        <vertAlign val="baseline"/>
        <sz val="8"/>
        <color theme="1"/>
        <name val="Cambria"/>
        <family val="1"/>
        <scheme val="none"/>
      </font>
      <numFmt numFmtId="2" formatCode="0.00"/>
      <fill>
        <patternFill patternType="none">
          <fgColor indexed="64"/>
          <bgColor indexed="65"/>
        </patternFill>
      </fill>
      <alignment horizontal="center" textRotation="0" wrapText="0" indent="0" justifyLastLine="0" shrinkToFit="0" readingOrder="0"/>
      <protection locked="0" hidden="0"/>
    </dxf>
    <dxf>
      <font>
        <b val="0"/>
        <i val="0"/>
        <strike val="0"/>
        <condense val="0"/>
        <extend val="0"/>
        <outline val="0"/>
        <shadow val="0"/>
        <u val="none"/>
        <vertAlign val="baseline"/>
        <sz val="8"/>
        <color theme="1"/>
        <name val="Cambria"/>
        <family val="1"/>
        <scheme val="none"/>
      </font>
      <numFmt numFmtId="2" formatCode="0.00"/>
      <alignment horizontal="center" vertical="bottom" textRotation="0" wrapText="0" indent="0" justifyLastLine="0" shrinkToFit="0" readingOrder="0"/>
      <protection locked="0" hidden="0"/>
    </dxf>
    <dxf>
      <font>
        <strike val="0"/>
        <outline val="0"/>
        <shadow val="0"/>
        <u val="none"/>
        <vertAlign val="baseline"/>
        <sz val="8"/>
        <color theme="1"/>
        <name val="Cambria"/>
        <family val="1"/>
        <scheme val="none"/>
      </font>
      <numFmt numFmtId="2" formatCode="0.00"/>
      <fill>
        <patternFill patternType="none">
          <fgColor indexed="64"/>
          <bgColor indexed="65"/>
        </patternFill>
      </fill>
      <alignment horizontal="center" textRotation="0" wrapText="0" indent="0" justifyLastLine="0" shrinkToFit="0" readingOrder="0"/>
      <protection locked="0" hidden="0"/>
    </dxf>
    <dxf>
      <font>
        <b val="0"/>
        <i val="0"/>
        <strike val="0"/>
        <condense val="0"/>
        <extend val="0"/>
        <outline val="0"/>
        <shadow val="0"/>
        <u val="none"/>
        <vertAlign val="baseline"/>
        <sz val="8"/>
        <color theme="1"/>
        <name val="Cambria"/>
        <family val="1"/>
        <scheme val="none"/>
      </font>
      <protection locked="0" hidden="0"/>
    </dxf>
    <dxf>
      <font>
        <strike val="0"/>
        <outline val="0"/>
        <shadow val="0"/>
        <u val="none"/>
        <vertAlign val="baseline"/>
        <sz val="8"/>
        <color theme="1"/>
        <name val="Cambria"/>
        <family val="1"/>
        <scheme val="none"/>
      </font>
      <protection locked="0" hidden="0"/>
    </dxf>
    <dxf>
      <font>
        <strike val="0"/>
        <outline val="0"/>
        <shadow val="0"/>
        <u val="none"/>
        <vertAlign val="baseline"/>
        <sz val="8"/>
        <color theme="1"/>
        <name val="Cambria"/>
        <family val="1"/>
        <scheme val="none"/>
      </font>
      <protection locked="0" hidden="0"/>
    </dxf>
    <dxf>
      <font>
        <strike val="0"/>
        <outline val="0"/>
        <shadow val="0"/>
        <u val="none"/>
        <vertAlign val="baseline"/>
        <sz val="8"/>
        <color theme="1"/>
        <name val="Cambria"/>
        <family val="1"/>
        <scheme val="none"/>
      </font>
      <fill>
        <patternFill patternType="none">
          <fgColor indexed="64"/>
          <bgColor indexed="65"/>
        </patternFill>
      </fill>
      <protection locked="0" hidden="0"/>
    </dxf>
    <dxf>
      <font>
        <b val="0"/>
        <i val="0"/>
        <strike val="0"/>
        <condense val="0"/>
        <extend val="0"/>
        <outline val="0"/>
        <shadow val="0"/>
        <u val="none"/>
        <vertAlign val="baseline"/>
        <sz val="8"/>
        <color theme="1"/>
        <name val="Cambria"/>
        <family val="1"/>
        <scheme val="none"/>
      </font>
      <fill>
        <patternFill patternType="none">
          <fgColor indexed="64"/>
          <bgColor indexed="65"/>
        </patternFill>
      </fill>
      <alignment horizontal="right" vertical="center" textRotation="0" wrapText="0" indent="0" justifyLastLine="0" shrinkToFit="0" readingOrder="0"/>
      <protection locked="0" hidden="0"/>
    </dxf>
    <dxf>
      <font>
        <strike val="0"/>
        <outline val="0"/>
        <shadow val="0"/>
        <u val="none"/>
        <vertAlign val="baseline"/>
        <sz val="8"/>
        <color theme="1"/>
        <name val="Cambria"/>
        <family val="1"/>
        <scheme val="none"/>
      </font>
    </dxf>
    <dxf>
      <font>
        <strike val="0"/>
        <outline val="0"/>
        <shadow val="0"/>
        <u val="none"/>
        <vertAlign val="baseline"/>
        <sz val="8"/>
        <color theme="1"/>
        <name val="Cambria"/>
        <family val="1"/>
        <scheme val="none"/>
      </font>
    </dxf>
    <dxf>
      <font>
        <strike val="0"/>
        <outline val="0"/>
        <shadow val="0"/>
        <u val="none"/>
        <vertAlign val="baseline"/>
        <sz val="8"/>
        <color theme="1"/>
        <name val="Cambria"/>
        <family val="1"/>
        <scheme val="none"/>
      </font>
    </dxf>
    <dxf>
      <font>
        <strike val="0"/>
        <outline val="0"/>
        <shadow val="0"/>
        <u val="none"/>
        <vertAlign val="baseline"/>
        <sz val="8"/>
        <color theme="1"/>
        <name val="Cambria"/>
        <family val="1"/>
        <scheme val="none"/>
      </font>
    </dxf>
    <dxf>
      <font>
        <strike val="0"/>
        <outline val="0"/>
        <shadow val="0"/>
        <u val="none"/>
        <vertAlign val="baseline"/>
        <sz val="8"/>
        <color theme="1"/>
        <name val="Cambria"/>
        <family val="1"/>
        <scheme val="none"/>
      </font>
    </dxf>
    <dxf>
      <font>
        <b val="0"/>
        <strike val="0"/>
        <outline val="0"/>
        <shadow val="0"/>
        <u val="none"/>
        <vertAlign val="baseline"/>
        <sz val="8"/>
        <color theme="1"/>
        <name val="Cambria"/>
        <family val="1"/>
        <scheme val="none"/>
      </font>
    </dxf>
    <dxf>
      <font>
        <strike val="0"/>
        <outline val="0"/>
        <shadow val="0"/>
        <u val="none"/>
        <vertAlign val="baseline"/>
        <sz val="8"/>
        <color theme="1"/>
        <name val="Cambria"/>
        <family val="1"/>
        <scheme val="none"/>
      </font>
    </dxf>
    <dxf>
      <font>
        <strike val="0"/>
        <outline val="0"/>
        <shadow val="0"/>
        <u val="none"/>
        <vertAlign val="baseline"/>
        <sz val="8"/>
        <color theme="1"/>
        <name val="Cambria"/>
        <family val="1"/>
        <scheme val="none"/>
      </font>
    </dxf>
    <dxf>
      <font>
        <strike val="0"/>
        <outline val="0"/>
        <shadow val="0"/>
        <u val="none"/>
        <vertAlign val="baseline"/>
        <sz val="8"/>
        <color theme="1"/>
        <name val="Cambria"/>
        <family val="1"/>
        <scheme val="none"/>
      </font>
    </dxf>
    <dxf>
      <font>
        <b val="0"/>
        <strike val="0"/>
        <outline val="0"/>
        <shadow val="0"/>
        <u val="none"/>
        <vertAlign val="baseline"/>
        <sz val="8"/>
        <color theme="1"/>
        <name val="Cambria"/>
        <family val="1"/>
        <scheme val="none"/>
      </font>
    </dxf>
    <dxf>
      <font>
        <strike val="0"/>
        <outline val="0"/>
        <shadow val="0"/>
        <u val="none"/>
        <vertAlign val="baseline"/>
        <sz val="8"/>
        <color theme="1"/>
        <name val="Cambria"/>
        <family val="1"/>
        <scheme val="none"/>
      </font>
    </dxf>
    <dxf>
      <font>
        <strike val="0"/>
        <outline val="0"/>
        <shadow val="0"/>
        <u val="none"/>
        <vertAlign val="baseline"/>
        <sz val="8"/>
        <color theme="1"/>
        <name val="Cambria"/>
        <family val="1"/>
        <scheme val="none"/>
      </font>
      <numFmt numFmtId="2" formatCode="0.00"/>
    </dxf>
    <dxf>
      <font>
        <strike val="0"/>
        <outline val="0"/>
        <shadow val="0"/>
        <u val="none"/>
        <vertAlign val="baseline"/>
        <sz val="8"/>
        <color theme="1"/>
        <name val="Cambria"/>
        <family val="1"/>
        <scheme val="none"/>
      </font>
    </dxf>
    <dxf>
      <font>
        <strike val="0"/>
        <outline val="0"/>
        <shadow val="0"/>
        <u val="none"/>
        <vertAlign val="baseline"/>
        <sz val="8"/>
        <color theme="1"/>
        <name val="Cambria"/>
        <family val="1"/>
        <scheme val="none"/>
      </font>
    </dxf>
    <dxf>
      <font>
        <strike val="0"/>
        <outline val="0"/>
        <shadow val="0"/>
        <u val="none"/>
        <vertAlign val="baseline"/>
        <sz val="8"/>
        <color theme="1"/>
        <name val="Cambria"/>
        <family val="1"/>
        <scheme val="none"/>
      </font>
    </dxf>
    <dxf>
      <font>
        <b val="0"/>
        <strike val="0"/>
        <outline val="0"/>
        <shadow val="0"/>
        <u val="none"/>
        <vertAlign val="baseline"/>
        <sz val="8"/>
        <color theme="1"/>
        <name val="Cambria"/>
        <family val="1"/>
        <scheme val="none"/>
      </font>
    </dxf>
    <dxf>
      <font>
        <strike val="0"/>
        <outline val="0"/>
        <shadow val="0"/>
        <u val="none"/>
        <vertAlign val="baseline"/>
        <sz val="8"/>
        <color theme="1"/>
        <name val="Cambria"/>
        <family val="1"/>
        <scheme val="none"/>
      </font>
    </dxf>
    <dxf>
      <font>
        <strike val="0"/>
        <outline val="0"/>
        <shadow val="0"/>
        <u val="none"/>
        <vertAlign val="baseline"/>
        <sz val="8"/>
        <color theme="1"/>
        <name val="Cambria"/>
        <family val="1"/>
        <scheme val="none"/>
      </font>
      <numFmt numFmtId="2" formatCode="0.00"/>
    </dxf>
    <dxf>
      <font>
        <strike val="0"/>
        <outline val="0"/>
        <shadow val="0"/>
        <u val="none"/>
        <vertAlign val="baseline"/>
        <sz val="8"/>
        <color theme="1"/>
        <name val="Cambria"/>
        <family val="1"/>
        <scheme val="none"/>
      </font>
    </dxf>
    <dxf>
      <font>
        <strike val="0"/>
        <outline val="0"/>
        <shadow val="0"/>
        <u val="none"/>
        <vertAlign val="baseline"/>
        <sz val="8"/>
        <color theme="1"/>
        <name val="Cambria"/>
        <family val="1"/>
        <scheme val="none"/>
      </font>
    </dxf>
    <dxf>
      <font>
        <strike val="0"/>
        <outline val="0"/>
        <shadow val="0"/>
        <u val="none"/>
        <vertAlign val="baseline"/>
        <sz val="8"/>
        <color theme="1"/>
        <name val="Cambria"/>
        <family val="1"/>
        <scheme val="none"/>
      </font>
    </dxf>
    <dxf>
      <font>
        <strike val="0"/>
        <outline val="0"/>
        <shadow val="0"/>
        <u val="none"/>
        <vertAlign val="baseline"/>
        <sz val="8"/>
        <color theme="1"/>
        <name val="Cambria"/>
        <family val="1"/>
        <scheme val="none"/>
      </font>
    </dxf>
    <dxf>
      <font>
        <b val="0"/>
        <strike val="0"/>
        <outline val="0"/>
        <shadow val="0"/>
        <u val="none"/>
        <vertAlign val="baseline"/>
        <sz val="8"/>
        <color theme="1"/>
        <name val="Cambria"/>
        <family val="1"/>
        <scheme val="none"/>
      </font>
    </dxf>
    <dxf>
      <font>
        <strike val="0"/>
        <outline val="0"/>
        <shadow val="0"/>
        <u val="none"/>
        <vertAlign val="baseline"/>
        <sz val="8"/>
        <color theme="1"/>
        <name val="Cambria"/>
        <scheme val="none"/>
      </font>
      <numFmt numFmtId="0" formatCode="General"/>
      <alignment horizontal="center" vertical="center" textRotation="0" wrapText="0" indent="0" justifyLastLine="0" shrinkToFit="0" readingOrder="0"/>
    </dxf>
    <dxf>
      <font>
        <strike val="0"/>
        <outline val="0"/>
        <shadow val="0"/>
        <u val="none"/>
        <vertAlign val="baseline"/>
        <sz val="8"/>
        <color theme="1"/>
        <name val="Cambria"/>
        <scheme val="none"/>
      </font>
      <numFmt numFmtId="165" formatCode="#,##0.0"/>
      <alignment horizontal="center" vertical="center" textRotation="0" wrapText="0" indent="0" justifyLastLine="0" shrinkToFit="0" readingOrder="0"/>
    </dxf>
    <dxf>
      <font>
        <strike val="0"/>
        <outline val="0"/>
        <shadow val="0"/>
        <u val="none"/>
        <vertAlign val="baseline"/>
        <sz val="8"/>
        <color theme="1"/>
        <name val="Cambria"/>
        <scheme val="none"/>
      </font>
      <alignment horizontal="center" vertical="center" textRotation="0" wrapText="0" indent="0" justifyLastLine="0" shrinkToFit="0" readingOrder="0"/>
    </dxf>
    <dxf>
      <font>
        <strike val="0"/>
        <outline val="0"/>
        <shadow val="0"/>
        <u val="none"/>
        <vertAlign val="baseline"/>
        <sz val="8"/>
        <color theme="1"/>
        <name val="Cambria"/>
        <scheme val="none"/>
      </font>
      <alignment horizontal="center" vertical="center" textRotation="0" wrapText="0" indent="0" justifyLastLine="0" shrinkToFit="0" readingOrder="0"/>
    </dxf>
    <dxf>
      <font>
        <strike val="0"/>
        <outline val="0"/>
        <shadow val="0"/>
        <u val="none"/>
        <vertAlign val="baseline"/>
        <sz val="8"/>
        <color theme="1"/>
        <name val="Cambria"/>
        <family val="1"/>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Cambria"/>
        <scheme val="none"/>
      </font>
      <fill>
        <patternFill patternType="none">
          <fgColor indexed="64"/>
          <bgColor auto="1"/>
        </patternFill>
      </fill>
    </dxf>
    <dxf>
      <font>
        <b val="0"/>
        <strike val="0"/>
        <outline val="0"/>
        <shadow val="0"/>
        <vertAlign val="baseline"/>
        <sz val="8"/>
        <name val="Cambria"/>
        <scheme val="none"/>
      </font>
      <fill>
        <patternFill patternType="none">
          <fgColor indexed="64"/>
          <bgColor auto="1"/>
        </patternFill>
      </fill>
    </dxf>
    <dxf>
      <font>
        <b val="0"/>
        <i val="0"/>
        <strike val="0"/>
        <condense val="0"/>
        <extend val="0"/>
        <outline val="0"/>
        <shadow val="0"/>
        <u val="none"/>
        <vertAlign val="baseline"/>
        <sz val="8"/>
        <color theme="1"/>
        <name val="Cambria"/>
        <scheme val="none"/>
      </font>
      <fill>
        <patternFill patternType="none">
          <fgColor indexed="64"/>
          <bgColor auto="1"/>
        </patternFill>
      </fill>
    </dxf>
    <dxf>
      <font>
        <b val="0"/>
        <i val="0"/>
        <strike val="0"/>
        <condense val="0"/>
        <extend val="0"/>
        <outline val="0"/>
        <shadow val="0"/>
        <u val="none"/>
        <vertAlign val="baseline"/>
        <sz val="8"/>
        <color theme="1"/>
        <name val="Cambria"/>
        <family val="1"/>
        <scheme val="none"/>
      </font>
      <numFmt numFmtId="0" formatCode="General"/>
    </dxf>
    <dxf>
      <font>
        <b val="0"/>
        <i val="0"/>
        <strike val="0"/>
        <condense val="0"/>
        <extend val="0"/>
        <outline val="0"/>
        <shadow val="0"/>
        <u val="none"/>
        <vertAlign val="baseline"/>
        <sz val="8"/>
        <color theme="1"/>
        <name val="Cambria"/>
        <scheme val="none"/>
      </font>
      <fill>
        <patternFill patternType="none">
          <fgColor indexed="64"/>
          <bgColor auto="1"/>
        </patternFill>
      </fill>
    </dxf>
    <dxf>
      <font>
        <b val="0"/>
        <i val="0"/>
        <strike val="0"/>
        <condense val="0"/>
        <extend val="0"/>
        <outline val="0"/>
        <shadow val="0"/>
        <u val="none"/>
        <vertAlign val="baseline"/>
        <sz val="8"/>
        <color theme="1"/>
        <name val="Cambria"/>
        <scheme val="none"/>
      </font>
      <fill>
        <patternFill patternType="none">
          <fgColor indexed="64"/>
          <bgColor auto="1"/>
        </patternFill>
      </fill>
    </dxf>
    <dxf>
      <font>
        <b val="0"/>
        <i val="0"/>
        <strike val="0"/>
        <condense val="0"/>
        <extend val="0"/>
        <outline val="0"/>
        <shadow val="0"/>
        <u val="none"/>
        <vertAlign val="baseline"/>
        <sz val="8"/>
        <color theme="1"/>
        <name val="Cambria"/>
        <scheme val="none"/>
      </font>
      <fill>
        <patternFill patternType="none">
          <fgColor indexed="64"/>
          <bgColor auto="1"/>
        </patternFill>
      </fill>
    </dxf>
    <dxf>
      <font>
        <b val="0"/>
        <i val="0"/>
        <strike val="0"/>
        <condense val="0"/>
        <extend val="0"/>
        <outline val="0"/>
        <shadow val="0"/>
        <u val="none"/>
        <vertAlign val="baseline"/>
        <sz val="8"/>
        <color theme="1"/>
        <name val="Cambria"/>
        <scheme val="none"/>
      </font>
      <fill>
        <patternFill patternType="none">
          <fgColor indexed="64"/>
          <bgColor auto="1"/>
        </patternFill>
      </fill>
    </dxf>
    <dxf>
      <font>
        <b val="0"/>
        <i val="0"/>
        <strike val="0"/>
        <condense val="0"/>
        <extend val="0"/>
        <outline val="0"/>
        <shadow val="0"/>
        <u val="none"/>
        <vertAlign val="baseline"/>
        <sz val="8"/>
        <color theme="1"/>
        <name val="Cambria"/>
        <scheme val="none"/>
      </font>
      <fill>
        <patternFill patternType="none">
          <fgColor indexed="64"/>
          <bgColor auto="1"/>
        </patternFill>
      </fill>
    </dxf>
    <dxf>
      <font>
        <b val="0"/>
        <i val="0"/>
        <strike val="0"/>
        <condense val="0"/>
        <extend val="0"/>
        <outline val="0"/>
        <shadow val="0"/>
        <u val="none"/>
        <vertAlign val="baseline"/>
        <sz val="8"/>
        <color theme="1"/>
        <name val="Cambria"/>
        <family val="1"/>
        <scheme val="none"/>
      </font>
    </dxf>
    <dxf>
      <font>
        <b val="0"/>
        <i val="0"/>
        <strike val="0"/>
        <condense val="0"/>
        <extend val="0"/>
        <outline val="0"/>
        <shadow val="0"/>
        <u val="none"/>
        <vertAlign val="baseline"/>
        <sz val="8"/>
        <color theme="1"/>
        <name val="Cambria"/>
        <scheme val="none"/>
      </font>
      <fill>
        <patternFill patternType="none">
          <fgColor indexed="64"/>
          <bgColor auto="1"/>
        </patternFill>
      </fill>
    </dxf>
    <dxf>
      <font>
        <b val="0"/>
        <i val="0"/>
        <strike val="0"/>
        <condense val="0"/>
        <extend val="0"/>
        <outline val="0"/>
        <shadow val="0"/>
        <u val="none"/>
        <vertAlign val="baseline"/>
        <sz val="8"/>
        <color theme="1"/>
        <name val="Cambria"/>
        <scheme val="none"/>
      </font>
      <fill>
        <patternFill patternType="none">
          <fgColor indexed="64"/>
          <bgColor auto="1"/>
        </patternFill>
      </fill>
    </dxf>
    <dxf>
      <font>
        <b val="0"/>
        <i val="0"/>
        <strike val="0"/>
        <condense val="0"/>
        <extend val="0"/>
        <outline val="0"/>
        <shadow val="0"/>
        <u val="none"/>
        <vertAlign val="baseline"/>
        <sz val="8"/>
        <color theme="1"/>
        <name val="Cambria"/>
        <scheme val="none"/>
      </font>
      <fill>
        <patternFill patternType="none">
          <fgColor indexed="64"/>
          <bgColor auto="1"/>
        </patternFill>
      </fill>
    </dxf>
    <dxf>
      <font>
        <b val="0"/>
        <i val="0"/>
        <strike val="0"/>
        <condense val="0"/>
        <extend val="0"/>
        <outline val="0"/>
        <shadow val="0"/>
        <u val="none"/>
        <vertAlign val="baseline"/>
        <sz val="8"/>
        <color theme="1"/>
        <name val="Cambria"/>
        <scheme val="none"/>
      </font>
      <fill>
        <patternFill patternType="none">
          <fgColor indexed="64"/>
          <bgColor auto="1"/>
        </patternFill>
      </fill>
    </dxf>
    <dxf>
      <font>
        <b val="0"/>
        <i val="0"/>
        <strike val="0"/>
        <condense val="0"/>
        <extend val="0"/>
        <outline val="0"/>
        <shadow val="0"/>
        <u val="none"/>
        <vertAlign val="baseline"/>
        <sz val="8"/>
        <color theme="1"/>
        <name val="Cambria"/>
        <scheme val="none"/>
      </font>
      <fill>
        <patternFill patternType="none">
          <fgColor indexed="64"/>
          <bgColor auto="1"/>
        </patternFill>
      </fill>
    </dxf>
    <dxf>
      <font>
        <b val="0"/>
        <i val="0"/>
        <strike val="0"/>
        <condense val="0"/>
        <extend val="0"/>
        <outline val="0"/>
        <shadow val="0"/>
        <u val="none"/>
        <vertAlign val="baseline"/>
        <sz val="8"/>
        <color theme="1"/>
        <name val="Cambria"/>
        <family val="1"/>
        <scheme val="none"/>
      </font>
    </dxf>
    <dxf>
      <font>
        <b val="0"/>
        <i val="0"/>
        <strike val="0"/>
        <condense val="0"/>
        <extend val="0"/>
        <outline val="0"/>
        <shadow val="0"/>
        <u val="none"/>
        <vertAlign val="baseline"/>
        <sz val="8"/>
        <color theme="1"/>
        <name val="Cambria"/>
        <scheme val="none"/>
      </font>
      <fill>
        <patternFill patternType="none">
          <fgColor indexed="64"/>
          <bgColor auto="1"/>
        </patternFill>
      </fill>
    </dxf>
    <dxf>
      <font>
        <b val="0"/>
        <i val="0"/>
        <strike val="0"/>
        <condense val="0"/>
        <extend val="0"/>
        <outline val="0"/>
        <shadow val="0"/>
        <u val="none"/>
        <vertAlign val="baseline"/>
        <sz val="8"/>
        <color theme="1"/>
        <name val="Cambria"/>
        <scheme val="none"/>
      </font>
      <fill>
        <patternFill patternType="none">
          <fgColor indexed="64"/>
          <bgColor auto="1"/>
        </patternFill>
      </fill>
    </dxf>
    <dxf>
      <font>
        <b val="0"/>
        <i val="0"/>
        <strike val="0"/>
        <condense val="0"/>
        <extend val="0"/>
        <outline val="0"/>
        <shadow val="0"/>
        <u val="none"/>
        <vertAlign val="baseline"/>
        <sz val="8"/>
        <color theme="0"/>
        <name val="Cambria"/>
        <scheme val="none"/>
      </font>
      <fill>
        <patternFill patternType="none">
          <fgColor indexed="64"/>
          <bgColor auto="1"/>
        </patternFill>
      </fill>
      <border diagonalUp="0" diagonalDown="0" outline="0">
        <left style="thin">
          <color indexed="64"/>
        </left>
        <right style="thin">
          <color indexed="64"/>
        </right>
        <top/>
        <bottom/>
      </border>
    </dxf>
    <dxf>
      <font>
        <b/>
        <strike val="0"/>
        <outline val="0"/>
        <shadow val="0"/>
        <u val="none"/>
        <vertAlign val="baseline"/>
        <sz val="8"/>
        <color rgb="FFFFFFFF"/>
        <name val="Courier New"/>
        <scheme val="none"/>
      </font>
      <fill>
        <patternFill patternType="none">
          <fgColor indexed="64"/>
          <bgColor auto="1"/>
        </patternFill>
      </fill>
      <alignment horizontal="center" vertical="center" textRotation="0" indent="0" justifyLastLine="0" shrinkToFit="0" readingOrder="0"/>
      <protection locked="0" hidden="0"/>
    </dxf>
    <dxf>
      <font>
        <b val="0"/>
        <i val="0"/>
        <strike val="0"/>
        <condense val="0"/>
        <extend val="0"/>
        <outline val="0"/>
        <shadow val="0"/>
        <u val="none"/>
        <vertAlign val="baseline"/>
        <sz val="8"/>
        <color theme="1"/>
        <name val="Cambria"/>
        <scheme val="none"/>
      </font>
      <numFmt numFmtId="0" formatCode="General"/>
      <fill>
        <patternFill patternType="solid">
          <fgColor indexed="64"/>
          <bgColor rgb="FFFFFF00"/>
        </patternFill>
      </fill>
      <alignment horizontal="center" vertical="center" textRotation="0" wrapText="0" indent="0" justifyLastLine="0" shrinkToFit="0" readingOrder="0"/>
      <protection locked="1" hidden="0"/>
    </dxf>
    <dxf>
      <font>
        <b/>
        <strike val="0"/>
        <outline val="0"/>
        <shadow val="0"/>
        <u val="none"/>
        <vertAlign val="baseline"/>
        <sz val="8"/>
        <color rgb="FFFFFFFF"/>
        <name val="Courier New"/>
        <scheme val="none"/>
      </font>
      <fill>
        <patternFill patternType="none">
          <fgColor indexed="64"/>
          <bgColor auto="1"/>
        </patternFill>
      </fill>
      <alignment horizontal="center" vertical="center" textRotation="0" indent="0" justifyLastLine="0" shrinkToFit="0" readingOrder="0"/>
      <protection locked="0" hidden="0"/>
    </dxf>
    <dxf>
      <font>
        <b val="0"/>
        <i val="0"/>
        <strike val="0"/>
        <condense val="0"/>
        <extend val="0"/>
        <outline val="0"/>
        <shadow val="0"/>
        <u val="none"/>
        <vertAlign val="baseline"/>
        <sz val="8"/>
        <color theme="1"/>
        <name val="Cambria"/>
        <scheme val="none"/>
      </font>
      <numFmt numFmtId="13" formatCode="0%"/>
      <fill>
        <patternFill patternType="solid">
          <fgColor indexed="64"/>
          <bgColor rgb="FFFFFF00"/>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theme="1"/>
        <name val="Cambria"/>
        <family val="1"/>
        <scheme val="none"/>
      </font>
      <numFmt numFmtId="1" formatCode="0"/>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mbria"/>
        <family val="1"/>
        <scheme val="none"/>
      </font>
      <numFmt numFmtId="0" formatCode="General"/>
      <fill>
        <patternFill patternType="solid">
          <fgColor indexed="64"/>
          <bgColor rgb="FFFFFF00"/>
        </patternFill>
      </fill>
      <alignment horizontal="center" vertical="center" textRotation="0" wrapText="0" indent="0" justifyLastLine="0" shrinkToFit="0" readingOrder="0"/>
    </dxf>
    <dxf>
      <font>
        <b val="0"/>
        <strike val="0"/>
        <outline val="0"/>
        <shadow val="0"/>
        <u val="none"/>
        <vertAlign val="baseline"/>
        <sz val="8"/>
        <color theme="1"/>
        <name val="Cambria"/>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mbria"/>
        <family val="1"/>
        <scheme val="none"/>
      </font>
      <numFmt numFmtId="1" formatCode="0"/>
      <fill>
        <patternFill patternType="solid">
          <fgColor indexed="64"/>
          <bgColor rgb="FFFFFF00"/>
        </patternFill>
      </fill>
      <alignment horizontal="center" vertical="center" textRotation="0" wrapText="0" indent="0" justifyLastLine="0" shrinkToFit="0" readingOrder="0"/>
      <protection locked="1" hidden="0"/>
    </dxf>
    <dxf>
      <font>
        <b val="0"/>
        <strike val="0"/>
        <outline val="0"/>
        <shadow val="0"/>
        <u val="none"/>
        <vertAlign val="baseline"/>
        <sz val="8"/>
        <color theme="1"/>
        <name val="Cambria"/>
        <scheme val="none"/>
      </font>
      <fill>
        <patternFill patternType="none">
          <fgColor indexed="64"/>
          <bgColor auto="1"/>
        </patternFill>
      </fill>
      <alignment horizontal="center" vertical="center" textRotation="0" indent="0" justifyLastLine="0" shrinkToFit="0" readingOrder="0"/>
      <protection locked="0" hidden="0"/>
    </dxf>
    <dxf>
      <font>
        <b val="0"/>
        <strike val="0"/>
        <outline val="0"/>
        <shadow val="0"/>
        <u val="none"/>
        <vertAlign val="baseline"/>
        <sz val="8"/>
        <color theme="1"/>
        <name val="Cambria"/>
        <scheme val="none"/>
      </font>
      <fill>
        <patternFill patternType="none">
          <fgColor indexed="64"/>
          <bgColor auto="1"/>
        </patternFill>
      </fill>
      <alignment horizontal="center" vertical="center" textRotation="0" indent="0" justifyLastLine="0" shrinkToFit="0" readingOrder="0"/>
      <protection locked="0" hidden="0"/>
    </dxf>
    <dxf>
      <font>
        <b val="0"/>
        <i val="0"/>
        <strike val="0"/>
        <condense val="0"/>
        <extend val="0"/>
        <outline val="0"/>
        <shadow val="0"/>
        <u val="none"/>
        <vertAlign val="baseline"/>
        <sz val="8"/>
        <color theme="1"/>
        <name val="Cambria"/>
        <family val="1"/>
        <scheme val="none"/>
      </font>
      <numFmt numFmtId="7" formatCode="#,##0.00_);\(#,##0.00\)"/>
      <fill>
        <patternFill patternType="solid">
          <fgColor indexed="64"/>
          <bgColor rgb="FFFFFF00"/>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theme="1"/>
        <name val="Cambria"/>
        <family val="1"/>
        <scheme val="none"/>
      </font>
      <numFmt numFmtId="7" formatCode="#,##0.00_);\(#,##0.00\)"/>
      <fill>
        <patternFill patternType="solid">
          <fgColor indexed="64"/>
          <bgColor rgb="FFFFFF00"/>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theme="1"/>
        <name val="Cambria"/>
        <scheme val="none"/>
      </font>
      <numFmt numFmtId="7" formatCode="#,##0.00_);\(#,##0.00\)"/>
      <fill>
        <patternFill patternType="solid">
          <fgColor indexed="64"/>
          <bgColor rgb="FFFFFF00"/>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theme="1"/>
        <name val="Cambria"/>
        <family val="1"/>
        <scheme val="none"/>
      </font>
      <numFmt numFmtId="0" formatCode="General"/>
      <fill>
        <patternFill patternType="solid">
          <fgColor indexed="64"/>
          <bgColor rgb="FFFFFF00"/>
        </patternFill>
      </fill>
      <alignment horizontal="center" vertical="center" textRotation="0" wrapText="0" indent="0" justifyLastLine="0" shrinkToFit="0" readingOrder="0"/>
      <protection locked="1" hidden="0"/>
    </dxf>
    <dxf>
      <font>
        <b val="0"/>
        <strike val="0"/>
        <outline val="0"/>
        <shadow val="0"/>
        <u val="none"/>
        <vertAlign val="baseline"/>
        <sz val="8"/>
        <color theme="1"/>
        <name val="Cambria"/>
        <scheme val="none"/>
      </font>
      <fill>
        <patternFill patternType="none">
          <fgColor indexed="64"/>
          <bgColor auto="1"/>
        </patternFill>
      </fill>
      <alignment horizontal="center" vertical="center" textRotation="0" indent="0" justifyLastLine="0" shrinkToFit="0" readingOrder="0"/>
      <protection locked="0" hidden="0"/>
    </dxf>
    <dxf>
      <font>
        <b val="0"/>
        <strike val="0"/>
        <outline val="0"/>
        <shadow val="0"/>
        <u val="none"/>
        <vertAlign val="baseline"/>
        <sz val="8"/>
        <color theme="1"/>
        <name val="Cambria"/>
        <scheme val="none"/>
      </font>
      <fill>
        <patternFill patternType="none">
          <fgColor indexed="64"/>
          <bgColor auto="1"/>
        </patternFill>
      </fill>
      <alignment horizontal="center" vertical="center" textRotation="0" indent="0" justifyLastLine="0" shrinkToFit="0" readingOrder="0"/>
      <protection locked="0" hidden="0"/>
    </dxf>
    <dxf>
      <font>
        <b val="0"/>
        <strike val="0"/>
        <outline val="0"/>
        <shadow val="0"/>
        <u val="none"/>
        <vertAlign val="baseline"/>
        <sz val="8"/>
        <color theme="1"/>
        <name val="Cambria"/>
        <scheme val="none"/>
      </font>
      <numFmt numFmtId="0" formatCode="General"/>
      <fill>
        <patternFill patternType="none">
          <fgColor indexed="64"/>
          <bgColor auto="1"/>
        </patternFill>
      </fill>
      <alignment horizontal="center" vertical="center" textRotation="0" indent="0" justifyLastLine="0" shrinkToFit="0" readingOrder="0"/>
      <protection locked="1" hidden="0"/>
    </dxf>
    <dxf>
      <font>
        <b val="0"/>
        <strike val="0"/>
        <outline val="0"/>
        <shadow val="0"/>
        <u val="none"/>
        <vertAlign val="baseline"/>
        <sz val="8"/>
        <color theme="1"/>
        <name val="Cambria"/>
        <scheme val="none"/>
      </font>
      <fill>
        <patternFill patternType="none">
          <fgColor indexed="64"/>
          <bgColor auto="1"/>
        </patternFill>
      </fill>
      <alignment horizontal="center" vertical="center" textRotation="0" wrapText="1" indent="0" justifyLastLine="0" shrinkToFit="0" readingOrder="0"/>
      <protection locked="0" hidden="0"/>
    </dxf>
    <dxf>
      <font>
        <b val="0"/>
        <strike val="0"/>
        <outline val="0"/>
        <shadow val="0"/>
        <u val="none"/>
        <vertAlign val="baseline"/>
        <sz val="8"/>
        <color theme="1"/>
        <name val="Cambria"/>
        <scheme val="none"/>
      </font>
      <numFmt numFmtId="164" formatCode="mm/dd/yy;@"/>
      <fill>
        <patternFill patternType="none">
          <fgColor indexed="64"/>
          <bgColor auto="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8"/>
        <color theme="1"/>
        <name val="Cambria"/>
        <family val="1"/>
        <scheme val="none"/>
      </font>
      <numFmt numFmtId="0" formatCode="General"/>
      <fill>
        <patternFill patternType="solid">
          <fgColor indexed="64"/>
          <bgColor rgb="FFFFFF00"/>
        </patternFill>
      </fill>
      <alignment horizontal="center" vertical="center" textRotation="0" wrapText="1" indent="0" justifyLastLine="0" shrinkToFit="0" readingOrder="0"/>
      <protection locked="1" hidden="0"/>
    </dxf>
    <dxf>
      <font>
        <b val="0"/>
        <strike val="0"/>
        <outline val="0"/>
        <shadow val="0"/>
        <u val="none"/>
        <vertAlign val="baseline"/>
        <sz val="8"/>
        <color theme="1"/>
        <name val="Cambria"/>
        <family val="1"/>
        <scheme val="none"/>
      </font>
      <numFmt numFmtId="164" formatCode="mm/dd/yy;@"/>
      <fill>
        <patternFill patternType="solid">
          <fgColor indexed="64"/>
          <bgColor rgb="FFFFFF00"/>
        </patternFill>
      </fill>
      <alignment horizontal="center" vertical="center" textRotation="0" wrapText="0" indent="0" justifyLastLine="0" shrinkToFit="0" readingOrder="0"/>
      <protection locked="1" hidden="0"/>
    </dxf>
    <dxf>
      <border>
        <top style="thin">
          <color rgb="FF000000"/>
        </top>
      </border>
    </dxf>
    <dxf>
      <font>
        <b/>
        <strike val="0"/>
        <outline val="0"/>
        <shadow val="0"/>
        <u val="none"/>
        <vertAlign val="baseline"/>
        <sz val="8"/>
        <color rgb="FFFFFFFF"/>
        <name val="Courier New"/>
        <scheme val="none"/>
      </font>
      <fill>
        <patternFill patternType="none">
          <fgColor indexed="64"/>
          <bgColor auto="1"/>
        </patternFill>
      </fill>
      <alignment horizontal="center" vertical="center" textRotation="0" indent="0" justifyLastLine="0" shrinkToFit="0" readingOrder="0"/>
      <protection locked="0" hidden="0"/>
    </dxf>
    <dxf>
      <font>
        <b val="0"/>
        <i val="0"/>
        <strike val="0"/>
        <condense val="0"/>
        <extend val="0"/>
        <outline val="0"/>
        <shadow val="0"/>
        <u val="none"/>
        <vertAlign val="baseline"/>
        <sz val="8"/>
        <color theme="1"/>
        <name val="Cambria"/>
        <scheme val="none"/>
      </font>
      <fill>
        <patternFill patternType="none">
          <fgColor indexed="64"/>
          <bgColor auto="1"/>
        </patternFill>
      </fill>
      <alignment horizontal="center" vertical="center" textRotation="0" wrapText="0" indent="0" justifyLastLine="0" shrinkToFit="0" readingOrder="0"/>
      <protection locked="0" hidden="0"/>
    </dxf>
    <dxf>
      <font>
        <b/>
        <i val="0"/>
        <strike val="0"/>
        <condense val="0"/>
        <extend val="0"/>
        <outline val="0"/>
        <shadow val="0"/>
        <u val="none"/>
        <vertAlign val="baseline"/>
        <sz val="8"/>
        <color theme="0"/>
        <name val="Cambria"/>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0" hidden="0"/>
    </dxf>
    <dxf>
      <font>
        <b/>
        <color theme="1"/>
      </font>
      <border>
        <bottom style="thin">
          <color theme="4"/>
        </bottom>
        <vertical/>
        <horizontal/>
      </border>
    </dxf>
    <dxf>
      <font>
        <color theme="1"/>
      </font>
      <border diagonalUp="0" diagonalDown="0">
        <left/>
        <right/>
        <top/>
        <bottom/>
        <vertical/>
        <horizontal/>
      </border>
    </dxf>
  </dxfs>
  <tableStyles count="1" defaultTableStyle="TableStyleMedium2" defaultPivotStyle="PivotStyleLight16">
    <tableStyle name="Slicer_NoBorder" pivot="0" table="0" count="10" xr9:uid="{9A5F659D-7805-4FC8-A08F-FADFB717BC9D}">
      <tableStyleElement type="wholeTable" dxfId="136"/>
      <tableStyleElement type="headerRow" dxfId="135"/>
    </tableStyle>
  </tableStyles>
  <colors>
    <mruColors>
      <color rgb="FFE600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_NoBor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[advanced-excel-production-reporting.xlsx]Reports!PivotTable2</c:name>
    <c:fmtId val="1"/>
  </c:pivotSource>
  <c:chart>
    <c:title>
      <c:tx>
        <c:rich>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r>
              <a:rPr lang="en-US">
                <a:solidFill>
                  <a:schemeClr val="bg1"/>
                </a:solidFill>
              </a:rPr>
              <a:t>Tonnage</a:t>
            </a:r>
            <a:r>
              <a:rPr lang="en-US" baseline="0">
                <a:solidFill>
                  <a:schemeClr val="bg1"/>
                </a:solidFill>
              </a:rPr>
              <a:t> Totals by Year</a:t>
            </a:r>
            <a:endParaRPr lang="en-US">
              <a:solidFill>
                <a:schemeClr val="bg1"/>
              </a:solidFill>
            </a:endParaRPr>
          </a:p>
        </c:rich>
      </c:tx>
      <c:layout>
        <c:manualLayout>
          <c:xMode val="edge"/>
          <c:yMode val="edge"/>
          <c:x val="0.3198550724637681"/>
          <c:y val="3.951324266284896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n-US"/>
        </a:p>
      </c:txPr>
    </c:title>
    <c:autoTitleDeleted val="0"/>
    <c:pivotFmts>
      <c:pivotFmt>
        <c:idx val="0"/>
        <c:spPr>
          <a:ln w="19050" cap="rnd">
            <a:solidFill>
              <a:schemeClr val="accent6">
                <a:lumMod val="50000"/>
              </a:schemeClr>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19050" cap="rnd">
            <a:solidFill>
              <a:srgbClr val="7030A0"/>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9050" cap="rnd">
            <a:solidFill>
              <a:srgbClr val="E60000"/>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none"/>
        </c:marker>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none"/>
        </c:marker>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31748748797705"/>
          <c:y val="0.13624051539012169"/>
          <c:w val="0.75650445868179517"/>
          <c:h val="0.6826233993478088"/>
        </c:manualLayout>
      </c:layout>
      <c:lineChart>
        <c:grouping val="standard"/>
        <c:varyColors val="0"/>
        <c:ser>
          <c:idx val="0"/>
          <c:order val="0"/>
          <c:tx>
            <c:strRef>
              <c:f>Reports!$F$19:$F$20</c:f>
              <c:strCache>
                <c:ptCount val="1"/>
                <c:pt idx="0">
                  <c:v>2022</c:v>
                </c:pt>
              </c:strCache>
            </c:strRef>
          </c:tx>
          <c:spPr>
            <a:ln w="19050" cap="rnd">
              <a:solidFill>
                <a:schemeClr val="accent6">
                  <a:lumMod val="50000"/>
                </a:schemeClr>
              </a:solidFill>
              <a:round/>
            </a:ln>
            <a:effectLst>
              <a:outerShdw blurRad="57150" dist="19050" dir="5400000" algn="ctr" rotWithShape="0">
                <a:srgbClr val="000000">
                  <a:alpha val="63000"/>
                </a:srgbClr>
              </a:outerShdw>
            </a:effectLst>
          </c:spPr>
          <c:marker>
            <c:symbol val="none"/>
          </c:marker>
          <c:cat>
            <c:strRef>
              <c:f>Reports!$E$21:$E$33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Reports!$F$21:$F$33</c:f>
              <c:numCache>
                <c:formatCode>#,##0</c:formatCode>
                <c:ptCount val="12"/>
                <c:pt idx="0">
                  <c:v>45620</c:v>
                </c:pt>
                <c:pt idx="1">
                  <c:v>44200</c:v>
                </c:pt>
                <c:pt idx="2">
                  <c:v>69705</c:v>
                </c:pt>
                <c:pt idx="3">
                  <c:v>71560</c:v>
                </c:pt>
                <c:pt idx="4">
                  <c:v>59015</c:v>
                </c:pt>
                <c:pt idx="5">
                  <c:v>27240</c:v>
                </c:pt>
                <c:pt idx="6">
                  <c:v>9455</c:v>
                </c:pt>
                <c:pt idx="7">
                  <c:v>31950</c:v>
                </c:pt>
                <c:pt idx="8">
                  <c:v>54485</c:v>
                </c:pt>
                <c:pt idx="9">
                  <c:v>42290</c:v>
                </c:pt>
                <c:pt idx="10">
                  <c:v>44530</c:v>
                </c:pt>
                <c:pt idx="11">
                  <c:v>67660</c:v>
                </c:pt>
              </c:numCache>
            </c:numRef>
          </c:val>
          <c:smooth val="0"/>
          <c:extLst>
            <c:ext xmlns:c16="http://schemas.microsoft.com/office/drawing/2014/chart" uri="{C3380CC4-5D6E-409C-BE32-E72D297353CC}">
              <c16:uniqueId val="{00000000-FBF4-4E04-ADAD-F96308B4443D}"/>
            </c:ext>
          </c:extLst>
        </c:ser>
        <c:ser>
          <c:idx val="1"/>
          <c:order val="1"/>
          <c:tx>
            <c:strRef>
              <c:f>Reports!$G$19:$G$20</c:f>
              <c:strCache>
                <c:ptCount val="1"/>
                <c:pt idx="0">
                  <c:v>2023</c:v>
                </c:pt>
              </c:strCache>
            </c:strRef>
          </c:tx>
          <c:spPr>
            <a:ln w="19050" cap="rnd">
              <a:solidFill>
                <a:srgbClr val="7030A0"/>
              </a:solidFill>
              <a:round/>
            </a:ln>
            <a:effectLst>
              <a:outerShdw blurRad="57150" dist="19050" dir="5400000" algn="ctr" rotWithShape="0">
                <a:srgbClr val="000000">
                  <a:alpha val="63000"/>
                </a:srgbClr>
              </a:outerShdw>
            </a:effectLst>
          </c:spPr>
          <c:marker>
            <c:symbol val="none"/>
          </c:marker>
          <c:cat>
            <c:strRef>
              <c:f>Reports!$E$21:$E$33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Reports!$G$21:$G$33</c:f>
              <c:numCache>
                <c:formatCode>#,##0</c:formatCode>
                <c:ptCount val="12"/>
                <c:pt idx="0">
                  <c:v>82710</c:v>
                </c:pt>
                <c:pt idx="1">
                  <c:v>42515</c:v>
                </c:pt>
                <c:pt idx="2">
                  <c:v>89340</c:v>
                </c:pt>
                <c:pt idx="3">
                  <c:v>36045</c:v>
                </c:pt>
                <c:pt idx="4">
                  <c:v>79740</c:v>
                </c:pt>
                <c:pt idx="5">
                  <c:v>62710</c:v>
                </c:pt>
                <c:pt idx="6">
                  <c:v>54220</c:v>
                </c:pt>
                <c:pt idx="7">
                  <c:v>46405</c:v>
                </c:pt>
                <c:pt idx="8">
                  <c:v>52030</c:v>
                </c:pt>
                <c:pt idx="9">
                  <c:v>72635</c:v>
                </c:pt>
                <c:pt idx="10">
                  <c:v>45825</c:v>
                </c:pt>
                <c:pt idx="11">
                  <c:v>62865</c:v>
                </c:pt>
              </c:numCache>
            </c:numRef>
          </c:val>
          <c:smooth val="0"/>
          <c:extLst>
            <c:ext xmlns:c16="http://schemas.microsoft.com/office/drawing/2014/chart" uri="{C3380CC4-5D6E-409C-BE32-E72D297353CC}">
              <c16:uniqueId val="{00000007-CC56-44D5-9DF4-A0120FED6B85}"/>
            </c:ext>
          </c:extLst>
        </c:ser>
        <c:ser>
          <c:idx val="2"/>
          <c:order val="2"/>
          <c:tx>
            <c:strRef>
              <c:f>Reports!$H$19:$H$20</c:f>
              <c:strCache>
                <c:ptCount val="1"/>
                <c:pt idx="0">
                  <c:v>2024</c:v>
                </c:pt>
              </c:strCache>
            </c:strRef>
          </c:tx>
          <c:spPr>
            <a:ln w="19050" cap="rnd">
              <a:solidFill>
                <a:srgbClr val="E60000"/>
              </a:solidFill>
              <a:round/>
            </a:ln>
            <a:effectLst>
              <a:outerShdw blurRad="57150" dist="19050" dir="5400000" algn="ctr" rotWithShape="0">
                <a:srgbClr val="000000">
                  <a:alpha val="63000"/>
                </a:srgbClr>
              </a:outerShdw>
            </a:effectLst>
          </c:spPr>
          <c:marker>
            <c:symbol val="none"/>
          </c:marker>
          <c:cat>
            <c:strRef>
              <c:f>Reports!$E$21:$E$33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Reports!$H$21:$H$33</c:f>
              <c:numCache>
                <c:formatCode>#,##0</c:formatCode>
                <c:ptCount val="12"/>
                <c:pt idx="0">
                  <c:v>75605</c:v>
                </c:pt>
                <c:pt idx="1">
                  <c:v>71555</c:v>
                </c:pt>
                <c:pt idx="2">
                  <c:v>35265</c:v>
                </c:pt>
                <c:pt idx="3">
                  <c:v>31435</c:v>
                </c:pt>
                <c:pt idx="4">
                  <c:v>40970</c:v>
                </c:pt>
                <c:pt idx="5">
                  <c:v>29745</c:v>
                </c:pt>
                <c:pt idx="6">
                  <c:v>34945</c:v>
                </c:pt>
                <c:pt idx="7">
                  <c:v>49320</c:v>
                </c:pt>
                <c:pt idx="8">
                  <c:v>58670</c:v>
                </c:pt>
                <c:pt idx="9">
                  <c:v>11695</c:v>
                </c:pt>
              </c:numCache>
            </c:numRef>
          </c:val>
          <c:smooth val="0"/>
          <c:extLst>
            <c:ext xmlns:c16="http://schemas.microsoft.com/office/drawing/2014/chart" uri="{C3380CC4-5D6E-409C-BE32-E72D297353CC}">
              <c16:uniqueId val="{00000008-CC56-44D5-9DF4-A0120FED6B85}"/>
            </c:ext>
          </c:extLst>
        </c:ser>
        <c:dLbls>
          <c:showLegendKey val="0"/>
          <c:showVal val="0"/>
          <c:showCatName val="0"/>
          <c:showSerName val="0"/>
          <c:showPercent val="0"/>
          <c:showBubbleSize val="0"/>
        </c:dLbls>
        <c:smooth val="0"/>
        <c:axId val="588796415"/>
        <c:axId val="588799295"/>
      </c:lineChart>
      <c:catAx>
        <c:axId val="58879641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588799295"/>
        <c:crosses val="autoZero"/>
        <c:auto val="1"/>
        <c:lblAlgn val="ctr"/>
        <c:lblOffset val="100"/>
        <c:noMultiLvlLbl val="0"/>
      </c:catAx>
      <c:valAx>
        <c:axId val="58879929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crossAx val="588796415"/>
        <c:crosses val="autoZero"/>
        <c:crossBetween val="between"/>
      </c:valAx>
      <c:spPr>
        <a:solidFill>
          <a:schemeClr val="accent1">
            <a:lumMod val="60000"/>
            <a:lumOff val="40000"/>
          </a:schemeClr>
        </a:solidFill>
        <a:ln>
          <a:noFill/>
        </a:ln>
        <a:effectLst/>
      </c:spPr>
    </c:plotArea>
    <c:legend>
      <c:legendPos val="r"/>
      <c:layout>
        <c:manualLayout>
          <c:xMode val="edge"/>
          <c:yMode val="edge"/>
          <c:x val="0.88087730413008736"/>
          <c:y val="0.13806622189258855"/>
          <c:w val="9.367231638418079E-2"/>
          <c:h val="0.26325204803944957"/>
        </c:manualLayout>
      </c:layout>
      <c:overlay val="0"/>
      <c:spPr>
        <a:solidFill>
          <a:schemeClr val="accent1">
            <a:lumMod val="60000"/>
            <a:lumOff val="40000"/>
          </a:schemeClr>
        </a:solidFill>
        <a:ln>
          <a:solidFill>
            <a:schemeClr val="accent1">
              <a:lumMod val="40000"/>
              <a:lumOff val="60000"/>
            </a:schemeClr>
          </a:solid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0</xdr:colOff>
      <xdr:row>16</xdr:row>
      <xdr:rowOff>0</xdr:rowOff>
    </xdr:to>
    <xdr:graphicFrame macro="">
      <xdr:nvGraphicFramePr>
        <xdr:cNvPr id="5" name="Chart 4">
          <a:extLst>
            <a:ext uri="{FF2B5EF4-FFF2-40B4-BE49-F238E27FC236}">
              <a16:creationId xmlns:a16="http://schemas.microsoft.com/office/drawing/2014/main" id="{A8B66133-EA3E-4FE6-F905-92FF0B3D20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ven Yanoska" refreshedDate="45575.630343865741" createdVersion="8" refreshedVersion="8" minRefreshableVersion="3" recordCount="469" xr:uid="{215A2B03-8D7C-41D4-962A-38DA2D25AFD7}">
  <cacheSource type="worksheet">
    <worksheetSource name="production"/>
  </cacheSource>
  <cacheFields count="22">
    <cacheField name="Julian" numFmtId="0">
      <sharedItems/>
    </cacheField>
    <cacheField name="Type" numFmtId="0">
      <sharedItems/>
    </cacheField>
    <cacheField name="Date" numFmtId="164">
      <sharedItems containsSemiMixedTypes="0" containsNonDate="0" containsDate="1" containsString="0" minDate="2020-08-19T00:00:00" maxDate="2024-10-08T00:00:00" count="406">
        <d v="2022-01-06T00:00:00"/>
        <d v="2022-01-10T00:00:00"/>
        <d v="2022-01-11T00:00:00"/>
        <d v="2022-01-12T00:00:00"/>
        <d v="2022-01-13T00:00:00"/>
        <d v="2022-01-18T00:00:00"/>
        <d v="2022-01-24T00:00:00"/>
        <d v="2022-01-26T00:00:00"/>
        <d v="2022-01-27T00:00:00"/>
        <d v="2022-01-31T00:00:00"/>
        <d v="2022-02-07T00:00:00"/>
        <d v="2022-02-08T00:00:00"/>
        <d v="2022-02-09T00:00:00"/>
        <d v="2022-02-10T00:00:00"/>
        <d v="2022-02-12T00:00:00"/>
        <d v="2022-02-14T00:00:00"/>
        <d v="2022-02-15T00:00:00"/>
        <d v="2022-02-17T00:00:00"/>
        <d v="2022-02-23T00:00:00"/>
        <d v="2022-02-24T00:00:00"/>
        <d v="2022-02-28T00:00:00"/>
        <d v="2022-03-01T00:00:00"/>
        <d v="2022-03-02T00:00:00"/>
        <d v="2022-03-03T00:00:00"/>
        <d v="2022-03-08T00:00:00"/>
        <d v="2022-03-09T00:00:00"/>
        <d v="2022-03-10T00:00:00"/>
        <d v="2022-03-14T00:00:00"/>
        <d v="2022-03-15T00:00:00"/>
        <d v="2022-03-16T00:00:00"/>
        <d v="2022-03-21T00:00:00"/>
        <d v="2022-03-22T00:00:00"/>
        <d v="2022-03-23T00:00:00"/>
        <d v="2022-03-24T00:00:00"/>
        <d v="2022-03-28T00:00:00"/>
        <d v="2022-04-05T00:00:00"/>
        <d v="2022-04-06T00:00:00"/>
        <d v="2022-04-07T00:00:00"/>
        <d v="2022-04-11T00:00:00"/>
        <d v="2022-04-12T00:00:00"/>
        <d v="2022-04-13T00:00:00"/>
        <d v="2022-04-14T00:00:00"/>
        <d v="2022-04-18T00:00:00"/>
        <d v="2022-04-20T00:00:00"/>
        <d v="2022-04-25T00:00:00"/>
        <d v="2022-04-26T00:00:00"/>
        <d v="2022-04-27T00:00:00"/>
        <d v="2022-04-28T00:00:00"/>
        <d v="2022-05-02T00:00:00"/>
        <d v="2022-05-04T00:00:00"/>
        <d v="2022-05-11T00:00:00"/>
        <d v="2022-05-12T00:00:00"/>
        <d v="2022-05-16T00:00:00"/>
        <d v="2022-05-17T00:00:00"/>
        <d v="2022-05-23T00:00:00"/>
        <d v="2022-05-24T00:00:00"/>
        <d v="2022-05-25T00:00:00"/>
        <d v="2022-05-26T00:00:00"/>
        <d v="2022-05-31T00:00:00"/>
        <d v="2022-06-01T00:00:00"/>
        <d v="2022-06-02T00:00:00"/>
        <d v="2022-06-07T00:00:00"/>
        <d v="2022-06-08T00:00:00"/>
        <d v="2022-06-14T00:00:00"/>
        <d v="2022-06-15T00:00:00"/>
        <d v="2022-06-16T00:00:00"/>
        <d v="2022-06-21T00:00:00"/>
        <d v="2022-06-22T00:00:00"/>
        <d v="2022-06-27T00:00:00"/>
        <d v="2022-06-28T00:00:00"/>
        <d v="2022-06-29T00:00:00"/>
        <d v="2022-06-30T00:00:00"/>
        <d v="2022-07-11T00:00:00"/>
        <d v="2022-07-27T00:00:00"/>
        <d v="2022-07-28T00:00:00"/>
        <d v="2022-08-02T00:00:00"/>
        <d v="2022-08-03T00:00:00"/>
        <d v="2022-08-08T00:00:00"/>
        <d v="2022-08-09T00:00:00"/>
        <d v="2022-08-17T00:00:00"/>
        <d v="2022-08-18T00:00:00"/>
        <d v="2022-08-22T00:00:00"/>
        <d v="2022-08-24T00:00:00"/>
        <d v="2022-09-01T00:00:00"/>
        <d v="2022-09-06T00:00:00"/>
        <d v="2022-09-07T00:00:00"/>
        <d v="2022-09-08T00:00:00"/>
        <d v="2022-09-12T00:00:00"/>
        <d v="2022-09-13T00:00:00"/>
        <d v="2022-09-19T00:00:00"/>
        <d v="2022-09-26T00:00:00"/>
        <d v="2022-09-27T00:00:00"/>
        <d v="2022-09-28T00:00:00"/>
        <d v="2022-10-03T00:00:00"/>
        <d v="2022-10-04T00:00:00"/>
        <d v="2022-10-06T00:00:00"/>
        <d v="2022-10-12T00:00:00"/>
        <d v="2022-10-13T00:00:00"/>
        <d v="2022-10-18T00:00:00"/>
        <d v="2022-10-25T00:00:00"/>
        <d v="2022-10-26T00:00:00"/>
        <d v="2022-10-27T00:00:00"/>
        <d v="2022-10-31T00:00:00"/>
        <d v="2022-11-01T00:00:00"/>
        <d v="2022-11-02T00:00:00"/>
        <d v="2022-11-03T00:00:00"/>
        <d v="2022-11-15T00:00:00"/>
        <d v="2022-11-16T00:00:00"/>
        <d v="2022-11-21T00:00:00"/>
        <d v="2022-11-28T00:00:00"/>
        <d v="2022-11-29T00:00:00"/>
        <d v="2022-11-30T00:00:00"/>
        <d v="2022-12-01T00:00:00"/>
        <d v="2022-12-05T00:00:00"/>
        <d v="2022-12-06T00:00:00"/>
        <d v="2022-12-07T00:00:00"/>
        <d v="2022-12-08T00:00:00"/>
        <d v="2022-12-12T00:00:00"/>
        <d v="2022-12-13T00:00:00"/>
        <d v="2022-12-14T00:00:00"/>
        <d v="2022-12-15T00:00:00"/>
        <d v="2022-12-19T00:00:00"/>
        <d v="2022-12-21T00:00:00"/>
        <d v="2022-12-27T00:00:00"/>
        <d v="2022-12-28T00:00:00"/>
        <d v="2022-12-29T00:00:00"/>
        <d v="2023-01-03T00:00:00"/>
        <d v="2023-01-04T00:00:00"/>
        <d v="2023-01-05T00:00:00"/>
        <d v="2023-01-09T00:00:00"/>
        <d v="2023-01-10T00:00:00"/>
        <d v="2023-01-11T00:00:00"/>
        <d v="2023-01-12T00:00:00"/>
        <d v="2023-01-17T00:00:00"/>
        <d v="2023-01-18T00:00:00"/>
        <d v="2023-01-19T00:00:00"/>
        <d v="2023-01-23T00:00:00"/>
        <d v="2023-01-25T00:00:00"/>
        <d v="2023-01-26T00:00:00"/>
        <d v="2023-01-30T00:00:00"/>
        <d v="2023-01-31T00:00:00"/>
        <d v="2023-02-02T00:00:00"/>
        <d v="2023-02-06T00:00:00"/>
        <d v="2023-02-07T00:00:00"/>
        <d v="2023-02-08T00:00:00"/>
        <d v="2023-02-13T00:00:00"/>
        <d v="2023-02-14T00:00:00"/>
        <d v="2023-02-15T00:00:00"/>
        <d v="2023-02-16T00:00:00"/>
        <d v="2023-02-21T00:00:00"/>
        <d v="2023-02-23T00:00:00"/>
        <d v="2023-02-28T00:00:00"/>
        <d v="2023-03-01T00:00:00"/>
        <d v="2023-03-02T00:00:00"/>
        <d v="2023-03-06T00:00:00"/>
        <d v="2023-03-07T00:00:00"/>
        <d v="2023-03-08T00:00:00"/>
        <d v="2023-03-14T00:00:00"/>
        <d v="2023-03-15T00:00:00"/>
        <d v="2023-03-16T00:00:00"/>
        <d v="2023-03-20T00:00:00"/>
        <d v="2023-03-21T00:00:00"/>
        <d v="2023-03-22T00:00:00"/>
        <d v="2023-03-23T00:00:00"/>
        <d v="2023-03-27T00:00:00"/>
        <d v="2023-03-28T00:00:00"/>
        <d v="2023-03-29T00:00:00"/>
        <d v="2023-03-30T00:00:00"/>
        <d v="2023-04-04T00:00:00"/>
        <d v="2023-04-05T00:00:00"/>
        <d v="2023-04-10T00:00:00"/>
        <d v="2023-04-11T00:00:00"/>
        <d v="2023-04-12T00:00:00"/>
        <d v="2023-04-13T00:00:00"/>
        <d v="2023-04-17T00:00:00"/>
        <d v="2023-04-18T00:00:00"/>
        <d v="2023-04-19T00:00:00"/>
        <d v="2023-04-20T00:00:00"/>
        <d v="2023-04-25T00:00:00"/>
        <d v="2023-04-26T00:00:00"/>
        <d v="2023-04-27T00:00:00"/>
        <d v="2023-05-01T00:00:00"/>
        <d v="2023-05-02T00:00:00"/>
        <d v="2023-05-03T00:00:00"/>
        <d v="2023-05-08T00:00:00"/>
        <d v="2023-05-09T00:00:00"/>
        <d v="2023-05-10T00:00:00"/>
        <d v="2023-05-11T00:00:00"/>
        <d v="2023-05-15T00:00:00"/>
        <d v="2023-05-16T00:00:00"/>
        <d v="2023-05-17T00:00:00"/>
        <d v="2023-05-18T00:00:00"/>
        <d v="2023-05-23T00:00:00"/>
        <d v="2023-05-24T00:00:00"/>
        <d v="2023-05-25T00:00:00"/>
        <d v="2023-05-30T00:00:00"/>
        <d v="2023-05-31T00:00:00"/>
        <d v="2023-06-01T00:00:00"/>
        <d v="2023-06-05T00:00:00"/>
        <d v="2023-06-06T00:00:00"/>
        <d v="2023-06-07T00:00:00"/>
        <d v="2023-06-08T00:00:00"/>
        <d v="2023-06-12T00:00:00"/>
        <d v="2023-06-13T00:00:00"/>
        <d v="2023-06-14T00:00:00"/>
        <d v="2023-06-15T00:00:00"/>
        <d v="2023-06-20T00:00:00"/>
        <d v="2023-06-21T00:00:00"/>
        <d v="2023-06-26T00:00:00"/>
        <d v="2023-06-27T00:00:00"/>
        <d v="2023-06-29T00:00:00"/>
        <d v="2023-07-03T00:00:00"/>
        <d v="2023-07-05T00:00:00"/>
        <d v="2023-07-06T00:00:00"/>
        <d v="2023-07-10T00:00:00"/>
        <d v="2023-07-11T00:00:00"/>
        <d v="2023-07-12T00:00:00"/>
        <d v="2023-07-13T00:00:00"/>
        <d v="2023-07-17T00:00:00"/>
        <d v="2023-07-18T00:00:00"/>
        <d v="2023-07-19T00:00:00"/>
        <d v="2023-07-24T00:00:00"/>
        <d v="2023-07-25T00:00:00"/>
        <d v="2023-07-26T00:00:00"/>
        <d v="2023-07-31T00:00:00"/>
        <d v="2023-08-01T00:00:00"/>
        <d v="2023-08-02T00:00:00"/>
        <d v="2023-08-07T00:00:00"/>
        <d v="2023-08-08T00:00:00"/>
        <d v="2023-08-09T00:00:00"/>
        <d v="2023-08-10T00:00:00"/>
        <d v="2023-08-15T00:00:00"/>
        <d v="2023-08-16T00:00:00"/>
        <d v="2023-08-17T00:00:00"/>
        <d v="2023-08-21T00:00:00"/>
        <d v="2023-08-22T00:00:00"/>
        <d v="2023-08-23T00:00:00"/>
        <d v="2023-08-24T00:00:00"/>
        <d v="2023-08-29T00:00:00"/>
        <d v="2023-08-30T00:00:00"/>
        <d v="2023-08-31T00:00:00"/>
        <d v="2023-09-05T00:00:00"/>
        <d v="2023-09-06T00:00:00"/>
        <d v="2023-09-07T00:00:00"/>
        <d v="2023-09-12T00:00:00"/>
        <d v="2023-09-13T00:00:00"/>
        <d v="2023-09-14T00:00:00"/>
        <d v="2023-09-19T00:00:00"/>
        <d v="2023-09-20T00:00:00"/>
        <d v="2023-09-21T00:00:00"/>
        <d v="2023-09-25T00:00:00"/>
        <d v="2023-09-28T00:00:00"/>
        <d v="2023-10-02T00:00:00"/>
        <d v="2023-10-03T00:00:00"/>
        <d v="2023-10-04T00:00:00"/>
        <d v="2023-10-05T00:00:00"/>
        <d v="2023-10-10T00:00:00"/>
        <d v="2023-10-12T00:00:00"/>
        <d v="2023-10-16T00:00:00"/>
        <d v="2023-10-18T00:00:00"/>
        <d v="2023-10-19T00:00:00"/>
        <d v="2023-10-23T00:00:00"/>
        <d v="2023-10-24T00:00:00"/>
        <d v="2023-10-25T00:00:00"/>
        <d v="2023-10-26T00:00:00"/>
        <d v="2023-10-30T00:00:00"/>
        <d v="2023-10-31T00:00:00"/>
        <d v="2023-11-02T00:00:00"/>
        <d v="2023-11-06T00:00:00"/>
        <d v="2023-11-08T00:00:00"/>
        <d v="2023-11-13T00:00:00"/>
        <d v="2023-11-15T00:00:00"/>
        <d v="2023-11-16T00:00:00"/>
        <d v="2023-11-20T00:00:00"/>
        <d v="2023-11-27T00:00:00"/>
        <d v="2023-11-28T00:00:00"/>
        <d v="2023-11-30T00:00:00"/>
        <d v="2023-12-06T00:00:00"/>
        <d v="2023-12-07T00:00:00"/>
        <d v="2023-12-11T00:00:00"/>
        <d v="2023-12-12T00:00:00"/>
        <d v="2023-12-13T00:00:00"/>
        <d v="2023-12-18T00:00:00"/>
        <d v="2023-12-19T00:00:00"/>
        <d v="2023-12-20T00:00:00"/>
        <d v="2023-12-21T00:00:00"/>
        <d v="2023-12-26T00:00:00"/>
        <d v="2023-12-27T00:00:00"/>
        <d v="2023-12-28T00:00:00"/>
        <d v="2024-01-02T00:00:00"/>
        <d v="2024-01-03T00:00:00"/>
        <d v="2024-01-04T00:00:00"/>
        <d v="2024-01-08T00:00:00"/>
        <d v="2024-01-09T00:00:00"/>
        <d v="2024-01-10T00:00:00"/>
        <d v="2024-01-17T00:00:00"/>
        <d v="2024-01-18T00:00:00"/>
        <d v="2024-01-22T00:00:00"/>
        <d v="2024-01-23T00:00:00"/>
        <d v="2024-01-24T00:00:00"/>
        <d v="2024-01-25T00:00:00"/>
        <d v="2024-01-29T00:00:00"/>
        <d v="2024-01-30T00:00:00"/>
        <d v="2024-01-31T00:00:00"/>
        <d v="2024-02-01T00:00:00"/>
        <d v="2024-02-05T00:00:00"/>
        <d v="2024-02-07T00:00:00"/>
        <d v="2024-02-08T00:00:00"/>
        <d v="2024-02-12T00:00:00"/>
        <d v="2024-02-13T00:00:00"/>
        <d v="2024-02-14T00:00:00"/>
        <d v="2024-02-15T00:00:00"/>
        <d v="2024-02-20T00:00:00"/>
        <d v="2024-02-21T00:00:00"/>
        <d v="2024-02-22T00:00:00"/>
        <d v="2024-02-26T00:00:00"/>
        <d v="2024-02-27T00:00:00"/>
        <d v="2024-02-28T00:00:00"/>
        <d v="2024-02-29T00:00:00"/>
        <d v="2024-03-04T00:00:00"/>
        <d v="2024-03-06T00:00:00"/>
        <d v="2024-03-07T00:00:00"/>
        <d v="2024-03-11T00:00:00"/>
        <d v="2024-03-14T00:00:00"/>
        <d v="2024-03-18T00:00:00"/>
        <d v="2024-03-19T00:00:00"/>
        <d v="2024-03-20T00:00:00"/>
        <d v="2024-03-21T00:00:00"/>
        <d v="2024-03-25T00:00:00"/>
        <d v="2024-04-03T00:00:00"/>
        <d v="2024-04-04T00:00:00"/>
        <d v="2024-04-08T00:00:00"/>
        <d v="2024-04-15T00:00:00"/>
        <d v="2024-04-16T00:00:00"/>
        <d v="2024-04-17T00:00:00"/>
        <d v="2024-04-18T00:00:00"/>
        <d v="2024-04-23T00:00:00"/>
        <d v="2024-04-25T00:00:00"/>
        <d v="2024-04-29T00:00:00"/>
        <d v="2024-04-30T00:00:00"/>
        <d v="2024-05-01T00:00:00"/>
        <d v="2024-05-06T00:00:00"/>
        <d v="2024-05-07T00:00:00"/>
        <d v="2024-05-09T00:00:00"/>
        <d v="2024-05-14T00:00:00"/>
        <d v="2024-05-15T00:00:00"/>
        <d v="2024-05-16T00:00:00"/>
        <d v="2024-05-20T00:00:00"/>
        <d v="2024-05-21T00:00:00"/>
        <d v="2024-05-22T00:00:00"/>
        <d v="2024-05-23T00:00:00"/>
        <d v="2024-06-03T00:00:00"/>
        <d v="2024-06-04T00:00:00"/>
        <d v="2024-06-05T00:00:00"/>
        <d v="2024-06-10T00:00:00"/>
        <d v="2024-06-11T00:00:00"/>
        <d v="2024-06-17T00:00:00"/>
        <d v="2024-06-24T00:00:00"/>
        <d v="2024-06-25T00:00:00"/>
        <d v="2024-06-27T00:00:00"/>
        <d v="2024-07-03T00:00:00"/>
        <d v="2024-07-09T00:00:00"/>
        <d v="2024-07-10T00:00:00"/>
        <d v="2024-07-15T00:00:00"/>
        <d v="2024-07-17T00:00:00"/>
        <d v="2024-07-18T00:00:00"/>
        <d v="2024-07-22T00:00:00"/>
        <d v="2024-07-24T00:00:00"/>
        <d v="2024-07-29T00:00:00"/>
        <d v="2024-07-30T00:00:00"/>
        <d v="2024-07-31T00:00:00"/>
        <d v="2024-08-01T00:00:00"/>
        <d v="2024-08-05T00:00:00"/>
        <d v="2024-08-07T00:00:00"/>
        <d v="2024-08-08T00:00:00"/>
        <d v="2024-08-12T00:00:00"/>
        <d v="2024-08-13T00:00:00"/>
        <d v="2024-08-15T00:00:00"/>
        <d v="2024-08-19T00:00:00"/>
        <d v="2024-08-20T00:00:00"/>
        <d v="2024-08-22T00:00:00"/>
        <d v="2024-08-26T00:00:00"/>
        <d v="2024-08-27T00:00:00"/>
        <d v="2024-08-28T00:00:00"/>
        <d v="2024-08-29T00:00:00"/>
        <d v="2024-09-03T00:00:00"/>
        <d v="2024-09-04T00:00:00"/>
        <d v="2024-09-05T00:00:00"/>
        <d v="2024-09-09T00:00:00"/>
        <d v="2024-09-10T00:00:00"/>
        <d v="2024-09-11T00:00:00"/>
        <d v="2024-09-12T00:00:00"/>
        <d v="2024-09-16T00:00:00"/>
        <d v="2024-09-17T00:00:00"/>
        <d v="2024-09-18T00:00:00"/>
        <d v="2024-09-19T00:00:00"/>
        <d v="2024-09-23T00:00:00"/>
        <d v="2024-09-24T00:00:00"/>
        <d v="2024-09-25T00:00:00"/>
        <d v="2024-09-26T00:00:00"/>
        <d v="2024-09-30T00:00:00"/>
        <d v="2024-10-01T00:00:00"/>
        <d v="2024-10-02T00:00:00"/>
        <d v="2024-10-03T00:00:00"/>
        <d v="2024-10-07T00:00:00"/>
        <d v="2020-08-19T00:00:00" u="1"/>
      </sharedItems>
      <fieldGroup par="21"/>
    </cacheField>
    <cacheField name="Product" numFmtId="0">
      <sharedItems/>
    </cacheField>
    <cacheField name="Lot_x000a_Number" numFmtId="0">
      <sharedItems containsMixedTypes="1" containsNumber="1" containsInteger="1" minValue="731" maxValue="8864"/>
    </cacheField>
    <cacheField name="Lots Done" numFmtId="0">
      <sharedItems containsString="0" containsBlank="1" containsNumber="1" containsInteger="1" minValue="1" maxValue="20"/>
    </cacheField>
    <cacheField name="Blocks Used" numFmtId="0">
      <sharedItems containsString="0" containsBlank="1" containsNumber="1" containsInteger="1" minValue="7" maxValue="550"/>
    </cacheField>
    <cacheField name="Meat Wt" numFmtId="0">
      <sharedItems containsSemiMixedTypes="0" containsString="0" containsNumber="1" containsInteger="1" minValue="0" maxValue="16500"/>
    </cacheField>
    <cacheField name="Extra Wt" numFmtId="39">
      <sharedItems containsBlank="1" containsMixedTypes="1" containsNumber="1" minValue="13.5" maxValue="1980"/>
    </cacheField>
    <cacheField name="BtTtl" numFmtId="39">
      <sharedItems containsMixedTypes="1" containsNumber="1" containsInteger="1" minValue="50" maxValue="650"/>
    </cacheField>
    <cacheField name="BrTtl" numFmtId="39">
      <sharedItems containsMixedTypes="1" containsNumber="1" containsInteger="1" minValue="50" maxValue="1550"/>
    </cacheField>
    <cacheField name="Batter Used" numFmtId="0">
      <sharedItems containsString="0" containsBlank="1" containsNumber="1" containsInteger="1" minValue="1" maxValue="13"/>
    </cacheField>
    <cacheField name="Breader Used" numFmtId="0">
      <sharedItems containsString="0" containsBlank="1" containsNumber="1" containsInteger="1" minValue="1" maxValue="41"/>
    </cacheField>
    <cacheField name="RawWt" numFmtId="1">
      <sharedItems containsMixedTypes="1" containsNumber="1" minValue="34.950000000000003" maxValue="18130"/>
    </cacheField>
    <cacheField name="Case Total" numFmtId="0">
      <sharedItems containsSemiMixedTypes="0" containsString="0" containsNumber="1" containsInteger="1" minValue="13" maxValue="370"/>
    </cacheField>
    <cacheField name="SatWt" numFmtId="0">
      <sharedItems containsSemiMixedTypes="0" containsString="0" containsNumber="1" containsInteger="1" minValue="75" maxValue="9250"/>
    </cacheField>
    <cacheField name="Gain" numFmtId="1">
      <sharedItems containsMixedTypes="1" containsNumber="1" minValue="-13030" maxValue="3780"/>
    </cacheField>
    <cacheField name="BtBrPct" numFmtId="9">
      <sharedItems containsMixedTypes="1" containsNumber="1" minValue="7.4324324324324328E-2" maxValue="0.2857142857142857"/>
    </cacheField>
    <cacheField name="Species" numFmtId="0">
      <sharedItems/>
    </cacheField>
    <cacheField name="Months (Date)" numFmtId="0" databaseField="0">
      <fieldGroup base="2">
        <rangePr groupBy="months" startDate="2022-01-06T00:00:00" endDate="2024-10-08T00:00:00"/>
        <groupItems count="14">
          <s v="&lt;1/6/2022"/>
          <s v="Jan"/>
          <s v="Feb"/>
          <s v="Mar"/>
          <s v="Apr"/>
          <s v="May"/>
          <s v="Jun"/>
          <s v="Jul"/>
          <s v="Aug"/>
          <s v="Sep"/>
          <s v="Oct"/>
          <s v="Nov"/>
          <s v="Dec"/>
          <s v="&gt;10/8/2024"/>
        </groupItems>
      </fieldGroup>
    </cacheField>
    <cacheField name="Quarters (Date)" numFmtId="0" databaseField="0">
      <fieldGroup base="2">
        <rangePr groupBy="quarters" startDate="2022-01-06T00:00:00" endDate="2024-10-08T00:00:00"/>
        <groupItems count="6">
          <s v="&lt;1/6/2022"/>
          <s v="Qtr1"/>
          <s v="Qtr2"/>
          <s v="Qtr3"/>
          <s v="Qtr4"/>
          <s v="&gt;10/8/2024"/>
        </groupItems>
      </fieldGroup>
    </cacheField>
    <cacheField name="Years (Date)" numFmtId="0" databaseField="0">
      <fieldGroup base="2">
        <rangePr groupBy="years" startDate="2022-01-06T00:00:00" endDate="2024-10-08T00:00:00"/>
        <groupItems count="5">
          <s v="&lt;1/6/2022"/>
          <s v="2022"/>
          <s v="2023"/>
          <s v="2024"/>
          <s v="&gt;10/8/202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9">
  <r>
    <s v="22-006"/>
    <s v="Chicken - Ground"/>
    <x v="0"/>
    <s v="Bulk Ground Chicken"/>
    <n v="4216"/>
    <n v="10"/>
    <n v="60"/>
    <n v="3000"/>
    <s v=""/>
    <s v=""/>
    <s v=""/>
    <m/>
    <m/>
    <n v="3000"/>
    <n v="139"/>
    <n v="4170"/>
    <n v="1170"/>
    <s v=""/>
    <s v="Poultry"/>
  </r>
  <r>
    <s v="22-010"/>
    <s v="Chicken - Ground"/>
    <x v="1"/>
    <s v="Bulk Breakfast Patty"/>
    <n v="4216"/>
    <n v="10"/>
    <n v="60"/>
    <n v="3000"/>
    <n v="116.5"/>
    <s v=""/>
    <s v=""/>
    <m/>
    <m/>
    <n v="3116.5"/>
    <n v="148"/>
    <n v="4440"/>
    <n v="1323.5"/>
    <s v=""/>
    <s v="Poultry"/>
  </r>
  <r>
    <s v="22-011"/>
    <s v="Chicken - Ground"/>
    <x v="2"/>
    <s v="Dinner Patty"/>
    <n v="4216"/>
    <n v="7"/>
    <n v="42"/>
    <n v="2100"/>
    <n v="47.25"/>
    <s v=""/>
    <s v=""/>
    <m/>
    <m/>
    <n v="2147.25"/>
    <n v="119"/>
    <n v="2975"/>
    <n v="827.75"/>
    <s v=""/>
    <s v="Poultry"/>
  </r>
  <r>
    <s v="22-012"/>
    <s v="Fish - Fillets"/>
    <x v="3"/>
    <s v="Fish Portion"/>
    <n v="7676"/>
    <m/>
    <m/>
    <n v="0"/>
    <s v=""/>
    <s v=""/>
    <s v=""/>
    <m/>
    <m/>
    <s v=""/>
    <n v="21"/>
    <n v="630"/>
    <s v=""/>
    <s v=""/>
    <s v=""/>
  </r>
  <r>
    <s v="22-013"/>
    <s v="Chicken - Ground"/>
    <x v="4"/>
    <s v="Breakfast Patty"/>
    <n v="4216"/>
    <n v="9"/>
    <n v="54"/>
    <n v="2700"/>
    <n v="104.85000000000001"/>
    <s v=""/>
    <s v=""/>
    <m/>
    <m/>
    <n v="2804.85"/>
    <n v="129"/>
    <n v="3870"/>
    <n v="1065.1500000000001"/>
    <s v=""/>
    <s v="Poultry"/>
  </r>
  <r>
    <s v="22-018"/>
    <s v="Chicken - Ground"/>
    <x v="5"/>
    <s v="Breakfast Patty"/>
    <n v="4216"/>
    <n v="10"/>
    <n v="60"/>
    <n v="3000"/>
    <n v="116.5"/>
    <s v=""/>
    <s v=""/>
    <m/>
    <m/>
    <n v="3116.5"/>
    <n v="144"/>
    <n v="4320"/>
    <n v="1203.5"/>
    <s v=""/>
    <s v="Poultry"/>
  </r>
  <r>
    <s v="22-024"/>
    <s v="Chicken - Ground"/>
    <x v="6"/>
    <s v="Garlic &amp; Herb Chicken Patty"/>
    <n v="4216"/>
    <n v="15"/>
    <n v="90"/>
    <n v="4500"/>
    <n v="712.5"/>
    <s v=""/>
    <s v=""/>
    <m/>
    <m/>
    <n v="5212.5"/>
    <n v="240"/>
    <n v="7200"/>
    <n v="1987.5"/>
    <s v=""/>
    <s v="Poultry"/>
  </r>
  <r>
    <s v="22-026"/>
    <s v="Chicken - Ground"/>
    <x v="7"/>
    <s v="Meatloaf Patty"/>
    <n v="2018"/>
    <n v="15"/>
    <n v="90"/>
    <n v="4500"/>
    <n v="629.25"/>
    <s v=""/>
    <s v=""/>
    <m/>
    <m/>
    <n v="5129.25"/>
    <n v="279"/>
    <n v="6975"/>
    <n v="1845.75"/>
    <s v=""/>
    <s v="Poultry"/>
  </r>
  <r>
    <s v="22-027"/>
    <s v="Chicken - Ground"/>
    <x v="8"/>
    <s v="Breakfast Patty"/>
    <n v="2018"/>
    <n v="15"/>
    <n v="90"/>
    <n v="4500"/>
    <n v="174.75"/>
    <s v=""/>
    <s v=""/>
    <m/>
    <m/>
    <n v="4674.75"/>
    <n v="216"/>
    <n v="6480"/>
    <n v="1805.25"/>
    <s v=""/>
    <s v="Poultry"/>
  </r>
  <r>
    <s v="22-031"/>
    <s v="Chicken - Ground"/>
    <x v="9"/>
    <s v="Breakfast Patty"/>
    <n v="2018"/>
    <n v="10"/>
    <n v="60"/>
    <n v="3000"/>
    <n v="116.5"/>
    <s v=""/>
    <s v=""/>
    <m/>
    <m/>
    <n v="3116.5"/>
    <n v="152"/>
    <n v="4560"/>
    <n v="1443.5"/>
    <s v=""/>
    <s v="Poultry"/>
  </r>
  <r>
    <s v="22-038"/>
    <s v="Fish - Fillets"/>
    <x v="10"/>
    <s v="Fish Portion"/>
    <n v="7676"/>
    <m/>
    <m/>
    <n v="0"/>
    <s v=""/>
    <s v=""/>
    <s v=""/>
    <m/>
    <m/>
    <s v=""/>
    <n v="65"/>
    <n v="1950"/>
    <s v=""/>
    <s v=""/>
    <s v=""/>
  </r>
  <r>
    <s v="22-039"/>
    <s v="Fish - Fillets"/>
    <x v="11"/>
    <s v="Fish Portion"/>
    <n v="7676"/>
    <m/>
    <m/>
    <n v="0"/>
    <s v=""/>
    <s v=""/>
    <s v=""/>
    <m/>
    <m/>
    <s v=""/>
    <n v="48"/>
    <n v="1440"/>
    <s v=""/>
    <s v=""/>
    <s v=""/>
  </r>
  <r>
    <s v="22-040"/>
    <s v="Fish - Fillets"/>
    <x v="12"/>
    <s v="Fish Portion"/>
    <n v="7676"/>
    <m/>
    <m/>
    <n v="0"/>
    <s v=""/>
    <s v=""/>
    <s v=""/>
    <m/>
    <m/>
    <s v=""/>
    <n v="68"/>
    <n v="2040"/>
    <s v=""/>
    <s v=""/>
    <s v=""/>
  </r>
  <r>
    <s v="22-041"/>
    <s v="Chicken - Tenders"/>
    <x v="13"/>
    <s v="Tuscan Herb Chicken Patty"/>
    <s v="4218/4296"/>
    <n v="10"/>
    <n v="70"/>
    <n v="2800"/>
    <n v="621.5"/>
    <s v=""/>
    <s v=""/>
    <m/>
    <m/>
    <n v="3421.5"/>
    <n v="193"/>
    <n v="4825"/>
    <n v="1403.5"/>
    <s v=""/>
    <s v="Poultry"/>
  </r>
  <r>
    <s v="22-043"/>
    <s v="Chicken - Ground"/>
    <x v="14"/>
    <s v="Breakfast Patty"/>
    <n v="2018"/>
    <n v="5"/>
    <n v="30"/>
    <n v="1500"/>
    <n v="58.25"/>
    <s v=""/>
    <s v=""/>
    <m/>
    <m/>
    <n v="1558.25"/>
    <n v="69"/>
    <n v="2070"/>
    <n v="511.75"/>
    <s v=""/>
    <s v="Poultry"/>
  </r>
  <r>
    <s v="22-045"/>
    <s v="Chicken - Tenders"/>
    <x v="15"/>
    <s v="Tuscan Herb Chicken Patty"/>
    <s v="4218/4296"/>
    <n v="11"/>
    <n v="77"/>
    <n v="3080"/>
    <n v="683.65"/>
    <s v=""/>
    <s v=""/>
    <m/>
    <m/>
    <n v="3763.65"/>
    <n v="217"/>
    <n v="5425"/>
    <n v="1661.35"/>
    <s v=""/>
    <s v="Poultry"/>
  </r>
  <r>
    <s v="22-046"/>
    <s v="Chicken - Ground"/>
    <x v="16"/>
    <s v="Dinner Patty"/>
    <n v="2018"/>
    <n v="11"/>
    <n v="66"/>
    <n v="3300"/>
    <n v="74.25"/>
    <s v=""/>
    <s v=""/>
    <m/>
    <m/>
    <n v="3374.25"/>
    <n v="192"/>
    <n v="4800"/>
    <n v="1425.75"/>
    <s v=""/>
    <s v="Poultry"/>
  </r>
  <r>
    <s v="22-048"/>
    <s v="Fish - Fillets"/>
    <x v="17"/>
    <s v="Fish Portion"/>
    <n v="7676"/>
    <m/>
    <m/>
    <n v="0"/>
    <s v=""/>
    <s v=""/>
    <s v=""/>
    <m/>
    <m/>
    <s v=""/>
    <n v="50"/>
    <n v="1500"/>
    <s v=""/>
    <s v=""/>
    <s v=""/>
  </r>
  <r>
    <s v="22-054"/>
    <s v="Chicken - Tenders"/>
    <x v="18"/>
    <s v="Breaded Chicken Patty"/>
    <s v="4218/4296"/>
    <n v="12"/>
    <n v="84"/>
    <n v="3360"/>
    <n v="648"/>
    <n v="200"/>
    <n v="1200"/>
    <n v="4"/>
    <n v="24"/>
    <n v="5408"/>
    <n v="266"/>
    <n v="6650"/>
    <n v="1242"/>
    <n v="0.21052631578947367"/>
    <s v="Poultry"/>
  </r>
  <r>
    <s v="22-055"/>
    <s v="Chicken - Tenders"/>
    <x v="19"/>
    <s v="Breaded Chicken Patty"/>
    <s v="2620/4296"/>
    <n v="12"/>
    <n v="84"/>
    <n v="3360"/>
    <n v="648"/>
    <n v="250"/>
    <n v="1050"/>
    <n v="5"/>
    <n v="21"/>
    <n v="5308"/>
    <n v="262"/>
    <n v="6550"/>
    <n v="1242"/>
    <n v="0.19847328244274809"/>
    <s v="Poultry"/>
  </r>
  <r>
    <s v="22-059"/>
    <s v="Chicken - Tenders"/>
    <x v="20"/>
    <s v="Spicy Breaded Chicken Patty"/>
    <s v="2620/4296"/>
    <n v="4"/>
    <n v="28"/>
    <n v="1120"/>
    <n v="239.2"/>
    <n v="50"/>
    <n v="250"/>
    <n v="1"/>
    <n v="5"/>
    <n v="1659.2"/>
    <n v="98"/>
    <n v="2450"/>
    <n v="790.8"/>
    <n v="0.12244897959183673"/>
    <s v="Poultry"/>
  </r>
  <r>
    <s v="22-059"/>
    <s v="Chicken - Tenders"/>
    <x v="20"/>
    <s v="Spicy Breaded Chicken Patty"/>
    <s v="2620/4296"/>
    <n v="8"/>
    <n v="56"/>
    <n v="2240"/>
    <n v="478.4"/>
    <n v="150"/>
    <n v="600"/>
    <n v="3"/>
    <n v="12"/>
    <n v="3468.4"/>
    <n v="180"/>
    <n v="4500"/>
    <n v="1031.5999999999999"/>
    <n v="0.16666666666666666"/>
    <s v="Poultry"/>
  </r>
  <r>
    <s v="22-060"/>
    <s v="Pork - Trim"/>
    <x v="21"/>
    <s v="Breaded Pork Patty"/>
    <n v="4204"/>
    <n v="12"/>
    <n v="60"/>
    <n v="3600"/>
    <n v="489.59999999999997"/>
    <n v="200"/>
    <n v="1025"/>
    <n v="4"/>
    <n v="41"/>
    <n v="5314.6"/>
    <n v="245"/>
    <n v="6125"/>
    <n v="810.39999999999964"/>
    <n v="0.2"/>
    <s v="Meat"/>
  </r>
  <r>
    <s v="22-061"/>
    <s v="Chicken - Tenders"/>
    <x v="22"/>
    <s v="Breaded Chicken Patty"/>
    <s v="2620/4296"/>
    <n v="12"/>
    <n v="84"/>
    <n v="3360"/>
    <n v="648"/>
    <n v="250"/>
    <n v="1100"/>
    <n v="5"/>
    <n v="22"/>
    <n v="5358"/>
    <n v="257"/>
    <n v="6425"/>
    <n v="1067"/>
    <n v="0.21011673151750973"/>
    <s v="Poultry"/>
  </r>
  <r>
    <s v="22-062"/>
    <s v="Chicken - Tenders"/>
    <x v="23"/>
    <s v="Breaded Chicken Patty"/>
    <s v="2620/4296"/>
    <n v="12"/>
    <n v="84"/>
    <n v="3360"/>
    <n v="648"/>
    <n v="200"/>
    <n v="750"/>
    <n v="4"/>
    <n v="15"/>
    <n v="4958"/>
    <n v="260"/>
    <n v="6500"/>
    <n v="1542"/>
    <n v="0.14615384615384616"/>
    <s v="Poultry"/>
  </r>
  <r>
    <s v="22-067"/>
    <s v="Chicken - Tenders"/>
    <x v="24"/>
    <s v="Tuscan Herb Chicken Patty"/>
    <s v="2620/4296"/>
    <n v="8"/>
    <n v="56"/>
    <n v="2240"/>
    <n v="497.2"/>
    <s v=""/>
    <s v=""/>
    <m/>
    <m/>
    <n v="2737.2"/>
    <n v="147"/>
    <n v="3675"/>
    <n v="937.80000000000018"/>
    <s v=""/>
    <s v="Poultry"/>
  </r>
  <r>
    <s v="22-067"/>
    <s v="Chicken - Tenders"/>
    <x v="24"/>
    <s v="Tuscan Herb Chicken Patty"/>
    <s v="2620/4296"/>
    <n v="6"/>
    <n v="42"/>
    <n v="1680"/>
    <n v="372.9"/>
    <s v=""/>
    <s v=""/>
    <m/>
    <m/>
    <n v="2052.9"/>
    <n v="115"/>
    <n v="2875"/>
    <n v="822.09999999999991"/>
    <s v=""/>
    <s v="Poultry"/>
  </r>
  <r>
    <s v="22-068"/>
    <s v="Chicken - Ground"/>
    <x v="25"/>
    <s v="Breakfast Patty"/>
    <n v="2185"/>
    <n v="9"/>
    <n v="45"/>
    <n v="2250"/>
    <n v="104.85000000000001"/>
    <s v=""/>
    <s v=""/>
    <m/>
    <m/>
    <n v="2354.85"/>
    <n v="150"/>
    <n v="4500"/>
    <n v="2145.15"/>
    <s v=""/>
    <s v="Poultry"/>
  </r>
  <r>
    <s v="22-068"/>
    <s v="Chicken - Ground"/>
    <x v="25"/>
    <s v="Dinner Patty"/>
    <n v="2185"/>
    <n v="3"/>
    <n v="15"/>
    <n v="750"/>
    <n v="20.25"/>
    <s v=""/>
    <s v=""/>
    <m/>
    <m/>
    <n v="770.25"/>
    <n v="55"/>
    <n v="1375"/>
    <n v="604.75"/>
    <s v=""/>
    <s v="Poultry"/>
  </r>
  <r>
    <s v="22-069"/>
    <s v="Chicken - Ground"/>
    <x v="26"/>
    <s v="Bulk Ground Chicken"/>
    <n v="2185"/>
    <n v="12"/>
    <n v="72"/>
    <n v="3600"/>
    <s v=""/>
    <s v=""/>
    <s v=""/>
    <m/>
    <m/>
    <n v="3600"/>
    <n v="178"/>
    <n v="5340"/>
    <n v="1740"/>
    <s v=""/>
    <s v="Poultry"/>
  </r>
  <r>
    <s v="22-069"/>
    <s v="Chicken - Ground"/>
    <x v="26"/>
    <s v="Bulk Ground Chicken"/>
    <n v="2185"/>
    <n v="8"/>
    <n v="56"/>
    <n v="2800"/>
    <s v=""/>
    <s v=""/>
    <s v=""/>
    <m/>
    <m/>
    <n v="2800"/>
    <n v="98"/>
    <n v="2940"/>
    <n v="140"/>
    <s v=""/>
    <s v="Poultry"/>
  </r>
  <r>
    <s v="22-073"/>
    <s v="Chicken - Ground"/>
    <x v="27"/>
    <s v="Breakfast Patty"/>
    <n v="2185"/>
    <n v="10"/>
    <n v="60"/>
    <n v="3000"/>
    <n v="116.5"/>
    <s v=""/>
    <s v=""/>
    <m/>
    <m/>
    <n v="3116.5"/>
    <n v="157"/>
    <n v="4710"/>
    <n v="1593.5"/>
    <s v=""/>
    <s v="Poultry"/>
  </r>
  <r>
    <s v="22-074"/>
    <s v="Fish - Fillets"/>
    <x v="28"/>
    <s v="Fish Portion"/>
    <n v="7676"/>
    <m/>
    <m/>
    <n v="0"/>
    <s v=""/>
    <s v=""/>
    <s v=""/>
    <m/>
    <m/>
    <s v=""/>
    <n v="26"/>
    <n v="780"/>
    <s v=""/>
    <s v=""/>
    <s v=""/>
  </r>
  <r>
    <s v="22-075"/>
    <s v="Chicken - Ground"/>
    <x v="29"/>
    <s v="Breakfast Maple Patty"/>
    <n v="2185"/>
    <n v="12"/>
    <n v="72"/>
    <n v="3600"/>
    <n v="244.79999999999998"/>
    <s v=""/>
    <s v=""/>
    <m/>
    <m/>
    <n v="3844.8"/>
    <n v="176"/>
    <n v="5280"/>
    <n v="1435.1999999999998"/>
    <s v=""/>
    <s v="Poultry"/>
  </r>
  <r>
    <s v="22-080"/>
    <s v="Chicken - Ground"/>
    <x v="30"/>
    <s v="Dinner Patty"/>
    <n v="2185"/>
    <n v="10"/>
    <n v="60"/>
    <n v="3000"/>
    <n v="67.5"/>
    <s v=""/>
    <s v=""/>
    <m/>
    <m/>
    <n v="3067.5"/>
    <n v="171"/>
    <n v="4275"/>
    <n v="1207.5"/>
    <s v=""/>
    <s v="Poultry"/>
  </r>
  <r>
    <s v="22-081"/>
    <s v="Pork - Trim"/>
    <x v="31"/>
    <s v="Breakfast Pork Patty"/>
    <n v="4204"/>
    <n v="10"/>
    <n v="50"/>
    <n v="3000"/>
    <n v="116.5"/>
    <s v=""/>
    <s v=""/>
    <m/>
    <m/>
    <n v="3116.5"/>
    <n v="129"/>
    <n v="3870"/>
    <n v="753.5"/>
    <s v=""/>
    <s v="Meat"/>
  </r>
  <r>
    <s v="22-082"/>
    <s v="Pork - Trim"/>
    <x v="32"/>
    <s v="Pork BBQ Patty"/>
    <n v="4204"/>
    <n v="13"/>
    <n v="65"/>
    <n v="3900"/>
    <n v="530.4"/>
    <s v=""/>
    <s v=""/>
    <m/>
    <m/>
    <n v="4430.3999999999996"/>
    <n v="235"/>
    <n v="5875"/>
    <n v="1444.6000000000004"/>
    <s v=""/>
    <s v="Meat"/>
  </r>
  <r>
    <s v="22-083"/>
    <s v="Fish - Fillets"/>
    <x v="33"/>
    <s v="Fish Portion"/>
    <n v="7676"/>
    <m/>
    <m/>
    <n v="0"/>
    <s v=""/>
    <s v=""/>
    <s v=""/>
    <m/>
    <m/>
    <s v=""/>
    <n v="101"/>
    <n v="3030"/>
    <s v=""/>
    <s v=""/>
    <s v=""/>
  </r>
  <r>
    <s v="22-087"/>
    <s v="Fish - Fillets"/>
    <x v="34"/>
    <s v="Fish Portion"/>
    <n v="7676"/>
    <m/>
    <m/>
    <n v="0"/>
    <s v=""/>
    <s v=""/>
    <s v=""/>
    <m/>
    <m/>
    <s v=""/>
    <n v="71"/>
    <n v="2130"/>
    <s v=""/>
    <s v=""/>
    <s v=""/>
  </r>
  <r>
    <s v="22-095"/>
    <s v="Chicken - Ground"/>
    <x v="35"/>
    <s v="Breakfast Patty"/>
    <n v="8820"/>
    <n v="8"/>
    <n v="48"/>
    <n v="2400"/>
    <n v="93.2"/>
    <s v=""/>
    <s v=""/>
    <m/>
    <m/>
    <n v="2493.1999999999998"/>
    <n v="113"/>
    <n v="3390"/>
    <n v="896.80000000000018"/>
    <s v=""/>
    <s v="Poultry"/>
  </r>
  <r>
    <s v="22-096"/>
    <s v="Chicken - Ground"/>
    <x v="36"/>
    <s v="Garlic &amp; Herb Chicken Patty"/>
    <n v="8820"/>
    <n v="8"/>
    <n v="48"/>
    <n v="2400"/>
    <n v="380"/>
    <s v=""/>
    <s v=""/>
    <m/>
    <m/>
    <n v="2780"/>
    <n v="118"/>
    <n v="3540"/>
    <n v="760"/>
    <s v=""/>
    <s v="Poultry"/>
  </r>
  <r>
    <s v="22-097"/>
    <s v="Chicken - Ground"/>
    <x v="37"/>
    <s v="Bulk Ground Chicken"/>
    <n v="8820"/>
    <n v="15"/>
    <n v="90"/>
    <n v="4500"/>
    <s v=""/>
    <s v=""/>
    <s v=""/>
    <m/>
    <m/>
    <n v="4500"/>
    <n v="212"/>
    <n v="6360"/>
    <n v="1860"/>
    <s v=""/>
    <s v="Poultry"/>
  </r>
  <r>
    <s v="22-101"/>
    <s v="Chicken - Ground"/>
    <x v="38"/>
    <s v="Dinner Patty"/>
    <n v="8820"/>
    <n v="11"/>
    <n v="66"/>
    <n v="3300"/>
    <n v="74.25"/>
    <s v=""/>
    <s v=""/>
    <m/>
    <m/>
    <n v="3374.25"/>
    <n v="180"/>
    <n v="4500"/>
    <n v="1125.75"/>
    <s v=""/>
    <s v="Poultry"/>
  </r>
  <r>
    <s v="22-102"/>
    <s v="Chicken - Tenders"/>
    <x v="39"/>
    <s v="Tuscan Herb Chicken Patty"/>
    <s v="2620/4296"/>
    <n v="12"/>
    <n v="84"/>
    <n v="3360"/>
    <n v="745.8"/>
    <s v=""/>
    <s v=""/>
    <m/>
    <m/>
    <n v="4105.8"/>
    <n v="222"/>
    <n v="5550"/>
    <n v="1444.1999999999998"/>
    <s v=""/>
    <s v="Poultry"/>
  </r>
  <r>
    <s v="22-103"/>
    <s v="Chicken - Tenders"/>
    <x v="40"/>
    <s v="Breaded Chicken Patty"/>
    <s v="2620/4296"/>
    <n v="12"/>
    <n v="84"/>
    <n v="3360"/>
    <n v="648"/>
    <n v="200"/>
    <n v="900"/>
    <n v="4"/>
    <n v="18"/>
    <n v="5108"/>
    <n v="263"/>
    <n v="6575"/>
    <n v="1467"/>
    <n v="0.16730038022813687"/>
    <s v="Poultry"/>
  </r>
  <r>
    <s v="22-104"/>
    <s v="Chicken - Tenders"/>
    <x v="41"/>
    <s v="Breaded Chicken Patty"/>
    <s v="2620/4296"/>
    <n v="7"/>
    <n v="49"/>
    <n v="1960"/>
    <n v="378"/>
    <n v="100"/>
    <n v="750"/>
    <n v="2"/>
    <n v="15"/>
    <n v="3188"/>
    <n v="144"/>
    <n v="3600"/>
    <n v="412"/>
    <n v="0.2361111111111111"/>
    <s v="Poultry"/>
  </r>
  <r>
    <s v="22-104"/>
    <s v="Chicken - Tenders"/>
    <x v="41"/>
    <s v="Spicy Breaded Chicken Patty"/>
    <s v="2620/4296"/>
    <n v="5"/>
    <n v="35"/>
    <n v="1400"/>
    <n v="299"/>
    <n v="100"/>
    <n v="500"/>
    <n v="2"/>
    <n v="10"/>
    <n v="2299"/>
    <n v="112"/>
    <n v="2800"/>
    <n v="501"/>
    <n v="0.21428571428571427"/>
    <s v="Poultry"/>
  </r>
  <r>
    <s v="22-108"/>
    <s v="Fish - Imitation Crab"/>
    <x v="42"/>
    <s v="Krabby Patty"/>
    <n v="2023"/>
    <n v="11"/>
    <n v="550"/>
    <n v="16500"/>
    <n v="330"/>
    <n v="150"/>
    <n v="700"/>
    <n v="3"/>
    <n v="14"/>
    <n v="17680"/>
    <n v="217"/>
    <n v="5425"/>
    <n v="-12255"/>
    <s v=""/>
    <s v=""/>
  </r>
  <r>
    <s v="22-110"/>
    <s v="Chicken - Ground"/>
    <x v="43"/>
    <s v="Breakfast Patty"/>
    <n v="8820"/>
    <n v="6"/>
    <n v="42"/>
    <n v="2100"/>
    <n v="69.900000000000006"/>
    <s v=""/>
    <s v=""/>
    <m/>
    <m/>
    <n v="2169.9"/>
    <n v="86"/>
    <n v="2580"/>
    <n v="410.09999999999991"/>
    <s v=""/>
    <s v="Poultry"/>
  </r>
  <r>
    <s v="22-115"/>
    <s v="Fish - Imitation Crab"/>
    <x v="44"/>
    <s v="Krabby Patty"/>
    <n v="2023"/>
    <n v="11"/>
    <n v="550"/>
    <n v="16500"/>
    <n v="330"/>
    <n v="550"/>
    <n v="750"/>
    <n v="11"/>
    <n v="15"/>
    <n v="18130"/>
    <n v="204"/>
    <n v="5100"/>
    <n v="-13030"/>
    <s v=""/>
    <s v=""/>
  </r>
  <r>
    <s v="22-116"/>
    <s v="Chicken - Ground"/>
    <x v="45"/>
    <s v="Breakfast Patty"/>
    <n v="8864"/>
    <n v="12"/>
    <n v="72"/>
    <n v="3600"/>
    <n v="139.80000000000001"/>
    <s v=""/>
    <s v=""/>
    <m/>
    <m/>
    <n v="3739.8"/>
    <n v="176"/>
    <n v="5280"/>
    <n v="1540.1999999999998"/>
    <s v=""/>
    <s v="Poultry"/>
  </r>
  <r>
    <s v="22-117"/>
    <s v="Chicken - Ground"/>
    <x v="46"/>
    <s v="Bulk Ground Chicken"/>
    <n v="8864"/>
    <n v="14"/>
    <n v="98"/>
    <n v="4900"/>
    <s v=""/>
    <s v=""/>
    <s v=""/>
    <m/>
    <m/>
    <n v="4900"/>
    <n v="195"/>
    <n v="5850"/>
    <n v="950"/>
    <s v=""/>
    <s v="Poultry"/>
  </r>
  <r>
    <s v="22-117"/>
    <s v="Chicken - Ground"/>
    <x v="46"/>
    <s v="Bulk Ground Chicken"/>
    <n v="8864"/>
    <n v="11"/>
    <n v="77"/>
    <n v="3850"/>
    <s v=""/>
    <s v=""/>
    <s v=""/>
    <m/>
    <m/>
    <n v="3850"/>
    <n v="147"/>
    <n v="4410"/>
    <n v="560"/>
    <s v=""/>
    <s v="Poultry"/>
  </r>
  <r>
    <s v="22-118"/>
    <s v="Chicken - Ground"/>
    <x v="47"/>
    <s v="Bulk Ground Chicken"/>
    <n v="8864"/>
    <n v="15"/>
    <n v="105"/>
    <n v="5250"/>
    <s v=""/>
    <s v=""/>
    <s v=""/>
    <m/>
    <m/>
    <n v="5250"/>
    <n v="220"/>
    <n v="6600"/>
    <n v="1350"/>
    <s v=""/>
    <s v="Poultry"/>
  </r>
  <r>
    <s v="22-122"/>
    <s v="Chicken - Ground"/>
    <x v="48"/>
    <s v="Dinner Patty"/>
    <n v="8864"/>
    <n v="12"/>
    <n v="72"/>
    <n v="3600"/>
    <n v="81"/>
    <s v=""/>
    <s v=""/>
    <m/>
    <m/>
    <n v="3681"/>
    <n v="194"/>
    <n v="4850"/>
    <n v="1169"/>
    <s v=""/>
    <s v="Poultry"/>
  </r>
  <r>
    <s v="22-124"/>
    <s v="Chicken - Ground"/>
    <x v="49"/>
    <s v="Garlic &amp; Herb Chicken Patty"/>
    <n v="8864"/>
    <n v="15"/>
    <n v="90"/>
    <n v="4500"/>
    <n v="712.5"/>
    <s v=""/>
    <s v=""/>
    <m/>
    <m/>
    <n v="5212.5"/>
    <n v="235"/>
    <n v="7050"/>
    <n v="1837.5"/>
    <s v=""/>
    <s v="Poultry"/>
  </r>
  <r>
    <s v="22-131"/>
    <s v="Chicken - Tenders"/>
    <x v="50"/>
    <s v="Breaded Chicken Patty"/>
    <s v="4018/4296"/>
    <n v="14"/>
    <n v="98"/>
    <n v="3920"/>
    <n v="756"/>
    <n v="150"/>
    <n v="1100"/>
    <n v="3"/>
    <n v="22"/>
    <n v="5926"/>
    <n v="301"/>
    <n v="7525"/>
    <n v="1599"/>
    <n v="0.16611295681063123"/>
    <s v="Poultry"/>
  </r>
  <r>
    <s v="22-132"/>
    <s v="Chicken - Tenders"/>
    <x v="51"/>
    <s v="Breaded Chicken Patty"/>
    <s v="4018/4296"/>
    <n v="10"/>
    <n v="70"/>
    <n v="2800"/>
    <n v="540"/>
    <n v="150"/>
    <n v="1000"/>
    <n v="3"/>
    <n v="20"/>
    <n v="4490"/>
    <n v="222"/>
    <n v="5550"/>
    <n v="1060"/>
    <n v="0.2072072072072072"/>
    <s v="Poultry"/>
  </r>
  <r>
    <s v="22-136"/>
    <s v="Chicken - Tenders"/>
    <x v="52"/>
    <s v="Spicy Breaded Chicken Patty"/>
    <s v="4018/4296"/>
    <n v="12"/>
    <n v="86"/>
    <n v="3440"/>
    <n v="717.59999999999991"/>
    <n v="150"/>
    <n v="1450"/>
    <n v="3"/>
    <n v="29"/>
    <n v="5757.6"/>
    <n v="264"/>
    <n v="6600"/>
    <n v="842.39999999999964"/>
    <n v="0.24242424242424243"/>
    <s v="Poultry"/>
  </r>
  <r>
    <s v="22-137"/>
    <s v="Cheese - Gouda"/>
    <x v="53"/>
    <s v="Gouda Shouda"/>
    <s v="G137-22"/>
    <n v="9"/>
    <n v="54"/>
    <n v="0"/>
    <n v="1485"/>
    <n v="200"/>
    <n v="300"/>
    <n v="4"/>
    <n v="6"/>
    <n v="1985"/>
    <n v="86"/>
    <n v="2150"/>
    <n v="165"/>
    <s v=""/>
    <s v=""/>
  </r>
  <r>
    <s v="22-143"/>
    <s v="Chicken - Ground"/>
    <x v="54"/>
    <s v="Bulk Breakfast Patty"/>
    <n v="8864"/>
    <n v="20"/>
    <n v="140"/>
    <n v="7000"/>
    <n v="233"/>
    <s v=""/>
    <s v=""/>
    <m/>
    <m/>
    <n v="7233"/>
    <n v="280"/>
    <n v="8400"/>
    <n v="1167"/>
    <s v=""/>
    <s v="Poultry"/>
  </r>
  <r>
    <s v="22-144"/>
    <s v="Chicken - Ground"/>
    <x v="55"/>
    <s v="Breakfast Maple Patty"/>
    <n v="731"/>
    <n v="10"/>
    <n v="60"/>
    <n v="3000"/>
    <n v="204"/>
    <s v=""/>
    <s v=""/>
    <m/>
    <m/>
    <n v="3204"/>
    <n v="140"/>
    <n v="4200"/>
    <n v="996"/>
    <s v=""/>
    <s v="Poultry"/>
  </r>
  <r>
    <s v="22-145"/>
    <s v="Chicken - Ground"/>
    <x v="56"/>
    <s v="Breakfast Patty"/>
    <n v="731"/>
    <n v="10"/>
    <n v="60"/>
    <n v="3000"/>
    <n v="116.5"/>
    <s v=""/>
    <s v=""/>
    <m/>
    <m/>
    <n v="3116.5"/>
    <n v="140"/>
    <n v="4200"/>
    <n v="1083.5"/>
    <s v=""/>
    <s v="Poultry"/>
  </r>
  <r>
    <s v="22-146"/>
    <s v="Chicken - Ground"/>
    <x v="57"/>
    <s v="Breakfast Patty"/>
    <n v="731"/>
    <n v="10"/>
    <n v="60"/>
    <n v="3000"/>
    <n v="116.5"/>
    <s v=""/>
    <s v=""/>
    <m/>
    <m/>
    <n v="3116.5"/>
    <n v="143"/>
    <n v="4290"/>
    <n v="1173.5"/>
    <s v=""/>
    <s v="Poultry"/>
  </r>
  <r>
    <s v="22-151"/>
    <s v="Chicken - Ground"/>
    <x v="58"/>
    <s v="Dinner Patty"/>
    <n v="731"/>
    <n v="10"/>
    <n v="60"/>
    <n v="3000"/>
    <n v="67.5"/>
    <s v=""/>
    <s v=""/>
    <m/>
    <m/>
    <n v="3067.5"/>
    <n v="168"/>
    <n v="4200"/>
    <n v="1132.5"/>
    <s v=""/>
    <s v="Poultry"/>
  </r>
  <r>
    <s v="22-152"/>
    <s v="Chicken - Ground"/>
    <x v="59"/>
    <s v="Meatloaf Patty"/>
    <n v="731"/>
    <n v="10"/>
    <n v="60"/>
    <n v="3000"/>
    <n v="419.5"/>
    <s v=""/>
    <s v=""/>
    <m/>
    <m/>
    <n v="3419.5"/>
    <n v="161"/>
    <n v="4025"/>
    <n v="605.5"/>
    <s v=""/>
    <s v="Poultry"/>
  </r>
  <r>
    <s v="22-153"/>
    <s v="Chicken - Ground"/>
    <x v="60"/>
    <s v="Supreme Pizza Patty"/>
    <n v="731"/>
    <n v="5"/>
    <n v="30"/>
    <n v="1500"/>
    <n v="326"/>
    <s v=""/>
    <s v=""/>
    <m/>
    <m/>
    <n v="1826"/>
    <n v="108"/>
    <n v="2700"/>
    <n v="874"/>
    <s v=""/>
    <s v="Poultry"/>
  </r>
  <r>
    <s v="22-158"/>
    <s v="Chicken - Ground"/>
    <x v="61"/>
    <s v="Bulk Ground Chicken"/>
    <n v="731"/>
    <n v="14"/>
    <n v="84"/>
    <n v="4200"/>
    <s v=""/>
    <s v=""/>
    <s v=""/>
    <m/>
    <m/>
    <n v="4200"/>
    <n v="173"/>
    <n v="5190"/>
    <n v="990"/>
    <s v=""/>
    <s v="Poultry"/>
  </r>
  <r>
    <s v="22-159"/>
    <s v="Chicken - Ground"/>
    <x v="62"/>
    <s v="Bulk Ground Chicken"/>
    <n v="731"/>
    <n v="16"/>
    <n v="96"/>
    <n v="4800"/>
    <s v=""/>
    <s v=""/>
    <s v=""/>
    <m/>
    <m/>
    <n v="4800"/>
    <n v="211"/>
    <n v="6330"/>
    <n v="1530"/>
    <s v=""/>
    <s v="Poultry"/>
  </r>
  <r>
    <s v="22-165"/>
    <s v="Chicken - Ground"/>
    <x v="63"/>
    <s v="Breakfast Patty"/>
    <n v="731"/>
    <n v="8"/>
    <n v="48"/>
    <n v="2400"/>
    <n v="93.2"/>
    <s v=""/>
    <s v=""/>
    <m/>
    <m/>
    <n v="2493.1999999999998"/>
    <n v="105"/>
    <n v="3150"/>
    <n v="656.80000000000018"/>
    <s v=""/>
    <s v="Poultry"/>
  </r>
  <r>
    <s v="22-166"/>
    <s v="Cornmeal"/>
    <x v="64"/>
    <s v="Hush Puppies"/>
    <s v="H166-22"/>
    <m/>
    <m/>
    <n v="0"/>
    <s v=""/>
    <s v=""/>
    <s v=""/>
    <m/>
    <m/>
    <s v=""/>
    <n v="15"/>
    <n v="75"/>
    <s v=""/>
    <s v=""/>
    <s v=""/>
  </r>
  <r>
    <s v="22-167"/>
    <s v="Cornmeal"/>
    <x v="65"/>
    <s v="Hush Puppies"/>
    <s v="H167-22"/>
    <m/>
    <m/>
    <n v="0"/>
    <s v=""/>
    <s v=""/>
    <s v=""/>
    <m/>
    <m/>
    <s v=""/>
    <n v="28"/>
    <n v="140"/>
    <s v=""/>
    <s v=""/>
    <s v=""/>
  </r>
  <r>
    <s v="22-172"/>
    <s v="Cornmeal"/>
    <x v="66"/>
    <s v="Hush Puppies"/>
    <s v="H172-22"/>
    <m/>
    <m/>
    <n v="0"/>
    <s v=""/>
    <s v=""/>
    <s v=""/>
    <m/>
    <m/>
    <s v=""/>
    <n v="48"/>
    <n v="240"/>
    <s v=""/>
    <s v=""/>
    <s v=""/>
  </r>
  <r>
    <s v="22-173"/>
    <s v="Cornmeal"/>
    <x v="67"/>
    <s v="Hush Puppies"/>
    <s v="H173-22"/>
    <m/>
    <m/>
    <n v="0"/>
    <s v=""/>
    <s v=""/>
    <s v=""/>
    <m/>
    <m/>
    <s v=""/>
    <n v="49"/>
    <n v="245"/>
    <s v=""/>
    <s v=""/>
    <s v=""/>
  </r>
  <r>
    <s v="22-178"/>
    <s v="Chicken - Ground"/>
    <x v="68"/>
    <s v="Dinner Patty"/>
    <n v="731"/>
    <n v="10"/>
    <n v="60"/>
    <n v="3000"/>
    <n v="67.5"/>
    <s v=""/>
    <s v=""/>
    <m/>
    <m/>
    <n v="3067.5"/>
    <n v="179"/>
    <n v="4475"/>
    <n v="1407.5"/>
    <s v=""/>
    <s v="Poultry"/>
  </r>
  <r>
    <s v="22-179"/>
    <s v="Cornmeal"/>
    <x v="69"/>
    <s v="Hush Puppies"/>
    <s v="H179-22"/>
    <m/>
    <m/>
    <n v="0"/>
    <s v=""/>
    <s v=""/>
    <s v=""/>
    <m/>
    <m/>
    <s v=""/>
    <n v="52"/>
    <n v="260"/>
    <s v=""/>
    <s v=""/>
    <s v=""/>
  </r>
  <r>
    <s v="22-180"/>
    <s v="Cornmeal"/>
    <x v="70"/>
    <s v="Hush Puppies"/>
    <s v="H180-22"/>
    <m/>
    <m/>
    <n v="0"/>
    <s v=""/>
    <s v=""/>
    <s v=""/>
    <m/>
    <m/>
    <s v=""/>
    <n v="50"/>
    <n v="250"/>
    <s v=""/>
    <s v=""/>
    <s v=""/>
  </r>
  <r>
    <s v="22-181"/>
    <s v="Cornmeal"/>
    <x v="71"/>
    <s v="Hush Puppies"/>
    <s v="H181-22"/>
    <m/>
    <m/>
    <n v="0"/>
    <s v=""/>
    <s v=""/>
    <s v=""/>
    <m/>
    <m/>
    <s v=""/>
    <n v="32"/>
    <n v="160"/>
    <s v=""/>
    <s v=""/>
    <s v=""/>
  </r>
  <r>
    <s v="22-192"/>
    <s v="Chicken - Ground"/>
    <x v="72"/>
    <s v="Breakfast Patty"/>
    <n v="731"/>
    <n v="8"/>
    <n v="48"/>
    <n v="2400"/>
    <n v="93.2"/>
    <s v=""/>
    <s v=""/>
    <m/>
    <m/>
    <n v="2493.1999999999998"/>
    <n v="106"/>
    <n v="3180"/>
    <n v="686.80000000000018"/>
    <s v=""/>
    <s v="Poultry"/>
  </r>
  <r>
    <s v="22-208"/>
    <s v="Chicken - Tenders"/>
    <x v="73"/>
    <s v="Spicy Breaded Chicken Patty"/>
    <s v="4018/4296"/>
    <n v="5"/>
    <n v="35"/>
    <n v="1400"/>
    <n v="299"/>
    <n v="50"/>
    <n v="250"/>
    <n v="1"/>
    <n v="5"/>
    <n v="1999"/>
    <n v="98"/>
    <n v="2450"/>
    <n v="451"/>
    <n v="0.12244897959183673"/>
    <s v="Poultry"/>
  </r>
  <r>
    <s v="22-208"/>
    <s v="Chicken - Tenders"/>
    <x v="73"/>
    <s v="Spicy Breaded Chicken Patty"/>
    <s v="4018/4296"/>
    <n v="2"/>
    <n v="14"/>
    <n v="560"/>
    <n v="119.6"/>
    <n v="50"/>
    <n v="100"/>
    <n v="1"/>
    <n v="2"/>
    <n v="829.6"/>
    <n v="42"/>
    <n v="1050"/>
    <n v="220.39999999999998"/>
    <n v="0.14285714285714285"/>
    <s v="Poultry"/>
  </r>
  <r>
    <s v="22-209"/>
    <s v="Chicken - Ground"/>
    <x v="74"/>
    <s v="Dinner Patty"/>
    <n v="731"/>
    <n v="7"/>
    <n v="42"/>
    <n v="2100"/>
    <n v="47.25"/>
    <s v=""/>
    <s v=""/>
    <m/>
    <m/>
    <n v="2147.25"/>
    <n v="111"/>
    <n v="2775"/>
    <n v="627.75"/>
    <s v=""/>
    <s v="Poultry"/>
  </r>
  <r>
    <s v="22-214"/>
    <s v="Chicken - Ground"/>
    <x v="75"/>
    <s v="Breakfast Patty"/>
    <n v="731"/>
    <n v="7"/>
    <n v="42"/>
    <n v="2100"/>
    <n v="81.55"/>
    <s v=""/>
    <s v=""/>
    <m/>
    <m/>
    <n v="2181.5500000000002"/>
    <n v="98"/>
    <n v="2940"/>
    <n v="758.44999999999982"/>
    <s v=""/>
    <s v="Poultry"/>
  </r>
  <r>
    <s v="22-215"/>
    <s v="Chicken - Ground"/>
    <x v="76"/>
    <s v="Bulk Ground Chicken"/>
    <n v="3048"/>
    <n v="12"/>
    <n v="72"/>
    <n v="3600"/>
    <s v=""/>
    <s v=""/>
    <s v=""/>
    <m/>
    <m/>
    <n v="3600"/>
    <n v="165"/>
    <n v="4950"/>
    <n v="1350"/>
    <s v=""/>
    <s v="Poultry"/>
  </r>
  <r>
    <s v="22-220"/>
    <s v="Chicken - Ground"/>
    <x v="77"/>
    <s v="Meatloaf Patty"/>
    <n v="3048"/>
    <n v="10"/>
    <n v="60"/>
    <n v="3000"/>
    <n v="419.5"/>
    <s v=""/>
    <s v=""/>
    <m/>
    <m/>
    <n v="3419.5"/>
    <n v="182"/>
    <n v="4550"/>
    <n v="1130.5"/>
    <s v=""/>
    <s v="Poultry"/>
  </r>
  <r>
    <s v="22-221"/>
    <s v="Chicken - Tenders"/>
    <x v="78"/>
    <s v="Tuscan Herb Chicken Patty"/>
    <s v="4018/4296"/>
    <n v="10"/>
    <n v="70"/>
    <n v="2800"/>
    <n v="621.5"/>
    <s v=""/>
    <s v=""/>
    <m/>
    <m/>
    <n v="3421.5"/>
    <n v="183"/>
    <n v="4575"/>
    <n v="1153.5"/>
    <s v=""/>
    <s v="Poultry"/>
  </r>
  <r>
    <s v="22-229"/>
    <s v="Chicken - Ground"/>
    <x v="79"/>
    <s v="Garlic &amp; Herb Chicken Patty"/>
    <n v="3048"/>
    <n v="12"/>
    <n v="72"/>
    <n v="3600"/>
    <n v="570"/>
    <s v=""/>
    <s v=""/>
    <m/>
    <m/>
    <n v="4170"/>
    <n v="171"/>
    <n v="5130"/>
    <n v="960"/>
    <s v=""/>
    <s v="Poultry"/>
  </r>
  <r>
    <s v="22-230"/>
    <s v="Chicken - Ground"/>
    <x v="80"/>
    <s v="Dinner Patty"/>
    <n v="3048"/>
    <n v="10"/>
    <n v="60"/>
    <n v="3000"/>
    <n v="67.5"/>
    <s v=""/>
    <s v=""/>
    <m/>
    <m/>
    <n v="3067.5"/>
    <n v="173"/>
    <n v="4325"/>
    <n v="1257.5"/>
    <s v=""/>
    <s v="Poultry"/>
  </r>
  <r>
    <s v="22-234"/>
    <s v="Chicken - Tenders"/>
    <x v="81"/>
    <s v="Breaded Chicken Patty"/>
    <s v="4018/4296"/>
    <n v="10"/>
    <n v="70"/>
    <n v="2800"/>
    <n v="540"/>
    <n v="200"/>
    <n v="1000"/>
    <n v="4"/>
    <n v="20"/>
    <n v="4540"/>
    <n v="213"/>
    <n v="5325"/>
    <n v="785"/>
    <n v="0.22535211267605634"/>
    <s v="Poultry"/>
  </r>
  <r>
    <s v="22-236"/>
    <s v="Cornmeal"/>
    <x v="82"/>
    <s v="Hush Puppies"/>
    <s v="H236-22"/>
    <m/>
    <m/>
    <n v="0"/>
    <s v=""/>
    <s v=""/>
    <s v=""/>
    <m/>
    <m/>
    <s v=""/>
    <n v="31"/>
    <n v="155"/>
    <s v=""/>
    <s v=""/>
    <s v=""/>
  </r>
  <r>
    <s v="22-244"/>
    <s v="Cornmeal"/>
    <x v="83"/>
    <s v="Hush Puppies"/>
    <s v="H244-22"/>
    <m/>
    <m/>
    <n v="0"/>
    <s v=""/>
    <s v=""/>
    <s v=""/>
    <m/>
    <m/>
    <s v=""/>
    <n v="47"/>
    <n v="235"/>
    <s v=""/>
    <s v=""/>
    <s v=""/>
  </r>
  <r>
    <s v="22-249"/>
    <s v="Chicken - Tenders"/>
    <x v="84"/>
    <s v="Tuscan Herb Chicken Patty"/>
    <s v="4018/4296"/>
    <n v="7"/>
    <n v="49"/>
    <n v="1960"/>
    <n v="435.05"/>
    <s v=""/>
    <s v=""/>
    <m/>
    <m/>
    <n v="2395.0500000000002"/>
    <n v="136"/>
    <n v="3400"/>
    <n v="1004.9499999999998"/>
    <s v=""/>
    <s v="Poultry"/>
  </r>
  <r>
    <s v="22-250"/>
    <s v="Chicken - Ground"/>
    <x v="85"/>
    <s v="Breakfast Patty"/>
    <n v="3048"/>
    <n v="7"/>
    <n v="42"/>
    <n v="2100"/>
    <n v="81.55"/>
    <s v=""/>
    <s v=""/>
    <m/>
    <m/>
    <n v="2181.5500000000002"/>
    <n v="99"/>
    <n v="2970"/>
    <n v="788.44999999999982"/>
    <s v=""/>
    <s v="Poultry"/>
  </r>
  <r>
    <s v="22-251"/>
    <s v="Chicken - Ground"/>
    <x v="86"/>
    <s v="Breakfast Patty"/>
    <n v="3048"/>
    <n v="8"/>
    <n v="48"/>
    <n v="2400"/>
    <n v="93.2"/>
    <s v=""/>
    <s v=""/>
    <m/>
    <m/>
    <n v="2493.1999999999998"/>
    <n v="112"/>
    <n v="3360"/>
    <n v="866.80000000000018"/>
    <s v=""/>
    <s v="Poultry"/>
  </r>
  <r>
    <s v="22-255"/>
    <s v="Chicken - Ground"/>
    <x v="87"/>
    <s v="Breakfast Patty"/>
    <n v="3048"/>
    <n v="9"/>
    <n v="54"/>
    <n v="2700"/>
    <n v="104.85000000000001"/>
    <s v=""/>
    <s v=""/>
    <m/>
    <m/>
    <n v="2804.85"/>
    <n v="125"/>
    <n v="3750"/>
    <n v="945.15000000000009"/>
    <s v=""/>
    <s v="Poultry"/>
  </r>
  <r>
    <s v="22-256"/>
    <s v="Chicken - Ground"/>
    <x v="88"/>
    <s v="Bulk Ground Chicken"/>
    <n v="3048"/>
    <n v="10"/>
    <n v="60"/>
    <n v="3000"/>
    <s v=""/>
    <s v=""/>
    <s v=""/>
    <m/>
    <m/>
    <n v="3000"/>
    <n v="129"/>
    <n v="3870"/>
    <n v="870"/>
    <s v=""/>
    <s v="Poultry"/>
  </r>
  <r>
    <s v="22-262"/>
    <s v="Chicken - Tenders"/>
    <x v="89"/>
    <s v="Breaded Chicken Patty"/>
    <s v="4018/4296"/>
    <n v="15"/>
    <n v="105"/>
    <n v="4200"/>
    <n v="810"/>
    <n v="150"/>
    <n v="1250"/>
    <n v="3"/>
    <n v="25"/>
    <n v="6410"/>
    <n v="317"/>
    <n v="7925"/>
    <n v="1515"/>
    <n v="0.17665615141955837"/>
    <s v="Poultry"/>
  </r>
  <r>
    <s v="22-262"/>
    <s v="Chicken - Tenders"/>
    <x v="89"/>
    <s v="Breaded Chicken Patty"/>
    <s v="4018/4296"/>
    <n v="17"/>
    <n v="119"/>
    <n v="4760"/>
    <n v="918"/>
    <n v="200"/>
    <n v="1300"/>
    <n v="4"/>
    <n v="26"/>
    <n v="7178"/>
    <n v="356"/>
    <n v="8900"/>
    <n v="1722"/>
    <n v="0.16853932584269662"/>
    <s v="Poultry"/>
  </r>
  <r>
    <s v="22-269"/>
    <s v="Chicken - Ground"/>
    <x v="90"/>
    <s v="Dinner Patty"/>
    <n v="3048"/>
    <n v="10"/>
    <n v="60"/>
    <n v="3000"/>
    <n v="67.5"/>
    <s v=""/>
    <s v=""/>
    <m/>
    <m/>
    <n v="3067.5"/>
    <n v="170"/>
    <n v="4250"/>
    <n v="1182.5"/>
    <s v=""/>
    <s v="Poultry"/>
  </r>
  <r>
    <s v="22-270"/>
    <s v="Chicken - Tenders"/>
    <x v="91"/>
    <s v="Spicy Breaded Chicken Patty"/>
    <s v="4018/4296"/>
    <n v="17"/>
    <n v="119"/>
    <n v="4760"/>
    <n v="1016.5999999999999"/>
    <n v="250"/>
    <n v="1550"/>
    <n v="5"/>
    <n v="31"/>
    <n v="7576.6"/>
    <n v="370"/>
    <n v="9250"/>
    <n v="1673.3999999999996"/>
    <n v="0.19459459459459461"/>
    <s v="Poultry"/>
  </r>
  <r>
    <s v="22-271"/>
    <s v="Chicken - Tenders"/>
    <x v="92"/>
    <s v="Spicy Breaded Chicken Patty"/>
    <s v="4018/4296"/>
    <n v="12"/>
    <n v="84"/>
    <n v="3360"/>
    <n v="717.59999999999991"/>
    <n v="100"/>
    <n v="1300"/>
    <n v="2"/>
    <n v="26"/>
    <n v="5477.6"/>
    <n v="263"/>
    <n v="6575"/>
    <n v="1097.3999999999996"/>
    <n v="0.21292775665399238"/>
    <s v="Poultry"/>
  </r>
  <r>
    <s v="22-276"/>
    <s v="Chicken - Tenders"/>
    <x v="93"/>
    <s v="Tuscan Herb Chicken Patty"/>
    <s v="4018/4296"/>
    <n v="10"/>
    <n v="70"/>
    <n v="2800"/>
    <n v="621.5"/>
    <s v=""/>
    <s v=""/>
    <m/>
    <m/>
    <n v="3421.5"/>
    <n v="148"/>
    <n v="3700"/>
    <n v="278.5"/>
    <s v=""/>
    <s v="Poultry"/>
  </r>
  <r>
    <s v="22-277"/>
    <s v="Chicken - Ground"/>
    <x v="94"/>
    <s v="Bulk Ground Chicken"/>
    <n v="3048"/>
    <n v="10"/>
    <n v="60"/>
    <n v="3000"/>
    <s v=""/>
    <s v=""/>
    <s v=""/>
    <m/>
    <m/>
    <n v="3000"/>
    <n v="118"/>
    <n v="3540"/>
    <n v="540"/>
    <s v=""/>
    <s v="Poultry"/>
  </r>
  <r>
    <s v="22-279"/>
    <s v="Chicken - Tenders"/>
    <x v="95"/>
    <s v="Tuscan Herb Chicken Patty"/>
    <s v="4018/4296"/>
    <n v="8"/>
    <n v="56"/>
    <n v="2240"/>
    <n v="497.2"/>
    <s v=""/>
    <s v=""/>
    <m/>
    <m/>
    <n v="2737.2"/>
    <n v="116"/>
    <n v="2900"/>
    <n v="162.80000000000018"/>
    <s v=""/>
    <s v="Poultry"/>
  </r>
  <r>
    <s v="22-285"/>
    <s v="Chicken - Ground"/>
    <x v="96"/>
    <s v="Dinner Patty"/>
    <n v="3048"/>
    <n v="10"/>
    <n v="60"/>
    <n v="3000"/>
    <n v="67.5"/>
    <s v=""/>
    <s v=""/>
    <m/>
    <m/>
    <n v="3067.5"/>
    <n v="166"/>
    <n v="4150"/>
    <n v="1082.5"/>
    <s v=""/>
    <s v="Poultry"/>
  </r>
  <r>
    <s v="22-286"/>
    <s v="Pork - Trim"/>
    <x v="97"/>
    <s v="Breaded Pork Patty"/>
    <n v="4204"/>
    <n v="14"/>
    <n v="70"/>
    <n v="4200"/>
    <n v="571.19999999999993"/>
    <n v="200"/>
    <n v="650"/>
    <n v="4"/>
    <n v="26"/>
    <n v="5621.2"/>
    <n v="277"/>
    <n v="6925"/>
    <n v="1303.8000000000002"/>
    <n v="0.12274368231046931"/>
    <s v="Meat"/>
  </r>
  <r>
    <s v="22-291"/>
    <s v="Chicken - Tenders"/>
    <x v="98"/>
    <s v="Breaded Chicken Patty"/>
    <s v="4018/4296"/>
    <n v="9"/>
    <n v="63"/>
    <n v="2520"/>
    <n v="486"/>
    <n v="150"/>
    <n v="750"/>
    <n v="3"/>
    <n v="15"/>
    <n v="3906"/>
    <n v="161"/>
    <n v="4025"/>
    <n v="119"/>
    <n v="0.2236024844720497"/>
    <s v="Poultry"/>
  </r>
  <r>
    <s v="22-298"/>
    <s v="Chicken - Tenders"/>
    <x v="99"/>
    <s v="Breaded Chicken Patty"/>
    <s v="4018/4296"/>
    <n v="4"/>
    <n v="28"/>
    <n v="1120"/>
    <n v="216"/>
    <n v="50"/>
    <n v="350"/>
    <n v="1"/>
    <n v="7"/>
    <n v="1736"/>
    <n v="90"/>
    <n v="2250"/>
    <n v="514"/>
    <n v="0.17777777777777778"/>
    <s v="Poultry"/>
  </r>
  <r>
    <s v="22-299"/>
    <s v="Chicken - Tenders"/>
    <x v="100"/>
    <s v="Tuscan Herb Chicken Patty"/>
    <s v="4018/4296"/>
    <n v="5"/>
    <n v="35"/>
    <n v="1400"/>
    <n v="310.75"/>
    <s v=""/>
    <s v=""/>
    <m/>
    <m/>
    <n v="1710.75"/>
    <n v="98"/>
    <n v="2450"/>
    <n v="739.25"/>
    <s v=""/>
    <s v="Poultry"/>
  </r>
  <r>
    <s v="22-299"/>
    <s v="Chicken - Tenders"/>
    <x v="100"/>
    <s v="Tuscan Herb Chicken Patty"/>
    <s v="4018/4296"/>
    <n v="7"/>
    <n v="49"/>
    <n v="1960"/>
    <n v="435.05"/>
    <s v=""/>
    <s v=""/>
    <m/>
    <m/>
    <n v="2395.0500000000002"/>
    <n v="106"/>
    <n v="2650"/>
    <n v="254.94999999999982"/>
    <s v=""/>
    <s v="Poultry"/>
  </r>
  <r>
    <s v="22-300"/>
    <s v="Chicken - Ground"/>
    <x v="101"/>
    <s v="Breakfast Patty"/>
    <n v="3048"/>
    <n v="5"/>
    <n v="30"/>
    <n v="1500"/>
    <n v="58.25"/>
    <s v=""/>
    <s v=""/>
    <m/>
    <m/>
    <n v="1558.25"/>
    <n v="85"/>
    <n v="2550"/>
    <n v="991.75"/>
    <s v=""/>
    <s v="Poultry"/>
  </r>
  <r>
    <s v="22-300"/>
    <s v="Chicken - Ground"/>
    <x v="101"/>
    <s v="Breakfast Patty"/>
    <n v="3048"/>
    <n v="5"/>
    <n v="30"/>
    <n v="1500"/>
    <n v="58.25"/>
    <s v=""/>
    <s v=""/>
    <m/>
    <m/>
    <n v="1558.25"/>
    <n v="50"/>
    <n v="1500"/>
    <n v="-58.25"/>
    <s v=""/>
    <s v="Poultry"/>
  </r>
  <r>
    <s v="22-304"/>
    <s v="Chicken - Ground"/>
    <x v="102"/>
    <s v="Breakfast Maple Links"/>
    <n v="3048"/>
    <n v="7"/>
    <n v="42"/>
    <n v="2100"/>
    <n v="142.79999999999998"/>
    <s v=""/>
    <s v=""/>
    <m/>
    <m/>
    <n v="2242.8000000000002"/>
    <n v="145"/>
    <n v="3625"/>
    <n v="1382.1999999999998"/>
    <s v=""/>
    <s v="Poultry"/>
  </r>
  <r>
    <s v="22-304"/>
    <s v="Chicken - Ground"/>
    <x v="102"/>
    <s v="Breakfast Maple Links"/>
    <n v="3048"/>
    <n v="3"/>
    <n v="18"/>
    <n v="900"/>
    <n v="61.199999999999996"/>
    <s v=""/>
    <s v=""/>
    <m/>
    <m/>
    <n v="961.2"/>
    <n v="81"/>
    <n v="2025"/>
    <n v="1063.8"/>
    <s v=""/>
    <s v="Poultry"/>
  </r>
  <r>
    <s v="22-305"/>
    <s v="Chicken - Ground"/>
    <x v="103"/>
    <s v="Meatloaf Patty"/>
    <n v="3048"/>
    <n v="10"/>
    <n v="60"/>
    <n v="3000"/>
    <n v="419.5"/>
    <s v=""/>
    <s v=""/>
    <m/>
    <m/>
    <n v="3419.5"/>
    <n v="179"/>
    <n v="4475"/>
    <n v="1055.5"/>
    <s v=""/>
    <s v="Poultry"/>
  </r>
  <r>
    <s v="22-306"/>
    <s v="Chicken - Ground"/>
    <x v="104"/>
    <s v="Dinner Patty"/>
    <n v="3048"/>
    <n v="10"/>
    <n v="60"/>
    <n v="3000"/>
    <n v="67.5"/>
    <s v=""/>
    <s v=""/>
    <m/>
    <m/>
    <n v="3067.5"/>
    <n v="170"/>
    <n v="4250"/>
    <n v="1182.5"/>
    <s v=""/>
    <s v="Poultry"/>
  </r>
  <r>
    <s v="22-307"/>
    <s v="Pork - Trim"/>
    <x v="105"/>
    <s v="Pork BBQ Patty"/>
    <n v="4204"/>
    <n v="10"/>
    <n v="50"/>
    <n v="3000"/>
    <n v="408"/>
    <s v=""/>
    <s v=""/>
    <m/>
    <m/>
    <n v="3408"/>
    <n v="172"/>
    <n v="4300"/>
    <n v="892"/>
    <s v=""/>
    <s v="Meat"/>
  </r>
  <r>
    <s v="22-319"/>
    <s v="Chicken - Ground"/>
    <x v="106"/>
    <s v="Breakfast Patty"/>
    <n v="3048"/>
    <n v="10"/>
    <n v="60"/>
    <n v="3000"/>
    <n v="116.5"/>
    <s v=""/>
    <s v=""/>
    <m/>
    <m/>
    <n v="3116.5"/>
    <n v="147"/>
    <n v="4410"/>
    <n v="1293.5"/>
    <s v=""/>
    <s v="Poultry"/>
  </r>
  <r>
    <s v="22-320"/>
    <s v="Chicken - Ground"/>
    <x v="107"/>
    <s v="Bulk Breakfast Patty"/>
    <n v="3048"/>
    <n v="8"/>
    <n v="48"/>
    <n v="2400"/>
    <n v="93.2"/>
    <s v=""/>
    <s v=""/>
    <m/>
    <m/>
    <n v="2493.1999999999998"/>
    <n v="137"/>
    <n v="4110"/>
    <n v="1616.8000000000002"/>
    <s v=""/>
    <s v="Poultry"/>
  </r>
  <r>
    <s v="22-320"/>
    <s v="Chicken - Ground"/>
    <x v="107"/>
    <s v="Bulk Ground Chicken"/>
    <n v="3048"/>
    <n v="10"/>
    <n v="60"/>
    <n v="3000"/>
    <s v=""/>
    <s v=""/>
    <s v=""/>
    <m/>
    <m/>
    <n v="3000"/>
    <n v="125"/>
    <n v="3750"/>
    <n v="750"/>
    <s v=""/>
    <s v="Poultry"/>
  </r>
  <r>
    <s v="22-325"/>
    <s v="Chicken - Ground"/>
    <x v="108"/>
    <s v="Breakfast Patty"/>
    <n v="3048"/>
    <n v="10"/>
    <n v="60"/>
    <n v="3000"/>
    <n v="116.5"/>
    <s v=""/>
    <s v=""/>
    <m/>
    <m/>
    <n v="3116.5"/>
    <n v="143"/>
    <n v="4290"/>
    <n v="1173.5"/>
    <s v=""/>
    <s v="Poultry"/>
  </r>
  <r>
    <s v="22-332"/>
    <s v="Chicken - Ground"/>
    <x v="109"/>
    <s v="Breakfast Patty"/>
    <n v="3048"/>
    <n v="10"/>
    <n v="60"/>
    <n v="3000"/>
    <n v="116.5"/>
    <s v=""/>
    <s v=""/>
    <m/>
    <m/>
    <n v="3116.5"/>
    <n v="144"/>
    <n v="4320"/>
    <n v="1203.5"/>
    <s v=""/>
    <s v="Poultry"/>
  </r>
  <r>
    <s v="22-333"/>
    <s v="Chicken - Ground"/>
    <x v="110"/>
    <s v="Breakfast Maple Links"/>
    <n v="3048"/>
    <n v="10"/>
    <n v="60"/>
    <n v="3000"/>
    <n v="204"/>
    <s v=""/>
    <s v=""/>
    <m/>
    <m/>
    <n v="3204"/>
    <n v="186"/>
    <n v="4650"/>
    <n v="1446"/>
    <s v=""/>
    <s v="Poultry"/>
  </r>
  <r>
    <s v="22-334"/>
    <s v="Chicken - Ground"/>
    <x v="111"/>
    <s v="Breakfast Maple Links"/>
    <n v="3048"/>
    <n v="12"/>
    <n v="72"/>
    <n v="3600"/>
    <n v="244.79999999999998"/>
    <s v=""/>
    <s v=""/>
    <m/>
    <m/>
    <n v="3844.8"/>
    <n v="239"/>
    <n v="5975"/>
    <n v="2130.1999999999998"/>
    <s v=""/>
    <s v="Poultry"/>
  </r>
  <r>
    <s v="22-335"/>
    <s v="Chicken - Ground"/>
    <x v="112"/>
    <s v="Dinner Patty"/>
    <n v="3048"/>
    <n v="8"/>
    <n v="48"/>
    <n v="2400"/>
    <n v="54"/>
    <s v=""/>
    <s v=""/>
    <m/>
    <m/>
    <n v="2454"/>
    <n v="150"/>
    <n v="3750"/>
    <n v="1296"/>
    <s v=""/>
    <s v="Poultry"/>
  </r>
  <r>
    <s v="22-335"/>
    <s v="Chicken - Ground"/>
    <x v="112"/>
    <s v="Garlic &amp; Herb Chicken Patty"/>
    <n v="3048"/>
    <n v="6"/>
    <n v="36"/>
    <n v="1800"/>
    <n v="285"/>
    <s v=""/>
    <s v=""/>
    <m/>
    <m/>
    <n v="2085"/>
    <n v="82"/>
    <n v="2460"/>
    <n v="375"/>
    <s v=""/>
    <s v="Poultry"/>
  </r>
  <r>
    <s v="22-339"/>
    <s v="Chicken - Tenders"/>
    <x v="113"/>
    <s v="Breaded Chicken Patty"/>
    <s v="4018/4296"/>
    <n v="10"/>
    <n v="70"/>
    <n v="2800"/>
    <n v="540"/>
    <n v="200"/>
    <n v="900"/>
    <n v="4"/>
    <n v="18"/>
    <n v="4440"/>
    <n v="214"/>
    <n v="5350"/>
    <n v="910"/>
    <n v="0.20560747663551401"/>
    <s v="Poultry"/>
  </r>
  <r>
    <s v="22-340"/>
    <s v="Chicken - Tenders"/>
    <x v="114"/>
    <s v="Spicy Breaded Chicken Patty"/>
    <s v="4018/4296"/>
    <n v="4"/>
    <n v="28"/>
    <n v="1120"/>
    <n v="239.2"/>
    <n v="50"/>
    <n v="200"/>
    <n v="1"/>
    <n v="4"/>
    <n v="1609.2"/>
    <n v="91"/>
    <n v="2275"/>
    <n v="665.8"/>
    <n v="0.10989010989010989"/>
    <s v="Poultry"/>
  </r>
  <r>
    <s v="22-341"/>
    <s v="Chicken - Tenders"/>
    <x v="115"/>
    <s v="Tuscan Herb Chicken Patty"/>
    <s v="4018/4296"/>
    <n v="9"/>
    <n v="63"/>
    <n v="2520"/>
    <n v="559.35"/>
    <s v=""/>
    <s v=""/>
    <m/>
    <m/>
    <n v="3079.35"/>
    <n v="156"/>
    <n v="3900"/>
    <n v="820.65000000000009"/>
    <s v=""/>
    <s v="Poultry"/>
  </r>
  <r>
    <s v="22-342"/>
    <s v="Chicken - Tenders"/>
    <x v="116"/>
    <s v="Spicy Breaded Chicken Patty"/>
    <s v="4018/4296"/>
    <n v="10"/>
    <n v="70"/>
    <n v="2800"/>
    <n v="598"/>
    <n v="150"/>
    <n v="700"/>
    <n v="3"/>
    <n v="14"/>
    <n v="4248"/>
    <n v="212"/>
    <n v="5300"/>
    <n v="1052"/>
    <n v="0.16037735849056603"/>
    <s v="Poultry"/>
  </r>
  <r>
    <s v="22-346"/>
    <s v="Fish - Imitation Crab"/>
    <x v="117"/>
    <s v="Krabby Patty"/>
    <n v="2023"/>
    <n v="6"/>
    <n v="360"/>
    <n v="10800"/>
    <n v="180"/>
    <n v="150"/>
    <n v="550"/>
    <n v="3"/>
    <n v="11"/>
    <n v="11680"/>
    <n v="133"/>
    <n v="3325"/>
    <n v="-8355"/>
    <s v=""/>
    <s v=""/>
  </r>
  <r>
    <s v="22-347"/>
    <s v="Fish - Imitation Crab"/>
    <x v="118"/>
    <s v="Krabby Patty"/>
    <n v="2023"/>
    <n v="6"/>
    <n v="360"/>
    <n v="10800"/>
    <n v="180"/>
    <n v="300"/>
    <n v="650"/>
    <n v="6"/>
    <n v="13"/>
    <n v="11930"/>
    <n v="129"/>
    <n v="3225"/>
    <n v="-8705"/>
    <s v=""/>
    <s v=""/>
  </r>
  <r>
    <s v="22-348"/>
    <s v="Chicken - Tenders"/>
    <x v="119"/>
    <s v="Breaded Chicken Patty"/>
    <s v="4018/4296"/>
    <n v="12"/>
    <n v="84"/>
    <n v="3360"/>
    <n v="648"/>
    <n v="200"/>
    <n v="1050"/>
    <n v="4"/>
    <n v="21"/>
    <n v="5258"/>
    <n v="262"/>
    <n v="6550"/>
    <n v="1292"/>
    <n v="0.19083969465648856"/>
    <s v="Poultry"/>
  </r>
  <r>
    <s v="22-349"/>
    <s v="Chicken - Ground"/>
    <x v="120"/>
    <s v="Meatloaf Patty"/>
    <n v="3048"/>
    <n v="6"/>
    <n v="36"/>
    <n v="1800"/>
    <n v="251.70000000000002"/>
    <s v=""/>
    <s v=""/>
    <m/>
    <m/>
    <n v="2051.6999999999998"/>
    <n v="99"/>
    <n v="2475"/>
    <n v="423.30000000000018"/>
    <s v=""/>
    <s v="Poultry"/>
  </r>
  <r>
    <s v="22-349"/>
    <s v="Chicken - Ground"/>
    <x v="120"/>
    <s v="Supreme Pizza Patty"/>
    <n v="3048"/>
    <n v="6"/>
    <n v="36"/>
    <n v="1800"/>
    <n v="391.20000000000005"/>
    <s v=""/>
    <s v=""/>
    <m/>
    <m/>
    <n v="2191.1999999999998"/>
    <n v="118"/>
    <n v="2950"/>
    <n v="758.80000000000018"/>
    <s v=""/>
    <s v="Poultry"/>
  </r>
  <r>
    <s v="22-353"/>
    <s v="Chicken - Ground"/>
    <x v="121"/>
    <s v="Breakfast Chicken Links"/>
    <n v="3048"/>
    <n v="10"/>
    <n v="60"/>
    <n v="3000"/>
    <n v="116.5"/>
    <s v=""/>
    <s v=""/>
    <m/>
    <m/>
    <n v="3116.5"/>
    <n v="175"/>
    <n v="4375"/>
    <n v="1258.5"/>
    <s v=""/>
    <s v="Poultry"/>
  </r>
  <r>
    <s v="22-355"/>
    <s v="Chicken - Ground"/>
    <x v="122"/>
    <s v="Breakfast Maple Patty"/>
    <n v="3048"/>
    <n v="5"/>
    <n v="30"/>
    <n v="1500"/>
    <n v="102"/>
    <s v=""/>
    <s v=""/>
    <m/>
    <m/>
    <n v="1602"/>
    <n v="75"/>
    <n v="2250"/>
    <n v="648"/>
    <s v=""/>
    <s v="Poultry"/>
  </r>
  <r>
    <s v="22-355"/>
    <s v="Chicken - Ground"/>
    <x v="122"/>
    <s v="Breakfast Patty"/>
    <n v="3048"/>
    <n v="4"/>
    <n v="24"/>
    <n v="1200"/>
    <n v="46.6"/>
    <s v=""/>
    <s v=""/>
    <m/>
    <m/>
    <n v="1246.5999999999999"/>
    <n v="59"/>
    <n v="1770"/>
    <n v="523.40000000000009"/>
    <s v=""/>
    <s v="Poultry"/>
  </r>
  <r>
    <s v="22-361"/>
    <s v="Chicken - Ground"/>
    <x v="123"/>
    <s v="Dinner Patty"/>
    <n v="3048"/>
    <n v="10"/>
    <n v="60"/>
    <n v="3000"/>
    <n v="67.5"/>
    <s v=""/>
    <s v=""/>
    <m/>
    <m/>
    <n v="3067.5"/>
    <n v="171"/>
    <n v="4275"/>
    <n v="1207.5"/>
    <s v=""/>
    <s v="Poultry"/>
  </r>
  <r>
    <s v="22-362"/>
    <s v="Chicken - Tenders"/>
    <x v="124"/>
    <s v="Tuscan Herb Chicken Patty"/>
    <s v="4018/4296"/>
    <n v="11"/>
    <n v="77"/>
    <n v="3080"/>
    <n v="683.65"/>
    <s v=""/>
    <s v=""/>
    <m/>
    <m/>
    <n v="3763.65"/>
    <n v="194"/>
    <n v="4850"/>
    <n v="1086.3499999999999"/>
    <s v=""/>
    <s v="Poultry"/>
  </r>
  <r>
    <s v="22-363"/>
    <s v="Chicken - Ground"/>
    <x v="125"/>
    <s v="Bulk Ground Chicken"/>
    <n v="3048"/>
    <n v="20"/>
    <n v="120"/>
    <n v="6000"/>
    <s v=""/>
    <s v=""/>
    <s v=""/>
    <m/>
    <m/>
    <n v="6000"/>
    <n v="286"/>
    <n v="8580"/>
    <n v="2580"/>
    <s v=""/>
    <s v="Poultry"/>
  </r>
  <r>
    <s v="23-003"/>
    <s v="Chicken - Ground"/>
    <x v="126"/>
    <s v="Breakfast Patty"/>
    <n v="1130"/>
    <n v="10"/>
    <n v="60"/>
    <n v="3000"/>
    <n v="116.5"/>
    <s v=""/>
    <s v=""/>
    <m/>
    <m/>
    <n v="3116.5"/>
    <n v="147"/>
    <n v="4410"/>
    <n v="1293.5"/>
    <s v=""/>
    <s v="Poultry"/>
  </r>
  <r>
    <s v="23-004"/>
    <s v="Chicken - Tenders"/>
    <x v="127"/>
    <s v="Breaded Chicken Patty"/>
    <s v="2070/4296"/>
    <n v="14"/>
    <n v="98"/>
    <n v="3920"/>
    <n v="756"/>
    <n v="250"/>
    <n v="1100"/>
    <n v="5"/>
    <n v="22"/>
    <n v="6026"/>
    <n v="306"/>
    <n v="7650"/>
    <n v="1624"/>
    <n v="0.17647058823529413"/>
    <s v="Poultry"/>
  </r>
  <r>
    <s v="23-005"/>
    <s v="Chicken - Tenders"/>
    <x v="128"/>
    <s v="Breaded Chicken Patty"/>
    <s v="2070/4296"/>
    <n v="14"/>
    <n v="98"/>
    <n v="3920"/>
    <n v="756"/>
    <n v="250"/>
    <n v="1100"/>
    <n v="5"/>
    <n v="22"/>
    <n v="6026"/>
    <n v="303"/>
    <n v="7575"/>
    <n v="1549"/>
    <n v="0.17821782178217821"/>
    <s v="Poultry"/>
  </r>
  <r>
    <s v="23-009"/>
    <s v="Chicken - Ground"/>
    <x v="129"/>
    <s v="Garlic &amp; Herb Chicken Patty"/>
    <n v="1130"/>
    <n v="15"/>
    <n v="90"/>
    <n v="4500"/>
    <n v="712.5"/>
    <s v=""/>
    <s v=""/>
    <m/>
    <m/>
    <n v="5212.5"/>
    <n v="230"/>
    <n v="6900"/>
    <n v="1687.5"/>
    <s v=""/>
    <s v="Poultry"/>
  </r>
  <r>
    <s v="23-010"/>
    <s v="Chicken - Ground"/>
    <x v="130"/>
    <s v="Breakfast Maple Patty"/>
    <n v="1130"/>
    <n v="5"/>
    <n v="30"/>
    <n v="1500"/>
    <n v="102"/>
    <s v=""/>
    <s v=""/>
    <m/>
    <m/>
    <n v="1602"/>
    <n v="72"/>
    <n v="2160"/>
    <n v="558"/>
    <s v=""/>
    <s v="Poultry"/>
  </r>
  <r>
    <s v="23-011"/>
    <s v="Chicken - Ground"/>
    <x v="131"/>
    <s v="Breakfast Maple Links"/>
    <n v="1130"/>
    <n v="10"/>
    <n v="60"/>
    <n v="3000"/>
    <n v="204"/>
    <s v=""/>
    <s v=""/>
    <m/>
    <m/>
    <n v="3204"/>
    <n v="181"/>
    <n v="4525"/>
    <n v="1321"/>
    <s v=""/>
    <s v="Poultry"/>
  </r>
  <r>
    <s v="23-012"/>
    <s v="Chicken - Ground"/>
    <x v="132"/>
    <s v="Breakfast Maple Links"/>
    <n v="1130"/>
    <n v="12"/>
    <n v="72"/>
    <n v="3600"/>
    <n v="244.79999999999998"/>
    <s v=""/>
    <s v=""/>
    <m/>
    <m/>
    <n v="3844.8"/>
    <n v="219"/>
    <n v="5475"/>
    <n v="1630.1999999999998"/>
    <s v=""/>
    <s v="Poultry"/>
  </r>
  <r>
    <s v="23-017"/>
    <s v="Chicken - Ground"/>
    <x v="133"/>
    <s v="Breakfast Maple Links"/>
    <n v="1130"/>
    <n v="10"/>
    <n v="60"/>
    <n v="3000"/>
    <n v="204"/>
    <s v=""/>
    <s v=""/>
    <m/>
    <m/>
    <n v="3204"/>
    <n v="186"/>
    <n v="4650"/>
    <n v="1446"/>
    <s v=""/>
    <s v="Poultry"/>
  </r>
  <r>
    <s v="23-018"/>
    <s v="Chicken - Ground"/>
    <x v="134"/>
    <s v="Breakfast Chicken Links"/>
    <n v="1130"/>
    <n v="12"/>
    <n v="72"/>
    <n v="3600"/>
    <n v="139.80000000000001"/>
    <s v=""/>
    <s v=""/>
    <m/>
    <m/>
    <n v="3739.8"/>
    <n v="220"/>
    <n v="5500"/>
    <n v="1760.1999999999998"/>
    <s v=""/>
    <s v="Poultry"/>
  </r>
  <r>
    <s v="23-019"/>
    <s v="Chicken - Ground"/>
    <x v="135"/>
    <s v="Breakfast Patty"/>
    <n v="1130"/>
    <n v="2"/>
    <n v="12"/>
    <n v="600"/>
    <n v="23.3"/>
    <s v=""/>
    <s v=""/>
    <m/>
    <m/>
    <n v="623.29999999999995"/>
    <n v="32"/>
    <n v="960"/>
    <n v="336.70000000000005"/>
    <s v=""/>
    <s v="Poultry"/>
  </r>
  <r>
    <s v="23-019"/>
    <s v="Chicken - Ground"/>
    <x v="135"/>
    <s v="Breakfast Patty"/>
    <n v="1130"/>
    <n v="10"/>
    <n v="60"/>
    <n v="3000"/>
    <n v="116.5"/>
    <s v=""/>
    <s v=""/>
    <m/>
    <m/>
    <n v="3116.5"/>
    <n v="110"/>
    <n v="3300"/>
    <n v="183.5"/>
    <s v=""/>
    <s v="Poultry"/>
  </r>
  <r>
    <s v="23-023"/>
    <s v="Chicken - Ground"/>
    <x v="136"/>
    <s v="Bulk Breakfast Patty"/>
    <n v="1130"/>
    <n v="5"/>
    <n v="75"/>
    <n v="3750"/>
    <n v="58.25"/>
    <s v=""/>
    <s v=""/>
    <m/>
    <m/>
    <n v="3808.25"/>
    <n v="77"/>
    <n v="2310"/>
    <n v="-1498.25"/>
    <s v=""/>
    <s v="Poultry"/>
  </r>
  <r>
    <s v="23-023"/>
    <s v="Chicken - Ground"/>
    <x v="136"/>
    <s v="Bulk Ground Chicken"/>
    <n v="1130"/>
    <n v="15"/>
    <n v="90"/>
    <n v="4500"/>
    <s v=""/>
    <s v=""/>
    <s v=""/>
    <m/>
    <m/>
    <n v="4500"/>
    <n v="200"/>
    <n v="6000"/>
    <n v="1500"/>
    <s v=""/>
    <s v="Poultry"/>
  </r>
  <r>
    <s v="23-025"/>
    <s v="Chicken - Ground"/>
    <x v="137"/>
    <s v="Breakfast Patty"/>
    <n v="1130"/>
    <n v="8"/>
    <n v="48"/>
    <n v="2400"/>
    <n v="93.2"/>
    <s v=""/>
    <s v=""/>
    <m/>
    <m/>
    <n v="2493.1999999999998"/>
    <n v="122"/>
    <n v="3660"/>
    <n v="1166.8000000000002"/>
    <s v=""/>
    <s v="Poultry"/>
  </r>
  <r>
    <s v="23-025"/>
    <s v="Chicken - Ground"/>
    <x v="137"/>
    <s v="Breakfast Patty"/>
    <n v="1130"/>
    <n v="3"/>
    <n v="18"/>
    <n v="900"/>
    <n v="34.950000000000003"/>
    <s v=""/>
    <s v=""/>
    <m/>
    <m/>
    <n v="934.95"/>
    <n v="37"/>
    <n v="1110"/>
    <n v="175.04999999999995"/>
    <s v=""/>
    <s v="Poultry"/>
  </r>
  <r>
    <s v="23-026"/>
    <s v="Chicken - Ground"/>
    <x v="138"/>
    <s v="Breakfast Patty"/>
    <n v="1130"/>
    <n v="10"/>
    <n v="60"/>
    <n v="3000"/>
    <n v="116.5"/>
    <s v=""/>
    <s v=""/>
    <m/>
    <m/>
    <n v="3116.5"/>
    <n v="193"/>
    <n v="5790"/>
    <n v="2673.5"/>
    <s v=""/>
    <s v="Poultry"/>
  </r>
  <r>
    <s v="23-030"/>
    <s v="Chicken - Ground"/>
    <x v="139"/>
    <s v="Dinner Patty"/>
    <n v="811"/>
    <n v="16"/>
    <n v="96"/>
    <n v="4800"/>
    <n v="108"/>
    <s v=""/>
    <s v=""/>
    <m/>
    <m/>
    <n v="4908"/>
    <n v="259"/>
    <n v="6475"/>
    <n v="1567"/>
    <s v=""/>
    <s v="Poultry"/>
  </r>
  <r>
    <s v="23-031"/>
    <s v="Chicken - Ground"/>
    <x v="140"/>
    <s v="Breakfast Maple Patty"/>
    <n v="811"/>
    <n v="10"/>
    <n v="70"/>
    <n v="3500"/>
    <n v="204"/>
    <s v=""/>
    <s v=""/>
    <m/>
    <m/>
    <n v="3704"/>
    <n v="142"/>
    <n v="4260"/>
    <n v="556"/>
    <s v=""/>
    <s v="Poultry"/>
  </r>
  <r>
    <s v="23-033"/>
    <s v="Chicken - Ground"/>
    <x v="141"/>
    <s v="Breakfast Patty"/>
    <n v="811"/>
    <n v="5"/>
    <n v="30"/>
    <n v="1500"/>
    <n v="58.25"/>
    <s v=""/>
    <s v=""/>
    <m/>
    <m/>
    <n v="1558.25"/>
    <n v="69"/>
    <n v="2070"/>
    <n v="511.75"/>
    <s v=""/>
    <s v="Poultry"/>
  </r>
  <r>
    <s v="23-037"/>
    <s v="Chicken - Tenders"/>
    <x v="142"/>
    <s v="Tuscan Herb Chicken Patty"/>
    <s v="2070/4296"/>
    <n v="3"/>
    <n v="21"/>
    <n v="840"/>
    <n v="186.45"/>
    <s v=""/>
    <s v=""/>
    <m/>
    <m/>
    <n v="1026.45"/>
    <n v="49"/>
    <n v="1225"/>
    <n v="198.54999999999995"/>
    <s v=""/>
    <s v="Poultry"/>
  </r>
  <r>
    <s v="23-037"/>
    <s v="Chicken - Tenders"/>
    <x v="142"/>
    <s v="Tuscan Herb Chicken Patty"/>
    <s v="2070/4296"/>
    <n v="2"/>
    <n v="14"/>
    <n v="560"/>
    <n v="124.3"/>
    <s v=""/>
    <s v=""/>
    <m/>
    <m/>
    <n v="684.3"/>
    <n v="36"/>
    <n v="900"/>
    <n v="215.70000000000005"/>
    <s v=""/>
    <s v="Poultry"/>
  </r>
  <r>
    <s v="23-038"/>
    <s v="Chicken - Tenders"/>
    <x v="143"/>
    <s v="Tuscan Herb Chicken Patty"/>
    <s v="2070/4296"/>
    <n v="6"/>
    <n v="42"/>
    <n v="1680"/>
    <n v="372.9"/>
    <s v=""/>
    <s v=""/>
    <m/>
    <m/>
    <n v="2052.9"/>
    <n v="104"/>
    <n v="2600"/>
    <n v="547.09999999999991"/>
    <s v=""/>
    <s v="Poultry"/>
  </r>
  <r>
    <s v="23-039"/>
    <s v="Chicken - Ground"/>
    <x v="144"/>
    <s v="Bulk Breakfast Patty"/>
    <n v="811"/>
    <n v="3"/>
    <m/>
    <n v="0"/>
    <n v="34.950000000000003"/>
    <s v=""/>
    <s v=""/>
    <m/>
    <m/>
    <n v="34.950000000000003"/>
    <n v="35"/>
    <n v="1050"/>
    <n v="1015.05"/>
    <s v=""/>
    <s v="Poultry"/>
  </r>
  <r>
    <s v="23-044"/>
    <s v="Chicken - Ground"/>
    <x v="145"/>
    <s v="Meatloaf Patty"/>
    <n v="811"/>
    <n v="5"/>
    <n v="30"/>
    <n v="1500"/>
    <n v="209.75"/>
    <s v=""/>
    <s v=""/>
    <m/>
    <m/>
    <n v="1709.75"/>
    <n v="87"/>
    <n v="2175"/>
    <n v="465.25"/>
    <s v=""/>
    <s v="Poultry"/>
  </r>
  <r>
    <s v="23-044"/>
    <s v="Chicken - Ground"/>
    <x v="145"/>
    <s v="Supreme Pizza Patty"/>
    <n v="811"/>
    <n v="5"/>
    <n v="30"/>
    <n v="1500"/>
    <n v="326"/>
    <s v=""/>
    <s v=""/>
    <m/>
    <m/>
    <n v="1826"/>
    <n v="97"/>
    <n v="2425"/>
    <n v="599"/>
    <s v=""/>
    <s v="Poultry"/>
  </r>
  <r>
    <s v="23-045"/>
    <s v="Chicken - Ground"/>
    <x v="146"/>
    <s v="Dinner Patty"/>
    <n v="811"/>
    <n v="3"/>
    <n v="18"/>
    <n v="900"/>
    <n v="20.25"/>
    <s v=""/>
    <s v=""/>
    <m/>
    <m/>
    <n v="920.25"/>
    <n v="46"/>
    <n v="1150"/>
    <n v="229.75"/>
    <s v=""/>
    <s v="Poultry"/>
  </r>
  <r>
    <s v="23-045"/>
    <s v="Chicken - Ground"/>
    <x v="146"/>
    <s v="Dinner Patty"/>
    <n v="811"/>
    <n v="6"/>
    <n v="36"/>
    <n v="1800"/>
    <n v="40.5"/>
    <s v=""/>
    <s v=""/>
    <m/>
    <m/>
    <n v="1840.5"/>
    <n v="124"/>
    <n v="3100"/>
    <n v="1259.5"/>
    <s v=""/>
    <s v="Poultry"/>
  </r>
  <r>
    <s v="23-046"/>
    <s v="Chicken - Ground"/>
    <x v="147"/>
    <s v="Breakfast Patty"/>
    <n v="811"/>
    <n v="10"/>
    <n v="60"/>
    <n v="3000"/>
    <n v="116.5"/>
    <s v=""/>
    <s v=""/>
    <m/>
    <m/>
    <n v="3116.5"/>
    <n v="144"/>
    <n v="4320"/>
    <n v="1203.5"/>
    <s v=""/>
    <s v="Poultry"/>
  </r>
  <r>
    <s v="23-047"/>
    <s v="Chicken - Ground"/>
    <x v="148"/>
    <s v="Breakfast Patty"/>
    <n v="811"/>
    <n v="8"/>
    <n v="48"/>
    <n v="2400"/>
    <n v="93.2"/>
    <s v=""/>
    <s v=""/>
    <m/>
    <m/>
    <n v="2493.1999999999998"/>
    <n v="110"/>
    <n v="3300"/>
    <n v="806.80000000000018"/>
    <s v=""/>
    <s v="Poultry"/>
  </r>
  <r>
    <s v="23-052"/>
    <s v="Chicken - Ground"/>
    <x v="149"/>
    <s v="Breakfast Chicken Links"/>
    <n v="811"/>
    <n v="10"/>
    <n v="60"/>
    <n v="3000"/>
    <n v="116.5"/>
    <s v=""/>
    <s v=""/>
    <m/>
    <m/>
    <n v="3116.5"/>
    <n v="183"/>
    <n v="4575"/>
    <n v="1458.5"/>
    <s v=""/>
    <s v="Poultry"/>
  </r>
  <r>
    <s v="23-054"/>
    <s v="Chicken - Ground"/>
    <x v="150"/>
    <s v="Breakfast Maple Links"/>
    <n v="811"/>
    <n v="10"/>
    <n v="60"/>
    <n v="3000"/>
    <n v="204"/>
    <s v=""/>
    <s v=""/>
    <m/>
    <m/>
    <n v="3204"/>
    <n v="185"/>
    <n v="4625"/>
    <n v="1421"/>
    <s v=""/>
    <s v="Poultry"/>
  </r>
  <r>
    <s v="23-059"/>
    <s v="Chicken - Tenders"/>
    <x v="151"/>
    <s v="Breaded Chicken Patty"/>
    <s v="2913/4296"/>
    <n v="17"/>
    <n v="119"/>
    <n v="4760"/>
    <n v="918"/>
    <n v="300"/>
    <n v="1500"/>
    <n v="6"/>
    <n v="30"/>
    <n v="7478"/>
    <n v="360"/>
    <n v="9000"/>
    <n v="1522"/>
    <n v="0.2"/>
    <s v="Poultry"/>
  </r>
  <r>
    <s v="23-060"/>
    <s v="Chicken - Tenders"/>
    <x v="152"/>
    <s v="Breaded Chicken Patty"/>
    <s v="2913/4296"/>
    <n v="11"/>
    <n v="77"/>
    <n v="3080"/>
    <n v="594"/>
    <n v="300"/>
    <n v="750"/>
    <n v="6"/>
    <n v="15"/>
    <n v="4724"/>
    <n v="245"/>
    <n v="6125"/>
    <n v="1401"/>
    <n v="0.17142857142857143"/>
    <s v="Poultry"/>
  </r>
  <r>
    <s v="23-061"/>
    <s v="Chicken - Tenders"/>
    <x v="153"/>
    <s v="Spicy Breaded Chicken Patty"/>
    <s v="2913/4296"/>
    <n v="12"/>
    <n v="72"/>
    <n v="2880"/>
    <n v="717.59999999999991"/>
    <n v="200"/>
    <n v="1250"/>
    <n v="4"/>
    <n v="25"/>
    <n v="5047.6000000000004"/>
    <n v="276"/>
    <n v="6900"/>
    <n v="1852.3999999999996"/>
    <n v="0.21014492753623187"/>
    <s v="Poultry"/>
  </r>
  <r>
    <s v="23-065"/>
    <s v="Chicken - Tenders"/>
    <x v="154"/>
    <s v="Spicy Breaded Chicken Patty"/>
    <s v="2913/4296"/>
    <n v="5"/>
    <n v="35"/>
    <n v="1400"/>
    <n v="299"/>
    <n v="100"/>
    <n v="750"/>
    <n v="2"/>
    <n v="15"/>
    <n v="2549"/>
    <n v="119"/>
    <n v="2975"/>
    <n v="426"/>
    <n v="0.2857142857142857"/>
    <s v="Poultry"/>
  </r>
  <r>
    <s v="23-065"/>
    <s v="Chicken - Tenders"/>
    <x v="154"/>
    <s v="Spicy Breaded Chicken Patty"/>
    <s v="2913/4296"/>
    <n v="6"/>
    <n v="42"/>
    <n v="1680"/>
    <n v="358.79999999999995"/>
    <n v="100"/>
    <n v="400"/>
    <n v="2"/>
    <n v="8"/>
    <n v="2538.8000000000002"/>
    <n v="132"/>
    <n v="3300"/>
    <n v="761.19999999999982"/>
    <n v="0.15151515151515152"/>
    <s v="Poultry"/>
  </r>
  <r>
    <s v="23-066"/>
    <s v="Chicken - Tenders"/>
    <x v="155"/>
    <s v="Breaded Chicken Patty"/>
    <s v="2913/4296"/>
    <n v="7"/>
    <n v="49"/>
    <n v="1960"/>
    <n v="378"/>
    <n v="150"/>
    <n v="700"/>
    <n v="3"/>
    <n v="14"/>
    <n v="3188"/>
    <n v="173"/>
    <n v="4325"/>
    <n v="1137"/>
    <n v="0.19653179190751446"/>
    <s v="Poultry"/>
  </r>
  <r>
    <s v="23-066"/>
    <s v="Chicken - Tenders"/>
    <x v="155"/>
    <s v="Breaded Chicken Patty"/>
    <s v="2913/4296"/>
    <n v="3"/>
    <n v="21"/>
    <n v="840"/>
    <n v="162"/>
    <n v="100"/>
    <n v="200"/>
    <n v="2"/>
    <n v="4"/>
    <n v="1302"/>
    <n v="49"/>
    <n v="1225"/>
    <n v="-77"/>
    <n v="0.24489795918367346"/>
    <s v="Poultry"/>
  </r>
  <r>
    <s v="23-067"/>
    <s v="Chicken - Tenders"/>
    <x v="156"/>
    <s v="Breaded Chicken Patty"/>
    <s v="2913/4296"/>
    <n v="11"/>
    <n v="77"/>
    <n v="3080"/>
    <n v="594"/>
    <n v="200"/>
    <n v="850"/>
    <n v="4"/>
    <n v="17"/>
    <n v="4724"/>
    <n v="256"/>
    <n v="6400"/>
    <n v="1676"/>
    <n v="0.1640625"/>
    <s v="Poultry"/>
  </r>
  <r>
    <s v="23-073"/>
    <s v="Chicken - Tenders"/>
    <x v="157"/>
    <s v="Breaded Chicken Patty"/>
    <s v="2913/4296"/>
    <n v="7"/>
    <n v="49"/>
    <n v="1960"/>
    <n v="378"/>
    <n v="150"/>
    <n v="600"/>
    <n v="3"/>
    <n v="12"/>
    <n v="3088"/>
    <n v="167"/>
    <n v="4175"/>
    <n v="1087"/>
    <n v="0.17964071856287425"/>
    <s v="Poultry"/>
  </r>
  <r>
    <s v="23-074"/>
    <s v="Pork - Trim"/>
    <x v="158"/>
    <s v="Breaded Pork Patty"/>
    <n v="4204"/>
    <n v="11"/>
    <n v="55"/>
    <n v="3300"/>
    <n v="448.79999999999995"/>
    <n v="100"/>
    <n v="725"/>
    <n v="2"/>
    <n v="29"/>
    <n v="4573.8"/>
    <n v="228"/>
    <n v="5700"/>
    <n v="1126.1999999999998"/>
    <n v="0.14473684210526316"/>
    <s v="Meat"/>
  </r>
  <r>
    <s v="23-075"/>
    <s v="Pork - Trim"/>
    <x v="159"/>
    <s v="Breaded Pork Patty"/>
    <n v="4204"/>
    <n v="4"/>
    <n v="20"/>
    <n v="1200"/>
    <n v="163.19999999999999"/>
    <n v="200"/>
    <n v="125"/>
    <n v="4"/>
    <n v="5"/>
    <n v="1688.2"/>
    <n v="106"/>
    <n v="2650"/>
    <n v="961.8"/>
    <n v="0.12264150943396226"/>
    <s v="Meat"/>
  </r>
  <r>
    <s v="23-075"/>
    <s v="Pork - Trim"/>
    <x v="159"/>
    <s v="Pork BBQ Patty"/>
    <n v="4204"/>
    <n v="7"/>
    <n v="35"/>
    <n v="2100"/>
    <n v="285.59999999999997"/>
    <s v=""/>
    <s v=""/>
    <m/>
    <m/>
    <n v="2385.6"/>
    <n v="108"/>
    <n v="2700"/>
    <n v="314.40000000000009"/>
    <s v=""/>
    <s v="Meat"/>
  </r>
  <r>
    <s v="23-079"/>
    <s v="Fish - Imitation Crab"/>
    <x v="160"/>
    <s v="Krabby Patty"/>
    <n v="7113"/>
    <n v="9"/>
    <m/>
    <n v="0"/>
    <n v="270"/>
    <n v="650"/>
    <n v="900"/>
    <n v="13"/>
    <n v="18"/>
    <n v="1820"/>
    <n v="222"/>
    <n v="5550"/>
    <n v="3730"/>
    <s v=""/>
    <s v=""/>
  </r>
  <r>
    <s v="23-080"/>
    <s v="Fish - Imitation Crab"/>
    <x v="161"/>
    <s v="Krabby Patty"/>
    <n v="7113"/>
    <n v="7"/>
    <m/>
    <n v="0"/>
    <n v="210"/>
    <n v="450"/>
    <n v="550"/>
    <n v="9"/>
    <n v="11"/>
    <n v="1210"/>
    <n v="176"/>
    <n v="4400"/>
    <n v="3190"/>
    <s v=""/>
    <s v=""/>
  </r>
  <r>
    <s v="23-081"/>
    <s v="Fish - Imitation Crab"/>
    <x v="162"/>
    <s v="Krabby Patty"/>
    <n v="7113"/>
    <n v="6"/>
    <m/>
    <n v="0"/>
    <n v="180"/>
    <n v="500"/>
    <n v="500"/>
    <n v="10"/>
    <n v="10"/>
    <n v="1180"/>
    <n v="150"/>
    <n v="3750"/>
    <n v="2570"/>
    <s v=""/>
    <s v=""/>
  </r>
  <r>
    <s v="23-082"/>
    <s v="Chicken - Ground"/>
    <x v="163"/>
    <s v="Dinner Patty"/>
    <n v="7309"/>
    <n v="11"/>
    <n v="66"/>
    <n v="3300"/>
    <n v="74.25"/>
    <s v=""/>
    <s v=""/>
    <m/>
    <m/>
    <n v="3374.25"/>
    <n v="176"/>
    <n v="4400"/>
    <n v="1025.75"/>
    <s v=""/>
    <s v="Poultry"/>
  </r>
  <r>
    <s v="23-086"/>
    <s v="Chicken - Tenders"/>
    <x v="164"/>
    <s v="Tuscan Herb Chicken Patty"/>
    <s v="2913/512"/>
    <n v="10"/>
    <n v="70"/>
    <n v="2800"/>
    <n v="621.5"/>
    <s v=""/>
    <s v=""/>
    <m/>
    <m/>
    <n v="3421.5"/>
    <n v="198"/>
    <n v="4950"/>
    <n v="1528.5"/>
    <s v=""/>
    <s v="Poultry"/>
  </r>
  <r>
    <s v="23-087"/>
    <s v="Chicken - Tenders"/>
    <x v="165"/>
    <s v="Tuscan Herb Chicken Patty"/>
    <s v="2913/512"/>
    <n v="10"/>
    <n v="70"/>
    <n v="2800"/>
    <n v="621.5"/>
    <s v=""/>
    <s v=""/>
    <m/>
    <m/>
    <n v="3421.5"/>
    <n v="195"/>
    <n v="4875"/>
    <n v="1453.5"/>
    <s v=""/>
    <s v="Poultry"/>
  </r>
  <r>
    <s v="23-088"/>
    <s v="Chicken - Ground"/>
    <x v="166"/>
    <s v="Bulk Breakfast Patty"/>
    <n v="7309"/>
    <n v="5"/>
    <n v="30"/>
    <n v="1500"/>
    <n v="58.25"/>
    <s v=""/>
    <s v=""/>
    <m/>
    <m/>
    <n v="1558.25"/>
    <n v="76"/>
    <n v="2280"/>
    <n v="721.75"/>
    <s v=""/>
    <s v="Poultry"/>
  </r>
  <r>
    <s v="23-088"/>
    <s v="Chicken - Ground"/>
    <x v="166"/>
    <s v="Bulk Ground Chicken"/>
    <n v="7309"/>
    <n v="5"/>
    <n v="30"/>
    <n v="1500"/>
    <s v=""/>
    <s v=""/>
    <s v=""/>
    <m/>
    <m/>
    <n v="1500"/>
    <n v="76"/>
    <n v="2280"/>
    <n v="780"/>
    <s v=""/>
    <s v="Poultry"/>
  </r>
  <r>
    <s v="23-088"/>
    <s v="Chicken - Ground"/>
    <x v="166"/>
    <s v="Bulk Ground Chicken"/>
    <n v="7309"/>
    <n v="10"/>
    <n v="60"/>
    <n v="3000"/>
    <s v=""/>
    <s v=""/>
    <s v=""/>
    <m/>
    <m/>
    <n v="3000"/>
    <n v="196"/>
    <n v="5880"/>
    <n v="2880"/>
    <s v=""/>
    <s v="Poultry"/>
  </r>
  <r>
    <s v="23-089"/>
    <s v="Chicken - Ground"/>
    <x v="167"/>
    <s v="Garlic &amp; Herb Chicken Patty"/>
    <n v="7309"/>
    <n v="10"/>
    <n v="60"/>
    <n v="3000"/>
    <n v="475"/>
    <s v=""/>
    <s v=""/>
    <m/>
    <m/>
    <n v="3475"/>
    <n v="150"/>
    <n v="4500"/>
    <n v="1025"/>
    <s v=""/>
    <s v="Poultry"/>
  </r>
  <r>
    <s v="23-094"/>
    <s v="Chicken - Ground"/>
    <x v="168"/>
    <s v="Meatloaf Patty"/>
    <n v="7309"/>
    <n v="5"/>
    <n v="30"/>
    <n v="1500"/>
    <n v="209.75"/>
    <s v=""/>
    <s v=""/>
    <m/>
    <m/>
    <n v="1709.75"/>
    <n v="89"/>
    <n v="2225"/>
    <n v="515.25"/>
    <s v=""/>
    <s v="Poultry"/>
  </r>
  <r>
    <s v="23-094"/>
    <s v="Chicken - Ground"/>
    <x v="168"/>
    <s v="Supreme Pizza Patty"/>
    <n v="7309"/>
    <n v="5"/>
    <n v="30"/>
    <n v="1500"/>
    <n v="326"/>
    <s v=""/>
    <s v=""/>
    <m/>
    <m/>
    <n v="1826"/>
    <n v="102"/>
    <n v="2550"/>
    <n v="724"/>
    <s v=""/>
    <s v="Poultry"/>
  </r>
  <r>
    <s v="23-095"/>
    <s v="Chicken - Ground"/>
    <x v="169"/>
    <s v="Breakfast Maple Patty"/>
    <n v="7309"/>
    <n v="5"/>
    <n v="30"/>
    <n v="1500"/>
    <n v="102"/>
    <s v=""/>
    <s v=""/>
    <m/>
    <m/>
    <n v="1602"/>
    <n v="60"/>
    <n v="1800"/>
    <n v="198"/>
    <s v=""/>
    <s v="Poultry"/>
  </r>
  <r>
    <s v="23-100"/>
    <s v="Chicken - Ground"/>
    <x v="170"/>
    <s v="Breakfast Maple Patty"/>
    <n v="7309"/>
    <n v="3"/>
    <n v="18"/>
    <n v="900"/>
    <n v="61.199999999999996"/>
    <s v=""/>
    <s v=""/>
    <m/>
    <m/>
    <n v="961.2"/>
    <n v="64"/>
    <n v="1920"/>
    <n v="958.8"/>
    <s v=""/>
    <s v="Poultry"/>
  </r>
  <r>
    <s v="23-101"/>
    <s v="Chicken - Ground"/>
    <x v="171"/>
    <s v="Breakfast Patty"/>
    <n v="7309"/>
    <n v="5"/>
    <n v="30"/>
    <n v="1500"/>
    <n v="58.25"/>
    <s v=""/>
    <s v=""/>
    <m/>
    <m/>
    <n v="1558.25"/>
    <n v="65"/>
    <n v="1950"/>
    <n v="391.75"/>
    <s v=""/>
    <s v="Poultry"/>
  </r>
  <r>
    <s v="23-102"/>
    <s v="Chicken - Ground"/>
    <x v="172"/>
    <s v="Breakfast Patty"/>
    <n v="7309"/>
    <n v="5"/>
    <n v="30"/>
    <n v="1500"/>
    <n v="58.25"/>
    <s v=""/>
    <s v=""/>
    <m/>
    <m/>
    <n v="1558.25"/>
    <n v="68"/>
    <n v="2040"/>
    <n v="481.75"/>
    <s v=""/>
    <s v="Poultry"/>
  </r>
  <r>
    <s v="23-103"/>
    <s v="Chicken - Ground"/>
    <x v="173"/>
    <s v="Breakfast Patty"/>
    <n v="7309"/>
    <n v="5"/>
    <n v="30"/>
    <n v="1500"/>
    <n v="58.25"/>
    <s v=""/>
    <s v=""/>
    <m/>
    <m/>
    <n v="1558.25"/>
    <n v="67"/>
    <n v="2010"/>
    <n v="451.75"/>
    <s v=""/>
    <s v="Poultry"/>
  </r>
  <r>
    <s v="23-107"/>
    <s v="Chicken - Ground"/>
    <x v="174"/>
    <s v="Breakfast Chicken Links"/>
    <n v="7309"/>
    <n v="6"/>
    <n v="36"/>
    <n v="1800"/>
    <n v="69.900000000000006"/>
    <s v=""/>
    <s v=""/>
    <m/>
    <m/>
    <n v="1869.9"/>
    <n v="104"/>
    <n v="2600"/>
    <n v="730.09999999999991"/>
    <s v=""/>
    <s v="Poultry"/>
  </r>
  <r>
    <s v="23-108"/>
    <s v="Chicken - Ground"/>
    <x v="175"/>
    <s v="Breakfast Maple Links"/>
    <n v="7309"/>
    <n v="2"/>
    <n v="12"/>
    <n v="600"/>
    <n v="40.799999999999997"/>
    <s v=""/>
    <s v=""/>
    <m/>
    <m/>
    <n v="640.79999999999995"/>
    <n v="46"/>
    <n v="1150"/>
    <n v="509.20000000000005"/>
    <s v=""/>
    <s v="Poultry"/>
  </r>
  <r>
    <s v="23-108"/>
    <s v="Chicken - Ground"/>
    <x v="175"/>
    <s v="Breakfast Maple Links"/>
    <n v="7309"/>
    <n v="6"/>
    <n v="36"/>
    <n v="1800"/>
    <n v="122.39999999999999"/>
    <s v=""/>
    <s v=""/>
    <m/>
    <m/>
    <n v="1922.4"/>
    <n v="98"/>
    <n v="2450"/>
    <n v="527.59999999999991"/>
    <s v=""/>
    <s v="Poultry"/>
  </r>
  <r>
    <s v="23-109"/>
    <s v="Chicken - Ground"/>
    <x v="176"/>
    <s v="Breakfast Maple Links"/>
    <n v="7309"/>
    <n v="7"/>
    <n v="42"/>
    <n v="2100"/>
    <n v="142.79999999999998"/>
    <s v=""/>
    <s v=""/>
    <m/>
    <m/>
    <n v="2242.8000000000002"/>
    <n v="123"/>
    <n v="3075"/>
    <n v="832.19999999999982"/>
    <s v=""/>
    <s v="Poultry"/>
  </r>
  <r>
    <s v="23-110"/>
    <s v="Chicken - Ground"/>
    <x v="177"/>
    <s v="Breakfast Maple Links"/>
    <n v="7309"/>
    <n v="6"/>
    <n v="36"/>
    <n v="1800"/>
    <n v="122.39999999999999"/>
    <s v=""/>
    <s v=""/>
    <m/>
    <m/>
    <n v="1922.4"/>
    <n v="107"/>
    <n v="2675"/>
    <n v="752.59999999999991"/>
    <s v=""/>
    <s v="Poultry"/>
  </r>
  <r>
    <s v="23-115"/>
    <s v="Chicken - Ground"/>
    <x v="178"/>
    <s v="Dinner Patty"/>
    <n v="7309"/>
    <n v="5"/>
    <n v="30"/>
    <n v="1500"/>
    <n v="33.75"/>
    <s v=""/>
    <s v=""/>
    <m/>
    <m/>
    <n v="1533.75"/>
    <n v="80"/>
    <n v="2000"/>
    <n v="466.25"/>
    <s v=""/>
    <s v="Poultry"/>
  </r>
  <r>
    <s v="23-116"/>
    <s v="Chicken - Ground"/>
    <x v="179"/>
    <s v="Dinner Patty"/>
    <n v="7309"/>
    <n v="5"/>
    <n v="30"/>
    <n v="1500"/>
    <n v="33.75"/>
    <s v=""/>
    <s v=""/>
    <m/>
    <m/>
    <n v="1533.75"/>
    <n v="79"/>
    <n v="1975"/>
    <n v="441.25"/>
    <s v=""/>
    <s v="Poultry"/>
  </r>
  <r>
    <s v="23-117"/>
    <s v="Chicken - Tenders"/>
    <x v="180"/>
    <s v="Tuscan Herb Chicken Patty"/>
    <s v="2913/512"/>
    <n v="3"/>
    <n v="21"/>
    <n v="840"/>
    <n v="186.45"/>
    <s v=""/>
    <s v=""/>
    <m/>
    <m/>
    <n v="1026.45"/>
    <n v="49"/>
    <n v="1225"/>
    <n v="198.54999999999995"/>
    <s v=""/>
    <s v="Poultry"/>
  </r>
  <r>
    <s v="23-117"/>
    <s v="Chicken - Tenders"/>
    <x v="180"/>
    <s v="Tuscan Herb Chicken Patty"/>
    <s v="2913/512"/>
    <n v="9"/>
    <n v="63"/>
    <n v="2520"/>
    <n v="559.35"/>
    <s v=""/>
    <s v=""/>
    <m/>
    <m/>
    <n v="3079.35"/>
    <n v="176"/>
    <n v="4400"/>
    <n v="1320.65"/>
    <s v=""/>
    <s v="Poultry"/>
  </r>
  <r>
    <s v="23-121"/>
    <s v="Chicken - Tenders"/>
    <x v="181"/>
    <s v="Spicy Breaded Chicken Patty"/>
    <s v="2913/512"/>
    <n v="12"/>
    <n v="84"/>
    <n v="3360"/>
    <n v="717.59999999999991"/>
    <n v="250"/>
    <n v="800"/>
    <n v="5"/>
    <n v="16"/>
    <n v="5127.6000000000004"/>
    <n v="264"/>
    <n v="6600"/>
    <n v="1472.3999999999996"/>
    <n v="0.15909090909090909"/>
    <s v="Poultry"/>
  </r>
  <r>
    <s v="23-122"/>
    <s v="Chicken - Tenders"/>
    <x v="182"/>
    <s v="Breaded Chicken Patty"/>
    <s v="2913/512"/>
    <n v="1"/>
    <n v="7"/>
    <n v="280"/>
    <n v="54"/>
    <n v="50"/>
    <n v="50"/>
    <n v="1"/>
    <n v="1"/>
    <n v="434"/>
    <n v="22"/>
    <n v="550"/>
    <n v="116"/>
    <n v="0.18181818181818182"/>
    <s v="Poultry"/>
  </r>
  <r>
    <s v="23-122"/>
    <s v="Chicken - Tenders"/>
    <x v="182"/>
    <s v="Breaded Chicken Patty"/>
    <s v="2913/512"/>
    <n v="8"/>
    <n v="56"/>
    <n v="2240"/>
    <n v="432"/>
    <n v="300"/>
    <n v="1000"/>
    <n v="6"/>
    <n v="20"/>
    <n v="3972"/>
    <n v="196"/>
    <n v="4900"/>
    <n v="928"/>
    <n v="0.26530612244897961"/>
    <s v="Poultry"/>
  </r>
  <r>
    <s v="23-122"/>
    <s v="Chicken - Tenders"/>
    <x v="182"/>
    <s v="Spicy Breaded Chicken Patty"/>
    <s v="2913/512"/>
    <n v="2"/>
    <n v="14"/>
    <n v="560"/>
    <n v="119.6"/>
    <n v="50"/>
    <n v="150"/>
    <n v="1"/>
    <n v="3"/>
    <n v="879.6"/>
    <n v="30"/>
    <n v="750"/>
    <n v="-129.60000000000002"/>
    <n v="0.26666666666666666"/>
    <s v="Poultry"/>
  </r>
  <r>
    <s v="23-122"/>
    <s v="Chicken - Tenders"/>
    <x v="182"/>
    <s v="Spicy Breaded Chicken Patty"/>
    <s v="2913/512"/>
    <n v="1"/>
    <n v="7"/>
    <n v="280"/>
    <n v="59.8"/>
    <n v="50"/>
    <n v="50"/>
    <n v="1"/>
    <n v="1"/>
    <n v="439.8"/>
    <n v="18"/>
    <n v="450"/>
    <n v="10.199999999999989"/>
    <n v="0.22222222222222221"/>
    <s v="Poultry"/>
  </r>
  <r>
    <s v="23-123"/>
    <s v="Chicken - Tenders"/>
    <x v="183"/>
    <s v="Breaded Chicken Patty"/>
    <s v="2913/512"/>
    <n v="2"/>
    <n v="14"/>
    <n v="560"/>
    <n v="108"/>
    <n v="50"/>
    <n v="100"/>
    <n v="1"/>
    <n v="2"/>
    <n v="818"/>
    <n v="55"/>
    <n v="1375"/>
    <n v="557"/>
    <n v="0.10909090909090909"/>
    <s v="Poultry"/>
  </r>
  <r>
    <s v="23-128"/>
    <s v="Chicken - Ground"/>
    <x v="184"/>
    <s v="Meatloaf Patty"/>
    <n v="6723"/>
    <n v="12"/>
    <n v="72"/>
    <n v="3600"/>
    <n v="503.40000000000003"/>
    <s v=""/>
    <s v=""/>
    <m/>
    <m/>
    <n v="4103.3999999999996"/>
    <n v="228"/>
    <n v="5700"/>
    <n v="1596.6000000000004"/>
    <s v=""/>
    <s v="Poultry"/>
  </r>
  <r>
    <s v="23-129"/>
    <s v="Chicken - Ground"/>
    <x v="185"/>
    <s v="Bulk Ground Chicken"/>
    <n v="6723"/>
    <n v="11"/>
    <n v="66"/>
    <n v="3300"/>
    <s v=""/>
    <s v=""/>
    <s v=""/>
    <m/>
    <m/>
    <n v="3300"/>
    <n v="149"/>
    <n v="4470"/>
    <n v="1170"/>
    <s v=""/>
    <s v="Poultry"/>
  </r>
  <r>
    <s v="23-129"/>
    <s v="Chicken - Ground"/>
    <x v="185"/>
    <s v="Bulk Ground Chicken"/>
    <n v="6723"/>
    <n v="4"/>
    <n v="24"/>
    <n v="1200"/>
    <s v=""/>
    <s v=""/>
    <s v=""/>
    <m/>
    <m/>
    <n v="1200"/>
    <n v="49"/>
    <n v="1470"/>
    <n v="270"/>
    <s v=""/>
    <s v="Poultry"/>
  </r>
  <r>
    <s v="23-130"/>
    <s v="Chicken - Ground"/>
    <x v="186"/>
    <s v="Bulk Breakfast Patty"/>
    <n v="6723"/>
    <n v="5"/>
    <n v="30"/>
    <n v="1500"/>
    <n v="58.25"/>
    <s v=""/>
    <s v=""/>
    <m/>
    <m/>
    <n v="1558.25"/>
    <n v="87"/>
    <n v="2610"/>
    <n v="1051.75"/>
    <s v=""/>
    <s v="Poultry"/>
  </r>
  <r>
    <s v="23-130"/>
    <s v="Chicken - Ground"/>
    <x v="186"/>
    <s v="Bulk Ground Chicken"/>
    <n v="6723"/>
    <n v="10"/>
    <n v="60"/>
    <n v="3000"/>
    <s v=""/>
    <s v=""/>
    <s v=""/>
    <m/>
    <m/>
    <n v="3000"/>
    <n v="136"/>
    <n v="4080"/>
    <n v="1080"/>
    <s v=""/>
    <s v="Poultry"/>
  </r>
  <r>
    <s v="23-131"/>
    <s v="Chicken - Ground"/>
    <x v="187"/>
    <s v="Dinner Patty"/>
    <n v="6723"/>
    <n v="12"/>
    <n v="72"/>
    <n v="3600"/>
    <n v="81"/>
    <s v=""/>
    <s v=""/>
    <m/>
    <m/>
    <n v="3681"/>
    <n v="201"/>
    <n v="5025"/>
    <n v="1344"/>
    <s v=""/>
    <s v="Poultry"/>
  </r>
  <r>
    <s v="23-135"/>
    <s v="Chicken - Ground"/>
    <x v="188"/>
    <s v="Breakfast Patty"/>
    <n v="6723"/>
    <n v="8"/>
    <n v="48"/>
    <n v="2400"/>
    <n v="93.2"/>
    <s v=""/>
    <s v=""/>
    <m/>
    <m/>
    <n v="2493.1999999999998"/>
    <n v="111"/>
    <n v="3330"/>
    <n v="836.80000000000018"/>
    <s v=""/>
    <s v="Poultry"/>
  </r>
  <r>
    <s v="23-136"/>
    <s v="Chicken - Ground"/>
    <x v="189"/>
    <s v="Breakfast Patty"/>
    <n v="918"/>
    <n v="10"/>
    <n v="60"/>
    <n v="3000"/>
    <n v="116.5"/>
    <s v=""/>
    <s v=""/>
    <m/>
    <m/>
    <n v="3116.5"/>
    <n v="139"/>
    <n v="4170"/>
    <n v="1053.5"/>
    <s v=""/>
    <s v="Poultry"/>
  </r>
  <r>
    <s v="23-137"/>
    <s v="Chicken - Ground"/>
    <x v="190"/>
    <s v="Garlic &amp; Herb Chicken Patty"/>
    <n v="918"/>
    <n v="12"/>
    <n v="72"/>
    <n v="3600"/>
    <n v="570"/>
    <s v=""/>
    <s v=""/>
    <m/>
    <m/>
    <n v="4170"/>
    <n v="182"/>
    <n v="5460"/>
    <n v="1290"/>
    <s v=""/>
    <s v="Poultry"/>
  </r>
  <r>
    <s v="23-138"/>
    <s v="Chicken - Ground"/>
    <x v="191"/>
    <s v="Supreme Pizza Patty"/>
    <n v="918"/>
    <n v="12"/>
    <n v="72"/>
    <n v="3600"/>
    <n v="782.40000000000009"/>
    <s v=""/>
    <s v=""/>
    <m/>
    <m/>
    <n v="4382.3999999999996"/>
    <n v="230"/>
    <n v="5750"/>
    <n v="1367.6000000000004"/>
    <s v=""/>
    <s v="Poultry"/>
  </r>
  <r>
    <s v="23-143"/>
    <s v="Chicken - Ground"/>
    <x v="192"/>
    <s v="Breakfast Chicken Links"/>
    <n v="918"/>
    <n v="2"/>
    <n v="12"/>
    <n v="600"/>
    <n v="23.3"/>
    <s v=""/>
    <s v=""/>
    <m/>
    <m/>
    <n v="623.29999999999995"/>
    <n v="29"/>
    <n v="725"/>
    <n v="101.70000000000005"/>
    <s v=""/>
    <s v="Poultry"/>
  </r>
  <r>
    <s v="23-143"/>
    <s v="Chicken - Ground"/>
    <x v="192"/>
    <s v="Breakfast Maple Links"/>
    <n v="918"/>
    <n v="10"/>
    <n v="60"/>
    <n v="3000"/>
    <n v="204"/>
    <s v=""/>
    <s v=""/>
    <m/>
    <m/>
    <n v="3204"/>
    <n v="186"/>
    <n v="4650"/>
    <n v="1446"/>
    <s v=""/>
    <s v="Poultry"/>
  </r>
  <r>
    <s v="23-144"/>
    <s v="Chicken - Tenders"/>
    <x v="193"/>
    <s v="Tuscan Herb Chicken Patty"/>
    <s v="42070/512"/>
    <n v="8"/>
    <n v="56"/>
    <n v="2240"/>
    <n v="497.2"/>
    <s v=""/>
    <s v=""/>
    <m/>
    <m/>
    <n v="2737.2"/>
    <n v="147"/>
    <n v="3675"/>
    <n v="937.80000000000018"/>
    <s v=""/>
    <s v="Poultry"/>
  </r>
  <r>
    <s v="23-144"/>
    <s v="Chicken - Tenders"/>
    <x v="193"/>
    <s v="Tuscan Herb Chicken Patty"/>
    <s v="42070/512"/>
    <n v="1"/>
    <n v="7"/>
    <n v="280"/>
    <n v="62.15"/>
    <s v=""/>
    <s v=""/>
    <m/>
    <m/>
    <n v="342.15"/>
    <n v="13"/>
    <n v="325"/>
    <n v="-17.149999999999977"/>
    <s v=""/>
    <s v="Poultry"/>
  </r>
  <r>
    <s v="23-145"/>
    <s v="Chicken - Ground"/>
    <x v="194"/>
    <s v="Dinner Patty"/>
    <n v="918"/>
    <n v="3"/>
    <n v="18"/>
    <n v="900"/>
    <n v="20.25"/>
    <s v=""/>
    <s v=""/>
    <m/>
    <m/>
    <n v="920.25"/>
    <n v="48"/>
    <n v="1200"/>
    <n v="279.75"/>
    <s v=""/>
    <s v="Poultry"/>
  </r>
  <r>
    <s v="23-145"/>
    <s v="Chicken - Ground"/>
    <x v="194"/>
    <s v="Dinner Patty"/>
    <n v="918"/>
    <n v="9"/>
    <n v="54"/>
    <n v="2700"/>
    <n v="60.75"/>
    <s v=""/>
    <s v=""/>
    <m/>
    <m/>
    <n v="2760.75"/>
    <n v="147"/>
    <n v="3675"/>
    <n v="914.25"/>
    <s v=""/>
    <s v="Poultry"/>
  </r>
  <r>
    <s v="23-150"/>
    <s v="Chicken - Tenders"/>
    <x v="195"/>
    <s v="Breaded Chicken Patty"/>
    <s v="42070/512"/>
    <n v="10"/>
    <n v="70"/>
    <n v="2800"/>
    <n v="540"/>
    <n v="100"/>
    <n v="800"/>
    <n v="2"/>
    <n v="16"/>
    <n v="4240"/>
    <n v="212"/>
    <n v="5300"/>
    <n v="1060"/>
    <n v="0.16981132075471697"/>
    <s v="Poultry"/>
  </r>
  <r>
    <s v="23-151"/>
    <s v="Chicken - Tenders"/>
    <x v="196"/>
    <s v="Breaded Chicken Patty"/>
    <s v="42070/512"/>
    <n v="5"/>
    <n v="35"/>
    <n v="1400"/>
    <n v="270"/>
    <n v="100"/>
    <n v="300"/>
    <n v="2"/>
    <n v="6"/>
    <n v="2070"/>
    <n v="107"/>
    <n v="2675"/>
    <n v="605"/>
    <n v="0.14953271028037382"/>
    <s v="Poultry"/>
  </r>
  <r>
    <s v="23-151"/>
    <s v="Chicken - Tenders"/>
    <x v="196"/>
    <s v="Breaded Chicken Patty"/>
    <s v="42070/512"/>
    <n v="2"/>
    <n v="14"/>
    <n v="560"/>
    <n v="108"/>
    <n v="50"/>
    <n v="100"/>
    <n v="1"/>
    <n v="2"/>
    <n v="818"/>
    <n v="33"/>
    <n v="825"/>
    <n v="7"/>
    <n v="0.18181818181818182"/>
    <s v="Poultry"/>
  </r>
  <r>
    <s v="23-152"/>
    <s v="Chicken - Tenders"/>
    <x v="197"/>
    <s v="Breaded Chicken Patty"/>
    <s v="42070/512"/>
    <n v="7"/>
    <n v="49"/>
    <n v="1960"/>
    <n v="378"/>
    <n v="150"/>
    <n v="700"/>
    <n v="3"/>
    <n v="14"/>
    <n v="3188"/>
    <n v="147"/>
    <n v="3675"/>
    <n v="487"/>
    <n v="0.23129251700680273"/>
    <s v="Poultry"/>
  </r>
  <r>
    <s v="23-156"/>
    <s v="Chicken - Tenders"/>
    <x v="198"/>
    <s v="Breaded Chicken Patty"/>
    <s v="42070/512"/>
    <n v="10"/>
    <n v="70"/>
    <n v="2800"/>
    <n v="540"/>
    <n v="250"/>
    <n v="650"/>
    <n v="5"/>
    <n v="13"/>
    <n v="4240"/>
    <n v="219"/>
    <n v="5475"/>
    <n v="1235"/>
    <n v="0.16438356164383561"/>
    <s v="Poultry"/>
  </r>
  <r>
    <s v="23-157"/>
    <s v="Chicken - Tenders"/>
    <x v="199"/>
    <s v="Breaded Chicken Patty"/>
    <s v="42070/512"/>
    <n v="10"/>
    <n v="70"/>
    <n v="2800"/>
    <n v="540"/>
    <n v="100"/>
    <n v="600"/>
    <n v="2"/>
    <n v="12"/>
    <n v="4040"/>
    <n v="213"/>
    <n v="5325"/>
    <n v="1285"/>
    <n v="0.13145539906103287"/>
    <s v="Poultry"/>
  </r>
  <r>
    <s v="23-158"/>
    <s v="Chicken - Tenders"/>
    <x v="200"/>
    <s v="Breaded Chicken Patty"/>
    <s v="42070/512"/>
    <n v="8"/>
    <n v="56"/>
    <n v="2240"/>
    <n v="432"/>
    <n v="100"/>
    <n v="600"/>
    <n v="2"/>
    <n v="12"/>
    <n v="3372"/>
    <n v="170"/>
    <n v="4250"/>
    <n v="878"/>
    <n v="0.16470588235294117"/>
    <s v="Poultry"/>
  </r>
  <r>
    <s v="23-159"/>
    <s v="Chicken - Tenders"/>
    <x v="201"/>
    <s v="Breaded Chicken Patty"/>
    <s v="42070/512"/>
    <n v="3"/>
    <n v="21"/>
    <n v="840"/>
    <n v="162"/>
    <n v="100"/>
    <n v="250"/>
    <n v="2"/>
    <n v="5"/>
    <n v="1352"/>
    <n v="76"/>
    <n v="1900"/>
    <n v="548"/>
    <n v="0.18421052631578946"/>
    <s v="Poultry"/>
  </r>
  <r>
    <s v="23-159"/>
    <s v="Chicken - Tenders"/>
    <x v="201"/>
    <s v="Breaded Chicken Patty"/>
    <s v="42070/512"/>
    <n v="7"/>
    <n v="49"/>
    <n v="1960"/>
    <n v="378"/>
    <n v="150"/>
    <n v="500"/>
    <n v="3"/>
    <n v="10"/>
    <n v="2988"/>
    <n v="133"/>
    <n v="3325"/>
    <n v="337"/>
    <n v="0.19548872180451127"/>
    <s v="Poultry"/>
  </r>
  <r>
    <s v="23-163"/>
    <s v="Chicken - Ground"/>
    <x v="202"/>
    <s v="Bulk Ground Chicken"/>
    <n v="918"/>
    <n v="15"/>
    <n v="90"/>
    <n v="4500"/>
    <s v=""/>
    <s v=""/>
    <s v=""/>
    <m/>
    <m/>
    <n v="4500"/>
    <n v="57"/>
    <n v="1710"/>
    <n v="-2790"/>
    <s v=""/>
    <s v="Poultry"/>
  </r>
  <r>
    <s v="23-164"/>
    <s v="Chicken - Tenders"/>
    <x v="203"/>
    <s v="Tuscan Herb Chicken Patty"/>
    <s v="42070/512"/>
    <n v="8"/>
    <n v="56"/>
    <n v="2240"/>
    <n v="497.2"/>
    <s v=""/>
    <s v=""/>
    <m/>
    <m/>
    <n v="2737.2"/>
    <n v="147"/>
    <n v="3675"/>
    <n v="937.80000000000018"/>
    <s v=""/>
    <s v="Poultry"/>
  </r>
  <r>
    <s v="23-164"/>
    <s v="Chicken - Tenders"/>
    <x v="203"/>
    <s v="Tuscan Herb Chicken Patty"/>
    <s v="42070/512"/>
    <n v="2"/>
    <n v="14"/>
    <n v="560"/>
    <n v="124.3"/>
    <s v=""/>
    <s v=""/>
    <m/>
    <m/>
    <n v="684.3"/>
    <n v="24"/>
    <n v="600"/>
    <n v="-84.299999999999955"/>
    <s v=""/>
    <s v="Poultry"/>
  </r>
  <r>
    <s v="23-165"/>
    <s v="Chicken - Ground"/>
    <x v="204"/>
    <s v="Breakfast Maple Links"/>
    <n v="918"/>
    <n v="11"/>
    <n v="66"/>
    <n v="3300"/>
    <n v="224.39999999999998"/>
    <s v=""/>
    <s v=""/>
    <m/>
    <m/>
    <n v="3524.4"/>
    <n v="199"/>
    <n v="4975"/>
    <n v="1450.6"/>
    <s v=""/>
    <s v="Poultry"/>
  </r>
  <r>
    <s v="23-166"/>
    <s v="Chicken - Ground"/>
    <x v="205"/>
    <s v="Breakfast Chicken Links"/>
    <n v="918"/>
    <n v="11"/>
    <n v="66"/>
    <n v="3300"/>
    <n v="128.15"/>
    <s v=""/>
    <s v=""/>
    <m/>
    <m/>
    <n v="3428.15"/>
    <n v="180"/>
    <n v="4500"/>
    <n v="1071.8499999999999"/>
    <s v=""/>
    <s v="Poultry"/>
  </r>
  <r>
    <s v="23-171"/>
    <s v="Chicken - Ground"/>
    <x v="206"/>
    <s v="Dinner Patty"/>
    <n v="918"/>
    <n v="12"/>
    <n v="72"/>
    <n v="3600"/>
    <n v="81"/>
    <s v=""/>
    <s v=""/>
    <m/>
    <m/>
    <n v="3681"/>
    <n v="191"/>
    <n v="4775"/>
    <n v="1094"/>
    <s v=""/>
    <s v="Poultry"/>
  </r>
  <r>
    <s v="23-172"/>
    <s v="Chicken - Ground"/>
    <x v="207"/>
    <s v="Meatloaf Patty"/>
    <n v="918"/>
    <n v="12"/>
    <n v="72"/>
    <n v="3600"/>
    <n v="503.40000000000003"/>
    <s v=""/>
    <s v=""/>
    <m/>
    <m/>
    <n v="4103.3999999999996"/>
    <n v="230"/>
    <n v="5750"/>
    <n v="1646.6000000000004"/>
    <s v=""/>
    <s v="Poultry"/>
  </r>
  <r>
    <s v="23-177"/>
    <s v="Chicken - Tenders"/>
    <x v="208"/>
    <s v="Tuscan Herb Chicken Patty"/>
    <s v="42070/512"/>
    <n v="12"/>
    <n v="84"/>
    <n v="3360"/>
    <n v="745.8"/>
    <s v=""/>
    <s v=""/>
    <m/>
    <m/>
    <n v="4105.8"/>
    <n v="217"/>
    <n v="5425"/>
    <n v="1319.1999999999998"/>
    <s v=""/>
    <s v="Poultry"/>
  </r>
  <r>
    <s v="23-178"/>
    <s v="Chicken - Ground"/>
    <x v="209"/>
    <s v="Breakfast Maple Patty"/>
    <n v="918"/>
    <n v="10"/>
    <n v="60"/>
    <n v="3000"/>
    <n v="204"/>
    <s v=""/>
    <s v=""/>
    <m/>
    <m/>
    <n v="3204"/>
    <n v="138"/>
    <n v="4140"/>
    <n v="936"/>
    <s v=""/>
    <s v="Poultry"/>
  </r>
  <r>
    <s v="23-180"/>
    <s v="Chicken - Ground"/>
    <x v="210"/>
    <s v="Breakfast Patty"/>
    <n v="918"/>
    <n v="8"/>
    <n v="56"/>
    <n v="2800"/>
    <n v="93.2"/>
    <s v=""/>
    <s v=""/>
    <m/>
    <m/>
    <n v="2893.2"/>
    <n v="107"/>
    <n v="3210"/>
    <n v="316.80000000000018"/>
    <s v=""/>
    <s v="Poultry"/>
  </r>
  <r>
    <s v="23-184"/>
    <s v="Chicken - Tenders"/>
    <x v="211"/>
    <s v="Spicy Breaded Chicken Patty"/>
    <s v="42070/512"/>
    <n v="8"/>
    <n v="56"/>
    <n v="2240"/>
    <n v="478.4"/>
    <n v="250"/>
    <n v="1000"/>
    <n v="5"/>
    <n v="20"/>
    <n v="3968.4"/>
    <n v="179"/>
    <n v="4475"/>
    <n v="506.59999999999991"/>
    <n v="0.27932960893854747"/>
    <s v="Poultry"/>
  </r>
  <r>
    <s v="23-186"/>
    <s v="Chicken - Tenders"/>
    <x v="212"/>
    <s v="Breaded Chicken Patty"/>
    <s v="42070/512"/>
    <n v="8"/>
    <n v="56"/>
    <n v="2240"/>
    <n v="432"/>
    <n v="250"/>
    <n v="500"/>
    <n v="5"/>
    <n v="10"/>
    <n v="3422"/>
    <n v="162"/>
    <n v="4050"/>
    <n v="628"/>
    <n v="0.18518518518518517"/>
    <s v="Poultry"/>
  </r>
  <r>
    <s v="23-187"/>
    <s v="Chicken - Tenders"/>
    <x v="213"/>
    <s v="Breaded Chicken Patty"/>
    <s v="42070/512"/>
    <n v="8"/>
    <n v="56"/>
    <n v="2240"/>
    <n v="432"/>
    <n v="100"/>
    <n v="800"/>
    <n v="2"/>
    <n v="16"/>
    <n v="3572"/>
    <n v="168"/>
    <n v="4200"/>
    <n v="628"/>
    <n v="0.21428571428571427"/>
    <s v="Poultry"/>
  </r>
  <r>
    <s v="23-191"/>
    <s v="Chicken - Tenders"/>
    <x v="214"/>
    <s v="Breaded Chicken Patty"/>
    <s v="42070/512"/>
    <n v="8"/>
    <n v="56"/>
    <n v="2240"/>
    <n v="432"/>
    <n v="200"/>
    <n v="550"/>
    <n v="4"/>
    <n v="11"/>
    <n v="3422"/>
    <n v="163"/>
    <n v="4075"/>
    <n v="653"/>
    <n v="0.18404907975460122"/>
    <s v="Poultry"/>
  </r>
  <r>
    <s v="23-192"/>
    <s v="Chicken - Tenders"/>
    <x v="215"/>
    <s v="Breaded Chicken Patty"/>
    <s v="42070/512"/>
    <n v="8"/>
    <n v="56"/>
    <n v="2240"/>
    <n v="432"/>
    <n v="200"/>
    <n v="550"/>
    <n v="4"/>
    <n v="11"/>
    <n v="3422"/>
    <n v="165"/>
    <n v="4125"/>
    <n v="703"/>
    <n v="0.18181818181818182"/>
    <s v="Poultry"/>
  </r>
  <r>
    <s v="23-193"/>
    <s v="Chicken - Ground"/>
    <x v="216"/>
    <s v="Breakfast Maple Links"/>
    <n v="1806"/>
    <n v="10"/>
    <n v="60"/>
    <n v="3000"/>
    <n v="204"/>
    <s v=""/>
    <s v=""/>
    <m/>
    <m/>
    <n v="3204"/>
    <n v="160"/>
    <n v="4000"/>
    <n v="796"/>
    <s v=""/>
    <s v="Poultry"/>
  </r>
  <r>
    <s v="23-194"/>
    <s v="Chicken - Tenders"/>
    <x v="217"/>
    <s v="Tuscan Herb Chicken Patty"/>
    <s v="3129/512"/>
    <n v="8"/>
    <n v="56"/>
    <n v="2240"/>
    <n v="497.2"/>
    <s v=""/>
    <s v=""/>
    <m/>
    <m/>
    <n v="2737.2"/>
    <n v="137"/>
    <n v="3425"/>
    <n v="687.80000000000018"/>
    <s v=""/>
    <s v="Poultry"/>
  </r>
  <r>
    <s v="23-198"/>
    <s v="Chicken - Tenders"/>
    <x v="218"/>
    <s v="Spicy Breaded Chicken Patty"/>
    <s v="3129/512"/>
    <n v="6"/>
    <n v="42"/>
    <n v="1680"/>
    <n v="358.79999999999995"/>
    <n v="100"/>
    <n v="550"/>
    <n v="2"/>
    <n v="11"/>
    <n v="2688.8"/>
    <n v="121"/>
    <n v="3025"/>
    <n v="336.19999999999982"/>
    <n v="0.21487603305785125"/>
    <s v="Poultry"/>
  </r>
  <r>
    <s v="23-199"/>
    <s v="Chicken - Tenders"/>
    <x v="219"/>
    <s v="Breaded Chicken Patty"/>
    <s v="3129/512"/>
    <n v="8"/>
    <n v="56"/>
    <n v="2240"/>
    <n v="432"/>
    <n v="300"/>
    <n v="800"/>
    <n v="6"/>
    <n v="16"/>
    <n v="3772"/>
    <n v="169"/>
    <n v="4225"/>
    <n v="453"/>
    <n v="0.26035502958579881"/>
    <s v="Poultry"/>
  </r>
  <r>
    <s v="23-200"/>
    <s v="Chicken - Tenders"/>
    <x v="220"/>
    <s v="Breaded Chicken Patty"/>
    <s v="3129/512"/>
    <n v="8"/>
    <n v="56"/>
    <n v="2240"/>
    <n v="432"/>
    <n v="100"/>
    <n v="650"/>
    <n v="2"/>
    <n v="13"/>
    <n v="3422"/>
    <n v="164"/>
    <n v="4100"/>
    <n v="678"/>
    <n v="0.18292682926829268"/>
    <s v="Poultry"/>
  </r>
  <r>
    <s v="23-205"/>
    <s v="Chicken - Ground"/>
    <x v="221"/>
    <s v="Bulk Breakfast Patty"/>
    <n v="1806"/>
    <n v="10"/>
    <n v="60"/>
    <n v="3000"/>
    <n v="116.5"/>
    <s v=""/>
    <s v=""/>
    <m/>
    <m/>
    <n v="3116.5"/>
    <n v="138"/>
    <n v="4140"/>
    <n v="1023.5"/>
    <s v=""/>
    <s v="Poultry"/>
  </r>
  <r>
    <s v="23-206"/>
    <s v="Chicken - Ground"/>
    <x v="222"/>
    <s v="Bulk Breakfast Patty"/>
    <n v="1806"/>
    <n v="9"/>
    <n v="54"/>
    <n v="2700"/>
    <n v="104.85000000000001"/>
    <s v=""/>
    <s v=""/>
    <m/>
    <m/>
    <n v="2804.85"/>
    <n v="121"/>
    <n v="3630"/>
    <n v="825.15000000000009"/>
    <s v=""/>
    <s v="Poultry"/>
  </r>
  <r>
    <s v="23-207"/>
    <s v="Chicken - Ground"/>
    <x v="223"/>
    <s v="Breakfast Patty"/>
    <n v="1806"/>
    <n v="8"/>
    <n v="48"/>
    <n v="2400"/>
    <n v="93.2"/>
    <s v=""/>
    <s v=""/>
    <m/>
    <m/>
    <n v="2493.1999999999998"/>
    <n v="109"/>
    <n v="3270"/>
    <n v="776.80000000000018"/>
    <s v=""/>
    <s v="Poultry"/>
  </r>
  <r>
    <s v="23-212"/>
    <s v="Chicken - Ground"/>
    <x v="224"/>
    <s v="Garlic &amp; Herb Chicken Patty"/>
    <n v="1806"/>
    <n v="8"/>
    <n v="48"/>
    <n v="2400"/>
    <n v="380"/>
    <s v=""/>
    <s v=""/>
    <m/>
    <m/>
    <n v="2780"/>
    <n v="116"/>
    <n v="3480"/>
    <n v="700"/>
    <s v=""/>
    <s v="Poultry"/>
  </r>
  <r>
    <s v="23-213"/>
    <s v="Chicken - Ground"/>
    <x v="225"/>
    <s v="Breakfast Patty"/>
    <n v="1806"/>
    <n v="8"/>
    <n v="56"/>
    <n v="2800"/>
    <n v="93.2"/>
    <s v=""/>
    <s v=""/>
    <m/>
    <m/>
    <n v="2893.2"/>
    <n v="105"/>
    <n v="3150"/>
    <n v="256.80000000000018"/>
    <s v=""/>
    <s v="Poultry"/>
  </r>
  <r>
    <s v="23-214"/>
    <s v="Chicken - Ground"/>
    <x v="226"/>
    <s v="Breakfast Patty"/>
    <n v="1806"/>
    <n v="8"/>
    <n v="48"/>
    <n v="2400"/>
    <n v="93.2"/>
    <s v=""/>
    <s v=""/>
    <m/>
    <m/>
    <n v="2493.1999999999998"/>
    <n v="107"/>
    <n v="3210"/>
    <n v="716.80000000000018"/>
    <s v=""/>
    <s v="Poultry"/>
  </r>
  <r>
    <s v="23-219"/>
    <s v="Chicken - Ground"/>
    <x v="227"/>
    <s v="Dinner Patty"/>
    <n v="1806"/>
    <n v="10"/>
    <n v="70"/>
    <n v="3500"/>
    <n v="67.5"/>
    <s v=""/>
    <s v=""/>
    <m/>
    <m/>
    <n v="3567.5"/>
    <n v="156"/>
    <n v="3900"/>
    <n v="332.5"/>
    <s v=""/>
    <s v="Poultry"/>
  </r>
  <r>
    <s v="23-220"/>
    <s v="Chicken - Ground"/>
    <x v="228"/>
    <s v="Dinner Patty"/>
    <n v="1806"/>
    <n v="10"/>
    <n v="60"/>
    <n v="3000"/>
    <n v="67.5"/>
    <s v=""/>
    <s v=""/>
    <m/>
    <m/>
    <n v="3067.5"/>
    <n v="156"/>
    <n v="3900"/>
    <n v="832.5"/>
    <s v=""/>
    <s v="Poultry"/>
  </r>
  <r>
    <s v="23-221"/>
    <s v="Chicken - Ground"/>
    <x v="229"/>
    <s v="Breakfast Chicken Links"/>
    <n v="1806"/>
    <n v="8"/>
    <n v="48"/>
    <n v="2400"/>
    <n v="93.2"/>
    <s v=""/>
    <s v=""/>
    <m/>
    <m/>
    <n v="2493.1999999999998"/>
    <n v="130"/>
    <n v="3250"/>
    <n v="756.80000000000018"/>
    <s v=""/>
    <s v="Poultry"/>
  </r>
  <r>
    <s v="23-222"/>
    <s v="Chicken - Ground"/>
    <x v="230"/>
    <s v="Breakfast Maple Links"/>
    <n v="1806"/>
    <n v="4"/>
    <n v="24"/>
    <n v="1200"/>
    <n v="81.599999999999994"/>
    <s v=""/>
    <s v=""/>
    <m/>
    <m/>
    <n v="1281.5999999999999"/>
    <n v="62"/>
    <n v="1550"/>
    <n v="268.40000000000009"/>
    <s v=""/>
    <s v="Poultry"/>
  </r>
  <r>
    <s v="23-227"/>
    <s v="Cornmeal"/>
    <x v="231"/>
    <s v="Hush Puppies"/>
    <s v="H227-23"/>
    <m/>
    <m/>
    <n v="0"/>
    <s v=""/>
    <s v=""/>
    <s v=""/>
    <m/>
    <m/>
    <s v=""/>
    <n v="29"/>
    <n v="145"/>
    <s v=""/>
    <s v=""/>
    <s v=""/>
  </r>
  <r>
    <s v="23-228"/>
    <s v="Cornmeal"/>
    <x v="232"/>
    <s v="Hush Puppies"/>
    <s v="H228-23"/>
    <m/>
    <m/>
    <n v="0"/>
    <s v=""/>
    <s v=""/>
    <s v=""/>
    <m/>
    <m/>
    <s v=""/>
    <n v="31"/>
    <n v="155"/>
    <s v=""/>
    <s v=""/>
    <s v=""/>
  </r>
  <r>
    <s v="23-229"/>
    <s v="Cornmeal"/>
    <x v="233"/>
    <s v="Hush Puppies"/>
    <s v="H229-23"/>
    <m/>
    <m/>
    <n v="0"/>
    <s v=""/>
    <s v=""/>
    <s v=""/>
    <m/>
    <m/>
    <s v=""/>
    <n v="31"/>
    <n v="155"/>
    <s v=""/>
    <s v=""/>
    <s v=""/>
  </r>
  <r>
    <s v="23-233"/>
    <s v="Cornmeal"/>
    <x v="234"/>
    <s v="Hush Puppies"/>
    <s v="H233-23"/>
    <m/>
    <m/>
    <n v="0"/>
    <s v=""/>
    <s v=""/>
    <s v=""/>
    <m/>
    <m/>
    <s v=""/>
    <n v="29"/>
    <n v="145"/>
    <s v=""/>
    <s v=""/>
    <s v=""/>
  </r>
  <r>
    <s v="23-234"/>
    <s v="Chicken - Ground"/>
    <x v="235"/>
    <s v="Breakfast Patty"/>
    <n v="1806"/>
    <n v="10"/>
    <n v="60"/>
    <n v="3000"/>
    <n v="116.5"/>
    <s v=""/>
    <s v=""/>
    <m/>
    <m/>
    <n v="3116.5"/>
    <n v="129"/>
    <n v="3870"/>
    <n v="753.5"/>
    <s v=""/>
    <s v="Poultry"/>
  </r>
  <r>
    <s v="23-235"/>
    <s v="Chicken - Ground"/>
    <x v="236"/>
    <s v="Breakfast Maple Patty"/>
    <n v="782"/>
    <n v="10"/>
    <n v="60"/>
    <n v="3000"/>
    <n v="204"/>
    <s v=""/>
    <s v=""/>
    <m/>
    <m/>
    <n v="3204"/>
    <n v="138"/>
    <n v="4140"/>
    <n v="936"/>
    <s v=""/>
    <s v="Poultry"/>
  </r>
  <r>
    <s v="23-236"/>
    <s v="Chicken - Ground"/>
    <x v="237"/>
    <s v="Dinner Patty"/>
    <n v="782"/>
    <n v="12"/>
    <n v="72"/>
    <n v="3600"/>
    <n v="81"/>
    <s v=""/>
    <s v=""/>
    <m/>
    <m/>
    <n v="3681"/>
    <n v="187"/>
    <n v="4675"/>
    <n v="994"/>
    <s v=""/>
    <s v="Poultry"/>
  </r>
  <r>
    <s v="23-241"/>
    <s v="Chicken - Tenders"/>
    <x v="238"/>
    <s v="Tuscan Herb Chicken Patty"/>
    <s v="3129/512"/>
    <n v="10"/>
    <n v="70"/>
    <n v="2800"/>
    <n v="621.5"/>
    <s v=""/>
    <s v=""/>
    <m/>
    <m/>
    <n v="3421.5"/>
    <n v="171"/>
    <n v="4275"/>
    <n v="853.5"/>
    <s v=""/>
    <s v="Poultry"/>
  </r>
  <r>
    <s v="23-242"/>
    <s v="Chicken - Ground"/>
    <x v="239"/>
    <s v="Breakfast Maple Links"/>
    <n v="782"/>
    <n v="12"/>
    <n v="72"/>
    <n v="3600"/>
    <n v="244.79999999999998"/>
    <s v=""/>
    <s v=""/>
    <m/>
    <m/>
    <n v="3844.8"/>
    <n v="195"/>
    <n v="4875"/>
    <n v="1030.1999999999998"/>
    <s v=""/>
    <s v="Poultry"/>
  </r>
  <r>
    <s v="23-243"/>
    <s v="Chicken - Ground"/>
    <x v="240"/>
    <s v="Garlic &amp; Herb Chicken Patty"/>
    <n v="782"/>
    <n v="11"/>
    <n v="66"/>
    <n v="3300"/>
    <n v="522.5"/>
    <s v=""/>
    <s v=""/>
    <m/>
    <m/>
    <n v="3822.5"/>
    <n v="167"/>
    <n v="5010"/>
    <n v="1187.5"/>
    <s v=""/>
    <s v="Poultry"/>
  </r>
  <r>
    <s v="23-248"/>
    <s v="Chicken - Tenders"/>
    <x v="241"/>
    <s v="Breaded Chicken Patty"/>
    <s v="3129/512"/>
    <n v="8"/>
    <n v="56"/>
    <n v="2240"/>
    <n v="432"/>
    <n v="200"/>
    <n v="750"/>
    <n v="4"/>
    <n v="15"/>
    <n v="3622"/>
    <n v="169"/>
    <n v="4225"/>
    <n v="603"/>
    <n v="0.22485207100591717"/>
    <s v="Poultry"/>
  </r>
  <r>
    <s v="23-249"/>
    <s v="Chicken - Tenders"/>
    <x v="242"/>
    <s v="Breaded Chicken Patty"/>
    <s v="3129/512"/>
    <n v="8"/>
    <n v="56"/>
    <n v="2240"/>
    <n v="432"/>
    <n v="200"/>
    <n v="550"/>
    <n v="4"/>
    <n v="11"/>
    <n v="3422"/>
    <n v="146"/>
    <n v="3650"/>
    <n v="228"/>
    <n v="0.20547945205479451"/>
    <s v="Poultry"/>
  </r>
  <r>
    <s v="23-250"/>
    <s v="Chicken - Tenders"/>
    <x v="243"/>
    <s v="Breaded Chicken Patty"/>
    <s v="3129/512"/>
    <n v="8"/>
    <n v="56"/>
    <n v="2240"/>
    <n v="432"/>
    <n v="150"/>
    <n v="750"/>
    <n v="3"/>
    <n v="15"/>
    <n v="3572"/>
    <n v="149"/>
    <n v="3725"/>
    <n v="153"/>
    <n v="0.24161073825503357"/>
    <s v="Poultry"/>
  </r>
  <r>
    <s v="23-255"/>
    <s v="Chicken - Tenders"/>
    <x v="244"/>
    <s v="Breaded Chicken Patty"/>
    <s v="3129/512"/>
    <n v="8"/>
    <n v="56"/>
    <n v="2240"/>
    <n v="432"/>
    <n v="150"/>
    <n v="500"/>
    <n v="3"/>
    <n v="10"/>
    <n v="3322"/>
    <n v="161"/>
    <n v="4025"/>
    <n v="703"/>
    <n v="0.16149068322981366"/>
    <s v="Poultry"/>
  </r>
  <r>
    <s v="23-256"/>
    <s v="Chicken - Tenders"/>
    <x v="245"/>
    <s v="Breaded Chicken Patty"/>
    <s v="3129/512"/>
    <n v="4"/>
    <n v="28"/>
    <n v="1120"/>
    <n v="216"/>
    <n v="50"/>
    <n v="250"/>
    <n v="1"/>
    <n v="5"/>
    <n v="1636"/>
    <n v="69"/>
    <n v="1725"/>
    <n v="89"/>
    <n v="0.17391304347826086"/>
    <s v="Poultry"/>
  </r>
  <r>
    <s v="23-256"/>
    <s v="Chicken - Tenders"/>
    <x v="245"/>
    <s v="Spicy Breaded Chicken Patty"/>
    <s v="3129/512"/>
    <n v="5"/>
    <n v="35"/>
    <n v="1400"/>
    <n v="299"/>
    <n v="100"/>
    <n v="500"/>
    <n v="2"/>
    <n v="10"/>
    <n v="2299"/>
    <n v="105"/>
    <n v="2625"/>
    <n v="326"/>
    <n v="0.22857142857142856"/>
    <s v="Poultry"/>
  </r>
  <r>
    <s v="23-257"/>
    <s v="Chicken - Tenders"/>
    <x v="246"/>
    <s v="Spicy Breaded Chicken Patty"/>
    <s v="3129/512"/>
    <n v="2"/>
    <n v="14"/>
    <n v="560"/>
    <n v="119.6"/>
    <n v="50"/>
    <n v="100"/>
    <n v="1"/>
    <n v="2"/>
    <n v="829.6"/>
    <n v="42"/>
    <n v="1050"/>
    <n v="220.39999999999998"/>
    <n v="0.14285714285714285"/>
    <s v="Poultry"/>
  </r>
  <r>
    <s v="23-257"/>
    <s v="Chicken - Tenders"/>
    <x v="246"/>
    <s v="Spicy Breaded Chicken Patty"/>
    <s v="3129/512"/>
    <n v="7"/>
    <n v="49"/>
    <n v="1960"/>
    <n v="418.59999999999997"/>
    <n v="50"/>
    <n v="750"/>
    <n v="1"/>
    <n v="15"/>
    <n v="3178.6"/>
    <n v="140"/>
    <n v="3500"/>
    <n v="321.40000000000009"/>
    <n v="0.22857142857142856"/>
    <s v="Poultry"/>
  </r>
  <r>
    <s v="23-262"/>
    <s v="Chicken - Ground"/>
    <x v="247"/>
    <s v="Bulk Ground Chicken"/>
    <n v="782"/>
    <n v="4"/>
    <n v="28"/>
    <n v="1400"/>
    <s v=""/>
    <s v=""/>
    <s v=""/>
    <m/>
    <m/>
    <n v="1400"/>
    <n v="45"/>
    <n v="1350"/>
    <n v="-50"/>
    <s v=""/>
    <s v="Poultry"/>
  </r>
  <r>
    <s v="23-262"/>
    <s v="Chicken - Ground"/>
    <x v="247"/>
    <s v="Meatloaf Patty"/>
    <n v="782"/>
    <n v="4"/>
    <n v="28"/>
    <n v="1400"/>
    <n v="167.8"/>
    <s v=""/>
    <s v=""/>
    <m/>
    <m/>
    <n v="1567.8"/>
    <n v="65"/>
    <n v="1625"/>
    <n v="57.200000000000045"/>
    <s v=""/>
    <s v="Poultry"/>
  </r>
  <r>
    <s v="23-262"/>
    <s v="Chicken - Ground"/>
    <x v="247"/>
    <s v="Supreme Pizza Patty"/>
    <n v="782"/>
    <n v="4"/>
    <n v="28"/>
    <n v="1400"/>
    <n v="260.8"/>
    <s v=""/>
    <s v=""/>
    <m/>
    <m/>
    <n v="1660.8"/>
    <n v="85"/>
    <n v="2125"/>
    <n v="464.20000000000005"/>
    <s v=""/>
    <s v="Poultry"/>
  </r>
  <r>
    <s v="23-263"/>
    <s v="Chicken - Ground"/>
    <x v="248"/>
    <s v="Breakfast Chicken Links"/>
    <n v="782"/>
    <n v="12"/>
    <n v="72"/>
    <n v="3600"/>
    <n v="139.80000000000001"/>
    <s v=""/>
    <s v=""/>
    <m/>
    <m/>
    <n v="3739.8"/>
    <n v="197"/>
    <n v="4925"/>
    <n v="1185.1999999999998"/>
    <s v=""/>
    <s v="Poultry"/>
  </r>
  <r>
    <s v="23-264"/>
    <s v="Chicken - Tenders"/>
    <x v="249"/>
    <s v="Tuscan Herb Chicken Patty"/>
    <s v="3129/512"/>
    <n v="15"/>
    <n v="105"/>
    <n v="4200"/>
    <n v="932.25"/>
    <s v=""/>
    <s v=""/>
    <m/>
    <m/>
    <n v="5132.25"/>
    <n v="262"/>
    <n v="6550"/>
    <n v="1417.75"/>
    <s v=""/>
    <s v="Poultry"/>
  </r>
  <r>
    <s v="23-268"/>
    <s v="Chicken - Ground"/>
    <x v="250"/>
    <s v="Breakfast Patty"/>
    <n v="782"/>
    <n v="7"/>
    <n v="42"/>
    <n v="2100"/>
    <n v="81.55"/>
    <s v=""/>
    <s v=""/>
    <m/>
    <m/>
    <n v="2181.5500000000002"/>
    <n v="91"/>
    <n v="2730"/>
    <n v="548.44999999999982"/>
    <s v=""/>
    <s v="Poultry"/>
  </r>
  <r>
    <s v="23-268"/>
    <s v="Chicken - Tenders"/>
    <x v="250"/>
    <s v="Tuscan Herb Chicken Patty"/>
    <s v="3129/512"/>
    <n v="5"/>
    <n v="35"/>
    <n v="1400"/>
    <n v="310.75"/>
    <s v=""/>
    <s v=""/>
    <m/>
    <m/>
    <n v="1710.75"/>
    <n v="92"/>
    <n v="2300"/>
    <n v="589.25"/>
    <s v=""/>
    <s v="Poultry"/>
  </r>
  <r>
    <s v="23-271"/>
    <s v="Chicken - Tenders"/>
    <x v="251"/>
    <s v="Breaded Chicken Patty"/>
    <s v="3129/512"/>
    <n v="12"/>
    <n v="84"/>
    <n v="3360"/>
    <n v="648"/>
    <n v="100"/>
    <n v="600"/>
    <n v="2"/>
    <n v="12"/>
    <n v="4708"/>
    <n v="236"/>
    <n v="5900"/>
    <n v="1192"/>
    <n v="0.11864406779661017"/>
    <s v="Poultry"/>
  </r>
  <r>
    <s v="23-275"/>
    <s v="Cheese - Gouda"/>
    <x v="252"/>
    <s v="Gouda Shouda"/>
    <s v="G275-23"/>
    <n v="12"/>
    <m/>
    <n v="0"/>
    <n v="1980"/>
    <n v="100"/>
    <n v="550"/>
    <n v="2"/>
    <n v="11"/>
    <n v="2630"/>
    <n v="146"/>
    <n v="3650"/>
    <n v="1020"/>
    <s v=""/>
    <s v=""/>
  </r>
  <r>
    <s v="23-276"/>
    <s v="Pork - Trim"/>
    <x v="253"/>
    <s v="Breaded Pork Patty"/>
    <n v="4204"/>
    <n v="8"/>
    <n v="40"/>
    <n v="2400"/>
    <n v="326.39999999999998"/>
    <n v="100"/>
    <n v="175"/>
    <n v="2"/>
    <n v="7"/>
    <n v="3001.4"/>
    <n v="148"/>
    <n v="3700"/>
    <n v="698.59999999999991"/>
    <n v="7.4324324324324328E-2"/>
    <s v="Meat"/>
  </r>
  <r>
    <s v="23-277"/>
    <s v="Pork - Trim"/>
    <x v="254"/>
    <s v="Pork BBQ Patty"/>
    <n v="4204"/>
    <n v="12"/>
    <n v="60"/>
    <n v="3600"/>
    <n v="489.59999999999997"/>
    <s v=""/>
    <s v=""/>
    <m/>
    <m/>
    <n v="4089.6"/>
    <n v="201"/>
    <n v="5025"/>
    <n v="935.40000000000009"/>
    <s v=""/>
    <s v="Meat"/>
  </r>
  <r>
    <s v="23-278"/>
    <s v="Chicken - Ground"/>
    <x v="255"/>
    <s v="Supreme Pizza Patty"/>
    <n v="2222"/>
    <n v="12"/>
    <n v="72"/>
    <n v="3600"/>
    <n v="782.40000000000009"/>
    <s v=""/>
    <s v=""/>
    <m/>
    <m/>
    <n v="4382.3999999999996"/>
    <n v="239"/>
    <n v="5975"/>
    <n v="1592.6000000000004"/>
    <s v=""/>
    <s v="Poultry"/>
  </r>
  <r>
    <s v="23-283"/>
    <s v="Chicken - Ground"/>
    <x v="256"/>
    <s v="Dinner Patty"/>
    <n v="2222"/>
    <n v="12"/>
    <n v="72"/>
    <n v="3600"/>
    <n v="81"/>
    <s v=""/>
    <s v=""/>
    <m/>
    <m/>
    <n v="3681"/>
    <n v="185"/>
    <n v="4625"/>
    <n v="944"/>
    <s v=""/>
    <s v="Poultry"/>
  </r>
  <r>
    <s v="23-285"/>
    <s v="Chicken - Ground"/>
    <x v="257"/>
    <s v="Breakfast Patty"/>
    <n v="2222"/>
    <n v="12"/>
    <n v="72"/>
    <n v="3600"/>
    <n v="139.80000000000001"/>
    <s v=""/>
    <s v=""/>
    <m/>
    <m/>
    <n v="3739.8"/>
    <n v="147"/>
    <n v="4410"/>
    <n v="670.19999999999982"/>
    <s v=""/>
    <s v="Poultry"/>
  </r>
  <r>
    <s v="23-289"/>
    <s v="Chicken - Ground"/>
    <x v="258"/>
    <s v="Bulk Ground Chicken"/>
    <n v="2222"/>
    <n v="10"/>
    <n v="60"/>
    <n v="3000"/>
    <s v=""/>
    <s v=""/>
    <s v=""/>
    <m/>
    <m/>
    <n v="3000"/>
    <n v="98"/>
    <n v="2940"/>
    <n v="-60"/>
    <s v=""/>
    <s v="Poultry"/>
  </r>
  <r>
    <s v="23-289"/>
    <s v="Chicken - Ground"/>
    <x v="258"/>
    <s v="Bulk Ground Chicken"/>
    <n v="2222"/>
    <n v="6"/>
    <n v="36"/>
    <n v="1800"/>
    <s v=""/>
    <s v=""/>
    <s v=""/>
    <m/>
    <m/>
    <n v="1800"/>
    <n v="63"/>
    <n v="1890"/>
    <n v="90"/>
    <s v=""/>
    <s v="Poultry"/>
  </r>
  <r>
    <s v="23-291"/>
    <s v="Chicken - Ground"/>
    <x v="259"/>
    <s v="Bulk Ground Chicken"/>
    <n v="2222"/>
    <n v="2"/>
    <n v="12"/>
    <n v="600"/>
    <s v=""/>
    <s v=""/>
    <s v=""/>
    <m/>
    <m/>
    <n v="600"/>
    <n v="33"/>
    <n v="990"/>
    <n v="390"/>
    <s v=""/>
    <s v="Poultry"/>
  </r>
  <r>
    <s v="23-292"/>
    <s v="Chicken - Ground"/>
    <x v="260"/>
    <s v="Bulk Ground Chicken"/>
    <n v="2222"/>
    <n v="15"/>
    <n v="90"/>
    <n v="4500"/>
    <s v=""/>
    <s v=""/>
    <s v=""/>
    <m/>
    <m/>
    <n v="4500"/>
    <n v="207"/>
    <n v="6210"/>
    <n v="1710"/>
    <s v=""/>
    <s v="Poultry"/>
  </r>
  <r>
    <s v="23-296"/>
    <s v="Chicken - Ground"/>
    <x v="261"/>
    <s v="Meatloaf Patty"/>
    <n v="2222"/>
    <n v="15"/>
    <n v="90"/>
    <n v="4500"/>
    <n v="629.25"/>
    <s v=""/>
    <s v=""/>
    <m/>
    <m/>
    <n v="5129.25"/>
    <n v="263"/>
    <n v="6575"/>
    <n v="1445.75"/>
    <s v=""/>
    <s v="Poultry"/>
  </r>
  <r>
    <s v="23-297"/>
    <s v="Chicken - Tenders"/>
    <x v="262"/>
    <s v="Tuscan Herb Chicken Patty"/>
    <s v="3129/512"/>
    <n v="12"/>
    <n v="84"/>
    <n v="3360"/>
    <n v="745.8"/>
    <s v=""/>
    <s v=""/>
    <m/>
    <m/>
    <n v="4105.8"/>
    <n v="219"/>
    <n v="5475"/>
    <n v="1369.1999999999998"/>
    <s v=""/>
    <s v="Poultry"/>
  </r>
  <r>
    <s v="23-298"/>
    <s v="Chicken - Ground"/>
    <x v="263"/>
    <s v="Breakfast Patty"/>
    <n v="2222"/>
    <n v="12"/>
    <n v="72"/>
    <n v="3600"/>
    <n v="139.80000000000001"/>
    <s v=""/>
    <s v=""/>
    <m/>
    <m/>
    <n v="3739.8"/>
    <n v="162"/>
    <n v="4860"/>
    <n v="1120.1999999999998"/>
    <s v=""/>
    <s v="Poultry"/>
  </r>
  <r>
    <s v="23-299"/>
    <s v="Chicken - Ground"/>
    <x v="264"/>
    <s v="Breakfast Maple Links"/>
    <n v="2222"/>
    <n v="6"/>
    <n v="42"/>
    <n v="2100"/>
    <n v="122.39999999999999"/>
    <s v=""/>
    <s v=""/>
    <m/>
    <m/>
    <n v="2222.4"/>
    <n v="106"/>
    <n v="2650"/>
    <n v="427.59999999999991"/>
    <s v=""/>
    <s v="Poultry"/>
  </r>
  <r>
    <s v="23-299"/>
    <s v="Chicken - Ground"/>
    <x v="264"/>
    <s v="Breakfast Maple Links"/>
    <n v="2222"/>
    <n v="6"/>
    <n v="42"/>
    <n v="2100"/>
    <n v="122.39999999999999"/>
    <s v=""/>
    <s v=""/>
    <m/>
    <m/>
    <n v="2222.4"/>
    <n v="98"/>
    <n v="2450"/>
    <n v="227.59999999999991"/>
    <s v=""/>
    <s v="Poultry"/>
  </r>
  <r>
    <s v="23-303"/>
    <s v="Chicken - Ground"/>
    <x v="265"/>
    <s v="Garlic &amp; Herb Chicken Patty"/>
    <n v="2222"/>
    <n v="12"/>
    <n v="72"/>
    <n v="3600"/>
    <n v="570"/>
    <s v=""/>
    <s v=""/>
    <m/>
    <m/>
    <n v="4170"/>
    <n v="177"/>
    <n v="5310"/>
    <n v="1140"/>
    <s v=""/>
    <s v="Poultry"/>
  </r>
  <r>
    <s v="23-304"/>
    <s v="Chicken - Tenders"/>
    <x v="266"/>
    <s v="Breaded Chicken Patty"/>
    <s v="3129/512"/>
    <n v="2"/>
    <n v="14"/>
    <n v="560"/>
    <n v="108"/>
    <n v="50"/>
    <n v="150"/>
    <n v="1"/>
    <n v="3"/>
    <n v="868"/>
    <n v="40"/>
    <n v="1000"/>
    <n v="132"/>
    <n v="0.2"/>
    <s v="Poultry"/>
  </r>
  <r>
    <s v="23-304"/>
    <s v="Chicken - Tenders"/>
    <x v="266"/>
    <s v="Breaded Chicken Patty"/>
    <s v="3129/512"/>
    <n v="11"/>
    <n v="77"/>
    <n v="3080"/>
    <n v="594"/>
    <n v="250"/>
    <n v="550"/>
    <n v="5"/>
    <n v="11"/>
    <n v="4474"/>
    <n v="196"/>
    <n v="4900"/>
    <n v="426"/>
    <n v="0.16326530612244897"/>
    <s v="Poultry"/>
  </r>
  <r>
    <s v="23-306"/>
    <s v="Chicken - Tenders"/>
    <x v="267"/>
    <s v="Breaded Chicken Patty"/>
    <s v="3129/512"/>
    <n v="12"/>
    <n v="84"/>
    <n v="3360"/>
    <n v="648"/>
    <n v="250"/>
    <n v="750"/>
    <n v="5"/>
    <n v="15"/>
    <n v="5008"/>
    <n v="227"/>
    <n v="5675"/>
    <n v="667"/>
    <n v="0.1762114537444934"/>
    <s v="Poultry"/>
  </r>
  <r>
    <s v="23-310"/>
    <s v="Chicken - Tenders"/>
    <x v="268"/>
    <s v="Breaded Chicken Patty"/>
    <s v="3129/512"/>
    <n v="2"/>
    <n v="14"/>
    <n v="560"/>
    <n v="108"/>
    <n v="50"/>
    <n v="100"/>
    <n v="1"/>
    <n v="2"/>
    <n v="818"/>
    <n v="30"/>
    <n v="750"/>
    <n v="-68"/>
    <n v="0.2"/>
    <s v="Poultry"/>
  </r>
  <r>
    <s v="23-310"/>
    <s v="Chicken - Tenders"/>
    <x v="268"/>
    <s v="Spicy Breaded Chicken Patty"/>
    <s v="3129/512"/>
    <n v="10"/>
    <n v="70"/>
    <n v="2800"/>
    <n v="598"/>
    <n v="100"/>
    <n v="500"/>
    <n v="2"/>
    <n v="10"/>
    <n v="3998"/>
    <n v="201"/>
    <n v="5025"/>
    <n v="1027"/>
    <n v="0.11940298507462686"/>
    <s v="Poultry"/>
  </r>
  <r>
    <s v="23-312"/>
    <s v="Fish - Imitation Crab"/>
    <x v="269"/>
    <s v="Krabby Patty"/>
    <n v="7113"/>
    <n v="5"/>
    <m/>
    <n v="0"/>
    <n v="150"/>
    <n v="200"/>
    <n v="250"/>
    <n v="4"/>
    <n v="5"/>
    <n v="600"/>
    <n v="93"/>
    <n v="2325"/>
    <n v="1725"/>
    <s v=""/>
    <s v=""/>
  </r>
  <r>
    <s v="23-317"/>
    <s v="Fish - Imitation Crab"/>
    <x v="270"/>
    <s v="Krabby Patty"/>
    <n v="7113"/>
    <n v="9"/>
    <m/>
    <n v="0"/>
    <n v="270"/>
    <n v="150"/>
    <n v="600"/>
    <n v="3"/>
    <n v="12"/>
    <n v="1020"/>
    <n v="192"/>
    <n v="4800"/>
    <n v="3780"/>
    <s v=""/>
    <s v=""/>
  </r>
  <r>
    <s v="23-319"/>
    <s v="Chicken - Ground"/>
    <x v="271"/>
    <s v="Dinner Patty"/>
    <n v="2222"/>
    <n v="12"/>
    <n v="72"/>
    <n v="3600"/>
    <n v="81"/>
    <s v=""/>
    <s v=""/>
    <m/>
    <m/>
    <n v="3681"/>
    <n v="192"/>
    <n v="4800"/>
    <n v="1119"/>
    <s v=""/>
    <s v="Poultry"/>
  </r>
  <r>
    <s v="23-320"/>
    <s v="Chicken - Ground"/>
    <x v="272"/>
    <s v="Breakfast Maple Patty"/>
    <n v="2222"/>
    <n v="12"/>
    <n v="72"/>
    <n v="3600"/>
    <n v="244.79999999999998"/>
    <s v=""/>
    <s v=""/>
    <m/>
    <m/>
    <n v="3844.8"/>
    <n v="153"/>
    <n v="4590"/>
    <n v="745.19999999999982"/>
    <s v=""/>
    <s v="Poultry"/>
  </r>
  <r>
    <s v="23-324"/>
    <s v="Chicken - Ground"/>
    <x v="273"/>
    <s v="Breakfast Patty"/>
    <n v="2222"/>
    <n v="4"/>
    <n v="28"/>
    <n v="1400"/>
    <n v="46.6"/>
    <s v=""/>
    <s v=""/>
    <m/>
    <m/>
    <n v="1446.6"/>
    <n v="67"/>
    <n v="2010"/>
    <n v="563.40000000000009"/>
    <s v=""/>
    <s v="Poultry"/>
  </r>
  <r>
    <s v="23-324"/>
    <s v="Chicken - Ground"/>
    <x v="273"/>
    <s v="Breakfast Patty"/>
    <n v="2222"/>
    <n v="8"/>
    <n v="56"/>
    <n v="2800"/>
    <n v="93.2"/>
    <s v=""/>
    <s v=""/>
    <m/>
    <m/>
    <n v="2893.2"/>
    <n v="100"/>
    <n v="3000"/>
    <n v="106.80000000000018"/>
    <s v=""/>
    <s v="Poultry"/>
  </r>
  <r>
    <s v="23-331"/>
    <s v="Chicken - Ground"/>
    <x v="274"/>
    <s v="Breakfast Maple Links"/>
    <n v="2222"/>
    <n v="12"/>
    <n v="72"/>
    <n v="3600"/>
    <n v="244.79999999999998"/>
    <s v=""/>
    <s v=""/>
    <m/>
    <m/>
    <n v="3844.8"/>
    <n v="203"/>
    <n v="5075"/>
    <n v="1230.1999999999998"/>
    <s v=""/>
    <s v="Poultry"/>
  </r>
  <r>
    <s v="23-332"/>
    <s v="Chicken - Ground"/>
    <x v="275"/>
    <s v="Breakfast Maple Links"/>
    <n v="2222"/>
    <n v="4"/>
    <n v="24"/>
    <n v="1200"/>
    <n v="81.599999999999994"/>
    <s v=""/>
    <s v=""/>
    <m/>
    <m/>
    <n v="1281.5999999999999"/>
    <n v="63"/>
    <n v="1575"/>
    <n v="293.40000000000009"/>
    <s v=""/>
    <s v="Poultry"/>
  </r>
  <r>
    <s v="23-332"/>
    <s v="Chicken - Ground"/>
    <x v="275"/>
    <s v="Breakfast Maple Links"/>
    <n v="2222"/>
    <n v="6"/>
    <n v="36"/>
    <n v="1800"/>
    <n v="122.39999999999999"/>
    <s v=""/>
    <s v=""/>
    <m/>
    <m/>
    <n v="1922.4"/>
    <n v="98"/>
    <n v="2450"/>
    <n v="527.59999999999991"/>
    <s v=""/>
    <s v="Poultry"/>
  </r>
  <r>
    <s v="23-334"/>
    <s v="Chicken - Ground"/>
    <x v="276"/>
    <s v="Breakfast Chicken Links"/>
    <n v="2222"/>
    <n v="9"/>
    <n v="54"/>
    <n v="2700"/>
    <n v="104.85000000000001"/>
    <s v=""/>
    <s v=""/>
    <m/>
    <m/>
    <n v="2804.85"/>
    <n v="150"/>
    <n v="3750"/>
    <n v="945.15000000000009"/>
    <s v=""/>
    <s v="Poultry"/>
  </r>
  <r>
    <s v="23-340"/>
    <s v="Chicken - Tenders"/>
    <x v="277"/>
    <s v="Tuscan Herb Chicken Patty"/>
    <s v="3129/512"/>
    <n v="12"/>
    <n v="84"/>
    <n v="3360"/>
    <n v="745.8"/>
    <s v=""/>
    <s v=""/>
    <m/>
    <m/>
    <n v="4105.8"/>
    <n v="196"/>
    <n v="4900"/>
    <n v="794.19999999999982"/>
    <s v=""/>
    <s v="Poultry"/>
  </r>
  <r>
    <s v="23-341"/>
    <s v="Chicken - Ground"/>
    <x v="278"/>
    <s v="Bulk Ground Chicken"/>
    <n v="2222"/>
    <n v="10"/>
    <n v="60"/>
    <n v="3000"/>
    <s v=""/>
    <s v=""/>
    <s v=""/>
    <m/>
    <m/>
    <n v="3000"/>
    <n v="133"/>
    <n v="3990"/>
    <n v="990"/>
    <s v=""/>
    <s v="Poultry"/>
  </r>
  <r>
    <s v="23-341"/>
    <s v="Chicken - Ground"/>
    <x v="278"/>
    <s v="Garlic &amp; Herb Chicken Patty"/>
    <n v="2222"/>
    <n v="10"/>
    <n v="60"/>
    <n v="3000"/>
    <n v="475"/>
    <s v=""/>
    <s v=""/>
    <m/>
    <m/>
    <n v="3475"/>
    <n v="153"/>
    <n v="4590"/>
    <n v="1115"/>
    <s v=""/>
    <s v="Poultry"/>
  </r>
  <r>
    <s v="23-345"/>
    <s v="Chicken - Tenders"/>
    <x v="279"/>
    <s v="Breaded Chicken Patty"/>
    <s v="3129/512"/>
    <n v="10"/>
    <n v="70"/>
    <n v="2800"/>
    <n v="540"/>
    <n v="150"/>
    <n v="800"/>
    <n v="3"/>
    <n v="16"/>
    <n v="4290"/>
    <n v="218"/>
    <n v="5450"/>
    <n v="1160"/>
    <n v="0.1743119266055046"/>
    <s v="Poultry"/>
  </r>
  <r>
    <s v="23-346"/>
    <s v="Chicken - Tenders"/>
    <x v="280"/>
    <s v="Breaded Chicken Patty"/>
    <s v="3129/512"/>
    <n v="12"/>
    <n v="84"/>
    <n v="3360"/>
    <n v="648"/>
    <n v="200"/>
    <n v="1100"/>
    <n v="4"/>
    <n v="22"/>
    <n v="5308"/>
    <n v="261"/>
    <n v="6525"/>
    <n v="1217"/>
    <n v="0.19923371647509577"/>
    <s v="Poultry"/>
  </r>
  <r>
    <s v="23-347"/>
    <s v="Chicken - Tenders"/>
    <x v="281"/>
    <s v="Spicy Breaded Chicken Patty"/>
    <s v="3129/512"/>
    <n v="10"/>
    <n v="70"/>
    <n v="2800"/>
    <n v="598"/>
    <n v="100"/>
    <n v="600"/>
    <n v="2"/>
    <n v="12"/>
    <n v="4098"/>
    <n v="208"/>
    <n v="5200"/>
    <n v="1102"/>
    <n v="0.13461538461538461"/>
    <s v="Poultry"/>
  </r>
  <r>
    <s v="23-352"/>
    <s v="Pork - Trim"/>
    <x v="282"/>
    <s v="Breaded Pork Patty"/>
    <n v="4204"/>
    <n v="12"/>
    <n v="60"/>
    <n v="3600"/>
    <n v="489.59999999999997"/>
    <n v="300"/>
    <n v="750"/>
    <n v="6"/>
    <n v="30"/>
    <n v="5139.6000000000004"/>
    <n v="236"/>
    <n v="5900"/>
    <n v="760.39999999999964"/>
    <n v="0.17796610169491525"/>
    <s v="Meat"/>
  </r>
  <r>
    <s v="23-353"/>
    <s v="Chicken - Ground"/>
    <x v="283"/>
    <s v="Dinner Patty"/>
    <n v="2222"/>
    <n v="12"/>
    <n v="72"/>
    <n v="3600"/>
    <n v="81"/>
    <s v=""/>
    <s v=""/>
    <m/>
    <m/>
    <n v="3681"/>
    <n v="188"/>
    <n v="4700"/>
    <n v="1019"/>
    <s v=""/>
    <s v="Poultry"/>
  </r>
  <r>
    <s v="23-354"/>
    <s v="Chicken - Ground"/>
    <x v="284"/>
    <s v="Breakfast Patty"/>
    <n v="2222"/>
    <n v="12"/>
    <n v="72"/>
    <n v="3600"/>
    <n v="139.80000000000001"/>
    <s v=""/>
    <s v=""/>
    <m/>
    <m/>
    <n v="3739.8"/>
    <n v="152"/>
    <n v="4560"/>
    <n v="820.19999999999982"/>
    <s v=""/>
    <s v="Poultry"/>
  </r>
  <r>
    <s v="23-355"/>
    <s v="Chicken - Ground"/>
    <x v="285"/>
    <s v="Meatloaf Patty"/>
    <n v="2222"/>
    <n v="12"/>
    <n v="72"/>
    <n v="3600"/>
    <n v="503.40000000000003"/>
    <s v=""/>
    <s v=""/>
    <m/>
    <m/>
    <n v="4103.3999999999996"/>
    <n v="233"/>
    <n v="5825"/>
    <n v="1721.6000000000004"/>
    <s v=""/>
    <s v="Poultry"/>
  </r>
  <r>
    <s v="23-360"/>
    <s v="Chicken - Ground"/>
    <x v="286"/>
    <s v="Breakfast Patty"/>
    <n v="2222"/>
    <n v="4"/>
    <n v="24"/>
    <n v="1200"/>
    <n v="46.6"/>
    <s v=""/>
    <s v=""/>
    <m/>
    <m/>
    <n v="1246.5999999999999"/>
    <n v="48"/>
    <n v="1440"/>
    <n v="193.40000000000009"/>
    <s v=""/>
    <s v="Poultry"/>
  </r>
  <r>
    <s v="23-361"/>
    <s v="Chicken - Ground"/>
    <x v="287"/>
    <s v="Breakfast Patty"/>
    <n v="2222"/>
    <n v="12"/>
    <n v="72"/>
    <n v="3600"/>
    <n v="139.80000000000001"/>
    <s v=""/>
    <s v=""/>
    <m/>
    <m/>
    <n v="3739.8"/>
    <n v="152"/>
    <n v="4560"/>
    <n v="820.19999999999982"/>
    <s v=""/>
    <s v="Poultry"/>
  </r>
  <r>
    <s v="23-362"/>
    <s v="Chicken - Tenders"/>
    <x v="288"/>
    <s v="Tuscan Herb Chicken Patty"/>
    <s v="3129/512"/>
    <n v="12"/>
    <n v="84"/>
    <n v="3360"/>
    <n v="745.8"/>
    <s v=""/>
    <s v=""/>
    <m/>
    <m/>
    <n v="4105.8"/>
    <n v="209"/>
    <n v="5225"/>
    <n v="1119.1999999999998"/>
    <s v=""/>
    <s v="Poultry"/>
  </r>
  <r>
    <s v="24-002"/>
    <s v="Chicken - Ground"/>
    <x v="289"/>
    <s v="Dinner Patty"/>
    <n v="1025"/>
    <n v="12"/>
    <n v="72"/>
    <n v="3600"/>
    <n v="81"/>
    <s v=""/>
    <s v=""/>
    <m/>
    <m/>
    <n v="3681"/>
    <n v="192"/>
    <n v="4800"/>
    <n v="1119"/>
    <s v=""/>
    <s v="Poultry"/>
  </r>
  <r>
    <s v="24-003"/>
    <s v="Chicken - Ground"/>
    <x v="290"/>
    <s v="Supreme Pizza Patty"/>
    <n v="8285"/>
    <n v="12"/>
    <n v="72"/>
    <n v="3600"/>
    <n v="782.40000000000009"/>
    <s v=""/>
    <s v=""/>
    <m/>
    <m/>
    <n v="4382.3999999999996"/>
    <n v="231"/>
    <n v="5775"/>
    <n v="1392.6000000000004"/>
    <s v=""/>
    <s v="Poultry"/>
  </r>
  <r>
    <s v="24-004"/>
    <s v="Chicken - Ground"/>
    <x v="291"/>
    <s v="Bulk Ground Chicken"/>
    <n v="8285"/>
    <n v="12"/>
    <n v="72"/>
    <n v="3600"/>
    <s v=""/>
    <s v=""/>
    <s v=""/>
    <m/>
    <m/>
    <n v="3600"/>
    <n v="158"/>
    <n v="4740"/>
    <n v="1140"/>
    <s v=""/>
    <s v="Poultry"/>
  </r>
  <r>
    <s v="24-008"/>
    <s v="Chicken - Ground"/>
    <x v="292"/>
    <s v="Bulk Ground Chicken"/>
    <n v="8285"/>
    <n v="12"/>
    <n v="72"/>
    <n v="3600"/>
    <s v=""/>
    <s v=""/>
    <s v=""/>
    <m/>
    <m/>
    <n v="3600"/>
    <n v="163"/>
    <n v="4890"/>
    <n v="1290"/>
    <s v=""/>
    <s v="Poultry"/>
  </r>
  <r>
    <s v="24-009"/>
    <s v="Beans - Pinto"/>
    <x v="293"/>
    <s v="Bean Burger"/>
    <s v="B009-24"/>
    <n v="7"/>
    <n v="49"/>
    <n v="49"/>
    <n v="245"/>
    <s v=""/>
    <s v=""/>
    <m/>
    <m/>
    <n v="294"/>
    <n v="114"/>
    <n v="2850"/>
    <n v="2556"/>
    <s v=""/>
    <s v=""/>
  </r>
  <r>
    <s v="24-010"/>
    <s v="Pork - Trim"/>
    <x v="294"/>
    <s v="Pork BBQ Patty"/>
    <n v="4204"/>
    <n v="12"/>
    <n v="72"/>
    <n v="4320"/>
    <n v="489.59999999999997"/>
    <s v=""/>
    <s v=""/>
    <m/>
    <m/>
    <n v="4809.6000000000004"/>
    <n v="206"/>
    <n v="5150"/>
    <n v="340.39999999999964"/>
    <s v=""/>
    <s v="Meat"/>
  </r>
  <r>
    <s v="24-017"/>
    <s v="Chicken - Tenders"/>
    <x v="295"/>
    <s v="Breaded Chicken Patty"/>
    <s v="2070/0512"/>
    <n v="5"/>
    <n v="35"/>
    <n v="1400"/>
    <m/>
    <n v="100"/>
    <n v="350"/>
    <n v="2"/>
    <n v="7"/>
    <n v="1850"/>
    <n v="109"/>
    <n v="2725"/>
    <n v="875"/>
    <n v="0.16513761467889909"/>
    <s v="Poultry"/>
  </r>
  <r>
    <s v="24-018"/>
    <s v="Chicken - Tenders"/>
    <x v="296"/>
    <s v="Breaded Chicken Patty"/>
    <s v="2070/0512"/>
    <n v="12"/>
    <n v="84"/>
    <n v="3360"/>
    <m/>
    <n v="300"/>
    <n v="700"/>
    <n v="6"/>
    <n v="14"/>
    <n v="4360"/>
    <n v="259"/>
    <n v="6475"/>
    <n v="2115"/>
    <n v="0.15444015444015444"/>
    <s v="Poultry"/>
  </r>
  <r>
    <s v="24-022"/>
    <s v="Chicken - Tenders"/>
    <x v="297"/>
    <s v="Breaded Chicken Patty"/>
    <s v="2070/0512"/>
    <n v="10"/>
    <n v="70"/>
    <n v="2800"/>
    <m/>
    <n v="150"/>
    <n v="500"/>
    <n v="3"/>
    <n v="10"/>
    <n v="3450"/>
    <n v="208"/>
    <n v="5200"/>
    <n v="1750"/>
    <n v="0.125"/>
    <s v="Poultry"/>
  </r>
  <r>
    <s v="24-023"/>
    <s v="Chicken - Tenders"/>
    <x v="298"/>
    <s v="Spicy Breaded Chicken Patty"/>
    <s v="2070/0512"/>
    <n v="5"/>
    <n v="35"/>
    <n v="1400"/>
    <m/>
    <n v="50"/>
    <n v="200"/>
    <n v="1"/>
    <n v="4"/>
    <n v="1650"/>
    <n v="98"/>
    <n v="2450"/>
    <n v="800"/>
    <n v="0.10204081632653061"/>
    <s v="Poultry"/>
  </r>
  <r>
    <s v="24-023"/>
    <s v="Chicken - Tenders"/>
    <x v="298"/>
    <s v="Spicy Breaded Chicken Patty"/>
    <s v="7273/0512"/>
    <n v="7"/>
    <n v="49"/>
    <n v="1960"/>
    <n v="418.59999999999997"/>
    <n v="50"/>
    <n v="300"/>
    <n v="1"/>
    <n v="6"/>
    <n v="2728.6"/>
    <n v="145"/>
    <n v="3625"/>
    <n v="896.40000000000009"/>
    <n v="9.6551724137931033E-2"/>
    <s v="Poultry"/>
  </r>
  <r>
    <s v="24-024"/>
    <s v="Chicken - Tenders"/>
    <x v="299"/>
    <s v="Breaded Chicken Patty"/>
    <s v="7273/0512"/>
    <n v="12"/>
    <n v="84"/>
    <n v="3360"/>
    <m/>
    <n v="150"/>
    <n v="750"/>
    <n v="3"/>
    <n v="15"/>
    <n v="4260"/>
    <n v="242"/>
    <n v="6050"/>
    <n v="1790"/>
    <n v="0.1487603305785124"/>
    <s v="Poultry"/>
  </r>
  <r>
    <s v="24-025"/>
    <s v="Chicken - Tenders"/>
    <x v="300"/>
    <s v="Breaded Chicken Patty"/>
    <s v="7273/0512"/>
    <n v="12"/>
    <n v="84"/>
    <n v="3360"/>
    <m/>
    <n v="150"/>
    <n v="650"/>
    <n v="3"/>
    <n v="13"/>
    <n v="4160"/>
    <n v="247"/>
    <n v="6175"/>
    <n v="2015"/>
    <n v="0.12955465587044535"/>
    <s v="Poultry"/>
  </r>
  <r>
    <s v="24-029"/>
    <s v="Chicken - Tenders"/>
    <x v="301"/>
    <s v="Breaded Chicken Patty"/>
    <s v="7273/0512"/>
    <n v="12"/>
    <n v="84"/>
    <n v="3360"/>
    <m/>
    <n v="300"/>
    <n v="700"/>
    <n v="6"/>
    <n v="14"/>
    <n v="4360"/>
    <n v="252"/>
    <n v="6300"/>
    <n v="1940"/>
    <n v="0.15873015873015872"/>
    <s v="Poultry"/>
  </r>
  <r>
    <s v="24-030"/>
    <s v="Chicken - Tenders"/>
    <x v="302"/>
    <s v="Breaded Chicken Patty"/>
    <s v="7273/0512"/>
    <n v="6"/>
    <n v="42"/>
    <n v="1680"/>
    <m/>
    <n v="50"/>
    <n v="350"/>
    <n v="1"/>
    <n v="7"/>
    <n v="2080"/>
    <n v="130"/>
    <n v="3250"/>
    <n v="1170"/>
    <n v="0.12307692307692308"/>
    <s v="Poultry"/>
  </r>
  <r>
    <s v="24-031"/>
    <s v="Chicken - Ground"/>
    <x v="303"/>
    <s v="Dinner Patty"/>
    <n v="8285"/>
    <n v="12"/>
    <n v="72"/>
    <n v="3600"/>
    <n v="81"/>
    <s v=""/>
    <s v=""/>
    <m/>
    <m/>
    <n v="3681"/>
    <n v="206"/>
    <n v="5150"/>
    <n v="1469"/>
    <s v=""/>
    <s v="Poultry"/>
  </r>
  <r>
    <s v="24-032"/>
    <s v="Chicken - Ground"/>
    <x v="304"/>
    <s v="Garlic &amp; Herb Chicken Patty"/>
    <s v="8285"/>
    <n v="16"/>
    <n v="96"/>
    <n v="4800"/>
    <n v="760"/>
    <s v=""/>
    <s v=""/>
    <m/>
    <m/>
    <n v="5560"/>
    <n v="231"/>
    <n v="6930"/>
    <n v="1370"/>
    <s v=""/>
    <s v="Poultry"/>
  </r>
  <r>
    <s v="24-036"/>
    <s v="Chicken - Tenders"/>
    <x v="305"/>
    <s v="Tuscan Herb Chicken Patty"/>
    <s v="6262/0512"/>
    <n v="7"/>
    <n v="49"/>
    <n v="1960"/>
    <n v="435.05"/>
    <s v=""/>
    <s v=""/>
    <m/>
    <m/>
    <n v="2395.0500000000002"/>
    <n v="111"/>
    <n v="2775"/>
    <n v="379.94999999999982"/>
    <s v=""/>
    <s v="Poultry"/>
  </r>
  <r>
    <s v="24-036"/>
    <s v="Chicken - Tenders"/>
    <x v="305"/>
    <s v="Tuscan Herb Chicken Patty"/>
    <s v="6262/0512"/>
    <n v="5"/>
    <n v="35"/>
    <n v="1400"/>
    <m/>
    <s v=""/>
    <s v=""/>
    <m/>
    <m/>
    <n v="1400"/>
    <n v="98"/>
    <n v="2450"/>
    <n v="1050"/>
    <s v=""/>
    <s v="Poultry"/>
  </r>
  <r>
    <s v="24-038"/>
    <s v="Chicken - Ground"/>
    <x v="306"/>
    <s v="Breakfast Maple Links"/>
    <n v="811"/>
    <n v="10"/>
    <n v="60"/>
    <n v="3000"/>
    <m/>
    <s v=""/>
    <s v=""/>
    <m/>
    <m/>
    <n v="3000"/>
    <n v="165"/>
    <n v="4125"/>
    <n v="1125"/>
    <s v=""/>
    <s v="Poultry"/>
  </r>
  <r>
    <s v="24-039"/>
    <s v="Chicken - Ground"/>
    <x v="307"/>
    <s v="Breakfast Maple Links"/>
    <n v="811"/>
    <n v="3"/>
    <n v="18"/>
    <n v="900"/>
    <m/>
    <s v=""/>
    <s v=""/>
    <m/>
    <m/>
    <n v="900"/>
    <n v="38"/>
    <n v="950"/>
    <n v="50"/>
    <s v=""/>
    <s v="Poultry"/>
  </r>
  <r>
    <s v="24-043"/>
    <s v="Chicken - Tenders"/>
    <x v="308"/>
    <s v="Spicy Breaded Chicken Patty"/>
    <s v="6262/0512"/>
    <n v="13"/>
    <n v="91"/>
    <n v="3640"/>
    <m/>
    <n v="150"/>
    <n v="500"/>
    <n v="3"/>
    <n v="10"/>
    <n v="4290"/>
    <n v="270"/>
    <n v="6750"/>
    <n v="2460"/>
    <n v="9.6296296296296297E-2"/>
    <s v="Poultry"/>
  </r>
  <r>
    <s v="24-044"/>
    <s v="Chicken - Tenders"/>
    <x v="309"/>
    <s v="Spicy Breaded Chicken Patty"/>
    <s v="8285"/>
    <n v="1"/>
    <n v="7"/>
    <n v="280"/>
    <n v="59.8"/>
    <n v="50"/>
    <n v="50"/>
    <n v="1"/>
    <n v="1"/>
    <n v="439.8"/>
    <n v="28"/>
    <n v="700"/>
    <n v="260.2"/>
    <n v="0.14285714285714285"/>
    <s v="Poultry"/>
  </r>
  <r>
    <s v="24-044"/>
    <s v="Chicken - Tenders"/>
    <x v="309"/>
    <s v="Spicy Breaded Chicken Patty"/>
    <s v="6262/0512"/>
    <n v="11"/>
    <n v="77"/>
    <n v="3080"/>
    <m/>
    <n v="600"/>
    <n v="100"/>
    <n v="12"/>
    <n v="2"/>
    <n v="3780"/>
    <n v="220"/>
    <n v="5500"/>
    <n v="1720"/>
    <n v="0.12727272727272726"/>
    <s v="Poultry"/>
  </r>
  <r>
    <s v="24-045"/>
    <s v="Chicken - Ground"/>
    <x v="310"/>
    <s v="Breakfast Patty"/>
    <s v="6262/0512"/>
    <n v="12"/>
    <n v="72"/>
    <n v="3600"/>
    <n v="139.80000000000001"/>
    <s v=""/>
    <s v=""/>
    <m/>
    <m/>
    <n v="3739.8"/>
    <n v="156"/>
    <n v="4680"/>
    <n v="940.19999999999982"/>
    <s v=""/>
    <s v="Poultry"/>
  </r>
  <r>
    <s v="24-046"/>
    <s v="Chicken - Ground"/>
    <x v="311"/>
    <s v="Breakfast Maple Patty"/>
    <s v="8285"/>
    <n v="10"/>
    <n v="60"/>
    <n v="3000"/>
    <n v="204"/>
    <s v=""/>
    <s v=""/>
    <m/>
    <m/>
    <n v="3204"/>
    <n v="159"/>
    <n v="4770"/>
    <n v="1566"/>
    <s v=""/>
    <s v="Poultry"/>
  </r>
  <r>
    <s v="24-051"/>
    <s v="Chicken - Ground"/>
    <x v="312"/>
    <s v="Bulk Ground Chicken"/>
    <s v="3083"/>
    <n v="14"/>
    <n v="84"/>
    <n v="4200"/>
    <s v=""/>
    <s v=""/>
    <s v=""/>
    <m/>
    <m/>
    <n v="4200"/>
    <n v="180"/>
    <n v="5400"/>
    <n v="1200"/>
    <s v=""/>
    <s v="Poultry"/>
  </r>
  <r>
    <s v="24-051"/>
    <s v="Chicken - Ground"/>
    <x v="312"/>
    <s v="Bulk Ground Chicken"/>
    <n v="811"/>
    <n v="7"/>
    <n v="42"/>
    <n v="2100"/>
    <m/>
    <s v=""/>
    <s v=""/>
    <m/>
    <m/>
    <n v="2100"/>
    <n v="98"/>
    <n v="2940"/>
    <n v="840"/>
    <s v=""/>
    <s v="Poultry"/>
  </r>
  <r>
    <s v="24-052"/>
    <s v="Chicken - Ground"/>
    <x v="313"/>
    <s v="Dinner Patty"/>
    <n v="811"/>
    <n v="10"/>
    <n v="60"/>
    <n v="3000"/>
    <m/>
    <s v=""/>
    <s v=""/>
    <m/>
    <m/>
    <n v="3000"/>
    <n v="147"/>
    <n v="3675"/>
    <n v="675"/>
    <s v=""/>
    <s v="Poultry"/>
  </r>
  <r>
    <s v="24-052"/>
    <s v="Chicken - Ground"/>
    <x v="313"/>
    <s v="Dinner Patty"/>
    <s v="3083"/>
    <n v="2"/>
    <n v="10"/>
    <n v="500"/>
    <n v="13.5"/>
    <s v=""/>
    <s v=""/>
    <m/>
    <m/>
    <n v="513.5"/>
    <n v="39"/>
    <n v="975"/>
    <n v="461.5"/>
    <s v=""/>
    <s v="Poultry"/>
  </r>
  <r>
    <s v="24-053"/>
    <s v="Chicken - Ground"/>
    <x v="314"/>
    <s v="Meatloaf Patty"/>
    <s v="3083"/>
    <n v="11"/>
    <n v="66"/>
    <n v="3300"/>
    <n v="461.45000000000005"/>
    <s v=""/>
    <s v=""/>
    <m/>
    <m/>
    <n v="3761.45"/>
    <n v="190"/>
    <n v="4750"/>
    <n v="988.55000000000018"/>
    <s v=""/>
    <s v="Poultry"/>
  </r>
  <r>
    <s v="24-057"/>
    <s v="Pork - Trim"/>
    <x v="315"/>
    <s v="Breakfast Pork Patty"/>
    <s v="3083"/>
    <n v="12"/>
    <n v="60"/>
    <n v="3600"/>
    <n v="139.80000000000001"/>
    <s v=""/>
    <s v=""/>
    <m/>
    <m/>
    <n v="3739.8"/>
    <n v="148"/>
    <n v="4440"/>
    <n v="700.19999999999982"/>
    <s v=""/>
    <s v="Meat"/>
  </r>
  <r>
    <s v="24-058"/>
    <s v="Chicken - Ground"/>
    <x v="316"/>
    <s v="Breakfast Patty"/>
    <s v="3083"/>
    <n v="10"/>
    <n v="60"/>
    <n v="3000"/>
    <n v="116.5"/>
    <s v=""/>
    <s v=""/>
    <m/>
    <m/>
    <n v="3116.5"/>
    <n v="119"/>
    <n v="3570"/>
    <n v="453.5"/>
    <s v=""/>
    <s v="Poultry"/>
  </r>
  <r>
    <s v="24-059"/>
    <s v="Chicken - Ground"/>
    <x v="317"/>
    <s v="Breakfast Chicken Links"/>
    <s v="3083"/>
    <n v="5"/>
    <n v="30"/>
    <n v="1500"/>
    <n v="58.25"/>
    <s v=""/>
    <s v=""/>
    <m/>
    <m/>
    <n v="1558.25"/>
    <n v="81"/>
    <n v="2025"/>
    <n v="466.75"/>
    <s v=""/>
    <s v="Poultry"/>
  </r>
  <r>
    <s v="24-060"/>
    <s v="Chicken - Ground"/>
    <x v="318"/>
    <s v="Breakfast Chicken Links"/>
    <s v="3083"/>
    <n v="10"/>
    <n v="60"/>
    <n v="3000"/>
    <n v="116.5"/>
    <s v=""/>
    <s v=""/>
    <m/>
    <m/>
    <n v="3116.5"/>
    <n v="166"/>
    <n v="4150"/>
    <n v="1033.5"/>
    <s v=""/>
    <s v="Poultry"/>
  </r>
  <r>
    <s v="24-064"/>
    <s v="Chicken - Ground"/>
    <x v="319"/>
    <s v="Breakfast Maple Links"/>
    <s v="3083"/>
    <n v="10"/>
    <n v="60"/>
    <n v="3000"/>
    <n v="204"/>
    <s v=""/>
    <s v=""/>
    <m/>
    <m/>
    <n v="3204"/>
    <n v="171"/>
    <n v="4275"/>
    <n v="1071"/>
    <s v=""/>
    <s v="Poultry"/>
  </r>
  <r>
    <s v="24-066"/>
    <s v="Chicken - Tenders"/>
    <x v="320"/>
    <s v="Breaded Chicken Patty"/>
    <s v="8285/0512"/>
    <n v="3"/>
    <n v="21"/>
    <n v="840"/>
    <m/>
    <n v="50"/>
    <n v="150"/>
    <n v="1"/>
    <n v="3"/>
    <n v="1040"/>
    <n v="49"/>
    <n v="1225"/>
    <n v="185"/>
    <n v="0.16326530612244897"/>
    <s v="Poultry"/>
  </r>
  <r>
    <s v="24-066"/>
    <s v="Chicken - Tenders"/>
    <x v="320"/>
    <s v="Breaded Chicken Patty"/>
    <s v="8285/3083"/>
    <n v="7"/>
    <n v="49"/>
    <n v="1960"/>
    <n v="378"/>
    <n v="100"/>
    <n v="300"/>
    <n v="2"/>
    <n v="6"/>
    <n v="2738"/>
    <n v="162"/>
    <n v="4050"/>
    <n v="1312"/>
    <n v="9.8765432098765427E-2"/>
    <s v="Poultry"/>
  </r>
  <r>
    <s v="24-067"/>
    <s v="Pork - Trim"/>
    <x v="321"/>
    <s v="Breaded Pork Patty"/>
    <s v="6262/0512"/>
    <n v="10"/>
    <n v="50"/>
    <n v="3000"/>
    <n v="408"/>
    <n v="150"/>
    <n v="700"/>
    <n v="3"/>
    <n v="28"/>
    <n v="4258"/>
    <n v="187"/>
    <n v="4675"/>
    <n v="417"/>
    <n v="0.18181818181818182"/>
    <s v="Meat"/>
  </r>
  <r>
    <s v="24-071"/>
    <s v="Chicken - Ground"/>
    <x v="322"/>
    <s v="Dinner Patty"/>
    <s v="2221"/>
    <n v="8"/>
    <n v="48"/>
    <n v="2400"/>
    <n v="54"/>
    <s v=""/>
    <s v=""/>
    <m/>
    <m/>
    <n v="2454"/>
    <n v="123"/>
    <n v="3075"/>
    <n v="621"/>
    <s v=""/>
    <s v="Poultry"/>
  </r>
  <r>
    <s v="24-074"/>
    <s v="Chicken - Ground"/>
    <x v="323"/>
    <s v="Bulk Breakfast Patty"/>
    <s v="3083"/>
    <n v="6"/>
    <n v="36"/>
    <n v="1800"/>
    <n v="69.900000000000006"/>
    <s v=""/>
    <s v=""/>
    <m/>
    <m/>
    <n v="1869.9"/>
    <n v="80"/>
    <n v="2400"/>
    <n v="530.09999999999991"/>
    <s v=""/>
    <s v="Poultry"/>
  </r>
  <r>
    <s v="24-074"/>
    <s v="Chicken - Ground"/>
    <x v="323"/>
    <s v="Bulk Ground Chicken"/>
    <s v="3083"/>
    <n v="9"/>
    <n v="54"/>
    <n v="2700"/>
    <s v=""/>
    <s v=""/>
    <s v=""/>
    <m/>
    <m/>
    <n v="2700"/>
    <n v="113"/>
    <n v="3390"/>
    <n v="690"/>
    <s v=""/>
    <s v="Poultry"/>
  </r>
  <r>
    <s v="24-078"/>
    <s v="Beans - Pinto"/>
    <x v="324"/>
    <s v="Bean Burger"/>
    <s v="3083"/>
    <n v="4"/>
    <n v="28"/>
    <n v="28"/>
    <n v="140"/>
    <s v=""/>
    <s v=""/>
    <m/>
    <m/>
    <n v="168"/>
    <n v="66"/>
    <n v="1650"/>
    <n v="1482"/>
    <s v=""/>
    <s v=""/>
  </r>
  <r>
    <s v="24-079"/>
    <s v="Chicken - Ground"/>
    <x v="325"/>
    <s v="Dinner Patty"/>
    <s v="B78/24"/>
    <n v="8"/>
    <n v="48"/>
    <n v="2400"/>
    <n v="54"/>
    <s v=""/>
    <s v=""/>
    <m/>
    <m/>
    <n v="2454"/>
    <n v="123"/>
    <n v="3075"/>
    <n v="621"/>
    <s v=""/>
    <s v="Poultry"/>
  </r>
  <r>
    <s v="24-080"/>
    <s v="Chicken - Ground"/>
    <x v="326"/>
    <s v="Supreme Pizza Patty"/>
    <s v="3083"/>
    <n v="8"/>
    <n v="48"/>
    <n v="2400"/>
    <n v="521.6"/>
    <s v=""/>
    <s v=""/>
    <m/>
    <m/>
    <n v="2921.6"/>
    <n v="150"/>
    <n v="3750"/>
    <n v="828.40000000000009"/>
    <s v=""/>
    <s v="Poultry"/>
  </r>
  <r>
    <s v="24-081"/>
    <s v="Beans - Pinto"/>
    <x v="327"/>
    <s v="Bean Burger"/>
    <s v="3083"/>
    <n v="4"/>
    <n v="28"/>
    <n v="28"/>
    <n v="140"/>
    <s v=""/>
    <s v=""/>
    <m/>
    <m/>
    <n v="168"/>
    <n v="77"/>
    <n v="1925"/>
    <n v="1757"/>
    <s v=""/>
    <s v=""/>
  </r>
  <r>
    <s v="24-085"/>
    <s v="Beans - Pinto"/>
    <x v="328"/>
    <s v="Bean Burger"/>
    <s v="B81-24"/>
    <n v="5"/>
    <n v="35"/>
    <n v="35"/>
    <n v="175"/>
    <s v=""/>
    <s v=""/>
    <m/>
    <m/>
    <n v="210"/>
    <n v="71"/>
    <n v="1775"/>
    <n v="1565"/>
    <s v=""/>
    <s v=""/>
  </r>
  <r>
    <s v="24-094"/>
    <s v="Cornmeal"/>
    <x v="329"/>
    <s v="Hush Puppies"/>
    <s v="B85-24"/>
    <m/>
    <m/>
    <n v="0"/>
    <s v=""/>
    <s v=""/>
    <s v=""/>
    <m/>
    <m/>
    <s v=""/>
    <n v="32"/>
    <n v="160"/>
    <s v=""/>
    <s v=""/>
    <s v=""/>
  </r>
  <r>
    <s v="24-095"/>
    <s v="Chicken - Ground"/>
    <x v="330"/>
    <s v="Breakfast Patty"/>
    <s v="H94-24"/>
    <n v="8"/>
    <n v="48"/>
    <n v="2400"/>
    <n v="93.2"/>
    <s v=""/>
    <s v=""/>
    <m/>
    <m/>
    <n v="2493.1999999999998"/>
    <n v="90"/>
    <n v="2700"/>
    <n v="206.80000000000018"/>
    <s v=""/>
    <s v="Poultry"/>
  </r>
  <r>
    <s v="24-099"/>
    <s v="Chicken - Ground"/>
    <x v="331"/>
    <s v="Breakfast Patty"/>
    <s v="3083"/>
    <n v="5"/>
    <n v="30"/>
    <n v="1500"/>
    <n v="58.25"/>
    <s v=""/>
    <s v=""/>
    <m/>
    <m/>
    <n v="1558.25"/>
    <n v="60"/>
    <n v="1800"/>
    <n v="241.75"/>
    <s v=""/>
    <s v="Poultry"/>
  </r>
  <r>
    <s v="24-106"/>
    <s v="Chicken - Ground"/>
    <x v="332"/>
    <s v="Breakfast Patty"/>
    <s v="3083"/>
    <n v="8"/>
    <n v="48"/>
    <n v="2400"/>
    <n v="93.2"/>
    <s v=""/>
    <s v=""/>
    <m/>
    <m/>
    <n v="2493.1999999999998"/>
    <n v="105"/>
    <n v="3150"/>
    <n v="656.80000000000018"/>
    <s v=""/>
    <s v="Poultry"/>
  </r>
  <r>
    <s v="24-107"/>
    <s v="Chicken - Tenders"/>
    <x v="333"/>
    <s v="Tuscan Herb 2oz"/>
    <s v="3083"/>
    <n v="8"/>
    <n v="56"/>
    <n v="2240"/>
    <n v="497.2"/>
    <s v=""/>
    <s v=""/>
    <m/>
    <m/>
    <n v="2737.2"/>
    <n v="105"/>
    <n v="3150"/>
    <n v="412.80000000000018"/>
    <s v=""/>
    <s v="Poultry"/>
  </r>
  <r>
    <s v="24-108"/>
    <s v="Chicken - Ground"/>
    <x v="334"/>
    <s v="Meatloaf Patty"/>
    <s v="6262/0512"/>
    <n v="8"/>
    <n v="48"/>
    <n v="2400"/>
    <n v="335.6"/>
    <s v=""/>
    <s v=""/>
    <m/>
    <m/>
    <n v="2735.6"/>
    <n v="138"/>
    <n v="3450"/>
    <n v="714.40000000000009"/>
    <s v=""/>
    <s v="Poultry"/>
  </r>
  <r>
    <s v="24-109"/>
    <s v="Chicken - Ground"/>
    <x v="335"/>
    <s v="Breakfast Chicken Links"/>
    <s v="7136"/>
    <n v="8"/>
    <n v="48"/>
    <n v="2400"/>
    <n v="93.2"/>
    <s v=""/>
    <s v=""/>
    <m/>
    <m/>
    <n v="2493.1999999999998"/>
    <n v="129"/>
    <n v="3225"/>
    <n v="731.80000000000018"/>
    <s v=""/>
    <s v="Poultry"/>
  </r>
  <r>
    <s v="24-114"/>
    <s v="Chicken - Tenders"/>
    <x v="336"/>
    <s v="Breaded Chicken Nuggets"/>
    <s v="5039/0512"/>
    <n v="4"/>
    <n v="28"/>
    <n v="1120"/>
    <n v="216"/>
    <n v="100"/>
    <n v="250"/>
    <n v="2"/>
    <n v="5"/>
    <n v="1686"/>
    <n v="70"/>
    <n v="1750"/>
    <n v="64"/>
    <n v="0.2"/>
    <s v="Poultry"/>
  </r>
  <r>
    <s v="24-116"/>
    <s v="Chicken - Tenders"/>
    <x v="337"/>
    <s v="Breaded Chicken Nuggets"/>
    <s v="5039/0512"/>
    <n v="8"/>
    <n v="56"/>
    <n v="2240"/>
    <n v="432"/>
    <n v="150"/>
    <n v="500"/>
    <n v="3"/>
    <n v="10"/>
    <n v="3322"/>
    <n v="174"/>
    <n v="4350"/>
    <n v="1028"/>
    <n v="0.14942528735632185"/>
    <s v="Poultry"/>
  </r>
  <r>
    <s v="24-120"/>
    <s v="Chicken - Tenders"/>
    <x v="338"/>
    <s v="Breaded Chicken Nuggets"/>
    <s v="5039/0512"/>
    <n v="8"/>
    <n v="56"/>
    <n v="2240"/>
    <n v="432"/>
    <n v="250"/>
    <n v="500"/>
    <n v="5"/>
    <n v="10"/>
    <n v="3422"/>
    <n v="158"/>
    <n v="3950"/>
    <n v="528"/>
    <n v="0.189873417721519"/>
    <s v="Poultry"/>
  </r>
  <r>
    <s v="24-121"/>
    <s v="Chicken - Tenders"/>
    <x v="339"/>
    <s v="Breaded Chicken Nuggets"/>
    <s v="5039/0512"/>
    <n v="8"/>
    <n v="56"/>
    <n v="2240"/>
    <n v="432"/>
    <n v="150"/>
    <n v="550"/>
    <n v="3"/>
    <n v="11"/>
    <n v="3372"/>
    <n v="150"/>
    <n v="3750"/>
    <n v="378"/>
    <n v="0.18666666666666668"/>
    <s v="Poultry"/>
  </r>
  <r>
    <s v="24-122"/>
    <s v="Chicken - Tenders"/>
    <x v="340"/>
    <s v="Breaded Chicken Patty (2oz)"/>
    <s v="5039/0512"/>
    <n v="8"/>
    <n v="56"/>
    <n v="2240"/>
    <m/>
    <n v="150"/>
    <n v="700"/>
    <n v="3"/>
    <n v="14"/>
    <n v="3090"/>
    <n v="151"/>
    <n v="4530"/>
    <n v="1440"/>
    <n v="0.18763796909492272"/>
    <s v="Poultry"/>
  </r>
  <r>
    <s v="24-127"/>
    <s v="Chicken - Ground"/>
    <x v="341"/>
    <s v="Breakfast Patty"/>
    <n v="7136"/>
    <n v="7"/>
    <n v="42"/>
    <n v="2100"/>
    <m/>
    <s v=""/>
    <s v=""/>
    <m/>
    <m/>
    <n v="2100"/>
    <n v="86"/>
    <n v="2580"/>
    <n v="480"/>
    <s v=""/>
    <s v="Poultry"/>
  </r>
  <r>
    <s v="24-128"/>
    <s v="Chicken - Ground"/>
    <x v="342"/>
    <s v="Garlic &amp; Herb Chicken Patty"/>
    <n v="7136"/>
    <n v="8"/>
    <n v="48"/>
    <n v="2400"/>
    <m/>
    <s v=""/>
    <s v=""/>
    <m/>
    <m/>
    <n v="2400"/>
    <n v="111"/>
    <n v="3330"/>
    <n v="930"/>
    <s v=""/>
    <s v="Poultry"/>
  </r>
  <r>
    <s v="24-130"/>
    <s v="Chicken - Ground"/>
    <x v="343"/>
    <s v="Bulk Breakfast Patty"/>
    <n v="7136"/>
    <n v="5"/>
    <n v="30"/>
    <n v="1500"/>
    <m/>
    <s v=""/>
    <s v=""/>
    <m/>
    <m/>
    <n v="1500"/>
    <n v="67"/>
    <n v="2010"/>
    <n v="510"/>
    <s v=""/>
    <s v="Poultry"/>
  </r>
  <r>
    <s v="24-130"/>
    <s v="Chicken - Ground"/>
    <x v="343"/>
    <s v="Bulk Ground Chicken"/>
    <n v="7136"/>
    <n v="5"/>
    <n v="30"/>
    <n v="1500"/>
    <m/>
    <s v=""/>
    <s v=""/>
    <m/>
    <m/>
    <n v="1500"/>
    <n v="66"/>
    <n v="1980"/>
    <n v="480"/>
    <s v=""/>
    <s v="Poultry"/>
  </r>
  <r>
    <s v="24-135"/>
    <s v="Pork - Trim"/>
    <x v="344"/>
    <s v="Bulk Ground Pork"/>
    <n v="2221"/>
    <n v="10"/>
    <n v="50"/>
    <n v="3000"/>
    <m/>
    <s v=""/>
    <s v=""/>
    <m/>
    <m/>
    <n v="3000"/>
    <n v="126"/>
    <n v="3780"/>
    <n v="780"/>
    <s v=""/>
    <s v="Meat"/>
  </r>
  <r>
    <s v="24-136"/>
    <s v="Chicken - Ground"/>
    <x v="345"/>
    <s v="Dinner Patty"/>
    <n v="7136"/>
    <n v="8"/>
    <n v="48"/>
    <n v="2400"/>
    <m/>
    <s v=""/>
    <s v=""/>
    <m/>
    <m/>
    <n v="2400"/>
    <n v="116"/>
    <n v="2900"/>
    <n v="500"/>
    <s v=""/>
    <s v="Poultry"/>
  </r>
  <r>
    <s v="24-137"/>
    <s v="Pork - Trim"/>
    <x v="346"/>
    <s v="Bulk Ground Pork"/>
    <n v="2221"/>
    <n v="10"/>
    <n v="50"/>
    <n v="3000"/>
    <m/>
    <s v=""/>
    <s v=""/>
    <m/>
    <m/>
    <n v="3000"/>
    <n v="142"/>
    <n v="4260"/>
    <n v="1260"/>
    <s v=""/>
    <s v="Meat"/>
  </r>
  <r>
    <s v="24-141"/>
    <s v="Chicken - Tenders"/>
    <x v="347"/>
    <s v="Breaded Chicken Patty"/>
    <s v="5039/0512"/>
    <n v="8"/>
    <n v="56"/>
    <n v="2240"/>
    <m/>
    <n v="250"/>
    <n v="450"/>
    <n v="5"/>
    <n v="9"/>
    <n v="2940"/>
    <n v="160"/>
    <n v="4000"/>
    <n v="1060"/>
    <n v="0.17499999999999999"/>
    <s v="Poultry"/>
  </r>
  <r>
    <s v="24-142"/>
    <s v="Chicken - Tenders"/>
    <x v="348"/>
    <s v="Breaded Chicken Patty"/>
    <s v="5039/0512"/>
    <n v="8"/>
    <n v="56"/>
    <n v="2240"/>
    <m/>
    <n v="250"/>
    <n v="600"/>
    <n v="5"/>
    <n v="12"/>
    <n v="3090"/>
    <n v="162"/>
    <n v="4050"/>
    <n v="960"/>
    <n v="0.20987654320987653"/>
    <s v="Poultry"/>
  </r>
  <r>
    <s v="24-143"/>
    <s v="Chicken - Tenders"/>
    <x v="349"/>
    <s v="Spicy Breaded Chicken Patty"/>
    <s v="5039/0512"/>
    <n v="8"/>
    <n v="56"/>
    <n v="2240"/>
    <m/>
    <n v="150"/>
    <n v="500"/>
    <n v="3"/>
    <n v="10"/>
    <n v="2890"/>
    <n v="147"/>
    <n v="3675"/>
    <n v="785"/>
    <n v="0.17687074829931973"/>
    <s v="Poultry"/>
  </r>
  <r>
    <s v="24-144"/>
    <s v="Chicken - Tenders"/>
    <x v="350"/>
    <s v="Spicy Breaded Chicken Patty"/>
    <s v="5039/0512"/>
    <n v="8"/>
    <n v="56"/>
    <n v="2240"/>
    <m/>
    <n v="150"/>
    <n v="650"/>
    <n v="3"/>
    <n v="13"/>
    <n v="3040"/>
    <n v="155"/>
    <n v="3875"/>
    <n v="835"/>
    <n v="0.20645161290322581"/>
    <s v="Poultry"/>
  </r>
  <r>
    <s v="24-155"/>
    <s v="Chicken - Ground"/>
    <x v="351"/>
    <s v="Meatloaf Patty"/>
    <n v="7136"/>
    <n v="8"/>
    <n v="56"/>
    <n v="2800"/>
    <m/>
    <s v=""/>
    <s v=""/>
    <m/>
    <m/>
    <n v="2800"/>
    <n v="143"/>
    <n v="3575"/>
    <n v="775"/>
    <s v=""/>
    <s v="Poultry"/>
  </r>
  <r>
    <s v="24-156"/>
    <s v="Chicken - Ground"/>
    <x v="352"/>
    <s v="Bulk Ground Chicken"/>
    <n v="7136"/>
    <n v="15"/>
    <n v="90"/>
    <n v="4500"/>
    <m/>
    <s v=""/>
    <s v=""/>
    <m/>
    <m/>
    <n v="4500"/>
    <n v="201"/>
    <n v="6030"/>
    <n v="1530"/>
    <s v=""/>
    <s v="Poultry"/>
  </r>
  <r>
    <s v="24-157"/>
    <s v="Chicken - Ground"/>
    <x v="353"/>
    <s v="Bulk Breakfast Patty"/>
    <n v="7136"/>
    <n v="10"/>
    <n v="60"/>
    <n v="3000"/>
    <m/>
    <s v=""/>
    <s v=""/>
    <m/>
    <m/>
    <n v="3000"/>
    <n v="133"/>
    <n v="3990"/>
    <n v="990"/>
    <s v=""/>
    <s v="Poultry"/>
  </r>
  <r>
    <s v="24-162"/>
    <s v="Pork - Trim"/>
    <x v="354"/>
    <s v="Pork BBQ Patty"/>
    <n v="2221"/>
    <n v="11"/>
    <n v="55"/>
    <n v="3300"/>
    <m/>
    <s v=""/>
    <s v=""/>
    <m/>
    <m/>
    <n v="3300"/>
    <n v="186"/>
    <n v="4650"/>
    <n v="1350"/>
    <s v=""/>
    <s v="Meat"/>
  </r>
  <r>
    <s v="24-163"/>
    <s v="Chicken - Ground"/>
    <x v="355"/>
    <s v="Meatloaf Patty"/>
    <n v="7136"/>
    <n v="8"/>
    <n v="56"/>
    <n v="2800"/>
    <m/>
    <s v=""/>
    <s v=""/>
    <m/>
    <m/>
    <n v="2800"/>
    <n v="141"/>
    <n v="3525"/>
    <n v="725"/>
    <s v=""/>
    <s v="Poultry"/>
  </r>
  <r>
    <s v="24-169"/>
    <s v="Beef - Ground"/>
    <x v="356"/>
    <s v="Beef Patty"/>
    <n v="1169"/>
    <n v="2"/>
    <n v="12"/>
    <n v="600"/>
    <m/>
    <s v=""/>
    <s v=""/>
    <m/>
    <m/>
    <n v="600"/>
    <n v="21"/>
    <n v="525"/>
    <n v="-75"/>
    <s v=""/>
    <s v="Meat"/>
  </r>
  <r>
    <s v="24-176"/>
    <s v="Chicken - Ground"/>
    <x v="357"/>
    <s v="Supreme Pizza Patty"/>
    <n v="7136"/>
    <n v="8"/>
    <n v="56"/>
    <n v="2800"/>
    <m/>
    <s v=""/>
    <s v=""/>
    <m/>
    <m/>
    <n v="2800"/>
    <n v="138"/>
    <n v="3450"/>
    <n v="650"/>
    <s v=""/>
    <s v="Poultry"/>
  </r>
  <r>
    <s v="24-177"/>
    <s v="Chicken - Ground"/>
    <x v="358"/>
    <s v="Dinner Patty"/>
    <n v="7136"/>
    <n v="6"/>
    <n v="36"/>
    <n v="1800"/>
    <m/>
    <s v=""/>
    <s v=""/>
    <m/>
    <m/>
    <n v="1800"/>
    <n v="87"/>
    <n v="2175"/>
    <n v="375"/>
    <s v=""/>
    <s v="Poultry"/>
  </r>
  <r>
    <s v="24-179"/>
    <s v="Beans - Pinto"/>
    <x v="359"/>
    <s v="Bean Burger"/>
    <s v="B179-20"/>
    <n v="6"/>
    <n v="49"/>
    <n v="49"/>
    <m/>
    <s v=""/>
    <s v=""/>
    <m/>
    <m/>
    <n v="49"/>
    <n v="73"/>
    <n v="1825"/>
    <n v="1776"/>
    <s v=""/>
    <s v=""/>
  </r>
  <r>
    <s v="24-185"/>
    <s v="Chicken - Tenders"/>
    <x v="360"/>
    <s v="Breaded Chicken Patty (2oz)"/>
    <s v="5039/0512"/>
    <n v="10"/>
    <n v="70"/>
    <n v="2800"/>
    <m/>
    <n v="400"/>
    <n v="550"/>
    <n v="8"/>
    <n v="11"/>
    <n v="3750"/>
    <n v="192"/>
    <n v="5760"/>
    <n v="2010"/>
    <n v="0.16493055555555555"/>
    <s v="Poultry"/>
  </r>
  <r>
    <s v="24-191"/>
    <s v="Chicken - Ground"/>
    <x v="361"/>
    <s v="Breakfast Maple Patty"/>
    <n v="7136"/>
    <n v="6"/>
    <n v="36"/>
    <n v="1800"/>
    <m/>
    <s v=""/>
    <s v=""/>
    <m/>
    <m/>
    <n v="1800"/>
    <n v="73"/>
    <n v="2190"/>
    <n v="390"/>
    <s v=""/>
    <s v="Poultry"/>
  </r>
  <r>
    <s v="24-192"/>
    <s v="Chicken - Ground"/>
    <x v="362"/>
    <s v="Breakfast Maple Links"/>
    <n v="7136"/>
    <n v="4"/>
    <n v="24"/>
    <n v="1200"/>
    <m/>
    <s v=""/>
    <s v=""/>
    <m/>
    <m/>
    <n v="1200"/>
    <n v="55"/>
    <n v="1375"/>
    <n v="175"/>
    <s v=""/>
    <s v="Poultry"/>
  </r>
  <r>
    <s v="24-197"/>
    <s v="Chicken - Ground"/>
    <x v="363"/>
    <s v="Breakfast Chicken Links"/>
    <n v="7136"/>
    <n v="3"/>
    <n v="18"/>
    <n v="900"/>
    <m/>
    <s v=""/>
    <s v=""/>
    <m/>
    <m/>
    <n v="900"/>
    <n v="47"/>
    <n v="1175"/>
    <n v="275"/>
    <s v=""/>
    <s v="Poultry"/>
  </r>
  <r>
    <s v="24-197"/>
    <s v="Chicken - Ground"/>
    <x v="363"/>
    <s v="Breakfast Maple Links"/>
    <n v="7136"/>
    <n v="4"/>
    <n v="24"/>
    <n v="1200"/>
    <m/>
    <s v=""/>
    <s v=""/>
    <m/>
    <m/>
    <n v="1200"/>
    <n v="57"/>
    <n v="1425"/>
    <n v="225"/>
    <s v=""/>
    <s v="Poultry"/>
  </r>
  <r>
    <s v="24-199"/>
    <s v="Chicken - Ground"/>
    <x v="364"/>
    <s v="Breakfast Patty"/>
    <n v="7136"/>
    <n v="8"/>
    <n v="48"/>
    <n v="2400"/>
    <m/>
    <s v=""/>
    <s v=""/>
    <m/>
    <m/>
    <n v="2400"/>
    <n v="99"/>
    <n v="2970"/>
    <n v="570"/>
    <s v=""/>
    <s v="Poultry"/>
  </r>
  <r>
    <s v="24-200"/>
    <s v="Chicken - Ground"/>
    <x v="365"/>
    <s v="Breakfast Patty"/>
    <s v="7136/2069"/>
    <n v="6"/>
    <n v="37"/>
    <n v="1850"/>
    <m/>
    <s v=""/>
    <s v=""/>
    <m/>
    <m/>
    <n v="1850"/>
    <n v="75"/>
    <n v="2250"/>
    <n v="400"/>
    <s v=""/>
    <s v="Poultry"/>
  </r>
  <r>
    <s v="24-204"/>
    <s v="Chicken - Ground"/>
    <x v="366"/>
    <s v="Breakfast Maple Patty"/>
    <s v="7136/2069"/>
    <n v="6"/>
    <n v="36"/>
    <n v="1800"/>
    <m/>
    <s v=""/>
    <s v=""/>
    <m/>
    <m/>
    <n v="1800"/>
    <n v="73"/>
    <n v="2190"/>
    <n v="390"/>
    <s v=""/>
    <s v="Poultry"/>
  </r>
  <r>
    <s v="24-206"/>
    <s v="Chicken - Tenders"/>
    <x v="367"/>
    <s v="Breaded Chicken Patty"/>
    <s v="5039/0512"/>
    <n v="6"/>
    <n v="42"/>
    <n v="1680"/>
    <m/>
    <n v="150"/>
    <n v="450"/>
    <n v="3"/>
    <n v="9"/>
    <n v="2280"/>
    <n v="107"/>
    <n v="2675"/>
    <n v="395"/>
    <n v="0.22429906542056074"/>
    <s v="Poultry"/>
  </r>
  <r>
    <s v="24-211"/>
    <s v="Chicken - Ground"/>
    <x v="368"/>
    <s v="Bulk Ground Chicken"/>
    <s v="7136/2069"/>
    <n v="15"/>
    <n v="90"/>
    <n v="4500"/>
    <m/>
    <s v=""/>
    <s v=""/>
    <m/>
    <m/>
    <n v="4500"/>
    <n v="197"/>
    <n v="5910"/>
    <n v="1410"/>
    <s v=""/>
    <s v="Poultry"/>
  </r>
  <r>
    <s v="24-212"/>
    <s v="Chicken - Ground"/>
    <x v="369"/>
    <s v="Breakfast Maple Links"/>
    <n v="2069"/>
    <n v="10"/>
    <n v="60"/>
    <n v="3000"/>
    <m/>
    <s v=""/>
    <s v=""/>
    <m/>
    <m/>
    <n v="3000"/>
    <n v="152"/>
    <n v="3800"/>
    <n v="800"/>
    <s v=""/>
    <s v="Poultry"/>
  </r>
  <r>
    <s v="24-213"/>
    <s v="Chicken - Ground"/>
    <x v="370"/>
    <s v="Breakfast Chicken Links"/>
    <n v="2069"/>
    <n v="6"/>
    <n v="36"/>
    <n v="1800"/>
    <m/>
    <s v=""/>
    <s v=""/>
    <m/>
    <m/>
    <n v="1800"/>
    <n v="87"/>
    <n v="2175"/>
    <n v="375"/>
    <s v=""/>
    <s v="Poultry"/>
  </r>
  <r>
    <s v="24-213"/>
    <s v="Chicken - Ground"/>
    <x v="370"/>
    <s v="Breakfast Maple Links"/>
    <n v="2069"/>
    <n v="2"/>
    <n v="12"/>
    <n v="600"/>
    <m/>
    <s v=""/>
    <s v=""/>
    <m/>
    <m/>
    <n v="600"/>
    <n v="42"/>
    <n v="1050"/>
    <n v="450"/>
    <s v=""/>
    <s v="Poultry"/>
  </r>
  <r>
    <s v="24-214"/>
    <s v="Chicken - Tenders"/>
    <x v="371"/>
    <s v="Tuscan Herb 2oz"/>
    <s v="5039/0512"/>
    <n v="8"/>
    <n v="64"/>
    <n v="2560"/>
    <m/>
    <s v=""/>
    <s v=""/>
    <m/>
    <m/>
    <n v="2560"/>
    <n v="107"/>
    <n v="3210"/>
    <n v="650"/>
    <s v=""/>
    <s v="Poultry"/>
  </r>
  <r>
    <s v="24-218"/>
    <s v="Chicken - Tenders"/>
    <x v="372"/>
    <s v="Breaded Chicken Patty"/>
    <s v="5039/3981/0512"/>
    <n v="10"/>
    <n v="70"/>
    <n v="2800"/>
    <m/>
    <n v="150"/>
    <n v="600"/>
    <n v="3"/>
    <n v="12"/>
    <n v="3550"/>
    <n v="186"/>
    <n v="4650"/>
    <n v="1100"/>
    <n v="0.16129032258064516"/>
    <s v="Poultry"/>
  </r>
  <r>
    <s v="24-220"/>
    <s v="Chicken - Tenders"/>
    <x v="373"/>
    <s v="Breaded Chicken Patty"/>
    <s v="5039/3981/0512"/>
    <n v="4"/>
    <n v="28"/>
    <n v="1120"/>
    <m/>
    <n v="150"/>
    <n v="150"/>
    <n v="3"/>
    <n v="3"/>
    <n v="1420"/>
    <n v="48"/>
    <n v="1200"/>
    <n v="-220"/>
    <n v="0.25"/>
    <s v="Poultry"/>
  </r>
  <r>
    <s v="24-221"/>
    <s v="Chicken - Tenders"/>
    <x v="374"/>
    <s v="Breaded Chicken Patty"/>
    <s v="5039/3981/0512"/>
    <n v="10"/>
    <n v="70"/>
    <n v="2800"/>
    <m/>
    <n v="150"/>
    <n v="700"/>
    <n v="3"/>
    <n v="14"/>
    <n v="3650"/>
    <n v="204"/>
    <n v="5100"/>
    <n v="1450"/>
    <n v="0.16666666666666666"/>
    <s v="Poultry"/>
  </r>
  <r>
    <s v="24-225"/>
    <s v="Chicken - Tenders"/>
    <x v="375"/>
    <s v="Breaded Chicken Patty (2oz)"/>
    <s v="3981/0512"/>
    <n v="10"/>
    <n v="70"/>
    <n v="2800"/>
    <m/>
    <n v="350"/>
    <n v="550"/>
    <n v="7"/>
    <n v="11"/>
    <n v="3700"/>
    <n v="191"/>
    <n v="5730"/>
    <n v="2030"/>
    <n v="0.15706806282722513"/>
    <s v="Poultry"/>
  </r>
  <r>
    <s v="24-226"/>
    <s v="Chicken - Tenders"/>
    <x v="376"/>
    <s v="Breaded Chicken Patty (2oz)"/>
    <s v="3891/0512"/>
    <n v="10"/>
    <n v="70"/>
    <n v="2800"/>
    <m/>
    <n v="150"/>
    <n v="550"/>
    <n v="3"/>
    <n v="11"/>
    <n v="3500"/>
    <n v="190"/>
    <n v="5700"/>
    <n v="2200"/>
    <n v="0.12280701754385964"/>
    <s v="Poultry"/>
  </r>
  <r>
    <s v="24-228"/>
    <s v="Apples - Sliced"/>
    <x v="377"/>
    <s v="Apples"/>
    <s v="A228/24"/>
    <m/>
    <m/>
    <n v="0"/>
    <m/>
    <s v=""/>
    <s v=""/>
    <m/>
    <m/>
    <s v=""/>
    <n v="40"/>
    <n v="1200"/>
    <s v=""/>
    <s v=""/>
    <s v=""/>
  </r>
  <r>
    <s v="24-232"/>
    <s v="Apples - Sliced"/>
    <x v="378"/>
    <s v="Apples"/>
    <s v="A232/24"/>
    <m/>
    <m/>
    <n v="0"/>
    <m/>
    <s v=""/>
    <s v=""/>
    <m/>
    <m/>
    <s v=""/>
    <n v="32"/>
    <n v="960"/>
    <s v=""/>
    <s v=""/>
    <s v=""/>
  </r>
  <r>
    <s v="24-233"/>
    <s v="Apples - Sliced"/>
    <x v="379"/>
    <s v="Apples"/>
    <s v="A233/24"/>
    <m/>
    <m/>
    <n v="0"/>
    <m/>
    <s v=""/>
    <s v=""/>
    <m/>
    <m/>
    <s v=""/>
    <n v="81"/>
    <n v="2430"/>
    <s v=""/>
    <s v=""/>
    <s v=""/>
  </r>
  <r>
    <s v="24-235"/>
    <s v="Chicken - Tenders"/>
    <x v="380"/>
    <s v="Breaded Chicken Patty (2oz)"/>
    <s v="1531/0512"/>
    <n v="12"/>
    <n v="84"/>
    <n v="3360"/>
    <m/>
    <n v="150"/>
    <n v="750"/>
    <n v="3"/>
    <n v="15"/>
    <n v="4260"/>
    <n v="239"/>
    <n v="7170"/>
    <n v="2910"/>
    <n v="0.12552301255230125"/>
    <s v="Poultry"/>
  </r>
  <r>
    <s v="24-239"/>
    <s v="Chicken - Ground"/>
    <x v="381"/>
    <s v="Dinner Patty"/>
    <n v="2069"/>
    <n v="8"/>
    <n v="48"/>
    <n v="2400"/>
    <m/>
    <s v=""/>
    <s v=""/>
    <m/>
    <m/>
    <n v="2400"/>
    <n v="118"/>
    <n v="2950"/>
    <n v="550"/>
    <s v=""/>
    <s v="Poultry"/>
  </r>
  <r>
    <s v="24-240"/>
    <s v="Chicken - Ground"/>
    <x v="382"/>
    <s v="Meatloaf Patty"/>
    <n v="2069"/>
    <n v="10"/>
    <n v="60"/>
    <n v="3000"/>
    <m/>
    <s v=""/>
    <s v=""/>
    <m/>
    <n v="5"/>
    <n v="3000"/>
    <n v="171"/>
    <n v="4275"/>
    <n v="1275"/>
    <s v=""/>
    <s v="Poultry"/>
  </r>
  <r>
    <s v="24-241"/>
    <s v="Apples - Sliced"/>
    <x v="383"/>
    <s v="Apples"/>
    <s v="A241/22"/>
    <m/>
    <m/>
    <n v="0"/>
    <m/>
    <s v=""/>
    <s v=""/>
    <m/>
    <m/>
    <s v=""/>
    <n v="44"/>
    <n v="1320"/>
    <s v=""/>
    <s v=""/>
    <s v=""/>
  </r>
  <r>
    <s v="24-242"/>
    <s v="Beef - Ground"/>
    <x v="384"/>
    <s v="Beef Patty"/>
    <s v="3045/3054"/>
    <n v="10"/>
    <n v="50"/>
    <n v="2500"/>
    <m/>
    <s v=""/>
    <s v=""/>
    <m/>
    <m/>
    <n v="2500"/>
    <n v="137"/>
    <n v="3425"/>
    <n v="925"/>
    <s v=""/>
    <s v="Meat"/>
  </r>
  <r>
    <s v="24-247"/>
    <s v="Chicken - Ground"/>
    <x v="385"/>
    <s v="Breakfast Patty"/>
    <n v="2069"/>
    <n v="10"/>
    <n v="60"/>
    <n v="3000"/>
    <m/>
    <s v=""/>
    <s v=""/>
    <m/>
    <m/>
    <n v="3000"/>
    <n v="123"/>
    <n v="3690"/>
    <n v="690"/>
    <s v=""/>
    <s v="Poultry"/>
  </r>
  <r>
    <s v="24-248"/>
    <s v="Chicken - Ground"/>
    <x v="386"/>
    <s v="Garlic &amp; Herb Chicken Patty"/>
    <n v="2069"/>
    <n v="15"/>
    <n v="90"/>
    <n v="4500"/>
    <m/>
    <s v=""/>
    <s v=""/>
    <m/>
    <n v="8"/>
    <n v="4500"/>
    <n v="208"/>
    <n v="6240"/>
    <n v="1740"/>
    <s v=""/>
    <s v="Poultry"/>
  </r>
  <r>
    <s v="24-249"/>
    <s v="Apples - Sliced"/>
    <x v="387"/>
    <s v="Apples"/>
    <s v="A249-24"/>
    <m/>
    <m/>
    <n v="0"/>
    <m/>
    <s v=""/>
    <s v=""/>
    <m/>
    <m/>
    <s v=""/>
    <n v="83"/>
    <n v="2490"/>
    <s v=""/>
    <s v=""/>
    <s v=""/>
  </r>
  <r>
    <s v="24-253"/>
    <s v="Apples - Sliced"/>
    <x v="388"/>
    <s v="Apples"/>
    <s v="A253-24"/>
    <m/>
    <m/>
    <n v="0"/>
    <m/>
    <s v=""/>
    <s v=""/>
    <m/>
    <m/>
    <s v=""/>
    <n v="54"/>
    <n v="1620"/>
    <s v=""/>
    <s v=""/>
    <s v=""/>
  </r>
  <r>
    <s v="24-254"/>
    <s v="Chicken - Tenders"/>
    <x v="389"/>
    <s v="Breaded Chicken Patty (2oz)"/>
    <s v="1531/0512"/>
    <n v="10"/>
    <n v="70"/>
    <n v="2800"/>
    <m/>
    <n v="300"/>
    <n v="500"/>
    <n v="6"/>
    <n v="10"/>
    <n v="3600"/>
    <n v="176"/>
    <n v="5280"/>
    <n v="1680"/>
    <n v="0.15151515151515152"/>
    <s v="Poultry"/>
  </r>
  <r>
    <s v="24-255"/>
    <s v="Apples - Sliced"/>
    <x v="390"/>
    <s v="Apples"/>
    <s v="A255/24"/>
    <m/>
    <m/>
    <n v="0"/>
    <m/>
    <s v=""/>
    <s v=""/>
    <m/>
    <m/>
    <s v=""/>
    <n v="38"/>
    <n v="1140"/>
    <s v=""/>
    <s v=""/>
    <s v=""/>
  </r>
  <r>
    <s v="24-256"/>
    <s v="Apples - Sliced"/>
    <x v="391"/>
    <s v="Apples"/>
    <s v="A256/24"/>
    <m/>
    <m/>
    <n v="0"/>
    <m/>
    <s v=""/>
    <s v=""/>
    <m/>
    <m/>
    <s v=""/>
    <n v="41"/>
    <n v="1230"/>
    <s v=""/>
    <s v=""/>
    <s v=""/>
  </r>
  <r>
    <s v="24-260"/>
    <s v="Chicken - Tenders"/>
    <x v="392"/>
    <s v="Breaded Chicken Patty (2oz)"/>
    <s v="1531/0512"/>
    <n v="10"/>
    <n v="70"/>
    <n v="2800"/>
    <m/>
    <n v="150"/>
    <n v="450"/>
    <n v="3"/>
    <n v="9"/>
    <n v="3400"/>
    <n v="182"/>
    <n v="5460"/>
    <n v="2060"/>
    <n v="0.10989010989010989"/>
    <s v="Poultry"/>
  </r>
  <r>
    <s v="24-261"/>
    <s v="Chicken - Tenders"/>
    <x v="393"/>
    <s v="Breaded Chicken Patty (2oz)"/>
    <s v="1531/0512"/>
    <n v="10"/>
    <n v="70"/>
    <n v="2800"/>
    <m/>
    <n v="150"/>
    <n v="450"/>
    <n v="3"/>
    <n v="9"/>
    <n v="3400"/>
    <n v="190"/>
    <n v="5700"/>
    <n v="2300"/>
    <n v="0.10526315789473684"/>
    <s v="Poultry"/>
  </r>
  <r>
    <s v="24-262"/>
    <s v="Chicken - Ground"/>
    <x v="394"/>
    <s v="Dinner Patty"/>
    <n v="2069"/>
    <n v="12"/>
    <n v="72"/>
    <n v="3600"/>
    <m/>
    <s v=""/>
    <s v=""/>
    <m/>
    <m/>
    <n v="3600"/>
    <n v="183"/>
    <n v="4575"/>
    <n v="975"/>
    <s v=""/>
    <s v="Poultry"/>
  </r>
  <r>
    <s v="24-263"/>
    <s v="Apples - Sliced"/>
    <x v="395"/>
    <s v="Apples"/>
    <s v="A263/24"/>
    <m/>
    <m/>
    <n v="0"/>
    <m/>
    <s v=""/>
    <s v=""/>
    <m/>
    <m/>
    <s v=""/>
    <n v="28"/>
    <n v="840"/>
    <s v=""/>
    <s v=""/>
    <s v=""/>
  </r>
  <r>
    <s v="24-267"/>
    <s v="Chicken - Ground"/>
    <x v="396"/>
    <s v="Meatloaf Patty"/>
    <n v="2069"/>
    <n v="12"/>
    <n v="72"/>
    <n v="3600"/>
    <m/>
    <s v=""/>
    <s v=""/>
    <m/>
    <n v="6"/>
    <n v="3600"/>
    <n v="219"/>
    <n v="5475"/>
    <n v="1875"/>
    <s v=""/>
    <s v="Poultry"/>
  </r>
  <r>
    <s v="24-268"/>
    <s v="Chicken - Ground"/>
    <x v="397"/>
    <s v="Breakfast Maple Patty"/>
    <n v="2069"/>
    <n v="10"/>
    <n v="60"/>
    <n v="3000"/>
    <m/>
    <s v=""/>
    <s v=""/>
    <m/>
    <m/>
    <n v="3000"/>
    <n v="126"/>
    <n v="3780"/>
    <n v="780"/>
    <s v=""/>
    <s v="Poultry"/>
  </r>
  <r>
    <s v="24-269"/>
    <s v="Chicken - Ground"/>
    <x v="398"/>
    <s v="Breakfast Chicken Links"/>
    <n v="2069"/>
    <n v="12"/>
    <n v="72"/>
    <n v="3600"/>
    <m/>
    <s v=""/>
    <s v=""/>
    <m/>
    <m/>
    <n v="3600"/>
    <n v="193"/>
    <n v="4825"/>
    <n v="1225"/>
    <s v=""/>
    <s v="Poultry"/>
  </r>
  <r>
    <s v="24-270"/>
    <s v="Chicken - Ground"/>
    <x v="399"/>
    <s v="Breakfast Maple Links"/>
    <n v="2200"/>
    <n v="12"/>
    <n v="72"/>
    <n v="3600"/>
    <m/>
    <s v=""/>
    <s v=""/>
    <m/>
    <m/>
    <n v="3600"/>
    <n v="204"/>
    <n v="5100"/>
    <n v="1500"/>
    <s v=""/>
    <s v="Poultry"/>
  </r>
  <r>
    <s v="24-274"/>
    <s v="Cornmeal"/>
    <x v="400"/>
    <s v="Hush Puppies"/>
    <s v="H274-24"/>
    <m/>
    <m/>
    <n v="0"/>
    <m/>
    <s v=""/>
    <s v=""/>
    <m/>
    <m/>
    <s v=""/>
    <n v="29"/>
    <n v="145"/>
    <s v=""/>
    <s v=""/>
    <s v=""/>
  </r>
  <r>
    <s v="24-274"/>
    <s v="Apples - Sliced"/>
    <x v="400"/>
    <s v="Apples"/>
    <s v="A274-24"/>
    <m/>
    <m/>
    <n v="0"/>
    <m/>
    <s v=""/>
    <s v=""/>
    <m/>
    <m/>
    <s v=""/>
    <n v="36"/>
    <n v="1080"/>
    <s v=""/>
    <s v=""/>
    <s v=""/>
  </r>
  <r>
    <s v="24-275"/>
    <s v="Cornmeal"/>
    <x v="401"/>
    <s v="Hush Puppies"/>
    <s v="H275-24"/>
    <m/>
    <m/>
    <n v="0"/>
    <m/>
    <s v=""/>
    <s v=""/>
    <m/>
    <m/>
    <s v=""/>
    <n v="29"/>
    <n v="145"/>
    <s v=""/>
    <s v=""/>
    <s v=""/>
  </r>
  <r>
    <s v="24-275"/>
    <s v="Apples - Sliced"/>
    <x v="401"/>
    <s v="Apples"/>
    <s v="A275-24"/>
    <m/>
    <m/>
    <n v="0"/>
    <m/>
    <s v=""/>
    <s v=""/>
    <m/>
    <m/>
    <s v=""/>
    <n v="39"/>
    <n v="1170"/>
    <s v=""/>
    <s v=""/>
    <s v=""/>
  </r>
  <r>
    <s v="24-276"/>
    <s v="Chicken - Ground"/>
    <x v="402"/>
    <s v="Breakfast Patty"/>
    <n v="2200"/>
    <n v="12"/>
    <n v="72"/>
    <n v="3600"/>
    <m/>
    <s v=""/>
    <s v=""/>
    <m/>
    <m/>
    <n v="3600"/>
    <n v="151"/>
    <n v="4530"/>
    <n v="930"/>
    <s v=""/>
    <s v="Poultry"/>
  </r>
  <r>
    <s v="24-277"/>
    <s v="Apples - Sliced"/>
    <x v="403"/>
    <s v="Apples"/>
    <s v="A277-24"/>
    <m/>
    <m/>
    <n v="0"/>
    <m/>
    <s v=""/>
    <s v=""/>
    <m/>
    <m/>
    <s v=""/>
    <n v="30"/>
    <n v="900"/>
    <s v=""/>
    <s v=""/>
    <s v=""/>
  </r>
  <r>
    <s v="24-281"/>
    <s v="Chicken - Tenders"/>
    <x v="404"/>
    <s v="Tuscan Herb Chicken Patty"/>
    <s v="1531/0512"/>
    <n v="12"/>
    <n v="84"/>
    <n v="3360"/>
    <m/>
    <s v=""/>
    <s v=""/>
    <m/>
    <m/>
    <n v="3360"/>
    <n v="198"/>
    <n v="4950"/>
    <n v="1590"/>
    <s v=""/>
    <s v="Poultr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F78595-72DD-4BE5-B276-2BA5EFBB9039}" name="PivotTable2" cacheId="0" applyNumberFormats="0" applyBorderFormats="0" applyFontFormats="0" applyPatternFormats="0" applyAlignmentFormats="0" applyWidthHeightFormats="1" dataCaption="Values" updatedVersion="8" minRefreshableVersion="3" preserveFormatting="0" colGrandTotals="0" itemPrintTitles="1" createdVersion="8" indent="0" outline="1" outlineData="1" multipleFieldFilters="0" chartFormat="16" rowHeaderCaption="Months" colHeaderCaption="Years">
  <location ref="E19:H33" firstHeaderRow="1" firstDataRow="2" firstDataCol="1"/>
  <pivotFields count="22">
    <pivotField showAll="0"/>
    <pivotField showAll="0"/>
    <pivotField numFmtId="164" showAll="0">
      <items count="40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m="1" x="405"/>
        <item x="379"/>
        <item x="380"/>
        <item x="381"/>
        <item x="382"/>
        <item x="383"/>
        <item x="384"/>
        <item x="385"/>
        <item x="386"/>
        <item x="387"/>
        <item x="388"/>
        <item x="389"/>
        <item x="390"/>
        <item x="391"/>
        <item x="392"/>
        <item x="393"/>
        <item x="394"/>
        <item x="395"/>
        <item x="396"/>
        <item x="397"/>
        <item x="398"/>
        <item x="399"/>
        <item x="400"/>
        <item x="401"/>
        <item x="402"/>
        <item x="403"/>
        <item x="404"/>
        <item x="37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numFmtId="9" showAll="0"/>
    <pivotField showAll="0"/>
    <pivotField name="Months"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1"/>
        <item sd="0" x="2"/>
        <item sd="0" x="3"/>
        <item sd="0" x="4"/>
        <item x="5"/>
        <item x="0"/>
        <item t="default"/>
      </items>
    </pivotField>
    <pivotField name="Years" axis="axisCol" showAll="0">
      <items count="6">
        <item sd="0" x="1"/>
        <item sd="0" x="2"/>
        <item sd="0" x="3"/>
        <item x="4"/>
        <item x="0"/>
        <item t="default"/>
      </items>
    </pivotField>
  </pivotFields>
  <rowFields count="1">
    <field x="19"/>
  </rowFields>
  <rowItems count="13">
    <i>
      <x v="1"/>
    </i>
    <i>
      <x v="2"/>
    </i>
    <i>
      <x v="3"/>
    </i>
    <i>
      <x v="4"/>
    </i>
    <i>
      <x v="5"/>
    </i>
    <i>
      <x v="6"/>
    </i>
    <i>
      <x v="7"/>
    </i>
    <i>
      <x v="8"/>
    </i>
    <i>
      <x v="9"/>
    </i>
    <i>
      <x v="10"/>
    </i>
    <i>
      <x v="11"/>
    </i>
    <i>
      <x v="12"/>
    </i>
    <i t="grand">
      <x/>
    </i>
  </rowItems>
  <colFields count="1">
    <field x="21"/>
  </colFields>
  <colItems count="3">
    <i>
      <x/>
    </i>
    <i>
      <x v="1"/>
    </i>
    <i>
      <x v="2"/>
    </i>
  </colItems>
  <dataFields count="1">
    <dataField name="Total Weight" fld="15" baseField="0" baseItem="0" numFmtId="3"/>
  </dataFields>
  <chartFormats count="3">
    <chartFormat chart="1" format="0" series="1">
      <pivotArea type="data" outline="0" fieldPosition="0">
        <references count="2">
          <reference field="4294967294" count="1" selected="0">
            <x v="0"/>
          </reference>
          <reference field="21" count="1" selected="0">
            <x v="0"/>
          </reference>
        </references>
      </pivotArea>
    </chartFormat>
    <chartFormat chart="1" format="1" series="1">
      <pivotArea type="data" outline="0" fieldPosition="0">
        <references count="2">
          <reference field="4294967294" count="1" selected="0">
            <x v="0"/>
          </reference>
          <reference field="21" count="1" selected="0">
            <x v="1"/>
          </reference>
        </references>
      </pivotArea>
    </chartFormat>
    <chartFormat chart="1" format="2" series="1">
      <pivotArea type="data" outline="0" fieldPosition="0">
        <references count="2">
          <reference field="4294967294" count="1" selected="0">
            <x v="0"/>
          </reference>
          <reference field="21" count="1" selected="0">
            <x v="2"/>
          </reference>
        </references>
      </pivotArea>
    </chartFormat>
  </chartFormats>
  <pivotTableStyleInfo name="PivotStyleDark2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10FE057-1CA4-46CB-867F-E0F7F3924642}" name="PivotTable1" cacheId="0" applyNumberFormats="0" applyBorderFormats="0" applyFontFormats="0" applyPatternFormats="0" applyAlignmentFormats="0" applyWidthHeightFormats="1" dataCaption="Values" updatedVersion="8" minRefreshableVersion="3" preserveFormatting="0" itemPrintTitles="1" createdVersion="8" indent="0" outline="1" outlineData="1" multipleFieldFilters="0" chartFormat="2" rowHeaderCaption="Boxes Used">
  <location ref="A21:C26" firstHeaderRow="0" firstDataRow="1" firstDataCol="1" rowPageCount="1" colPageCount="1"/>
  <pivotFields count="22">
    <pivotField showAll="0"/>
    <pivotField showAll="0"/>
    <pivotField axis="axisRow" numFmtId="166" showAll="0">
      <items count="40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m="1" x="405"/>
        <item x="379"/>
        <item x="380"/>
        <item x="381"/>
        <item x="382"/>
        <item x="383"/>
        <item x="384"/>
        <item x="385"/>
        <item x="386"/>
        <item x="387"/>
        <item x="388"/>
        <item x="389"/>
        <item x="390"/>
        <item x="391"/>
        <item x="392"/>
        <item x="393"/>
        <item x="394"/>
        <item x="395"/>
        <item x="396"/>
        <item x="397"/>
        <item x="398"/>
        <item x="399"/>
        <item x="400"/>
        <item x="401"/>
        <item x="402"/>
        <item x="403"/>
        <item x="404"/>
        <item x="378"/>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numFmtId="9"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1"/>
        <item sd="0" x="2"/>
        <item sd="0" x="3"/>
        <item sd="0" x="4"/>
        <item x="5"/>
        <item x="0"/>
      </items>
    </pivotField>
    <pivotField name="Choose Year" axis="axisPage" showAll="0" defaultSubtotal="0">
      <items count="5">
        <item sd="0" x="1"/>
        <item sd="0" x="2"/>
        <item sd="0" x="3"/>
        <item x="4"/>
        <item x="0"/>
      </items>
    </pivotField>
  </pivotFields>
  <rowFields count="3">
    <field x="20"/>
    <field x="19"/>
    <field x="2"/>
  </rowFields>
  <rowItems count="5">
    <i>
      <x/>
    </i>
    <i>
      <x v="1"/>
    </i>
    <i>
      <x v="2"/>
    </i>
    <i>
      <x v="3"/>
    </i>
    <i t="grand">
      <x/>
    </i>
  </rowItems>
  <colFields count="1">
    <field x="-2"/>
  </colFields>
  <colItems count="2">
    <i>
      <x/>
    </i>
    <i i="1">
      <x v="1"/>
    </i>
  </colItems>
  <pageFields count="1">
    <pageField fld="21" item="2" hier="-1"/>
  </pageFields>
  <dataFields count="2">
    <dataField name="Ttl Cs" fld="14" baseField="20" baseItem="0" numFmtId="3"/>
    <dataField name="Avg Cs/Day" fld="14" subtotal="average" baseField="20" baseItem="0" numFmtId="3"/>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Dark2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4D9579-7E7C-4DB5-A39D-663AE3DFF4A4}" name="Production" displayName="Production" ref="A2:S471" headerRowDxfId="134" dataDxfId="133" totalsRowDxfId="132" totalsRowBorderDxfId="131">
  <autoFilter ref="A2:S471" xr:uid="{9F4D9579-7E7C-4DB5-A39D-663AE3DFF4A4}"/>
  <sortState xmlns:xlrd2="http://schemas.microsoft.com/office/spreadsheetml/2017/richdata2" ref="A3:Q406">
    <sortCondition ref="C2:C406"/>
  </sortState>
  <tableColumns count="19">
    <tableColumn id="1" xr3:uid="{C587668C-260A-46B6-94E7-8B4303F6553D}" name="Julian" totalsRowLabel="Total" dataDxfId="130" dataCellStyle="Normal 2">
      <calculatedColumnFormula>IFERROR(IF(Production[[#This Row],[Date]]&lt;&gt;"",TEXT(Production[[#This Row],[Date]],"yy")&amp;"-"&amp;TEXT(Production[[#This Row],[Date]]-DATE(YEAR(Production[[#This Row],[Date]]),1,0),"000"),""),"")</calculatedColumnFormula>
    </tableColumn>
    <tableColumn id="8" xr3:uid="{4E0E1078-0173-4DD9-9249-81DB3E385E21}" name="Type" dataDxfId="129" dataCellStyle="Normal 2">
      <calculatedColumnFormula>IFERROR(IF(INDEX(Ingredients[Ingr1],MATCH(Production[[#This Row],[Product]],Ingredients[ProdName],0))&lt;&gt;"",INDEX(Ingredients[Ingr1],MATCH(Production[[#This Row],[Product]],Ingredients[ProdName],0)),INDEX(Ingredients[Ingr2],MATCH(Production[[#This Row],[Product]],Ingredients[ProdName],0))),"")</calculatedColumnFormula>
    </tableColumn>
    <tableColumn id="2" xr3:uid="{D7182B18-3C92-44CE-A84B-EB798235A53C}" name="Date" dataDxfId="128" dataCellStyle="Normal 2"/>
    <tableColumn id="3" xr3:uid="{BF51753F-3A88-4E47-9059-EDEB169AA96B}" name="Product" dataDxfId="127" dataCellStyle="Normal 2"/>
    <tableColumn id="4" xr3:uid="{2015A5AA-7B4A-4CA5-819D-40F7CB057BE0}" name="Lot_x000a_Number" dataDxfId="126" dataCellStyle="Normal 2"/>
    <tableColumn id="5" xr3:uid="{63373ED5-712F-4D62-8CD3-3A3FBC1406A5}" name="Lots Done" dataDxfId="125" dataCellStyle="Normal 2"/>
    <tableColumn id="20" xr3:uid="{5A0E35E4-62CA-41BC-88F3-A067D7F4BF18}" name="Blocks Used" dataDxfId="124" dataCellStyle="Normal 2"/>
    <tableColumn id="11" xr3:uid="{F8E48E0E-B932-45A8-B993-F192DFF22C74}" name="Meat Wt" dataDxfId="123" dataCellStyle="Normal 2">
      <calculatedColumnFormula>IFERROR(INDEX(Tier1[Wt],MATCH(Production[[#This Row],[Type]],Tier1[Ingredient],0))*Production[[#This Row],[Blocks Used]],0)</calculatedColumnFormula>
    </tableColumn>
    <tableColumn id="37" xr3:uid="{35C85511-CF0A-4F74-AC15-48275A822A63}" name="Extra Wt" dataDxfId="122" dataCellStyle="Comma"/>
    <tableColumn id="13" xr3:uid="{50254566-2427-4967-A917-A3AA84930B73}" name="BtTtl" dataDxfId="121" dataCellStyle="Comma">
      <calculatedColumnFormula>IF(INDEX(Ingredients[Batter],MATCH(Production[[#This Row],[Product]],Ingredients[ProdName],0))*Production[[#This Row],[Batter Used]]&gt;0,INDEX(Ingredients[Batter],MATCH(Production[[#This Row],[Product]],Ingredients[ProdName],0))*Production[[#This Row],[Batter Used]],"")</calculatedColumnFormula>
    </tableColumn>
    <tableColumn id="14" xr3:uid="{108286DE-4D7A-45C4-9345-17C924E4B2AB}" name="BrTtl" dataDxfId="120" dataCellStyle="Comma">
      <calculatedColumnFormula>IF(INDEX(Ingredients[Breader],MATCH(Production[[#This Row],[Product]],Ingredients[ProdName],0))*Production[[#This Row],[Breader Used]]&gt;0,INDEX(Ingredients[Breader],MATCH(Production[[#This Row],[Product]],Ingredients[ProdName],0))*Production[[#This Row],[Breader Used]],"")</calculatedColumnFormula>
    </tableColumn>
    <tableColumn id="6" xr3:uid="{BA8D1746-B2F7-42C2-BC38-8CE9BE0D8E2A}" name="Batter Used" dataDxfId="119" dataCellStyle="Normal 2"/>
    <tableColumn id="7" xr3:uid="{954C4FD4-5C29-4FF8-861C-3DBA45DD74B2}" name="Breader Used" dataDxfId="118" dataCellStyle="Normal 2"/>
    <tableColumn id="15" xr3:uid="{77D2DB15-2452-4C34-BCCA-2624FD1CB953}" name="RawWt" dataDxfId="117" dataCellStyle="Normal 2">
      <calculatedColumnFormula>IFERROR(IF(SUM(Production[[#This Row],[Meat Wt]:[BrTtl]])&lt;&gt;0,SUM(Production[[#This Row],[Meat Wt]:[BrTtl]]),""),"")</calculatedColumnFormula>
    </tableColumn>
    <tableColumn id="10" xr3:uid="{AAC6C888-0F28-4A7E-A742-FD4741753CF4}" name="Case Total" dataDxfId="116" dataCellStyle="Normal 2"/>
    <tableColumn id="16" xr3:uid="{5FAAD0AB-0E93-4075-BD9B-770F7BBD3725}" name="SatWt" dataDxfId="115" dataCellStyle="Normal 2">
      <calculatedColumnFormula>INDEX(Ingredients[Case Wt.],MATCH(Production[[#This Row],[Product]],Ingredients[ProdName],0))*Production[[#This Row],[Case Total]]</calculatedColumnFormula>
    </tableColumn>
    <tableColumn id="17" xr3:uid="{A2C3499E-38BE-4996-B080-172D4F7DC08E}" name="Gain" dataDxfId="114" dataCellStyle="Normal 2">
      <calculatedColumnFormula>IFERROR(Production[[#This Row],[SatWt]]-Production[[#This Row],[RawWt]],"")</calculatedColumnFormula>
    </tableColumn>
    <tableColumn id="9" xr3:uid="{45205544-D8C8-4449-A722-A9FC3C2C8341}" name="BtBrPct" dataDxfId="113" totalsRowDxfId="112" dataCellStyle="Percent">
      <calculatedColumnFormula>IF(Production[[#This Row],[Species]]&lt;&gt;"",IF(SUM(Production[[#This Row],[BtTtl]:[BrTtl]])/Production[[#This Row],[SatWt]]&lt;&gt;0,SUM(Production[[#This Row],[BtTtl]:[BrTtl]])/Production[[#This Row],[SatWt]],""),"")</calculatedColumnFormula>
    </tableColumn>
    <tableColumn id="12" xr3:uid="{3B8EBB30-C850-4E9C-8916-6E42B725F2B9}" name="Species" dataDxfId="111" totalsRowDxfId="110">
      <calculatedColumnFormula>INDEX(Ingredients[Species],MATCH(Production[[#This Row],[Product]],Ingredients[ProdName],0))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8F30EFB-096B-4399-BD9A-04CACFF1DBF1}" name="Ingredients" displayName="Ingredients" ref="A2:U31" totalsRowShown="0" headerRowDxfId="109" dataDxfId="108">
  <autoFilter ref="A2:U31" xr:uid="{68F30EFB-096B-4399-BD9A-04CACFF1DBF1}"/>
  <sortState xmlns:xlrd2="http://schemas.microsoft.com/office/spreadsheetml/2017/richdata2" ref="A3:T25">
    <sortCondition ref="A2:A25"/>
  </sortState>
  <tableColumns count="21">
    <tableColumn id="1" xr3:uid="{8151C721-7EED-4112-AD13-C0A222E6E7D6}" name="ProdName" dataDxfId="107"/>
    <tableColumn id="7" xr3:uid="{3FDAAC56-5C3E-4057-9EF3-B38A8B23024B}" name="Type" dataDxfId="106" dataCellStyle="Normal 2"/>
    <tableColumn id="2" xr3:uid="{C671F3B3-C198-4E37-80D9-49C1DE88823E}" name="Ingr1" dataDxfId="105"/>
    <tableColumn id="3" xr3:uid="{CD9D0BE7-54FF-4807-9502-40D4C00AF890}" name="Ingr2" dataDxfId="104"/>
    <tableColumn id="4" xr3:uid="{CC273938-8374-4701-B284-FA886F7ABA04}" name="Ingr3" dataDxfId="103"/>
    <tableColumn id="5" xr3:uid="{C2DF7C2E-828D-4D6E-ADBA-31887AB19096}" name="Ingr4" dataDxfId="102"/>
    <tableColumn id="6" xr3:uid="{B782F0F8-8FC2-43D4-B036-7AE0C4877099}" name="Ingr5" dataDxfId="101"/>
    <tableColumn id="14" xr3:uid="{4C4917E8-1440-4E6A-819F-677D4E9D6231}" name="IngrBreader" dataDxfId="100" dataCellStyle="Normal 2"/>
    <tableColumn id="9" xr3:uid="{BE4C7591-5BB7-4971-AE8E-A542CA097B92}" name="Wt1" dataDxfId="99"/>
    <tableColumn id="10" xr3:uid="{3CFC5BE1-3B8F-4626-B097-674B9A8C9FCA}" name="Wt2" dataDxfId="98"/>
    <tableColumn id="11" xr3:uid="{51E964D9-630F-40F7-AD1A-E1494D65DED1}" name="Wt3" dataDxfId="97"/>
    <tableColumn id="12" xr3:uid="{73F8FB8D-8F05-4A76-A0DE-0D76A0C6A19E}" name="Wt4" dataDxfId="96"/>
    <tableColumn id="13" xr3:uid="{DE14365C-9D9F-4AE4-B756-9A66D94227DC}" name="Wt5" dataDxfId="95"/>
    <tableColumn id="22" xr3:uid="{D9F3FDBE-77B1-4173-88F4-83FE72E7DBA3}" name="TtlWt" dataDxfId="94" dataCellStyle="Normal 2">
      <calculatedColumnFormula>IFERROR(IF(SUM(Ingredients[[#This Row],[Wt2]:[Wt5]])&gt;0,SUM(Ingredients[[#This Row],[Wt2]:[Wt5]]),""),"")</calculatedColumnFormula>
    </tableColumn>
    <tableColumn id="15" xr3:uid="{D7086BD0-855B-463E-A71C-34916204DA3E}" name="Case Wt." dataDxfId="93"/>
    <tableColumn id="18" xr3:uid="{A988B8BE-9097-45EC-A749-F74422FBD206}" name="Box Size" dataDxfId="92"/>
    <tableColumn id="16" xr3:uid="{6C6C83E1-52ED-44EF-A202-BCBF615AD864}" name="Batter" dataDxfId="91"/>
    <tableColumn id="17" xr3:uid="{868D2699-88C1-4289-8298-C5C2537A5BF1}" name="Breader" dataDxfId="5"/>
    <tableColumn id="19" xr3:uid="{A9492C46-6A80-4BC7-BFBE-5059C616425A}" name="Price Lb." dataDxfId="4" dataCellStyle="Currency"/>
    <tableColumn id="20" xr3:uid="{6D0382D0-FD64-4B4B-AC53-5AF32DA71D72}" name="Price Case" dataDxfId="3" dataCellStyle="Currency">
      <calculatedColumnFormula>Ingredients[[#This Row],[Price Lb.]]*Ingredients[[#This Row],[Case Wt.]]</calculatedColumnFormula>
    </tableColumn>
    <tableColumn id="8" xr3:uid="{31462171-0631-4DE2-9F41-F2BBDB62E03A}" name="Species" dataDxfId="2">
      <calculatedColumnFormula array="1">IFERROR(_xlfn.IFS(LEFT(Ingredients[[#This Row],[Ingr1]],7)="Chicken","Poultry",LEFT(Ingredients[[#This Row],[Ingr1]],4)="Pork","Meat",LEFT(Ingredients[[#This Row],[Ingr1]],4)="Beef","Meat"),"")</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A8445E-7F81-42A1-8AEA-E0EB67E2EFB7}" name="CaseAvg" displayName="CaseAvg" ref="A2:C22" totalsRowShown="0" headerRowDxfId="90" dataDxfId="89">
  <autoFilter ref="A2:C22" xr:uid="{8EA8445E-7F81-42A1-8AEA-E0EB67E2EFB7}">
    <filterColumn colId="0" hiddenButton="1"/>
    <filterColumn colId="1" hiddenButton="1"/>
    <filterColumn colId="2" hiddenButton="1"/>
  </autoFilter>
  <tableColumns count="3">
    <tableColumn id="2" xr3:uid="{EBC6AFB3-F032-4413-9ACC-5B0CBAD4970C}" name="Product" dataDxfId="88"/>
    <tableColumn id="3" xr3:uid="{62442E95-6D0D-4748-B9F7-990CC89035D6}" name="Cases per Lot" dataDxfId="87">
      <calculatedColumnFormula>IFERROR(AVERAGEIFS(Production[Case Total],Production[Product],CaseAvg[[#This Row],[Product]])/AVERAGEIFS(Production[Lots Done],Production[Product],CaseAvg[[#This Row],[Product]]),"")</calculatedColumnFormula>
    </tableColumn>
    <tableColumn id="4" xr3:uid="{86BA6BA4-FC88-47D4-981B-AB65ED2BA068}" name="Case Weight" dataDxfId="86">
      <calculatedColumnFormula>IFERROR(INDEX(Ingredients[Case Wt.],MATCH(CaseAvg[[#This Row],[Product]],Ingredients[ProdName],0)),"")</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47ED904-2858-4420-BC05-732C8696E96C}" name="Tier1" displayName="Tier1" ref="A3:E12" totalsRowShown="0" headerRowDxfId="85" dataDxfId="84">
  <autoFilter ref="A3:E12" xr:uid="{B47ED904-2858-4420-BC05-732C8696E96C}">
    <filterColumn colId="0" hiddenButton="1"/>
    <filterColumn colId="1" hiddenButton="1"/>
    <filterColumn colId="2" hiddenButton="1"/>
    <filterColumn colId="3" hiddenButton="1"/>
    <filterColumn colId="4" hiddenButton="1"/>
  </autoFilter>
  <tableColumns count="5">
    <tableColumn id="1" xr3:uid="{9B366742-EE26-4B4F-AF2E-8111B1F40557}" name="Ingredient" dataDxfId="83"/>
    <tableColumn id="4" xr3:uid="{81C9909C-3F42-4F40-99B2-146720BF5F96}" name="Unit" dataDxfId="82"/>
    <tableColumn id="6" xr3:uid="{F6CC271E-018E-4DFB-B436-28481D775828}" name="Lot" dataDxfId="81"/>
    <tableColumn id="5" xr3:uid="{FB62BCDC-2DFB-4D0C-B1A7-EFF2B2D341EF}" name="Wt" dataDxfId="80"/>
    <tableColumn id="2" xr3:uid="{2B52D32E-90EF-4857-A5BA-39AE50F12838}" name="Cost/lb." dataDxfId="79" dataCellStyle="Currency"/>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66395C8-29AB-433A-BDAF-3CD2315E443E}" name="Tier2" displayName="Tier2" ref="G3:J22" totalsRowShown="0" headerRowDxfId="78" dataDxfId="77">
  <autoFilter ref="G3:J22" xr:uid="{D66395C8-29AB-433A-BDAF-3CD2315E443E}">
    <filterColumn colId="0" hiddenButton="1"/>
    <filterColumn colId="1" hiddenButton="1"/>
    <filterColumn colId="2" hiddenButton="1"/>
    <filterColumn colId="3" hiddenButton="1"/>
  </autoFilter>
  <sortState xmlns:xlrd2="http://schemas.microsoft.com/office/spreadsheetml/2017/richdata2" ref="G4:J22">
    <sortCondition ref="G6:G22"/>
  </sortState>
  <tableColumns count="4">
    <tableColumn id="1" xr3:uid="{E891A1B0-DA1D-4438-ACD1-46B0EF61922C}" name="Ingredient" dataDxfId="76"/>
    <tableColumn id="3" xr3:uid="{4D115169-89A8-4A8F-BABE-3B90BE7F512A}" name="Unit" dataDxfId="75"/>
    <tableColumn id="4" xr3:uid="{E2FB11C4-16F6-4301-958E-346CF686F771}" name="Wt" dataDxfId="74"/>
    <tableColumn id="2" xr3:uid="{BE787788-AC90-4E92-9CE3-6C4A8F3BB2D9}" name="Cost" dataDxfId="73" dataCellStyle="Currency"/>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091F35E-12A8-424F-AC63-1798D6F7C3EB}" name="Tier3" displayName="Tier3" ref="L3:M32" totalsRowShown="0" headerRowDxfId="72" dataDxfId="71">
  <autoFilter ref="L3:M32" xr:uid="{F091F35E-12A8-424F-AC63-1798D6F7C3EB}">
    <filterColumn colId="0" hiddenButton="1"/>
    <filterColumn colId="1" hiddenButton="1"/>
  </autoFilter>
  <tableColumns count="2">
    <tableColumn id="1" xr3:uid="{A1EEA824-88D6-4BF2-9C41-F135E78D03C7}" name="Ingredient" dataDxfId="70"/>
    <tableColumn id="2" xr3:uid="{B9623F0A-139F-4D93-A520-B2A2B4F3F53E}" name="Cost/lb." dataDxfId="69" dataCellStyle="Currency"/>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74566B7-E3F8-4EE4-ACC4-A5D6DD8AA592}" name="Tier4" displayName="Tier4" ref="O3:R11" totalsRowShown="0" headerRowDxfId="68" dataDxfId="67">
  <autoFilter ref="O3:R11" xr:uid="{274566B7-E3F8-4EE4-ACC4-A5D6DD8AA592}">
    <filterColumn colId="0" hiddenButton="1"/>
    <filterColumn colId="1" hiddenButton="1"/>
    <filterColumn colId="2" hiddenButton="1"/>
    <filterColumn colId="3" hiddenButton="1"/>
  </autoFilter>
  <tableColumns count="4">
    <tableColumn id="1" xr3:uid="{8A83382F-0B67-4459-961D-00E89F9A9FDF}" name="Item" dataDxfId="66"/>
    <tableColumn id="2" xr3:uid="{0DA3955C-D84B-4E53-9BDF-4B27CAE37BCC}" name="Unit" dataDxfId="65"/>
    <tableColumn id="3" xr3:uid="{93F66F09-94F1-458C-BD05-1FD758710FB5}" name="Qty" dataDxfId="64"/>
    <tableColumn id="4" xr3:uid="{FAF607C9-DBC3-4767-A776-A59C02CE625F}" name="Cost" dataDxfId="63" dataCellStyle="Currency"/>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1484B41-65FF-4A9B-928D-D3B0FB9B4476}" name="IngrWt" displayName="IngrWt" ref="A2:J32" totalsRowCount="1" headerRowDxfId="62" dataDxfId="61" totalsRowDxfId="60">
  <autoFilter ref="A2:J31" xr:uid="{F1484B41-65FF-4A9B-928D-D3B0FB9B447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xmlns:xlrd2="http://schemas.microsoft.com/office/spreadsheetml/2017/richdata2" ref="A3:J31">
    <sortCondition ref="A2:A31"/>
  </sortState>
  <tableColumns count="10">
    <tableColumn id="1" xr3:uid="{15C814EB-FD85-43C5-A4F8-3F37785ABAFA}" name="Ingredient" totalsRowLabel="Total" dataDxfId="59" totalsRowDxfId="58"/>
    <tableColumn id="2" xr3:uid="{34EA7FB3-0204-47FD-B70B-27DD5B49D079}" name="Tuscan Herb" totalsRowFunction="sum" dataDxfId="57" totalsRowDxfId="56"/>
    <tableColumn id="3" xr3:uid="{713C20DE-116B-420E-A319-13290DDB5849}" name="Garlic &amp; Herb" totalsRowFunction="sum" dataDxfId="55" totalsRowDxfId="54"/>
    <tableColumn id="4" xr3:uid="{E8B71CE4-F436-4F50-A807-2E46A516A394}" name="Meatloaf" totalsRowFunction="sum" dataDxfId="53" totalsRowDxfId="52"/>
    <tableColumn id="5" xr3:uid="{FE78BDEF-AB1C-4A59-9315-32F6D6596667}" name="Pizza Patty" totalsRowFunction="sum" dataDxfId="51" totalsRowDxfId="50"/>
    <tableColumn id="6" xr3:uid="{41F9D3A5-10E5-4D2C-A3F9-2316F791340A}" name="Spicy Internal" totalsRowFunction="sum" dataDxfId="49" totalsRowDxfId="48"/>
    <tableColumn id="7" xr3:uid="{37672805-0C42-4717-A62E-E41D56693FC2}" name="Dinner Patty" totalsRowFunction="sum" dataDxfId="47" totalsRowDxfId="46"/>
    <tableColumn id="10" xr3:uid="{8BF4778E-CE07-483F-A374-3941431B9DC4}" name="Breakfast" totalsRowFunction="sum" dataDxfId="45" totalsRowDxfId="44"/>
    <tableColumn id="9" xr3:uid="{4BA80E34-7489-4A39-B050-E0D464099F75}" name="Maple Breakfast" totalsRowFunction="sum" dataDxfId="43" totalsRowDxfId="42"/>
    <tableColumn id="11" xr3:uid="{4D7F0B39-5BAA-4E43-9A77-4FA732A19CEF}" name="Bean Burger" totalsRowFunction="sum" dataDxfId="41" totalsRowDxfId="40"/>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C7A45B2-B642-4971-B34D-D9896196E318}" name="IngrCost" displayName="IngrCost" ref="L2:U32" totalsRowCount="1" headerRowDxfId="39" dataDxfId="38" totalsRowDxfId="37">
  <autoFilter ref="L2:U31" xr:uid="{1C7A45B2-B642-4971-B34D-D9896196E31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90B9EA51-BDEB-4265-84DC-DED7127F1697}" name="Ingredient" totalsRowLabel="Total" dataDxfId="36" totalsRowDxfId="35"/>
    <tableColumn id="2" xr3:uid="{3170A25D-0BCA-4B42-8BFA-ACC416B678E8}" name="Tuscan Herb" totalsRowFunction="sum" dataDxfId="34" totalsRowDxfId="33" dataCellStyle="Currency">
      <calculatedColumnFormula array="1">IFERROR(IF(INDEX(Tier3[[Cost/lb.]:[Cost/lb.]],MATCH(IngrCost[[#This Row],[Ingredient]:[Ingredient]],Tier3[[Ingredient]:[Ingredient]],0))*INDEX(IngrWt[Tuscan Herb],MATCH(IngrCost[[#This Row],[Ingredient]:[Ingredient]],IngrWt[[Ingredient]:[Ingredient]],0))&gt;0,INDEX(Tier3[[Cost/lb.]:[Cost/lb.]],MATCH(IngrCost[[#This Row],[Ingredient]:[Ingredient]],Tier3[[Ingredient]:[Ingredient]],0))*INDEX(IngrWt[Tuscan Herb],MATCH(IngrCost[[#This Row],[Ingredient]:[Ingredient]],IngrWt[[Ingredient]:[Ingredient]],0)),""),"")</calculatedColumnFormula>
    </tableColumn>
    <tableColumn id="3" xr3:uid="{74FAD88B-28A0-4BB9-93EF-7C50B8F33A69}" name="Garlic &amp; Herb" totalsRowFunction="sum" dataDxfId="32" totalsRowDxfId="31" dataCellStyle="Currency">
      <calculatedColumnFormula array="1">IFERROR(IF(INDEX(Tier3[[Cost/lb.]:[Cost/lb.]],MATCH(IngrCost[[#This Row],[Ingredient]:[Ingredient]],Tier3[[Ingredient]:[Ingredient]],0))*INDEX(IngrWt[Garlic &amp; Herb],MATCH(IngrCost[[#This Row],[Ingredient]:[Ingredient]],IngrWt[[Ingredient]:[Ingredient]],0))&gt;0,INDEX(Tier3[[Cost/lb.]:[Cost/lb.]],MATCH(IngrCost[[#This Row],[Ingredient]:[Ingredient]],Tier3[[Ingredient]:[Ingredient]],0))*INDEX(IngrWt[Garlic &amp; Herb],MATCH(IngrCost[[#This Row],[Ingredient]:[Ingredient]],IngrWt[[Ingredient]:[Ingredient]],0)),""),"")</calculatedColumnFormula>
    </tableColumn>
    <tableColumn id="4" xr3:uid="{35AC4945-5BC7-46F6-9C8B-813BBCD196C5}" name="Meatloaf" totalsRowFunction="sum" dataDxfId="30" totalsRowDxfId="29" dataCellStyle="Currency">
      <calculatedColumnFormula array="1">IFERROR(IF(INDEX(Tier3[[Cost/lb.]:[Cost/lb.]],MATCH(IngrCost[[#This Row],[Ingredient]:[Ingredient]],Tier3[[Ingredient]:[Ingredient]],0))*INDEX(IngrWt[Meatloaf],MATCH(IngrCost[[#This Row],[Ingredient]:[Ingredient]],IngrWt[[Ingredient]:[Ingredient]],0))&gt;0,INDEX(Tier3[[Cost/lb.]:[Cost/lb.]],MATCH(IngrCost[[#This Row],[Ingredient]:[Ingredient]],Tier3[[Ingredient]:[Ingredient]],0))*INDEX(IngrWt[Meatloaf],MATCH(IngrCost[[#This Row],[Ingredient]:[Ingredient]],IngrWt[[Ingredient]:[Ingredient]],0)),""),"")</calculatedColumnFormula>
    </tableColumn>
    <tableColumn id="5" xr3:uid="{578B8568-1F4B-4D40-938D-EA62A3041196}" name="Pizza Patty" totalsRowFunction="sum" dataDxfId="28" totalsRowDxfId="27" dataCellStyle="Currency">
      <calculatedColumnFormula array="1">IFERROR(IF(INDEX(Tier3[[Cost/lb.]:[Cost/lb.]],MATCH(IngrCost[[#This Row],[Ingredient]:[Ingredient]],Tier3[[Ingredient]:[Ingredient]],0))*INDEX(IngrWt[Pizza Patty],MATCH(IngrCost[[#This Row],[Ingredient]:[Ingredient]],IngrWt[[Ingredient]:[Ingredient]],0))&gt;0,INDEX(Tier3[[Cost/lb.]:[Cost/lb.]],MATCH(IngrCost[[#This Row],[Ingredient]:[Ingredient]],Tier3[[Ingredient]:[Ingredient]],0))*INDEX(IngrWt[Pizza Patty],MATCH(IngrCost[[#This Row],[Ingredient]:[Ingredient]],IngrWt[[Ingredient]:[Ingredient]],0)),""),"")</calculatedColumnFormula>
    </tableColumn>
    <tableColumn id="6" xr3:uid="{269646DA-D782-4AEB-B3EF-59E8C92214BA}" name="Spicy Internal" totalsRowFunction="sum" dataDxfId="26" totalsRowDxfId="25" dataCellStyle="Currency">
      <calculatedColumnFormula array="1">IFERROR(IF(INDEX(Tier3[[Cost/lb.]:[Cost/lb.]],MATCH(IngrCost[[#This Row],[Ingredient]:[Ingredient]],Tier3[[Ingredient]:[Ingredient]],0))*INDEX(IngrWt[Spicy Internal],MATCH(IngrCost[[#This Row],[Ingredient]:[Ingredient]],IngrWt[[Ingredient]:[Ingredient]],0))&gt;0,INDEX(Tier3[[Cost/lb.]:[Cost/lb.]],MATCH(IngrCost[[#This Row],[Ingredient]:[Ingredient]],Tier3[[Ingredient]:[Ingredient]],0))*INDEX(IngrWt[Spicy Internal],MATCH(IngrCost[[#This Row],[Ingredient]:[Ingredient]],IngrWt[[Ingredient]:[Ingredient]],0)),""),"")</calculatedColumnFormula>
    </tableColumn>
    <tableColumn id="7" xr3:uid="{7F9C6D8F-C466-4427-97FD-A17A48BD1D84}" name="Dinner Patty" totalsRowFunction="sum" dataDxfId="24" totalsRowDxfId="23" dataCellStyle="Currency">
      <calculatedColumnFormula array="1">IFERROR(IF(INDEX(Tier3[[Cost/lb.]:[Cost/lb.]],MATCH(IngrCost[[#This Row],[Ingredient]:[Ingredient]],Tier3[[Ingredient]:[Ingredient]],0))*INDEX(IngrWt[Dinner Patty],MATCH(IngrCost[[#This Row],[Ingredient]:[Ingredient]],IngrWt[[Ingredient]:[Ingredient]],0))&gt;0,INDEX(Tier3[[Cost/lb.]:[Cost/lb.]],MATCH(IngrCost[[#This Row],[Ingredient]:[Ingredient]],Tier3[[Ingredient]:[Ingredient]],0))*INDEX(IngrWt[Dinner Patty],MATCH(IngrCost[[#This Row],[Ingredient]:[Ingredient]],IngrWt[[Ingredient]:[Ingredient]],0)),""),"")</calculatedColumnFormula>
    </tableColumn>
    <tableColumn id="10" xr3:uid="{C3E22F98-9A74-4489-B866-0276F0FBE0C0}" name="Breakfast" totalsRowFunction="sum" dataDxfId="22" totalsRowDxfId="21" dataCellStyle="Currency">
      <calculatedColumnFormula array="1">IFERROR(IF(INDEX(Tier3[[Cost/lb.]:[Cost/lb.]],MATCH(IngrCost[[#This Row],[Ingredient]:[Ingredient]],Tier3[[Ingredient]:[Ingredient]],0))*INDEX(IngrWt[Breakfast],MATCH(IngrCost[[#This Row],[Ingredient]:[Ingredient]],IngrWt[[Ingredient]:[Ingredient]],0))&gt;0,INDEX(Tier3[[Cost/lb.]:[Cost/lb.]],MATCH(IngrCost[[#This Row],[Ingredient]:[Ingredient]],Tier3[[Ingredient]:[Ingredient]],0))*INDEX(IngrWt[Breakfast],MATCH(IngrCost[[#This Row],[Ingredient]:[Ingredient]],IngrWt[[Ingredient]:[Ingredient]],0)),""),"")</calculatedColumnFormula>
    </tableColumn>
    <tableColumn id="9" xr3:uid="{22864214-F323-4908-8F7A-05FF791A7B6D}" name="Maple Breakfast" totalsRowFunction="sum" dataDxfId="20" totalsRowDxfId="19" dataCellStyle="Currency">
      <calculatedColumnFormula array="1">IFERROR(IF(INDEX(Tier3[[Cost/lb.]:[Cost/lb.]],MATCH(IngrCost[[#This Row],[Ingredient]:[Ingredient]],Tier3[[Ingredient]:[Ingredient]],0))*INDEX(IngrWt[Maple Breakfast],MATCH(IngrCost[[#This Row],[Ingredient]:[Ingredient]],IngrWt[[Ingredient]:[Ingredient]],0))&gt;0,INDEX(Tier3[[Cost/lb.]:[Cost/lb.]],MATCH(IngrCost[[#This Row],[Ingredient]:[Ingredient]],Tier3[[Ingredient]:[Ingredient]],0))*INDEX(IngrWt[Maple Breakfast],MATCH(IngrCost[[#This Row],[Ingredient]:[Ingredient]],IngrWt[[Ingredient]:[Ingredient]],0)),""),"")</calculatedColumnFormula>
    </tableColumn>
    <tableColumn id="11" xr3:uid="{2E19E3A2-0BA1-40D5-8E51-5A2D91D4C46F}" name="Bean Burger" totalsRowFunction="sum" dataDxfId="18" totalsRowDxfId="17" dataCellStyle="Currency">
      <calculatedColumnFormula array="1">IFERROR(IF(INDEX(Tier3[[Cost/lb.]:[Cost/lb.]],MATCH(IngrCost[[#This Row],[Ingredient]:[Ingredient]],Tier3[[Ingredient]:[Ingredient]],0))*INDEX(IngrWt[Bean Burger],MATCH(IngrCost[[#This Row],[Ingredient]:[Ingredient]],IngrWt[[Ingredient]:[Ingredient]],0))&gt;0,INDEX(Tier3[[Cost/lb.]:[Cost/lb.]],MATCH(IngrCost[[#This Row],[Ingredient]:[Ingredient]],Tier3[[Ingredient]:[Ingredient]],0))*INDEX(IngrWt[Bean Burger],MATCH(IngrCost[[#This Row],[Ingredient]:[Ingredient]],IngrWt[[Ingredient]:[Ingredient]],0)),""),"")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_rels/sheet5.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961BD-9CE6-4ED7-9DF5-703FB96ED79A}">
  <sheetPr codeName="Sheet1"/>
  <dimension ref="A1:W471"/>
  <sheetViews>
    <sheetView zoomScaleNormal="100" workbookViewId="0">
      <selection activeCell="E34" sqref="E34"/>
    </sheetView>
    <sheetView workbookViewId="1"/>
  </sheetViews>
  <sheetFormatPr defaultColWidth="8.7109375" defaultRowHeight="11.1" customHeight="1" x14ac:dyDescent="0.25"/>
  <cols>
    <col min="1" max="1" width="9.85546875" bestFit="1" customWidth="1"/>
    <col min="2" max="2" width="14.85546875" bestFit="1" customWidth="1"/>
    <col min="3" max="3" width="11.140625" customWidth="1"/>
    <col min="4" max="4" width="20.140625" customWidth="1"/>
    <col min="5" max="5" width="14.85546875" bestFit="1" customWidth="1"/>
    <col min="6" max="6" width="12.7109375" bestFit="1" customWidth="1"/>
    <col min="7" max="7" width="14.140625" bestFit="1" customWidth="1"/>
    <col min="8" max="8" width="11.5703125" customWidth="1"/>
    <col min="9" max="9" width="11.85546875" customWidth="1"/>
    <col min="10" max="10" width="9.140625" customWidth="1"/>
    <col min="11" max="11" width="9.28515625" customWidth="1"/>
    <col min="12" max="12" width="14" bestFit="1" customWidth="1"/>
    <col min="13" max="13" width="15.42578125" bestFit="1" customWidth="1"/>
    <col min="14" max="14" width="10.85546875" customWidth="1"/>
    <col min="15" max="15" width="12.85546875" bestFit="1" customWidth="1"/>
    <col min="16" max="16" width="10" customWidth="1"/>
    <col min="17" max="17" width="8.85546875" customWidth="1"/>
    <col min="18" max="18" width="11.140625" style="131" customWidth="1"/>
    <col min="19" max="19" width="11" customWidth="1"/>
    <col min="20" max="20" width="13.140625" bestFit="1" customWidth="1"/>
  </cols>
  <sheetData>
    <row r="1" spans="1:23" ht="17.25" customHeight="1" x14ac:dyDescent="0.25">
      <c r="C1" s="2" t="s">
        <v>199</v>
      </c>
    </row>
    <row r="2" spans="1:23" ht="11.1" customHeight="1" x14ac:dyDescent="0.25">
      <c r="A2" s="48" t="s">
        <v>0</v>
      </c>
      <c r="B2" s="49" t="s">
        <v>3</v>
      </c>
      <c r="C2" s="50" t="s">
        <v>1</v>
      </c>
      <c r="D2" s="49" t="s">
        <v>2</v>
      </c>
      <c r="E2" s="51" t="s">
        <v>4</v>
      </c>
      <c r="F2" s="49" t="s">
        <v>5</v>
      </c>
      <c r="G2" s="49" t="s">
        <v>195</v>
      </c>
      <c r="H2" s="49" t="s">
        <v>156</v>
      </c>
      <c r="I2" s="49" t="s">
        <v>6</v>
      </c>
      <c r="J2" s="49" t="s">
        <v>158</v>
      </c>
      <c r="K2" s="49" t="s">
        <v>159</v>
      </c>
      <c r="L2" s="52" t="s">
        <v>196</v>
      </c>
      <c r="M2" s="52" t="s">
        <v>197</v>
      </c>
      <c r="N2" s="49" t="s">
        <v>160</v>
      </c>
      <c r="O2" s="49" t="s">
        <v>136</v>
      </c>
      <c r="P2" s="49" t="s">
        <v>161</v>
      </c>
      <c r="Q2" s="49" t="s">
        <v>162</v>
      </c>
      <c r="R2" s="132" t="s">
        <v>239</v>
      </c>
      <c r="S2" s="128" t="s">
        <v>242</v>
      </c>
    </row>
    <row r="3" spans="1:23" ht="11.1" customHeight="1" x14ac:dyDescent="0.25">
      <c r="A3" s="207" t="str">
        <f>IFERROR(IF(Production[[#This Row],[Date]]&lt;&gt;"",TEXT(Production[[#This Row],[Date]],"yy")&amp;"-"&amp;TEXT(Production[[#This Row],[Date]]-DATE(YEAR(Production[[#This Row],[Date]]),1,0),"000"),""),"")</f>
        <v>22-006</v>
      </c>
      <c r="B3" s="209" t="str">
        <f>IFERROR(IF(INDEX(Ingredients[Ingr1],MATCH(Production[[#This Row],[Product]],Ingredients[ProdName],0))&lt;&gt;"",INDEX(Ingredients[Ingr1],MATCH(Production[[#This Row],[Product]],Ingredients[ProdName],0)),INDEX(Ingredients[Ingr2],MATCH(Production[[#This Row],[Product]],Ingredients[ProdName],0))),"")</f>
        <v>Chicken - Ground</v>
      </c>
      <c r="C3" s="53">
        <v>44567</v>
      </c>
      <c r="D3" s="54" t="s">
        <v>9</v>
      </c>
      <c r="E3" s="55">
        <v>4216</v>
      </c>
      <c r="F3" s="56">
        <v>10</v>
      </c>
      <c r="G3" s="56">
        <v>60</v>
      </c>
      <c r="H3" s="208">
        <f>IFERROR(INDEX(Tier1[Wt],MATCH(Production[[#This Row],[Type]],Tier1[Ingredient],0))*Production[[#This Row],[Blocks Used]],0)</f>
        <v>3000</v>
      </c>
      <c r="I3" s="210" t="str">
        <f>IFERROR(INDEX(Ingredients[TtlWt],MATCH(Production[[#This Row],[Product]],Ingredients[ProdName],0))*Production[[#This Row],[Lots Done]],"")</f>
        <v/>
      </c>
      <c r="J3" s="210" t="str">
        <f>IF(INDEX(Ingredients[Batter],MATCH(Production[[#This Row],[Product]],Ingredients[ProdName],0))*Production[[#This Row],[Batter Used]]&gt;0,INDEX(Ingredients[Batter],MATCH(Production[[#This Row],[Product]],Ingredients[ProdName],0))*Production[[#This Row],[Batter Used]],"")</f>
        <v/>
      </c>
      <c r="K3" s="210" t="str">
        <f>IF(INDEX(Ingredients[Breader],MATCH(Production[[#This Row],[Product]],Ingredients[ProdName],0))*Production[[#This Row],[Breader Used]]&gt;0,INDEX(Ingredients[Breader],MATCH(Production[[#This Row],[Product]],Ingredients[ProdName],0))*Production[[#This Row],[Breader Used]],"")</f>
        <v/>
      </c>
      <c r="L3" s="56"/>
      <c r="M3" s="56"/>
      <c r="N3" s="211">
        <f>IFERROR(IF(SUM(Production[[#This Row],[Meat Wt]:[BrTtl]])&lt;&gt;0,SUM(Production[[#This Row],[Meat Wt]:[BrTtl]]),""),"")</f>
        <v>3000</v>
      </c>
      <c r="O3" s="55">
        <v>139</v>
      </c>
      <c r="P3" s="208">
        <f>INDEX(Ingredients[Case Wt.],MATCH(Production[[#This Row],[Product]],Ingredients[ProdName],0))*Production[[#This Row],[Case Total]]</f>
        <v>4170</v>
      </c>
      <c r="Q3" s="211">
        <f>IFERROR(Production[[#This Row],[SatWt]]-Production[[#This Row],[RawWt]],"")</f>
        <v>1170</v>
      </c>
      <c r="R3" s="222" t="str">
        <f>IF(Production[[#This Row],[Species]]&lt;&gt;"",IF(SUM(Production[[#This Row],[BtTtl]:[BrTtl]])/Production[[#This Row],[SatWt]]&lt;&gt;0,SUM(Production[[#This Row],[BtTtl]:[BrTtl]])/Production[[#This Row],[SatWt]],""),"")</f>
        <v/>
      </c>
      <c r="S3" s="223" t="str">
        <f>INDEX(Ingredients[Species],MATCH(Production[[#This Row],[Product]],Ingredients[ProdName],0))</f>
        <v>Poultry</v>
      </c>
      <c r="U3" s="57"/>
    </row>
    <row r="4" spans="1:23" ht="11.1" customHeight="1" x14ac:dyDescent="0.25">
      <c r="A4" s="207" t="str">
        <f>IFERROR(IF(Production[[#This Row],[Date]]&lt;&gt;"",TEXT(Production[[#This Row],[Date]],"yy")&amp;"-"&amp;TEXT(Production[[#This Row],[Date]]-DATE(YEAR(Production[[#This Row],[Date]]),1,0),"000"),""),"")</f>
        <v>22-010</v>
      </c>
      <c r="B4" s="209" t="str">
        <f>IFERROR(IF(INDEX(Ingredients[Ingr1],MATCH(Production[[#This Row],[Product]],Ingredients[ProdName],0))&lt;&gt;"",INDEX(Ingredients[Ingr1],MATCH(Production[[#This Row],[Product]],Ingredients[ProdName],0)),INDEX(Ingredients[Ingr2],MATCH(Production[[#This Row],[Product]],Ingredients[ProdName],0))),"")</f>
        <v>Chicken - Ground</v>
      </c>
      <c r="C4" s="53">
        <v>44571</v>
      </c>
      <c r="D4" s="54" t="s">
        <v>23</v>
      </c>
      <c r="E4" s="55">
        <v>4216</v>
      </c>
      <c r="F4" s="56">
        <v>10</v>
      </c>
      <c r="G4" s="56">
        <v>60</v>
      </c>
      <c r="H4" s="208">
        <f>IFERROR(INDEX(Tier1[Wt],MATCH(Production[[#This Row],[Type]],Tier1[Ingredient],0))*Production[[#This Row],[Blocks Used]],0)</f>
        <v>3000</v>
      </c>
      <c r="I4" s="210">
        <f>IFERROR(INDEX(Ingredients[TtlWt],MATCH(Production[[#This Row],[Product]],Ingredients[ProdName],0))*Production[[#This Row],[Lots Done]],"")</f>
        <v>116.5</v>
      </c>
      <c r="J4" s="210" t="str">
        <f>IF(INDEX(Ingredients[Batter],MATCH(Production[[#This Row],[Product]],Ingredients[ProdName],0))*Production[[#This Row],[Batter Used]]&gt;0,INDEX(Ingredients[Batter],MATCH(Production[[#This Row],[Product]],Ingredients[ProdName],0))*Production[[#This Row],[Batter Used]],"")</f>
        <v/>
      </c>
      <c r="K4" s="210" t="str">
        <f>IF(INDEX(Ingredients[Breader],MATCH(Production[[#This Row],[Product]],Ingredients[ProdName],0))*Production[[#This Row],[Breader Used]]&gt;0,INDEX(Ingredients[Breader],MATCH(Production[[#This Row],[Product]],Ingredients[ProdName],0))*Production[[#This Row],[Breader Used]],"")</f>
        <v/>
      </c>
      <c r="L4" s="56"/>
      <c r="M4" s="56"/>
      <c r="N4" s="211">
        <f>IFERROR(IF(SUM(Production[[#This Row],[Meat Wt]:[BrTtl]])&lt;&gt;0,SUM(Production[[#This Row],[Meat Wt]:[BrTtl]]),""),"")</f>
        <v>3116.5</v>
      </c>
      <c r="O4" s="55">
        <v>148</v>
      </c>
      <c r="P4" s="208">
        <f>INDEX(Ingredients[Case Wt.],MATCH(Production[[#This Row],[Product]],Ingredients[ProdName],0))*Production[[#This Row],[Case Total]]</f>
        <v>4440</v>
      </c>
      <c r="Q4" s="211">
        <f>IFERROR(Production[[#This Row],[SatWt]]-Production[[#This Row],[RawWt]],"")</f>
        <v>1323.5</v>
      </c>
      <c r="R4" s="222" t="str">
        <f>IF(Production[[#This Row],[Species]]&lt;&gt;"",IF(SUM(Production[[#This Row],[BtTtl]:[BrTtl]])/Production[[#This Row],[SatWt]]&lt;&gt;0,SUM(Production[[#This Row],[BtTtl]:[BrTtl]])/Production[[#This Row],[SatWt]],""),"")</f>
        <v/>
      </c>
      <c r="S4" s="223" t="str">
        <f>INDEX(Ingredients[Species],MATCH(Production[[#This Row],[Product]],Ingredients[ProdName],0))</f>
        <v>Poultry</v>
      </c>
    </row>
    <row r="5" spans="1:23" ht="11.1" customHeight="1" x14ac:dyDescent="0.25">
      <c r="A5" s="207" t="str">
        <f>IFERROR(IF(Production[[#This Row],[Date]]&lt;&gt;"",TEXT(Production[[#This Row],[Date]],"yy")&amp;"-"&amp;TEXT(Production[[#This Row],[Date]]-DATE(YEAR(Production[[#This Row],[Date]]),1,0),"000"),""),"")</f>
        <v>22-011</v>
      </c>
      <c r="B5" s="209" t="str">
        <f>IFERROR(IF(INDEX(Ingredients[Ingr1],MATCH(Production[[#This Row],[Product]],Ingredients[ProdName],0))&lt;&gt;"",INDEX(Ingredients[Ingr1],MATCH(Production[[#This Row],[Product]],Ingredients[ProdName],0)),INDEX(Ingredients[Ingr2],MATCH(Production[[#This Row],[Product]],Ingredients[ProdName],0))),"")</f>
        <v>Chicken - Ground</v>
      </c>
      <c r="C5" s="53">
        <v>44572</v>
      </c>
      <c r="D5" s="54" t="s">
        <v>7</v>
      </c>
      <c r="E5" s="55">
        <v>4216</v>
      </c>
      <c r="F5" s="56">
        <v>7</v>
      </c>
      <c r="G5" s="56">
        <v>42</v>
      </c>
      <c r="H5" s="208">
        <f>IFERROR(INDEX(Tier1[Wt],MATCH(Production[[#This Row],[Type]],Tier1[Ingredient],0))*Production[[#This Row],[Blocks Used]],0)</f>
        <v>2100</v>
      </c>
      <c r="I5" s="210">
        <f>IFERROR(INDEX(Ingredients[TtlWt],MATCH(Production[[#This Row],[Product]],Ingredients[ProdName],0))*Production[[#This Row],[Lots Done]],"")</f>
        <v>47.25</v>
      </c>
      <c r="J5" s="210" t="str">
        <f>IF(INDEX(Ingredients[Batter],MATCH(Production[[#This Row],[Product]],Ingredients[ProdName],0))*Production[[#This Row],[Batter Used]]&gt;0,INDEX(Ingredients[Batter],MATCH(Production[[#This Row],[Product]],Ingredients[ProdName],0))*Production[[#This Row],[Batter Used]],"")</f>
        <v/>
      </c>
      <c r="K5" s="210" t="str">
        <f>IF(INDEX(Ingredients[Breader],MATCH(Production[[#This Row],[Product]],Ingredients[ProdName],0))*Production[[#This Row],[Breader Used]]&gt;0,INDEX(Ingredients[Breader],MATCH(Production[[#This Row],[Product]],Ingredients[ProdName],0))*Production[[#This Row],[Breader Used]],"")</f>
        <v/>
      </c>
      <c r="L5" s="56"/>
      <c r="M5" s="56"/>
      <c r="N5" s="211">
        <f>IFERROR(IF(SUM(Production[[#This Row],[Meat Wt]:[BrTtl]])&lt;&gt;0,SUM(Production[[#This Row],[Meat Wt]:[BrTtl]]),""),"")</f>
        <v>2147.25</v>
      </c>
      <c r="O5" s="55">
        <v>119</v>
      </c>
      <c r="P5" s="208">
        <f>INDEX(Ingredients[Case Wt.],MATCH(Production[[#This Row],[Product]],Ingredients[ProdName],0))*Production[[#This Row],[Case Total]]</f>
        <v>2975</v>
      </c>
      <c r="Q5" s="211">
        <f>IFERROR(Production[[#This Row],[SatWt]]-Production[[#This Row],[RawWt]],"")</f>
        <v>827.75</v>
      </c>
      <c r="R5" s="222" t="str">
        <f>IF(Production[[#This Row],[Species]]&lt;&gt;"",IF(SUM(Production[[#This Row],[BtTtl]:[BrTtl]])/Production[[#This Row],[SatWt]]&lt;&gt;0,SUM(Production[[#This Row],[BtTtl]:[BrTtl]])/Production[[#This Row],[SatWt]],""),"")</f>
        <v/>
      </c>
      <c r="S5" s="223" t="str">
        <f>INDEX(Ingredients[Species],MATCH(Production[[#This Row],[Product]],Ingredients[ProdName],0))</f>
        <v>Poultry</v>
      </c>
    </row>
    <row r="6" spans="1:23" ht="11.1" customHeight="1" x14ac:dyDescent="0.25">
      <c r="A6" s="207" t="str">
        <f>IFERROR(IF(Production[[#This Row],[Date]]&lt;&gt;"",TEXT(Production[[#This Row],[Date]],"yy")&amp;"-"&amp;TEXT(Production[[#This Row],[Date]]-DATE(YEAR(Production[[#This Row],[Date]]),1,0),"000"),""),"")</f>
        <v>22-012</v>
      </c>
      <c r="B6" s="209" t="str">
        <f>IFERROR(IF(INDEX(Ingredients[Ingr1],MATCH(Production[[#This Row],[Product]],Ingredients[ProdName],0))&lt;&gt;"",INDEX(Ingredients[Ingr1],MATCH(Production[[#This Row],[Product]],Ingredients[ProdName],0)),INDEX(Ingredients[Ingr2],MATCH(Production[[#This Row],[Product]],Ingredients[ProdName],0))),"")</f>
        <v>Fish - Fillets</v>
      </c>
      <c r="C6" s="53">
        <v>44573</v>
      </c>
      <c r="D6" s="54" t="s">
        <v>45</v>
      </c>
      <c r="E6" s="55">
        <v>7676</v>
      </c>
      <c r="F6" s="56"/>
      <c r="G6" s="56"/>
      <c r="H6" s="208">
        <f>IFERROR(INDEX(Tier1[Wt],MATCH(Production[[#This Row],[Type]],Tier1[Ingredient],0))*Production[[#This Row],[Blocks Used]],0)</f>
        <v>0</v>
      </c>
      <c r="I6" s="210" t="str">
        <f>IFERROR(INDEX(Ingredients[TtlWt],MATCH(Production[[#This Row],[Product]],Ingredients[ProdName],0))*Production[[#This Row],[Lots Done]],"")</f>
        <v/>
      </c>
      <c r="J6" s="210" t="str">
        <f>IF(INDEX(Ingredients[Batter],MATCH(Production[[#This Row],[Product]],Ingredients[ProdName],0))*Production[[#This Row],[Batter Used]]&gt;0,INDEX(Ingredients[Batter],MATCH(Production[[#This Row],[Product]],Ingredients[ProdName],0))*Production[[#This Row],[Batter Used]],"")</f>
        <v/>
      </c>
      <c r="K6" s="210" t="str">
        <f>IF(INDEX(Ingredients[Breader],MATCH(Production[[#This Row],[Product]],Ingredients[ProdName],0))*Production[[#This Row],[Breader Used]]&gt;0,INDEX(Ingredients[Breader],MATCH(Production[[#This Row],[Product]],Ingredients[ProdName],0))*Production[[#This Row],[Breader Used]],"")</f>
        <v/>
      </c>
      <c r="L6" s="56"/>
      <c r="M6" s="56"/>
      <c r="N6" s="211" t="str">
        <f>IFERROR(IF(SUM(Production[[#This Row],[Meat Wt]:[BrTtl]])&lt;&gt;0,SUM(Production[[#This Row],[Meat Wt]:[BrTtl]]),""),"")</f>
        <v/>
      </c>
      <c r="O6" s="55">
        <v>21</v>
      </c>
      <c r="P6" s="208">
        <f>INDEX(Ingredients[Case Wt.],MATCH(Production[[#This Row],[Product]],Ingredients[ProdName],0))*Production[[#This Row],[Case Total]]</f>
        <v>630</v>
      </c>
      <c r="Q6" s="211" t="str">
        <f>IFERROR(Production[[#This Row],[SatWt]]-Production[[#This Row],[RawWt]],"")</f>
        <v/>
      </c>
      <c r="R6" s="222" t="str">
        <f>IF(Production[[#This Row],[Species]]&lt;&gt;"",IF(SUM(Production[[#This Row],[BtTtl]:[BrTtl]])/Production[[#This Row],[SatWt]]&lt;&gt;0,SUM(Production[[#This Row],[BtTtl]:[BrTtl]])/Production[[#This Row],[SatWt]],""),"")</f>
        <v/>
      </c>
      <c r="S6" s="223" t="str">
        <f>INDEX(Ingredients[Species],MATCH(Production[[#This Row],[Product]],Ingredients[ProdName],0))</f>
        <v/>
      </c>
    </row>
    <row r="7" spans="1:23" ht="11.1" customHeight="1" x14ac:dyDescent="0.25">
      <c r="A7" s="207" t="str">
        <f>IFERROR(IF(Production[[#This Row],[Date]]&lt;&gt;"",TEXT(Production[[#This Row],[Date]],"yy")&amp;"-"&amp;TEXT(Production[[#This Row],[Date]]-DATE(YEAR(Production[[#This Row],[Date]]),1,0),"000"),""),"")</f>
        <v>22-013</v>
      </c>
      <c r="B7" s="209" t="str">
        <f>IFERROR(IF(INDEX(Ingredients[Ingr1],MATCH(Production[[#This Row],[Product]],Ingredients[ProdName],0))&lt;&gt;"",INDEX(Ingredients[Ingr1],MATCH(Production[[#This Row],[Product]],Ingredients[ProdName],0)),INDEX(Ingredients[Ingr2],MATCH(Production[[#This Row],[Product]],Ingredients[ProdName],0))),"")</f>
        <v>Chicken - Ground</v>
      </c>
      <c r="C7" s="53">
        <v>44574</v>
      </c>
      <c r="D7" s="54" t="s">
        <v>15</v>
      </c>
      <c r="E7" s="55">
        <v>4216</v>
      </c>
      <c r="F7" s="56">
        <v>9</v>
      </c>
      <c r="G7" s="56">
        <v>54</v>
      </c>
      <c r="H7" s="208">
        <f>IFERROR(INDEX(Tier1[Wt],MATCH(Production[[#This Row],[Type]],Tier1[Ingredient],0))*Production[[#This Row],[Blocks Used]],0)</f>
        <v>2700</v>
      </c>
      <c r="I7" s="210">
        <f>IFERROR(INDEX(Ingredients[TtlWt],MATCH(Production[[#This Row],[Product]],Ingredients[ProdName],0))*Production[[#This Row],[Lots Done]],"")</f>
        <v>104.85000000000001</v>
      </c>
      <c r="J7" s="210" t="str">
        <f>IF(INDEX(Ingredients[Batter],MATCH(Production[[#This Row],[Product]],Ingredients[ProdName],0))*Production[[#This Row],[Batter Used]]&gt;0,INDEX(Ingredients[Batter],MATCH(Production[[#This Row],[Product]],Ingredients[ProdName],0))*Production[[#This Row],[Batter Used]],"")</f>
        <v/>
      </c>
      <c r="K7" s="210" t="str">
        <f>IF(INDEX(Ingredients[Breader],MATCH(Production[[#This Row],[Product]],Ingredients[ProdName],0))*Production[[#This Row],[Breader Used]]&gt;0,INDEX(Ingredients[Breader],MATCH(Production[[#This Row],[Product]],Ingredients[ProdName],0))*Production[[#This Row],[Breader Used]],"")</f>
        <v/>
      </c>
      <c r="L7" s="56"/>
      <c r="M7" s="56"/>
      <c r="N7" s="211">
        <f>IFERROR(IF(SUM(Production[[#This Row],[Meat Wt]:[BrTtl]])&lt;&gt;0,SUM(Production[[#This Row],[Meat Wt]:[BrTtl]]),""),"")</f>
        <v>2804.85</v>
      </c>
      <c r="O7" s="55">
        <v>129</v>
      </c>
      <c r="P7" s="208">
        <f>INDEX(Ingredients[Case Wt.],MATCH(Production[[#This Row],[Product]],Ingredients[ProdName],0))*Production[[#This Row],[Case Total]]</f>
        <v>3870</v>
      </c>
      <c r="Q7" s="211">
        <f>IFERROR(Production[[#This Row],[SatWt]]-Production[[#This Row],[RawWt]],"")</f>
        <v>1065.1500000000001</v>
      </c>
      <c r="R7" s="222" t="str">
        <f>IF(Production[[#This Row],[Species]]&lt;&gt;"",IF(SUM(Production[[#This Row],[BtTtl]:[BrTtl]])/Production[[#This Row],[SatWt]]&lt;&gt;0,SUM(Production[[#This Row],[BtTtl]:[BrTtl]])/Production[[#This Row],[SatWt]],""),"")</f>
        <v/>
      </c>
      <c r="S7" s="223" t="str">
        <f>INDEX(Ingredients[Species],MATCH(Production[[#This Row],[Product]],Ingredients[ProdName],0))</f>
        <v>Poultry</v>
      </c>
    </row>
    <row r="8" spans="1:23" ht="11.1" customHeight="1" x14ac:dyDescent="0.25">
      <c r="A8" s="207" t="str">
        <f>IFERROR(IF(Production[[#This Row],[Date]]&lt;&gt;"",TEXT(Production[[#This Row],[Date]],"yy")&amp;"-"&amp;TEXT(Production[[#This Row],[Date]]-DATE(YEAR(Production[[#This Row],[Date]]),1,0),"000"),""),"")</f>
        <v>22-018</v>
      </c>
      <c r="B8" s="209" t="str">
        <f>IFERROR(IF(INDEX(Ingredients[Ingr1],MATCH(Production[[#This Row],[Product]],Ingredients[ProdName],0))&lt;&gt;"",INDEX(Ingredients[Ingr1],MATCH(Production[[#This Row],[Product]],Ingredients[ProdName],0)),INDEX(Ingredients[Ingr2],MATCH(Production[[#This Row],[Product]],Ingredients[ProdName],0))),"")</f>
        <v>Chicken - Ground</v>
      </c>
      <c r="C8" s="53">
        <v>44579</v>
      </c>
      <c r="D8" s="54" t="s">
        <v>15</v>
      </c>
      <c r="E8" s="55">
        <v>4216</v>
      </c>
      <c r="F8" s="56">
        <v>10</v>
      </c>
      <c r="G8" s="56">
        <v>60</v>
      </c>
      <c r="H8" s="208">
        <f>IFERROR(INDEX(Tier1[Wt],MATCH(Production[[#This Row],[Type]],Tier1[Ingredient],0))*Production[[#This Row],[Blocks Used]],0)</f>
        <v>3000</v>
      </c>
      <c r="I8" s="210">
        <f>IFERROR(INDEX(Ingredients[TtlWt],MATCH(Production[[#This Row],[Product]],Ingredients[ProdName],0))*Production[[#This Row],[Lots Done]],"")</f>
        <v>116.5</v>
      </c>
      <c r="J8" s="210" t="str">
        <f>IF(INDEX(Ingredients[Batter],MATCH(Production[[#This Row],[Product]],Ingredients[ProdName],0))*Production[[#This Row],[Batter Used]]&gt;0,INDEX(Ingredients[Batter],MATCH(Production[[#This Row],[Product]],Ingredients[ProdName],0))*Production[[#This Row],[Batter Used]],"")</f>
        <v/>
      </c>
      <c r="K8" s="210" t="str">
        <f>IF(INDEX(Ingredients[Breader],MATCH(Production[[#This Row],[Product]],Ingredients[ProdName],0))*Production[[#This Row],[Breader Used]]&gt;0,INDEX(Ingredients[Breader],MATCH(Production[[#This Row],[Product]],Ingredients[ProdName],0))*Production[[#This Row],[Breader Used]],"")</f>
        <v/>
      </c>
      <c r="L8" s="56"/>
      <c r="M8" s="56"/>
      <c r="N8" s="211">
        <f>IFERROR(IF(SUM(Production[[#This Row],[Meat Wt]:[BrTtl]])&lt;&gt;0,SUM(Production[[#This Row],[Meat Wt]:[BrTtl]]),""),"")</f>
        <v>3116.5</v>
      </c>
      <c r="O8" s="55">
        <v>144</v>
      </c>
      <c r="P8" s="208">
        <f>INDEX(Ingredients[Case Wt.],MATCH(Production[[#This Row],[Product]],Ingredients[ProdName],0))*Production[[#This Row],[Case Total]]</f>
        <v>4320</v>
      </c>
      <c r="Q8" s="211">
        <f>IFERROR(Production[[#This Row],[SatWt]]-Production[[#This Row],[RawWt]],"")</f>
        <v>1203.5</v>
      </c>
      <c r="R8" s="222" t="str">
        <f>IF(Production[[#This Row],[Species]]&lt;&gt;"",IF(SUM(Production[[#This Row],[BtTtl]:[BrTtl]])/Production[[#This Row],[SatWt]]&lt;&gt;0,SUM(Production[[#This Row],[BtTtl]:[BrTtl]])/Production[[#This Row],[SatWt]],""),"")</f>
        <v/>
      </c>
      <c r="S8" s="223" t="str">
        <f>INDEX(Ingredients[Species],MATCH(Production[[#This Row],[Product]],Ingredients[ProdName],0))</f>
        <v>Poultry</v>
      </c>
    </row>
    <row r="9" spans="1:23" ht="11.1" customHeight="1" x14ac:dyDescent="0.25">
      <c r="A9" s="207" t="str">
        <f>IFERROR(IF(Production[[#This Row],[Date]]&lt;&gt;"",TEXT(Production[[#This Row],[Date]],"yy")&amp;"-"&amp;TEXT(Production[[#This Row],[Date]]-DATE(YEAR(Production[[#This Row],[Date]]),1,0),"000"),""),"")</f>
        <v>22-024</v>
      </c>
      <c r="B9" s="209" t="str">
        <f>IFERROR(IF(INDEX(Ingredients[Ingr1],MATCH(Production[[#This Row],[Product]],Ingredients[ProdName],0))&lt;&gt;"",INDEX(Ingredients[Ingr1],MATCH(Production[[#This Row],[Product]],Ingredients[ProdName],0)),INDEX(Ingredients[Ingr2],MATCH(Production[[#This Row],[Product]],Ingredients[ProdName],0))),"")</f>
        <v>Chicken - Ground</v>
      </c>
      <c r="C9" s="53">
        <v>44585</v>
      </c>
      <c r="D9" s="54" t="s">
        <v>13</v>
      </c>
      <c r="E9" s="55">
        <v>4216</v>
      </c>
      <c r="F9" s="56">
        <v>15</v>
      </c>
      <c r="G9" s="56">
        <v>90</v>
      </c>
      <c r="H9" s="208">
        <f>IFERROR(INDEX(Tier1[Wt],MATCH(Production[[#This Row],[Type]],Tier1[Ingredient],0))*Production[[#This Row],[Blocks Used]],0)</f>
        <v>4500</v>
      </c>
      <c r="I9" s="210">
        <f>IFERROR(INDEX(Ingredients[TtlWt],MATCH(Production[[#This Row],[Product]],Ingredients[ProdName],0))*Production[[#This Row],[Lots Done]],"")</f>
        <v>712.5</v>
      </c>
      <c r="J9" s="210" t="str">
        <f>IF(INDEX(Ingredients[Batter],MATCH(Production[[#This Row],[Product]],Ingredients[ProdName],0))*Production[[#This Row],[Batter Used]]&gt;0,INDEX(Ingredients[Batter],MATCH(Production[[#This Row],[Product]],Ingredients[ProdName],0))*Production[[#This Row],[Batter Used]],"")</f>
        <v/>
      </c>
      <c r="K9" s="210" t="str">
        <f>IF(INDEX(Ingredients[Breader],MATCH(Production[[#This Row],[Product]],Ingredients[ProdName],0))*Production[[#This Row],[Breader Used]]&gt;0,INDEX(Ingredients[Breader],MATCH(Production[[#This Row],[Product]],Ingredients[ProdName],0))*Production[[#This Row],[Breader Used]],"")</f>
        <v/>
      </c>
      <c r="L9" s="56"/>
      <c r="M9" s="56"/>
      <c r="N9" s="211">
        <f>IFERROR(IF(SUM(Production[[#This Row],[Meat Wt]:[BrTtl]])&lt;&gt;0,SUM(Production[[#This Row],[Meat Wt]:[BrTtl]]),""),"")</f>
        <v>5212.5</v>
      </c>
      <c r="O9" s="55">
        <v>240</v>
      </c>
      <c r="P9" s="208">
        <f>INDEX(Ingredients[Case Wt.],MATCH(Production[[#This Row],[Product]],Ingredients[ProdName],0))*Production[[#This Row],[Case Total]]</f>
        <v>7200</v>
      </c>
      <c r="Q9" s="211">
        <f>IFERROR(Production[[#This Row],[SatWt]]-Production[[#This Row],[RawWt]],"")</f>
        <v>1987.5</v>
      </c>
      <c r="R9" s="222" t="str">
        <f>IF(Production[[#This Row],[Species]]&lt;&gt;"",IF(SUM(Production[[#This Row],[BtTtl]:[BrTtl]])/Production[[#This Row],[SatWt]]&lt;&gt;0,SUM(Production[[#This Row],[BtTtl]:[BrTtl]])/Production[[#This Row],[SatWt]],""),"")</f>
        <v/>
      </c>
      <c r="S9" s="223" t="str">
        <f>INDEX(Ingredients[Species],MATCH(Production[[#This Row],[Product]],Ingredients[ProdName],0))</f>
        <v>Poultry</v>
      </c>
    </row>
    <row r="10" spans="1:23" ht="11.1" customHeight="1" x14ac:dyDescent="0.25">
      <c r="A10" s="207" t="str">
        <f>IFERROR(IF(Production[[#This Row],[Date]]&lt;&gt;"",TEXT(Production[[#This Row],[Date]],"yy")&amp;"-"&amp;TEXT(Production[[#This Row],[Date]]-DATE(YEAR(Production[[#This Row],[Date]]),1,0),"000"),""),"")</f>
        <v>22-026</v>
      </c>
      <c r="B10" s="209" t="str">
        <f>IFERROR(IF(INDEX(Ingredients[Ingr1],MATCH(Production[[#This Row],[Product]],Ingredients[ProdName],0))&lt;&gt;"",INDEX(Ingredients[Ingr1],MATCH(Production[[#This Row],[Product]],Ingredients[ProdName],0)),INDEX(Ingredients[Ingr2],MATCH(Production[[#This Row],[Product]],Ingredients[ProdName],0))),"")</f>
        <v>Chicken - Ground</v>
      </c>
      <c r="C10" s="53">
        <v>44587</v>
      </c>
      <c r="D10" s="54" t="s">
        <v>17</v>
      </c>
      <c r="E10" s="55">
        <v>2018</v>
      </c>
      <c r="F10" s="56">
        <v>15</v>
      </c>
      <c r="G10" s="56">
        <v>90</v>
      </c>
      <c r="H10" s="208">
        <f>IFERROR(INDEX(Tier1[Wt],MATCH(Production[[#This Row],[Type]],Tier1[Ingredient],0))*Production[[#This Row],[Blocks Used]],0)</f>
        <v>4500</v>
      </c>
      <c r="I10" s="210">
        <f>IFERROR(INDEX(Ingredients[TtlWt],MATCH(Production[[#This Row],[Product]],Ingredients[ProdName],0))*Production[[#This Row],[Lots Done]],"")</f>
        <v>629.25</v>
      </c>
      <c r="J10" s="210" t="str">
        <f>IF(INDEX(Ingredients[Batter],MATCH(Production[[#This Row],[Product]],Ingredients[ProdName],0))*Production[[#This Row],[Batter Used]]&gt;0,INDEX(Ingredients[Batter],MATCH(Production[[#This Row],[Product]],Ingredients[ProdName],0))*Production[[#This Row],[Batter Used]],"")</f>
        <v/>
      </c>
      <c r="K10" s="210" t="str">
        <f>IF(INDEX(Ingredients[Breader],MATCH(Production[[#This Row],[Product]],Ingredients[ProdName],0))*Production[[#This Row],[Breader Used]]&gt;0,INDEX(Ingredients[Breader],MATCH(Production[[#This Row],[Product]],Ingredients[ProdName],0))*Production[[#This Row],[Breader Used]],"")</f>
        <v/>
      </c>
      <c r="L10" s="56"/>
      <c r="M10" s="56"/>
      <c r="N10" s="211">
        <f>IFERROR(IF(SUM(Production[[#This Row],[Meat Wt]:[BrTtl]])&lt;&gt;0,SUM(Production[[#This Row],[Meat Wt]:[BrTtl]]),""),"")</f>
        <v>5129.25</v>
      </c>
      <c r="O10" s="55">
        <v>279</v>
      </c>
      <c r="P10" s="208">
        <f>INDEX(Ingredients[Case Wt.],MATCH(Production[[#This Row],[Product]],Ingredients[ProdName],0))*Production[[#This Row],[Case Total]]</f>
        <v>6975</v>
      </c>
      <c r="Q10" s="211">
        <f>IFERROR(Production[[#This Row],[SatWt]]-Production[[#This Row],[RawWt]],"")</f>
        <v>1845.75</v>
      </c>
      <c r="R10" s="222" t="str">
        <f>IF(Production[[#This Row],[Species]]&lt;&gt;"",IF(SUM(Production[[#This Row],[BtTtl]:[BrTtl]])/Production[[#This Row],[SatWt]]&lt;&gt;0,SUM(Production[[#This Row],[BtTtl]:[BrTtl]])/Production[[#This Row],[SatWt]],""),"")</f>
        <v/>
      </c>
      <c r="S10" s="223" t="str">
        <f>INDEX(Ingredients[Species],MATCH(Production[[#This Row],[Product]],Ingredients[ProdName],0))</f>
        <v>Poultry</v>
      </c>
    </row>
    <row r="11" spans="1:23" ht="11.1" customHeight="1" x14ac:dyDescent="0.25">
      <c r="A11" s="207" t="str">
        <f>IFERROR(IF(Production[[#This Row],[Date]]&lt;&gt;"",TEXT(Production[[#This Row],[Date]],"yy")&amp;"-"&amp;TEXT(Production[[#This Row],[Date]]-DATE(YEAR(Production[[#This Row],[Date]]),1,0),"000"),""),"")</f>
        <v>22-027</v>
      </c>
      <c r="B11" s="209" t="str">
        <f>IFERROR(IF(INDEX(Ingredients[Ingr1],MATCH(Production[[#This Row],[Product]],Ingredients[ProdName],0))&lt;&gt;"",INDEX(Ingredients[Ingr1],MATCH(Production[[#This Row],[Product]],Ingredients[ProdName],0)),INDEX(Ingredients[Ingr2],MATCH(Production[[#This Row],[Product]],Ingredients[ProdName],0))),"")</f>
        <v>Chicken - Ground</v>
      </c>
      <c r="C11" s="53">
        <v>44588</v>
      </c>
      <c r="D11" s="54" t="s">
        <v>15</v>
      </c>
      <c r="E11" s="55">
        <v>2018</v>
      </c>
      <c r="F11" s="56">
        <v>15</v>
      </c>
      <c r="G11" s="56">
        <v>90</v>
      </c>
      <c r="H11" s="208">
        <f>IFERROR(INDEX(Tier1[Wt],MATCH(Production[[#This Row],[Type]],Tier1[Ingredient],0))*Production[[#This Row],[Blocks Used]],0)</f>
        <v>4500</v>
      </c>
      <c r="I11" s="210">
        <f>IFERROR(INDEX(Ingredients[TtlWt],MATCH(Production[[#This Row],[Product]],Ingredients[ProdName],0))*Production[[#This Row],[Lots Done]],"")</f>
        <v>174.75</v>
      </c>
      <c r="J11" s="210" t="str">
        <f>IF(INDEX(Ingredients[Batter],MATCH(Production[[#This Row],[Product]],Ingredients[ProdName],0))*Production[[#This Row],[Batter Used]]&gt;0,INDEX(Ingredients[Batter],MATCH(Production[[#This Row],[Product]],Ingredients[ProdName],0))*Production[[#This Row],[Batter Used]],"")</f>
        <v/>
      </c>
      <c r="K11" s="210" t="str">
        <f>IF(INDEX(Ingredients[Breader],MATCH(Production[[#This Row],[Product]],Ingredients[ProdName],0))*Production[[#This Row],[Breader Used]]&gt;0,INDEX(Ingredients[Breader],MATCH(Production[[#This Row],[Product]],Ingredients[ProdName],0))*Production[[#This Row],[Breader Used]],"")</f>
        <v/>
      </c>
      <c r="L11" s="56"/>
      <c r="M11" s="56"/>
      <c r="N11" s="211">
        <f>IFERROR(IF(SUM(Production[[#This Row],[Meat Wt]:[BrTtl]])&lt;&gt;0,SUM(Production[[#This Row],[Meat Wt]:[BrTtl]]),""),"")</f>
        <v>4674.75</v>
      </c>
      <c r="O11" s="55">
        <v>216</v>
      </c>
      <c r="P11" s="208">
        <f>INDEX(Ingredients[Case Wt.],MATCH(Production[[#This Row],[Product]],Ingredients[ProdName],0))*Production[[#This Row],[Case Total]]</f>
        <v>6480</v>
      </c>
      <c r="Q11" s="211">
        <f>IFERROR(Production[[#This Row],[SatWt]]-Production[[#This Row],[RawWt]],"")</f>
        <v>1805.25</v>
      </c>
      <c r="R11" s="222" t="str">
        <f>IF(Production[[#This Row],[Species]]&lt;&gt;"",IF(SUM(Production[[#This Row],[BtTtl]:[BrTtl]])/Production[[#This Row],[SatWt]]&lt;&gt;0,SUM(Production[[#This Row],[BtTtl]:[BrTtl]])/Production[[#This Row],[SatWt]],""),"")</f>
        <v/>
      </c>
      <c r="S11" s="223" t="str">
        <f>INDEX(Ingredients[Species],MATCH(Production[[#This Row],[Product]],Ingredients[ProdName],0))</f>
        <v>Poultry</v>
      </c>
    </row>
    <row r="12" spans="1:23" ht="11.1" customHeight="1" x14ac:dyDescent="0.25">
      <c r="A12" s="207" t="str">
        <f>IFERROR(IF(Production[[#This Row],[Date]]&lt;&gt;"",TEXT(Production[[#This Row],[Date]],"yy")&amp;"-"&amp;TEXT(Production[[#This Row],[Date]]-DATE(YEAR(Production[[#This Row],[Date]]),1,0),"000"),""),"")</f>
        <v>22-031</v>
      </c>
      <c r="B12" s="209" t="str">
        <f>IFERROR(IF(INDEX(Ingredients[Ingr1],MATCH(Production[[#This Row],[Product]],Ingredients[ProdName],0))&lt;&gt;"",INDEX(Ingredients[Ingr1],MATCH(Production[[#This Row],[Product]],Ingredients[ProdName],0)),INDEX(Ingredients[Ingr2],MATCH(Production[[#This Row],[Product]],Ingredients[ProdName],0))),"")</f>
        <v>Chicken - Ground</v>
      </c>
      <c r="C12" s="53">
        <v>44592</v>
      </c>
      <c r="D12" s="54" t="s">
        <v>15</v>
      </c>
      <c r="E12" s="55">
        <v>2018</v>
      </c>
      <c r="F12" s="56">
        <v>10</v>
      </c>
      <c r="G12" s="56">
        <v>60</v>
      </c>
      <c r="H12" s="208">
        <f>IFERROR(INDEX(Tier1[Wt],MATCH(Production[[#This Row],[Type]],Tier1[Ingredient],0))*Production[[#This Row],[Blocks Used]],0)</f>
        <v>3000</v>
      </c>
      <c r="I12" s="210">
        <f>IFERROR(INDEX(Ingredients[TtlWt],MATCH(Production[[#This Row],[Product]],Ingredients[ProdName],0))*Production[[#This Row],[Lots Done]],"")</f>
        <v>116.5</v>
      </c>
      <c r="J12" s="210" t="str">
        <f>IF(INDEX(Ingredients[Batter],MATCH(Production[[#This Row],[Product]],Ingredients[ProdName],0))*Production[[#This Row],[Batter Used]]&gt;0,INDEX(Ingredients[Batter],MATCH(Production[[#This Row],[Product]],Ingredients[ProdName],0))*Production[[#This Row],[Batter Used]],"")</f>
        <v/>
      </c>
      <c r="K12" s="210" t="str">
        <f>IF(INDEX(Ingredients[Breader],MATCH(Production[[#This Row],[Product]],Ingredients[ProdName],0))*Production[[#This Row],[Breader Used]]&gt;0,INDEX(Ingredients[Breader],MATCH(Production[[#This Row],[Product]],Ingredients[ProdName],0))*Production[[#This Row],[Breader Used]],"")</f>
        <v/>
      </c>
      <c r="L12" s="56"/>
      <c r="M12" s="56"/>
      <c r="N12" s="211">
        <f>IFERROR(IF(SUM(Production[[#This Row],[Meat Wt]:[BrTtl]])&lt;&gt;0,SUM(Production[[#This Row],[Meat Wt]:[BrTtl]]),""),"")</f>
        <v>3116.5</v>
      </c>
      <c r="O12" s="55">
        <v>152</v>
      </c>
      <c r="P12" s="208">
        <f>INDEX(Ingredients[Case Wt.],MATCH(Production[[#This Row],[Product]],Ingredients[ProdName],0))*Production[[#This Row],[Case Total]]</f>
        <v>4560</v>
      </c>
      <c r="Q12" s="211">
        <f>IFERROR(Production[[#This Row],[SatWt]]-Production[[#This Row],[RawWt]],"")</f>
        <v>1443.5</v>
      </c>
      <c r="R12" s="222" t="str">
        <f>IF(Production[[#This Row],[Species]]&lt;&gt;"",IF(SUM(Production[[#This Row],[BtTtl]:[BrTtl]])/Production[[#This Row],[SatWt]]&lt;&gt;0,SUM(Production[[#This Row],[BtTtl]:[BrTtl]])/Production[[#This Row],[SatWt]],""),"")</f>
        <v/>
      </c>
      <c r="S12" s="223" t="str">
        <f>INDEX(Ingredients[Species],MATCH(Production[[#This Row],[Product]],Ingredients[ProdName],0))</f>
        <v>Poultry</v>
      </c>
    </row>
    <row r="13" spans="1:23" ht="11.1" customHeight="1" x14ac:dyDescent="0.25">
      <c r="A13" s="207" t="str">
        <f>IFERROR(IF(Production[[#This Row],[Date]]&lt;&gt;"",TEXT(Production[[#This Row],[Date]],"yy")&amp;"-"&amp;TEXT(Production[[#This Row],[Date]]-DATE(YEAR(Production[[#This Row],[Date]]),1,0),"000"),""),"")</f>
        <v>22-038</v>
      </c>
      <c r="B13" s="209" t="str">
        <f>IFERROR(IF(INDEX(Ingredients[Ingr1],MATCH(Production[[#This Row],[Product]],Ingredients[ProdName],0))&lt;&gt;"",INDEX(Ingredients[Ingr1],MATCH(Production[[#This Row],[Product]],Ingredients[ProdName],0)),INDEX(Ingredients[Ingr2],MATCH(Production[[#This Row],[Product]],Ingredients[ProdName],0))),"")</f>
        <v>Fish - Fillets</v>
      </c>
      <c r="C13" s="53">
        <v>44599</v>
      </c>
      <c r="D13" s="54" t="s">
        <v>45</v>
      </c>
      <c r="E13" s="55">
        <v>7676</v>
      </c>
      <c r="F13" s="56"/>
      <c r="G13" s="56"/>
      <c r="H13" s="208">
        <f>IFERROR(INDEX(Tier1[Wt],MATCH(Production[[#This Row],[Type]],Tier1[Ingredient],0))*Production[[#This Row],[Blocks Used]],0)</f>
        <v>0</v>
      </c>
      <c r="I13" s="210" t="str">
        <f>IFERROR(INDEX(Ingredients[TtlWt],MATCH(Production[[#This Row],[Product]],Ingredients[ProdName],0))*Production[[#This Row],[Lots Done]],"")</f>
        <v/>
      </c>
      <c r="J13" s="210" t="str">
        <f>IF(INDEX(Ingredients[Batter],MATCH(Production[[#This Row],[Product]],Ingredients[ProdName],0))*Production[[#This Row],[Batter Used]]&gt;0,INDEX(Ingredients[Batter],MATCH(Production[[#This Row],[Product]],Ingredients[ProdName],0))*Production[[#This Row],[Batter Used]],"")</f>
        <v/>
      </c>
      <c r="K13" s="210" t="str">
        <f>IF(INDEX(Ingredients[Breader],MATCH(Production[[#This Row],[Product]],Ingredients[ProdName],0))*Production[[#This Row],[Breader Used]]&gt;0,INDEX(Ingredients[Breader],MATCH(Production[[#This Row],[Product]],Ingredients[ProdName],0))*Production[[#This Row],[Breader Used]],"")</f>
        <v/>
      </c>
      <c r="L13" s="56"/>
      <c r="M13" s="56"/>
      <c r="N13" s="211" t="str">
        <f>IFERROR(IF(SUM(Production[[#This Row],[Meat Wt]:[BrTtl]])&lt;&gt;0,SUM(Production[[#This Row],[Meat Wt]:[BrTtl]]),""),"")</f>
        <v/>
      </c>
      <c r="O13" s="55">
        <v>65</v>
      </c>
      <c r="P13" s="208">
        <f>INDEX(Ingredients[Case Wt.],MATCH(Production[[#This Row],[Product]],Ingredients[ProdName],0))*Production[[#This Row],[Case Total]]</f>
        <v>1950</v>
      </c>
      <c r="Q13" s="211" t="str">
        <f>IFERROR(Production[[#This Row],[SatWt]]-Production[[#This Row],[RawWt]],"")</f>
        <v/>
      </c>
      <c r="R13" s="222" t="str">
        <f>IF(Production[[#This Row],[Species]]&lt;&gt;"",IF(SUM(Production[[#This Row],[BtTtl]:[BrTtl]])/Production[[#This Row],[SatWt]]&lt;&gt;0,SUM(Production[[#This Row],[BtTtl]:[BrTtl]])/Production[[#This Row],[SatWt]],""),"")</f>
        <v/>
      </c>
      <c r="S13" s="223" t="str">
        <f>INDEX(Ingredients[Species],MATCH(Production[[#This Row],[Product]],Ingredients[ProdName],0))</f>
        <v/>
      </c>
    </row>
    <row r="14" spans="1:23" ht="11.1" customHeight="1" x14ac:dyDescent="0.25">
      <c r="A14" s="207" t="str">
        <f>IFERROR(IF(Production[[#This Row],[Date]]&lt;&gt;"",TEXT(Production[[#This Row],[Date]],"yy")&amp;"-"&amp;TEXT(Production[[#This Row],[Date]]-DATE(YEAR(Production[[#This Row],[Date]]),1,0),"000"),""),"")</f>
        <v>22-039</v>
      </c>
      <c r="B14" s="209" t="str">
        <f>IFERROR(IF(INDEX(Ingredients[Ingr1],MATCH(Production[[#This Row],[Product]],Ingredients[ProdName],0))&lt;&gt;"",INDEX(Ingredients[Ingr1],MATCH(Production[[#This Row],[Product]],Ingredients[ProdName],0)),INDEX(Ingredients[Ingr2],MATCH(Production[[#This Row],[Product]],Ingredients[ProdName],0))),"")</f>
        <v>Fish - Fillets</v>
      </c>
      <c r="C14" s="53">
        <v>44600</v>
      </c>
      <c r="D14" s="54" t="s">
        <v>45</v>
      </c>
      <c r="E14" s="55">
        <v>7676</v>
      </c>
      <c r="F14" s="56"/>
      <c r="G14" s="56"/>
      <c r="H14" s="208">
        <f>IFERROR(INDEX(Tier1[Wt],MATCH(Production[[#This Row],[Type]],Tier1[Ingredient],0))*Production[[#This Row],[Blocks Used]],0)</f>
        <v>0</v>
      </c>
      <c r="I14" s="210" t="str">
        <f>IFERROR(INDEX(Ingredients[TtlWt],MATCH(Production[[#This Row],[Product]],Ingredients[ProdName],0))*Production[[#This Row],[Lots Done]],"")</f>
        <v/>
      </c>
      <c r="J14" s="210" t="str">
        <f>IF(INDEX(Ingredients[Batter],MATCH(Production[[#This Row],[Product]],Ingredients[ProdName],0))*Production[[#This Row],[Batter Used]]&gt;0,INDEX(Ingredients[Batter],MATCH(Production[[#This Row],[Product]],Ingredients[ProdName],0))*Production[[#This Row],[Batter Used]],"")</f>
        <v/>
      </c>
      <c r="K14" s="210" t="str">
        <f>IF(INDEX(Ingredients[Breader],MATCH(Production[[#This Row],[Product]],Ingredients[ProdName],0))*Production[[#This Row],[Breader Used]]&gt;0,INDEX(Ingredients[Breader],MATCH(Production[[#This Row],[Product]],Ingredients[ProdName],0))*Production[[#This Row],[Breader Used]],"")</f>
        <v/>
      </c>
      <c r="L14" s="56"/>
      <c r="M14" s="56"/>
      <c r="N14" s="211" t="str">
        <f>IFERROR(IF(SUM(Production[[#This Row],[Meat Wt]:[BrTtl]])&lt;&gt;0,SUM(Production[[#This Row],[Meat Wt]:[BrTtl]]),""),"")</f>
        <v/>
      </c>
      <c r="O14" s="55">
        <v>48</v>
      </c>
      <c r="P14" s="208">
        <f>INDEX(Ingredients[Case Wt.],MATCH(Production[[#This Row],[Product]],Ingredients[ProdName],0))*Production[[#This Row],[Case Total]]</f>
        <v>1440</v>
      </c>
      <c r="Q14" s="211" t="str">
        <f>IFERROR(Production[[#This Row],[SatWt]]-Production[[#This Row],[RawWt]],"")</f>
        <v/>
      </c>
      <c r="R14" s="222" t="str">
        <f>IF(Production[[#This Row],[Species]]&lt;&gt;"",IF(SUM(Production[[#This Row],[BtTtl]:[BrTtl]])/Production[[#This Row],[SatWt]]&lt;&gt;0,SUM(Production[[#This Row],[BtTtl]:[BrTtl]])/Production[[#This Row],[SatWt]],""),"")</f>
        <v/>
      </c>
      <c r="S14" s="223" t="str">
        <f>INDEX(Ingredients[Species],MATCH(Production[[#This Row],[Product]],Ingredients[ProdName],0))</f>
        <v/>
      </c>
      <c r="W14" s="58"/>
    </row>
    <row r="15" spans="1:23" ht="11.1" customHeight="1" x14ac:dyDescent="0.25">
      <c r="A15" s="207" t="str">
        <f>IFERROR(IF(Production[[#This Row],[Date]]&lt;&gt;"",TEXT(Production[[#This Row],[Date]],"yy")&amp;"-"&amp;TEXT(Production[[#This Row],[Date]]-DATE(YEAR(Production[[#This Row],[Date]]),1,0),"000"),""),"")</f>
        <v>22-040</v>
      </c>
      <c r="B15" s="209" t="str">
        <f>IFERROR(IF(INDEX(Ingredients[Ingr1],MATCH(Production[[#This Row],[Product]],Ingredients[ProdName],0))&lt;&gt;"",INDEX(Ingredients[Ingr1],MATCH(Production[[#This Row],[Product]],Ingredients[ProdName],0)),INDEX(Ingredients[Ingr2],MATCH(Production[[#This Row],[Product]],Ingredients[ProdName],0))),"")</f>
        <v>Fish - Fillets</v>
      </c>
      <c r="C15" s="53">
        <v>44601</v>
      </c>
      <c r="D15" s="54" t="s">
        <v>45</v>
      </c>
      <c r="E15" s="55">
        <v>7676</v>
      </c>
      <c r="F15" s="56"/>
      <c r="G15" s="56"/>
      <c r="H15" s="208">
        <f>IFERROR(INDEX(Tier1[Wt],MATCH(Production[[#This Row],[Type]],Tier1[Ingredient],0))*Production[[#This Row],[Blocks Used]],0)</f>
        <v>0</v>
      </c>
      <c r="I15" s="210" t="str">
        <f>IFERROR(INDEX(Ingredients[TtlWt],MATCH(Production[[#This Row],[Product]],Ingredients[ProdName],0))*Production[[#This Row],[Lots Done]],"")</f>
        <v/>
      </c>
      <c r="J15" s="210" t="str">
        <f>IF(INDEX(Ingredients[Batter],MATCH(Production[[#This Row],[Product]],Ingredients[ProdName],0))*Production[[#This Row],[Batter Used]]&gt;0,INDEX(Ingredients[Batter],MATCH(Production[[#This Row],[Product]],Ingredients[ProdName],0))*Production[[#This Row],[Batter Used]],"")</f>
        <v/>
      </c>
      <c r="K15" s="210" t="str">
        <f>IF(INDEX(Ingredients[Breader],MATCH(Production[[#This Row],[Product]],Ingredients[ProdName],0))*Production[[#This Row],[Breader Used]]&gt;0,INDEX(Ingredients[Breader],MATCH(Production[[#This Row],[Product]],Ingredients[ProdName],0))*Production[[#This Row],[Breader Used]],"")</f>
        <v/>
      </c>
      <c r="L15" s="56"/>
      <c r="M15" s="56"/>
      <c r="N15" s="211" t="str">
        <f>IFERROR(IF(SUM(Production[[#This Row],[Meat Wt]:[BrTtl]])&lt;&gt;0,SUM(Production[[#This Row],[Meat Wt]:[BrTtl]]),""),"")</f>
        <v/>
      </c>
      <c r="O15" s="55">
        <v>68</v>
      </c>
      <c r="P15" s="208">
        <f>INDEX(Ingredients[Case Wt.],MATCH(Production[[#This Row],[Product]],Ingredients[ProdName],0))*Production[[#This Row],[Case Total]]</f>
        <v>2040</v>
      </c>
      <c r="Q15" s="211" t="str">
        <f>IFERROR(Production[[#This Row],[SatWt]]-Production[[#This Row],[RawWt]],"")</f>
        <v/>
      </c>
      <c r="R15" s="222" t="str">
        <f>IF(Production[[#This Row],[Species]]&lt;&gt;"",IF(SUM(Production[[#This Row],[BtTtl]:[BrTtl]])/Production[[#This Row],[SatWt]]&lt;&gt;0,SUM(Production[[#This Row],[BtTtl]:[BrTtl]])/Production[[#This Row],[SatWt]],""),"")</f>
        <v/>
      </c>
      <c r="S15" s="223" t="str">
        <f>INDEX(Ingredients[Species],MATCH(Production[[#This Row],[Product]],Ingredients[ProdName],0))</f>
        <v/>
      </c>
    </row>
    <row r="16" spans="1:23" ht="11.1" customHeight="1" x14ac:dyDescent="0.25">
      <c r="A16" s="207" t="str">
        <f>IFERROR(IF(Production[[#This Row],[Date]]&lt;&gt;"",TEXT(Production[[#This Row],[Date]],"yy")&amp;"-"&amp;TEXT(Production[[#This Row],[Date]]-DATE(YEAR(Production[[#This Row],[Date]]),1,0),"000"),""),"")</f>
        <v>22-041</v>
      </c>
      <c r="B16" s="209" t="str">
        <f>IFERROR(IF(INDEX(Ingredients[Ingr1],MATCH(Production[[#This Row],[Product]],Ingredients[ProdName],0))&lt;&gt;"",INDEX(Ingredients[Ingr1],MATCH(Production[[#This Row],[Product]],Ingredients[ProdName],0)),INDEX(Ingredients[Ingr2],MATCH(Production[[#This Row],[Product]],Ingredients[ProdName],0))),"")</f>
        <v>Chicken - Tenders</v>
      </c>
      <c r="C16" s="53">
        <v>44602</v>
      </c>
      <c r="D16" s="54" t="s">
        <v>14</v>
      </c>
      <c r="E16" s="55" t="s">
        <v>182</v>
      </c>
      <c r="F16" s="56">
        <v>10</v>
      </c>
      <c r="G16" s="56">
        <v>70</v>
      </c>
      <c r="H16" s="208">
        <f>IFERROR(INDEX(Tier1[Wt],MATCH(Production[[#This Row],[Type]],Tier1[Ingredient],0))*Production[[#This Row],[Blocks Used]],0)</f>
        <v>2800</v>
      </c>
      <c r="I16" s="210">
        <f>IFERROR(INDEX(Ingredients[TtlWt],MATCH(Production[[#This Row],[Product]],Ingredients[ProdName],0))*Production[[#This Row],[Lots Done]],"")</f>
        <v>621.5</v>
      </c>
      <c r="J16" s="210" t="str">
        <f>IF(INDEX(Ingredients[Batter],MATCH(Production[[#This Row],[Product]],Ingredients[ProdName],0))*Production[[#This Row],[Batter Used]]&gt;0,INDEX(Ingredients[Batter],MATCH(Production[[#This Row],[Product]],Ingredients[ProdName],0))*Production[[#This Row],[Batter Used]],"")</f>
        <v/>
      </c>
      <c r="K16" s="210" t="str">
        <f>IF(INDEX(Ingredients[Breader],MATCH(Production[[#This Row],[Product]],Ingredients[ProdName],0))*Production[[#This Row],[Breader Used]]&gt;0,INDEX(Ingredients[Breader],MATCH(Production[[#This Row],[Product]],Ingredients[ProdName],0))*Production[[#This Row],[Breader Used]],"")</f>
        <v/>
      </c>
      <c r="L16" s="56"/>
      <c r="M16" s="56"/>
      <c r="N16" s="211">
        <f>IFERROR(IF(SUM(Production[[#This Row],[Meat Wt]:[BrTtl]])&lt;&gt;0,SUM(Production[[#This Row],[Meat Wt]:[BrTtl]]),""),"")</f>
        <v>3421.5</v>
      </c>
      <c r="O16" s="55">
        <v>193</v>
      </c>
      <c r="P16" s="208">
        <f>INDEX(Ingredients[Case Wt.],MATCH(Production[[#This Row],[Product]],Ingredients[ProdName],0))*Production[[#This Row],[Case Total]]</f>
        <v>4825</v>
      </c>
      <c r="Q16" s="211">
        <f>IFERROR(Production[[#This Row],[SatWt]]-Production[[#This Row],[RawWt]],"")</f>
        <v>1403.5</v>
      </c>
      <c r="R16" s="222" t="str">
        <f>IF(Production[[#This Row],[Species]]&lt;&gt;"",IF(SUM(Production[[#This Row],[BtTtl]:[BrTtl]])/Production[[#This Row],[SatWt]]&lt;&gt;0,SUM(Production[[#This Row],[BtTtl]:[BrTtl]])/Production[[#This Row],[SatWt]],""),"")</f>
        <v/>
      </c>
      <c r="S16" s="223" t="str">
        <f>INDEX(Ingredients[Species],MATCH(Production[[#This Row],[Product]],Ingredients[ProdName],0))</f>
        <v>Poultry</v>
      </c>
    </row>
    <row r="17" spans="1:19" ht="11.1" customHeight="1" x14ac:dyDescent="0.25">
      <c r="A17" s="207" t="str">
        <f>IFERROR(IF(Production[[#This Row],[Date]]&lt;&gt;"",TEXT(Production[[#This Row],[Date]],"yy")&amp;"-"&amp;TEXT(Production[[#This Row],[Date]]-DATE(YEAR(Production[[#This Row],[Date]]),1,0),"000"),""),"")</f>
        <v>22-043</v>
      </c>
      <c r="B17" s="209" t="str">
        <f>IFERROR(IF(INDEX(Ingredients[Ingr1],MATCH(Production[[#This Row],[Product]],Ingredients[ProdName],0))&lt;&gt;"",INDEX(Ingredients[Ingr1],MATCH(Production[[#This Row],[Product]],Ingredients[ProdName],0)),INDEX(Ingredients[Ingr2],MATCH(Production[[#This Row],[Product]],Ingredients[ProdName],0))),"")</f>
        <v>Chicken - Ground</v>
      </c>
      <c r="C17" s="53">
        <v>44604</v>
      </c>
      <c r="D17" s="54" t="s">
        <v>15</v>
      </c>
      <c r="E17" s="55">
        <v>2018</v>
      </c>
      <c r="F17" s="56">
        <v>5</v>
      </c>
      <c r="G17" s="56">
        <v>30</v>
      </c>
      <c r="H17" s="208">
        <f>IFERROR(INDEX(Tier1[Wt],MATCH(Production[[#This Row],[Type]],Tier1[Ingredient],0))*Production[[#This Row],[Blocks Used]],0)</f>
        <v>1500</v>
      </c>
      <c r="I17" s="210">
        <f>IFERROR(INDEX(Ingredients[TtlWt],MATCH(Production[[#This Row],[Product]],Ingredients[ProdName],0))*Production[[#This Row],[Lots Done]],"")</f>
        <v>58.25</v>
      </c>
      <c r="J17" s="210" t="str">
        <f>IF(INDEX(Ingredients[Batter],MATCH(Production[[#This Row],[Product]],Ingredients[ProdName],0))*Production[[#This Row],[Batter Used]]&gt;0,INDEX(Ingredients[Batter],MATCH(Production[[#This Row],[Product]],Ingredients[ProdName],0))*Production[[#This Row],[Batter Used]],"")</f>
        <v/>
      </c>
      <c r="K17" s="210" t="str">
        <f>IF(INDEX(Ingredients[Breader],MATCH(Production[[#This Row],[Product]],Ingredients[ProdName],0))*Production[[#This Row],[Breader Used]]&gt;0,INDEX(Ingredients[Breader],MATCH(Production[[#This Row],[Product]],Ingredients[ProdName],0))*Production[[#This Row],[Breader Used]],"")</f>
        <v/>
      </c>
      <c r="L17" s="56"/>
      <c r="M17" s="56"/>
      <c r="N17" s="211">
        <f>IFERROR(IF(SUM(Production[[#This Row],[Meat Wt]:[BrTtl]])&lt;&gt;0,SUM(Production[[#This Row],[Meat Wt]:[BrTtl]]),""),"")</f>
        <v>1558.25</v>
      </c>
      <c r="O17" s="55">
        <v>69</v>
      </c>
      <c r="P17" s="208">
        <f>INDEX(Ingredients[Case Wt.],MATCH(Production[[#This Row],[Product]],Ingredients[ProdName],0))*Production[[#This Row],[Case Total]]</f>
        <v>2070</v>
      </c>
      <c r="Q17" s="211">
        <f>IFERROR(Production[[#This Row],[SatWt]]-Production[[#This Row],[RawWt]],"")</f>
        <v>511.75</v>
      </c>
      <c r="R17" s="222" t="str">
        <f>IF(Production[[#This Row],[Species]]&lt;&gt;"",IF(SUM(Production[[#This Row],[BtTtl]:[BrTtl]])/Production[[#This Row],[SatWt]]&lt;&gt;0,SUM(Production[[#This Row],[BtTtl]:[BrTtl]])/Production[[#This Row],[SatWt]],""),"")</f>
        <v/>
      </c>
      <c r="S17" s="223" t="str">
        <f>INDEX(Ingredients[Species],MATCH(Production[[#This Row],[Product]],Ingredients[ProdName],0))</f>
        <v>Poultry</v>
      </c>
    </row>
    <row r="18" spans="1:19" ht="11.1" customHeight="1" x14ac:dyDescent="0.25">
      <c r="A18" s="207" t="str">
        <f>IFERROR(IF(Production[[#This Row],[Date]]&lt;&gt;"",TEXT(Production[[#This Row],[Date]],"yy")&amp;"-"&amp;TEXT(Production[[#This Row],[Date]]-DATE(YEAR(Production[[#This Row],[Date]]),1,0),"000"),""),"")</f>
        <v>22-045</v>
      </c>
      <c r="B18" s="209" t="str">
        <f>IFERROR(IF(INDEX(Ingredients[Ingr1],MATCH(Production[[#This Row],[Product]],Ingredients[ProdName],0))&lt;&gt;"",INDEX(Ingredients[Ingr1],MATCH(Production[[#This Row],[Product]],Ingredients[ProdName],0)),INDEX(Ingredients[Ingr2],MATCH(Production[[#This Row],[Product]],Ingredients[ProdName],0))),"")</f>
        <v>Chicken - Tenders</v>
      </c>
      <c r="C18" s="53">
        <v>44606</v>
      </c>
      <c r="D18" s="54" t="s">
        <v>14</v>
      </c>
      <c r="E18" s="55" t="s">
        <v>182</v>
      </c>
      <c r="F18" s="56">
        <v>11</v>
      </c>
      <c r="G18" s="56">
        <v>77</v>
      </c>
      <c r="H18" s="208">
        <f>IFERROR(INDEX(Tier1[Wt],MATCH(Production[[#This Row],[Type]],Tier1[Ingredient],0))*Production[[#This Row],[Blocks Used]],0)</f>
        <v>3080</v>
      </c>
      <c r="I18" s="210">
        <f>IFERROR(INDEX(Ingredients[TtlWt],MATCH(Production[[#This Row],[Product]],Ingredients[ProdName],0))*Production[[#This Row],[Lots Done]],"")</f>
        <v>683.65</v>
      </c>
      <c r="J18" s="210" t="str">
        <f>IF(INDEX(Ingredients[Batter],MATCH(Production[[#This Row],[Product]],Ingredients[ProdName],0))*Production[[#This Row],[Batter Used]]&gt;0,INDEX(Ingredients[Batter],MATCH(Production[[#This Row],[Product]],Ingredients[ProdName],0))*Production[[#This Row],[Batter Used]],"")</f>
        <v/>
      </c>
      <c r="K18" s="210" t="str">
        <f>IF(INDEX(Ingredients[Breader],MATCH(Production[[#This Row],[Product]],Ingredients[ProdName],0))*Production[[#This Row],[Breader Used]]&gt;0,INDEX(Ingredients[Breader],MATCH(Production[[#This Row],[Product]],Ingredients[ProdName],0))*Production[[#This Row],[Breader Used]],"")</f>
        <v/>
      </c>
      <c r="L18" s="56"/>
      <c r="M18" s="56"/>
      <c r="N18" s="211">
        <f>IFERROR(IF(SUM(Production[[#This Row],[Meat Wt]:[BrTtl]])&lt;&gt;0,SUM(Production[[#This Row],[Meat Wt]:[BrTtl]]),""),"")</f>
        <v>3763.65</v>
      </c>
      <c r="O18" s="55">
        <v>217</v>
      </c>
      <c r="P18" s="208">
        <f>INDEX(Ingredients[Case Wt.],MATCH(Production[[#This Row],[Product]],Ingredients[ProdName],0))*Production[[#This Row],[Case Total]]</f>
        <v>5425</v>
      </c>
      <c r="Q18" s="211">
        <f>IFERROR(Production[[#This Row],[SatWt]]-Production[[#This Row],[RawWt]],"")</f>
        <v>1661.35</v>
      </c>
      <c r="R18" s="222" t="str">
        <f>IF(Production[[#This Row],[Species]]&lt;&gt;"",IF(SUM(Production[[#This Row],[BtTtl]:[BrTtl]])/Production[[#This Row],[SatWt]]&lt;&gt;0,SUM(Production[[#This Row],[BtTtl]:[BrTtl]])/Production[[#This Row],[SatWt]],""),"")</f>
        <v/>
      </c>
      <c r="S18" s="223" t="str">
        <f>INDEX(Ingredients[Species],MATCH(Production[[#This Row],[Product]],Ingredients[ProdName],0))</f>
        <v>Poultry</v>
      </c>
    </row>
    <row r="19" spans="1:19" ht="11.1" customHeight="1" x14ac:dyDescent="0.25">
      <c r="A19" s="207" t="str">
        <f>IFERROR(IF(Production[[#This Row],[Date]]&lt;&gt;"",TEXT(Production[[#This Row],[Date]],"yy")&amp;"-"&amp;TEXT(Production[[#This Row],[Date]]-DATE(YEAR(Production[[#This Row],[Date]]),1,0),"000"),""),"")</f>
        <v>22-046</v>
      </c>
      <c r="B19" s="209" t="str">
        <f>IFERROR(IF(INDEX(Ingredients[Ingr1],MATCH(Production[[#This Row],[Product]],Ingredients[ProdName],0))&lt;&gt;"",INDEX(Ingredients[Ingr1],MATCH(Production[[#This Row],[Product]],Ingredients[ProdName],0)),INDEX(Ingredients[Ingr2],MATCH(Production[[#This Row],[Product]],Ingredients[ProdName],0))),"")</f>
        <v>Chicken - Ground</v>
      </c>
      <c r="C19" s="53">
        <v>44607</v>
      </c>
      <c r="D19" s="54" t="s">
        <v>7</v>
      </c>
      <c r="E19" s="55">
        <v>2018</v>
      </c>
      <c r="F19" s="56">
        <v>11</v>
      </c>
      <c r="G19" s="56">
        <v>66</v>
      </c>
      <c r="H19" s="208">
        <f>IFERROR(INDEX(Tier1[Wt],MATCH(Production[[#This Row],[Type]],Tier1[Ingredient],0))*Production[[#This Row],[Blocks Used]],0)</f>
        <v>3300</v>
      </c>
      <c r="I19" s="210">
        <f>IFERROR(INDEX(Ingredients[TtlWt],MATCH(Production[[#This Row],[Product]],Ingredients[ProdName],0))*Production[[#This Row],[Lots Done]],"")</f>
        <v>74.25</v>
      </c>
      <c r="J19" s="210" t="str">
        <f>IF(INDEX(Ingredients[Batter],MATCH(Production[[#This Row],[Product]],Ingredients[ProdName],0))*Production[[#This Row],[Batter Used]]&gt;0,INDEX(Ingredients[Batter],MATCH(Production[[#This Row],[Product]],Ingredients[ProdName],0))*Production[[#This Row],[Batter Used]],"")</f>
        <v/>
      </c>
      <c r="K19" s="210" t="str">
        <f>IF(INDEX(Ingredients[Breader],MATCH(Production[[#This Row],[Product]],Ingredients[ProdName],0))*Production[[#This Row],[Breader Used]]&gt;0,INDEX(Ingredients[Breader],MATCH(Production[[#This Row],[Product]],Ingredients[ProdName],0))*Production[[#This Row],[Breader Used]],"")</f>
        <v/>
      </c>
      <c r="L19" s="56"/>
      <c r="M19" s="56"/>
      <c r="N19" s="211">
        <f>IFERROR(IF(SUM(Production[[#This Row],[Meat Wt]:[BrTtl]])&lt;&gt;0,SUM(Production[[#This Row],[Meat Wt]:[BrTtl]]),""),"")</f>
        <v>3374.25</v>
      </c>
      <c r="O19" s="55">
        <v>192</v>
      </c>
      <c r="P19" s="208">
        <f>INDEX(Ingredients[Case Wt.],MATCH(Production[[#This Row],[Product]],Ingredients[ProdName],0))*Production[[#This Row],[Case Total]]</f>
        <v>4800</v>
      </c>
      <c r="Q19" s="211">
        <f>IFERROR(Production[[#This Row],[SatWt]]-Production[[#This Row],[RawWt]],"")</f>
        <v>1425.75</v>
      </c>
      <c r="R19" s="222" t="str">
        <f>IF(Production[[#This Row],[Species]]&lt;&gt;"",IF(SUM(Production[[#This Row],[BtTtl]:[BrTtl]])/Production[[#This Row],[SatWt]]&lt;&gt;0,SUM(Production[[#This Row],[BtTtl]:[BrTtl]])/Production[[#This Row],[SatWt]],""),"")</f>
        <v/>
      </c>
      <c r="S19" s="223" t="str">
        <f>INDEX(Ingredients[Species],MATCH(Production[[#This Row],[Product]],Ingredients[ProdName],0))</f>
        <v>Poultry</v>
      </c>
    </row>
    <row r="20" spans="1:19" ht="11.1" customHeight="1" x14ac:dyDescent="0.25">
      <c r="A20" s="207" t="str">
        <f>IFERROR(IF(Production[[#This Row],[Date]]&lt;&gt;"",TEXT(Production[[#This Row],[Date]],"yy")&amp;"-"&amp;TEXT(Production[[#This Row],[Date]]-DATE(YEAR(Production[[#This Row],[Date]]),1,0),"000"),""),"")</f>
        <v>22-048</v>
      </c>
      <c r="B20" s="209" t="str">
        <f>IFERROR(IF(INDEX(Ingredients[Ingr1],MATCH(Production[[#This Row],[Product]],Ingredients[ProdName],0))&lt;&gt;"",INDEX(Ingredients[Ingr1],MATCH(Production[[#This Row],[Product]],Ingredients[ProdName],0)),INDEX(Ingredients[Ingr2],MATCH(Production[[#This Row],[Product]],Ingredients[ProdName],0))),"")</f>
        <v>Fish - Fillets</v>
      </c>
      <c r="C20" s="53">
        <v>44609</v>
      </c>
      <c r="D20" s="54" t="s">
        <v>45</v>
      </c>
      <c r="E20" s="55">
        <v>7676</v>
      </c>
      <c r="F20" s="56"/>
      <c r="G20" s="56"/>
      <c r="H20" s="208">
        <f>IFERROR(INDEX(Tier1[Wt],MATCH(Production[[#This Row],[Type]],Tier1[Ingredient],0))*Production[[#This Row],[Blocks Used]],0)</f>
        <v>0</v>
      </c>
      <c r="I20" s="210" t="str">
        <f>IFERROR(INDEX(Ingredients[TtlWt],MATCH(Production[[#This Row],[Product]],Ingredients[ProdName],0))*Production[[#This Row],[Lots Done]],"")</f>
        <v/>
      </c>
      <c r="J20" s="210" t="str">
        <f>IF(INDEX(Ingredients[Batter],MATCH(Production[[#This Row],[Product]],Ingredients[ProdName],0))*Production[[#This Row],[Batter Used]]&gt;0,INDEX(Ingredients[Batter],MATCH(Production[[#This Row],[Product]],Ingredients[ProdName],0))*Production[[#This Row],[Batter Used]],"")</f>
        <v/>
      </c>
      <c r="K20" s="210" t="str">
        <f>IF(INDEX(Ingredients[Breader],MATCH(Production[[#This Row],[Product]],Ingredients[ProdName],0))*Production[[#This Row],[Breader Used]]&gt;0,INDEX(Ingredients[Breader],MATCH(Production[[#This Row],[Product]],Ingredients[ProdName],0))*Production[[#This Row],[Breader Used]],"")</f>
        <v/>
      </c>
      <c r="L20" s="56"/>
      <c r="M20" s="56"/>
      <c r="N20" s="211" t="str">
        <f>IFERROR(IF(SUM(Production[[#This Row],[Meat Wt]:[BrTtl]])&lt;&gt;0,SUM(Production[[#This Row],[Meat Wt]:[BrTtl]]),""),"")</f>
        <v/>
      </c>
      <c r="O20" s="55">
        <v>50</v>
      </c>
      <c r="P20" s="208">
        <f>INDEX(Ingredients[Case Wt.],MATCH(Production[[#This Row],[Product]],Ingredients[ProdName],0))*Production[[#This Row],[Case Total]]</f>
        <v>1500</v>
      </c>
      <c r="Q20" s="211" t="str">
        <f>IFERROR(Production[[#This Row],[SatWt]]-Production[[#This Row],[RawWt]],"")</f>
        <v/>
      </c>
      <c r="R20" s="222" t="str">
        <f>IF(Production[[#This Row],[Species]]&lt;&gt;"",IF(SUM(Production[[#This Row],[BtTtl]:[BrTtl]])/Production[[#This Row],[SatWt]]&lt;&gt;0,SUM(Production[[#This Row],[BtTtl]:[BrTtl]])/Production[[#This Row],[SatWt]],""),"")</f>
        <v/>
      </c>
      <c r="S20" s="223" t="str">
        <f>INDEX(Ingredients[Species],MATCH(Production[[#This Row],[Product]],Ingredients[ProdName],0))</f>
        <v/>
      </c>
    </row>
    <row r="21" spans="1:19" ht="11.1" customHeight="1" x14ac:dyDescent="0.25">
      <c r="A21" s="207" t="str">
        <f>IFERROR(IF(Production[[#This Row],[Date]]&lt;&gt;"",TEXT(Production[[#This Row],[Date]],"yy")&amp;"-"&amp;TEXT(Production[[#This Row],[Date]]-DATE(YEAR(Production[[#This Row],[Date]]),1,0),"000"),""),"")</f>
        <v>22-054</v>
      </c>
      <c r="B21" s="209" t="str">
        <f>IFERROR(IF(INDEX(Ingredients[Ingr1],MATCH(Production[[#This Row],[Product]],Ingredients[ProdName],0))&lt;&gt;"",INDEX(Ingredients[Ingr1],MATCH(Production[[#This Row],[Product]],Ingredients[ProdName],0)),INDEX(Ingredients[Ingr2],MATCH(Production[[#This Row],[Product]],Ingredients[ProdName],0))),"")</f>
        <v>Chicken - Tenders</v>
      </c>
      <c r="C21" s="53">
        <v>44615</v>
      </c>
      <c r="D21" s="54" t="s">
        <v>21</v>
      </c>
      <c r="E21" s="55" t="s">
        <v>182</v>
      </c>
      <c r="F21" s="56">
        <v>12</v>
      </c>
      <c r="G21" s="56">
        <v>84</v>
      </c>
      <c r="H21" s="208">
        <f>IFERROR(INDEX(Tier1[Wt],MATCH(Production[[#This Row],[Type]],Tier1[Ingredient],0))*Production[[#This Row],[Blocks Used]],0)</f>
        <v>3360</v>
      </c>
      <c r="I21" s="210">
        <f>IFERROR(INDEX(Ingredients[TtlWt],MATCH(Production[[#This Row],[Product]],Ingredients[ProdName],0))*Production[[#This Row],[Lots Done]],"")</f>
        <v>648</v>
      </c>
      <c r="J21" s="210">
        <f>IF(INDEX(Ingredients[Batter],MATCH(Production[[#This Row],[Product]],Ingredients[ProdName],0))*Production[[#This Row],[Batter Used]]&gt;0,INDEX(Ingredients[Batter],MATCH(Production[[#This Row],[Product]],Ingredients[ProdName],0))*Production[[#This Row],[Batter Used]],"")</f>
        <v>200</v>
      </c>
      <c r="K21" s="210">
        <f>IF(INDEX(Ingredients[Breader],MATCH(Production[[#This Row],[Product]],Ingredients[ProdName],0))*Production[[#This Row],[Breader Used]]&gt;0,INDEX(Ingredients[Breader],MATCH(Production[[#This Row],[Product]],Ingredients[ProdName],0))*Production[[#This Row],[Breader Used]],"")</f>
        <v>1200</v>
      </c>
      <c r="L21" s="56">
        <v>4</v>
      </c>
      <c r="M21" s="56">
        <v>24</v>
      </c>
      <c r="N21" s="211">
        <f>IFERROR(IF(SUM(Production[[#This Row],[Meat Wt]:[BrTtl]])&lt;&gt;0,SUM(Production[[#This Row],[Meat Wt]:[BrTtl]]),""),"")</f>
        <v>5408</v>
      </c>
      <c r="O21" s="55">
        <v>266</v>
      </c>
      <c r="P21" s="208">
        <f>INDEX(Ingredients[Case Wt.],MATCH(Production[[#This Row],[Product]],Ingredients[ProdName],0))*Production[[#This Row],[Case Total]]</f>
        <v>6650</v>
      </c>
      <c r="Q21" s="211">
        <f>IFERROR(Production[[#This Row],[SatWt]]-Production[[#This Row],[RawWt]],"")</f>
        <v>1242</v>
      </c>
      <c r="R21" s="222">
        <f>IF(Production[[#This Row],[Species]]&lt;&gt;"",IF(SUM(Production[[#This Row],[BtTtl]:[BrTtl]])/Production[[#This Row],[SatWt]]&lt;&gt;0,SUM(Production[[#This Row],[BtTtl]:[BrTtl]])/Production[[#This Row],[SatWt]],""),"")</f>
        <v>0.21052631578947367</v>
      </c>
      <c r="S21" s="223" t="str">
        <f>INDEX(Ingredients[Species],MATCH(Production[[#This Row],[Product]],Ingredients[ProdName],0))</f>
        <v>Poultry</v>
      </c>
    </row>
    <row r="22" spans="1:19" ht="11.1" customHeight="1" x14ac:dyDescent="0.25">
      <c r="A22" s="207" t="str">
        <f>IFERROR(IF(Production[[#This Row],[Date]]&lt;&gt;"",TEXT(Production[[#This Row],[Date]],"yy")&amp;"-"&amp;TEXT(Production[[#This Row],[Date]]-DATE(YEAR(Production[[#This Row],[Date]]),1,0),"000"),""),"")</f>
        <v>22-055</v>
      </c>
      <c r="B22" s="209" t="str">
        <f>IFERROR(IF(INDEX(Ingredients[Ingr1],MATCH(Production[[#This Row],[Product]],Ingredients[ProdName],0))&lt;&gt;"",INDEX(Ingredients[Ingr1],MATCH(Production[[#This Row],[Product]],Ingredients[ProdName],0)),INDEX(Ingredients[Ingr2],MATCH(Production[[#This Row],[Product]],Ingredients[ProdName],0))),"")</f>
        <v>Chicken - Tenders</v>
      </c>
      <c r="C22" s="53">
        <v>44616</v>
      </c>
      <c r="D22" s="54" t="s">
        <v>21</v>
      </c>
      <c r="E22" s="55" t="s">
        <v>183</v>
      </c>
      <c r="F22" s="56">
        <v>12</v>
      </c>
      <c r="G22" s="56">
        <v>84</v>
      </c>
      <c r="H22" s="208">
        <f>IFERROR(INDEX(Tier1[Wt],MATCH(Production[[#This Row],[Type]],Tier1[Ingredient],0))*Production[[#This Row],[Blocks Used]],0)</f>
        <v>3360</v>
      </c>
      <c r="I22" s="210">
        <f>IFERROR(INDEX(Ingredients[TtlWt],MATCH(Production[[#This Row],[Product]],Ingredients[ProdName],0))*Production[[#This Row],[Lots Done]],"")</f>
        <v>648</v>
      </c>
      <c r="J22" s="210">
        <f>IF(INDEX(Ingredients[Batter],MATCH(Production[[#This Row],[Product]],Ingredients[ProdName],0))*Production[[#This Row],[Batter Used]]&gt;0,INDEX(Ingredients[Batter],MATCH(Production[[#This Row],[Product]],Ingredients[ProdName],0))*Production[[#This Row],[Batter Used]],"")</f>
        <v>250</v>
      </c>
      <c r="K22" s="210">
        <f>IF(INDEX(Ingredients[Breader],MATCH(Production[[#This Row],[Product]],Ingredients[ProdName],0))*Production[[#This Row],[Breader Used]]&gt;0,INDEX(Ingredients[Breader],MATCH(Production[[#This Row],[Product]],Ingredients[ProdName],0))*Production[[#This Row],[Breader Used]],"")</f>
        <v>1050</v>
      </c>
      <c r="L22" s="56">
        <v>5</v>
      </c>
      <c r="M22" s="56">
        <v>21</v>
      </c>
      <c r="N22" s="211">
        <f>IFERROR(IF(SUM(Production[[#This Row],[Meat Wt]:[BrTtl]])&lt;&gt;0,SUM(Production[[#This Row],[Meat Wt]:[BrTtl]]),""),"")</f>
        <v>5308</v>
      </c>
      <c r="O22" s="55">
        <v>262</v>
      </c>
      <c r="P22" s="208">
        <f>INDEX(Ingredients[Case Wt.],MATCH(Production[[#This Row],[Product]],Ingredients[ProdName],0))*Production[[#This Row],[Case Total]]</f>
        <v>6550</v>
      </c>
      <c r="Q22" s="211">
        <f>IFERROR(Production[[#This Row],[SatWt]]-Production[[#This Row],[RawWt]],"")</f>
        <v>1242</v>
      </c>
      <c r="R22" s="222">
        <f>IF(Production[[#This Row],[Species]]&lt;&gt;"",IF(SUM(Production[[#This Row],[BtTtl]:[BrTtl]])/Production[[#This Row],[SatWt]]&lt;&gt;0,SUM(Production[[#This Row],[BtTtl]:[BrTtl]])/Production[[#This Row],[SatWt]],""),"")</f>
        <v>0.19847328244274809</v>
      </c>
      <c r="S22" s="223" t="str">
        <f>INDEX(Ingredients[Species],MATCH(Production[[#This Row],[Product]],Ingredients[ProdName],0))</f>
        <v>Poultry</v>
      </c>
    </row>
    <row r="23" spans="1:19" ht="11.1" customHeight="1" x14ac:dyDescent="0.25">
      <c r="A23" s="207" t="str">
        <f>IFERROR(IF(Production[[#This Row],[Date]]&lt;&gt;"",TEXT(Production[[#This Row],[Date]],"yy")&amp;"-"&amp;TEXT(Production[[#This Row],[Date]]-DATE(YEAR(Production[[#This Row],[Date]]),1,0),"000"),""),"")</f>
        <v>22-059</v>
      </c>
      <c r="B23" s="209" t="str">
        <f>IFERROR(IF(INDEX(Ingredients[Ingr1],MATCH(Production[[#This Row],[Product]],Ingredients[ProdName],0))&lt;&gt;"",INDEX(Ingredients[Ingr1],MATCH(Production[[#This Row],[Product]],Ingredients[ProdName],0)),INDEX(Ingredients[Ingr2],MATCH(Production[[#This Row],[Product]],Ingredients[ProdName],0))),"")</f>
        <v>Chicken - Tenders</v>
      </c>
      <c r="C23" s="53">
        <v>44620</v>
      </c>
      <c r="D23" s="54" t="s">
        <v>12</v>
      </c>
      <c r="E23" s="55" t="s">
        <v>183</v>
      </c>
      <c r="F23" s="56">
        <v>4</v>
      </c>
      <c r="G23" s="56">
        <v>28</v>
      </c>
      <c r="H23" s="208">
        <f>IFERROR(INDEX(Tier1[Wt],MATCH(Production[[#This Row],[Type]],Tier1[Ingredient],0))*Production[[#This Row],[Blocks Used]],0)</f>
        <v>1120</v>
      </c>
      <c r="I23" s="210">
        <f>IFERROR(INDEX(Ingredients[TtlWt],MATCH(Production[[#This Row],[Product]],Ingredients[ProdName],0))*Production[[#This Row],[Lots Done]],"")</f>
        <v>239.2</v>
      </c>
      <c r="J23" s="210">
        <f>IF(INDEX(Ingredients[Batter],MATCH(Production[[#This Row],[Product]],Ingredients[ProdName],0))*Production[[#This Row],[Batter Used]]&gt;0,INDEX(Ingredients[Batter],MATCH(Production[[#This Row],[Product]],Ingredients[ProdName],0))*Production[[#This Row],[Batter Used]],"")</f>
        <v>50</v>
      </c>
      <c r="K23" s="210">
        <f>IF(INDEX(Ingredients[Breader],MATCH(Production[[#This Row],[Product]],Ingredients[ProdName],0))*Production[[#This Row],[Breader Used]]&gt;0,INDEX(Ingredients[Breader],MATCH(Production[[#This Row],[Product]],Ingredients[ProdName],0))*Production[[#This Row],[Breader Used]],"")</f>
        <v>250</v>
      </c>
      <c r="L23" s="56">
        <v>1</v>
      </c>
      <c r="M23" s="56">
        <v>5</v>
      </c>
      <c r="N23" s="211">
        <f>IFERROR(IF(SUM(Production[[#This Row],[Meat Wt]:[BrTtl]])&lt;&gt;0,SUM(Production[[#This Row],[Meat Wt]:[BrTtl]]),""),"")</f>
        <v>1659.2</v>
      </c>
      <c r="O23" s="55">
        <v>98</v>
      </c>
      <c r="P23" s="208">
        <f>INDEX(Ingredients[Case Wt.],MATCH(Production[[#This Row],[Product]],Ingredients[ProdName],0))*Production[[#This Row],[Case Total]]</f>
        <v>2450</v>
      </c>
      <c r="Q23" s="211">
        <f>IFERROR(Production[[#This Row],[SatWt]]-Production[[#This Row],[RawWt]],"")</f>
        <v>790.8</v>
      </c>
      <c r="R23" s="222">
        <f>IF(Production[[#This Row],[Species]]&lt;&gt;"",IF(SUM(Production[[#This Row],[BtTtl]:[BrTtl]])/Production[[#This Row],[SatWt]]&lt;&gt;0,SUM(Production[[#This Row],[BtTtl]:[BrTtl]])/Production[[#This Row],[SatWt]],""),"")</f>
        <v>0.12244897959183673</v>
      </c>
      <c r="S23" s="223" t="str">
        <f>INDEX(Ingredients[Species],MATCH(Production[[#This Row],[Product]],Ingredients[ProdName],0))</f>
        <v>Poultry</v>
      </c>
    </row>
    <row r="24" spans="1:19" ht="11.1" customHeight="1" x14ac:dyDescent="0.25">
      <c r="A24" s="207" t="str">
        <f>IFERROR(IF(Production[[#This Row],[Date]]&lt;&gt;"",TEXT(Production[[#This Row],[Date]],"yy")&amp;"-"&amp;TEXT(Production[[#This Row],[Date]]-DATE(YEAR(Production[[#This Row],[Date]]),1,0),"000"),""),"")</f>
        <v>22-059</v>
      </c>
      <c r="B24" s="209" t="str">
        <f>IFERROR(IF(INDEX(Ingredients[Ingr1],MATCH(Production[[#This Row],[Product]],Ingredients[ProdName],0))&lt;&gt;"",INDEX(Ingredients[Ingr1],MATCH(Production[[#This Row],[Product]],Ingredients[ProdName],0)),INDEX(Ingredients[Ingr2],MATCH(Production[[#This Row],[Product]],Ingredients[ProdName],0))),"")</f>
        <v>Chicken - Tenders</v>
      </c>
      <c r="C24" s="53">
        <v>44620</v>
      </c>
      <c r="D24" s="54" t="s">
        <v>12</v>
      </c>
      <c r="E24" s="55" t="s">
        <v>183</v>
      </c>
      <c r="F24" s="56">
        <v>8</v>
      </c>
      <c r="G24" s="56">
        <v>56</v>
      </c>
      <c r="H24" s="208">
        <f>IFERROR(INDEX(Tier1[Wt],MATCH(Production[[#This Row],[Type]],Tier1[Ingredient],0))*Production[[#This Row],[Blocks Used]],0)</f>
        <v>2240</v>
      </c>
      <c r="I24" s="210">
        <f>IFERROR(INDEX(Ingredients[TtlWt],MATCH(Production[[#This Row],[Product]],Ingredients[ProdName],0))*Production[[#This Row],[Lots Done]],"")</f>
        <v>478.4</v>
      </c>
      <c r="J24" s="210">
        <f>IF(INDEX(Ingredients[Batter],MATCH(Production[[#This Row],[Product]],Ingredients[ProdName],0))*Production[[#This Row],[Batter Used]]&gt;0,INDEX(Ingredients[Batter],MATCH(Production[[#This Row],[Product]],Ingredients[ProdName],0))*Production[[#This Row],[Batter Used]],"")</f>
        <v>150</v>
      </c>
      <c r="K24" s="210">
        <f>IF(INDEX(Ingredients[Breader],MATCH(Production[[#This Row],[Product]],Ingredients[ProdName],0))*Production[[#This Row],[Breader Used]]&gt;0,INDEX(Ingredients[Breader],MATCH(Production[[#This Row],[Product]],Ingredients[ProdName],0))*Production[[#This Row],[Breader Used]],"")</f>
        <v>600</v>
      </c>
      <c r="L24" s="56">
        <v>3</v>
      </c>
      <c r="M24" s="56">
        <v>12</v>
      </c>
      <c r="N24" s="211">
        <f>IFERROR(IF(SUM(Production[[#This Row],[Meat Wt]:[BrTtl]])&lt;&gt;0,SUM(Production[[#This Row],[Meat Wt]:[BrTtl]]),""),"")</f>
        <v>3468.4</v>
      </c>
      <c r="O24" s="55">
        <v>180</v>
      </c>
      <c r="P24" s="208">
        <f>INDEX(Ingredients[Case Wt.],MATCH(Production[[#This Row],[Product]],Ingredients[ProdName],0))*Production[[#This Row],[Case Total]]</f>
        <v>4500</v>
      </c>
      <c r="Q24" s="211">
        <f>IFERROR(Production[[#This Row],[SatWt]]-Production[[#This Row],[RawWt]],"")</f>
        <v>1031.5999999999999</v>
      </c>
      <c r="R24" s="222">
        <f>IF(Production[[#This Row],[Species]]&lt;&gt;"",IF(SUM(Production[[#This Row],[BtTtl]:[BrTtl]])/Production[[#This Row],[SatWt]]&lt;&gt;0,SUM(Production[[#This Row],[BtTtl]:[BrTtl]])/Production[[#This Row],[SatWt]],""),"")</f>
        <v>0.16666666666666666</v>
      </c>
      <c r="S24" s="223" t="str">
        <f>INDEX(Ingredients[Species],MATCH(Production[[#This Row],[Product]],Ingredients[ProdName],0))</f>
        <v>Poultry</v>
      </c>
    </row>
    <row r="25" spans="1:19" ht="11.1" customHeight="1" x14ac:dyDescent="0.25">
      <c r="A25" s="207" t="str">
        <f>IFERROR(IF(Production[[#This Row],[Date]]&lt;&gt;"",TEXT(Production[[#This Row],[Date]],"yy")&amp;"-"&amp;TEXT(Production[[#This Row],[Date]]-DATE(YEAR(Production[[#This Row],[Date]]),1,0),"000"),""),"")</f>
        <v>22-060</v>
      </c>
      <c r="B25" s="209" t="str">
        <f>IFERROR(IF(INDEX(Ingredients[Ingr1],MATCH(Production[[#This Row],[Product]],Ingredients[ProdName],0))&lt;&gt;"",INDEX(Ingredients[Ingr1],MATCH(Production[[#This Row],[Product]],Ingredients[ProdName],0)),INDEX(Ingredients[Ingr2],MATCH(Production[[#This Row],[Product]],Ingredients[ProdName],0))),"")</f>
        <v>Pork - Trim</v>
      </c>
      <c r="C25" s="53">
        <v>44621</v>
      </c>
      <c r="D25" s="54" t="s">
        <v>22</v>
      </c>
      <c r="E25" s="55">
        <v>4204</v>
      </c>
      <c r="F25" s="56">
        <v>12</v>
      </c>
      <c r="G25" s="56">
        <v>60</v>
      </c>
      <c r="H25" s="208">
        <f>IFERROR(INDEX(Tier1[Wt],MATCH(Production[[#This Row],[Type]],Tier1[Ingredient],0))*Production[[#This Row],[Blocks Used]],0)</f>
        <v>3600</v>
      </c>
      <c r="I25" s="210">
        <f>IFERROR(INDEX(Ingredients[TtlWt],MATCH(Production[[#This Row],[Product]],Ingredients[ProdName],0))*Production[[#This Row],[Lots Done]],"")</f>
        <v>489.59999999999997</v>
      </c>
      <c r="J25" s="210">
        <f>IF(INDEX(Ingredients[Batter],MATCH(Production[[#This Row],[Product]],Ingredients[ProdName],0))*Production[[#This Row],[Batter Used]]&gt;0,INDEX(Ingredients[Batter],MATCH(Production[[#This Row],[Product]],Ingredients[ProdName],0))*Production[[#This Row],[Batter Used]],"")</f>
        <v>200</v>
      </c>
      <c r="K25" s="210">
        <f>IF(INDEX(Ingredients[Breader],MATCH(Production[[#This Row],[Product]],Ingredients[ProdName],0))*Production[[#This Row],[Breader Used]]&gt;0,INDEX(Ingredients[Breader],MATCH(Production[[#This Row],[Product]],Ingredients[ProdName],0))*Production[[#This Row],[Breader Used]],"")</f>
        <v>1025</v>
      </c>
      <c r="L25" s="56">
        <v>4</v>
      </c>
      <c r="M25" s="56">
        <v>41</v>
      </c>
      <c r="N25" s="211">
        <f>IFERROR(IF(SUM(Production[[#This Row],[Meat Wt]:[BrTtl]])&lt;&gt;0,SUM(Production[[#This Row],[Meat Wt]:[BrTtl]]),""),"")</f>
        <v>5314.6</v>
      </c>
      <c r="O25" s="55">
        <v>245</v>
      </c>
      <c r="P25" s="208">
        <f>INDEX(Ingredients[Case Wt.],MATCH(Production[[#This Row],[Product]],Ingredients[ProdName],0))*Production[[#This Row],[Case Total]]</f>
        <v>6125</v>
      </c>
      <c r="Q25" s="211">
        <f>IFERROR(Production[[#This Row],[SatWt]]-Production[[#This Row],[RawWt]],"")</f>
        <v>810.39999999999964</v>
      </c>
      <c r="R25" s="222">
        <f>IF(Production[[#This Row],[Species]]&lt;&gt;"",IF(SUM(Production[[#This Row],[BtTtl]:[BrTtl]])/Production[[#This Row],[SatWt]]&lt;&gt;0,SUM(Production[[#This Row],[BtTtl]:[BrTtl]])/Production[[#This Row],[SatWt]],""),"")</f>
        <v>0.2</v>
      </c>
      <c r="S25" s="223" t="str">
        <f>INDEX(Ingredients[Species],MATCH(Production[[#This Row],[Product]],Ingredients[ProdName],0))</f>
        <v>Meat</v>
      </c>
    </row>
    <row r="26" spans="1:19" ht="11.1" customHeight="1" x14ac:dyDescent="0.25">
      <c r="A26" s="207" t="str">
        <f>IFERROR(IF(Production[[#This Row],[Date]]&lt;&gt;"",TEXT(Production[[#This Row],[Date]],"yy")&amp;"-"&amp;TEXT(Production[[#This Row],[Date]]-DATE(YEAR(Production[[#This Row],[Date]]),1,0),"000"),""),"")</f>
        <v>22-061</v>
      </c>
      <c r="B26" s="209" t="str">
        <f>IFERROR(IF(INDEX(Ingredients[Ingr1],MATCH(Production[[#This Row],[Product]],Ingredients[ProdName],0))&lt;&gt;"",INDEX(Ingredients[Ingr1],MATCH(Production[[#This Row],[Product]],Ingredients[ProdName],0)),INDEX(Ingredients[Ingr2],MATCH(Production[[#This Row],[Product]],Ingredients[ProdName],0))),"")</f>
        <v>Chicken - Tenders</v>
      </c>
      <c r="C26" s="53">
        <v>44622</v>
      </c>
      <c r="D26" s="54" t="s">
        <v>21</v>
      </c>
      <c r="E26" s="55" t="s">
        <v>183</v>
      </c>
      <c r="F26" s="56">
        <v>12</v>
      </c>
      <c r="G26" s="56">
        <v>84</v>
      </c>
      <c r="H26" s="208">
        <f>IFERROR(INDEX(Tier1[Wt],MATCH(Production[[#This Row],[Type]],Tier1[Ingredient],0))*Production[[#This Row],[Blocks Used]],0)</f>
        <v>3360</v>
      </c>
      <c r="I26" s="210">
        <f>IFERROR(INDEX(Ingredients[TtlWt],MATCH(Production[[#This Row],[Product]],Ingredients[ProdName],0))*Production[[#This Row],[Lots Done]],"")</f>
        <v>648</v>
      </c>
      <c r="J26" s="210">
        <f>IF(INDEX(Ingredients[Batter],MATCH(Production[[#This Row],[Product]],Ingredients[ProdName],0))*Production[[#This Row],[Batter Used]]&gt;0,INDEX(Ingredients[Batter],MATCH(Production[[#This Row],[Product]],Ingredients[ProdName],0))*Production[[#This Row],[Batter Used]],"")</f>
        <v>250</v>
      </c>
      <c r="K26" s="210">
        <f>IF(INDEX(Ingredients[Breader],MATCH(Production[[#This Row],[Product]],Ingredients[ProdName],0))*Production[[#This Row],[Breader Used]]&gt;0,INDEX(Ingredients[Breader],MATCH(Production[[#This Row],[Product]],Ingredients[ProdName],0))*Production[[#This Row],[Breader Used]],"")</f>
        <v>1100</v>
      </c>
      <c r="L26" s="56">
        <v>5</v>
      </c>
      <c r="M26" s="56">
        <v>22</v>
      </c>
      <c r="N26" s="211">
        <f>IFERROR(IF(SUM(Production[[#This Row],[Meat Wt]:[BrTtl]])&lt;&gt;0,SUM(Production[[#This Row],[Meat Wt]:[BrTtl]]),""),"")</f>
        <v>5358</v>
      </c>
      <c r="O26" s="55">
        <v>257</v>
      </c>
      <c r="P26" s="208">
        <f>INDEX(Ingredients[Case Wt.],MATCH(Production[[#This Row],[Product]],Ingredients[ProdName],0))*Production[[#This Row],[Case Total]]</f>
        <v>6425</v>
      </c>
      <c r="Q26" s="211">
        <f>IFERROR(Production[[#This Row],[SatWt]]-Production[[#This Row],[RawWt]],"")</f>
        <v>1067</v>
      </c>
      <c r="R26" s="222">
        <f>IF(Production[[#This Row],[Species]]&lt;&gt;"",IF(SUM(Production[[#This Row],[BtTtl]:[BrTtl]])/Production[[#This Row],[SatWt]]&lt;&gt;0,SUM(Production[[#This Row],[BtTtl]:[BrTtl]])/Production[[#This Row],[SatWt]],""),"")</f>
        <v>0.21011673151750973</v>
      </c>
      <c r="S26" s="223" t="str">
        <f>INDEX(Ingredients[Species],MATCH(Production[[#This Row],[Product]],Ingredients[ProdName],0))</f>
        <v>Poultry</v>
      </c>
    </row>
    <row r="27" spans="1:19" ht="11.1" customHeight="1" x14ac:dyDescent="0.25">
      <c r="A27" s="207" t="str">
        <f>IFERROR(IF(Production[[#This Row],[Date]]&lt;&gt;"",TEXT(Production[[#This Row],[Date]],"yy")&amp;"-"&amp;TEXT(Production[[#This Row],[Date]]-DATE(YEAR(Production[[#This Row],[Date]]),1,0),"000"),""),"")</f>
        <v>22-062</v>
      </c>
      <c r="B27" s="209" t="str">
        <f>IFERROR(IF(INDEX(Ingredients[Ingr1],MATCH(Production[[#This Row],[Product]],Ingredients[ProdName],0))&lt;&gt;"",INDEX(Ingredients[Ingr1],MATCH(Production[[#This Row],[Product]],Ingredients[ProdName],0)),INDEX(Ingredients[Ingr2],MATCH(Production[[#This Row],[Product]],Ingredients[ProdName],0))),"")</f>
        <v>Chicken - Tenders</v>
      </c>
      <c r="C27" s="53">
        <v>44623</v>
      </c>
      <c r="D27" s="54" t="s">
        <v>21</v>
      </c>
      <c r="E27" s="55" t="s">
        <v>183</v>
      </c>
      <c r="F27" s="56">
        <v>12</v>
      </c>
      <c r="G27" s="56">
        <v>84</v>
      </c>
      <c r="H27" s="208">
        <f>IFERROR(INDEX(Tier1[Wt],MATCH(Production[[#This Row],[Type]],Tier1[Ingredient],0))*Production[[#This Row],[Blocks Used]],0)</f>
        <v>3360</v>
      </c>
      <c r="I27" s="210">
        <f>IFERROR(INDEX(Ingredients[TtlWt],MATCH(Production[[#This Row],[Product]],Ingredients[ProdName],0))*Production[[#This Row],[Lots Done]],"")</f>
        <v>648</v>
      </c>
      <c r="J27" s="210">
        <f>IF(INDEX(Ingredients[Batter],MATCH(Production[[#This Row],[Product]],Ingredients[ProdName],0))*Production[[#This Row],[Batter Used]]&gt;0,INDEX(Ingredients[Batter],MATCH(Production[[#This Row],[Product]],Ingredients[ProdName],0))*Production[[#This Row],[Batter Used]],"")</f>
        <v>200</v>
      </c>
      <c r="K27" s="210">
        <f>IF(INDEX(Ingredients[Breader],MATCH(Production[[#This Row],[Product]],Ingredients[ProdName],0))*Production[[#This Row],[Breader Used]]&gt;0,INDEX(Ingredients[Breader],MATCH(Production[[#This Row],[Product]],Ingredients[ProdName],0))*Production[[#This Row],[Breader Used]],"")</f>
        <v>750</v>
      </c>
      <c r="L27" s="56">
        <v>4</v>
      </c>
      <c r="M27" s="56">
        <v>15</v>
      </c>
      <c r="N27" s="211">
        <f>IFERROR(IF(SUM(Production[[#This Row],[Meat Wt]:[BrTtl]])&lt;&gt;0,SUM(Production[[#This Row],[Meat Wt]:[BrTtl]]),""),"")</f>
        <v>4958</v>
      </c>
      <c r="O27" s="55">
        <v>260</v>
      </c>
      <c r="P27" s="208">
        <f>INDEX(Ingredients[Case Wt.],MATCH(Production[[#This Row],[Product]],Ingredients[ProdName],0))*Production[[#This Row],[Case Total]]</f>
        <v>6500</v>
      </c>
      <c r="Q27" s="211">
        <f>IFERROR(Production[[#This Row],[SatWt]]-Production[[#This Row],[RawWt]],"")</f>
        <v>1542</v>
      </c>
      <c r="R27" s="222">
        <f>IF(Production[[#This Row],[Species]]&lt;&gt;"",IF(SUM(Production[[#This Row],[BtTtl]:[BrTtl]])/Production[[#This Row],[SatWt]]&lt;&gt;0,SUM(Production[[#This Row],[BtTtl]:[BrTtl]])/Production[[#This Row],[SatWt]],""),"")</f>
        <v>0.14615384615384616</v>
      </c>
      <c r="S27" s="223" t="str">
        <f>INDEX(Ingredients[Species],MATCH(Production[[#This Row],[Product]],Ingredients[ProdName],0))</f>
        <v>Poultry</v>
      </c>
    </row>
    <row r="28" spans="1:19" ht="11.1" customHeight="1" x14ac:dyDescent="0.25">
      <c r="A28" s="207" t="str">
        <f>IFERROR(IF(Production[[#This Row],[Date]]&lt;&gt;"",TEXT(Production[[#This Row],[Date]],"yy")&amp;"-"&amp;TEXT(Production[[#This Row],[Date]]-DATE(YEAR(Production[[#This Row],[Date]]),1,0),"000"),""),"")</f>
        <v>22-067</v>
      </c>
      <c r="B28" s="209" t="str">
        <f>IFERROR(IF(INDEX(Ingredients[Ingr1],MATCH(Production[[#This Row],[Product]],Ingredients[ProdName],0))&lt;&gt;"",INDEX(Ingredients[Ingr1],MATCH(Production[[#This Row],[Product]],Ingredients[ProdName],0)),INDEX(Ingredients[Ingr2],MATCH(Production[[#This Row],[Product]],Ingredients[ProdName],0))),"")</f>
        <v>Chicken - Tenders</v>
      </c>
      <c r="C28" s="53">
        <v>44628</v>
      </c>
      <c r="D28" s="54" t="s">
        <v>14</v>
      </c>
      <c r="E28" s="55" t="s">
        <v>183</v>
      </c>
      <c r="F28" s="56">
        <v>8</v>
      </c>
      <c r="G28" s="56">
        <v>56</v>
      </c>
      <c r="H28" s="208">
        <f>IFERROR(INDEX(Tier1[Wt],MATCH(Production[[#This Row],[Type]],Tier1[Ingredient],0))*Production[[#This Row],[Blocks Used]],0)</f>
        <v>2240</v>
      </c>
      <c r="I28" s="210">
        <f>IFERROR(INDEX(Ingredients[TtlWt],MATCH(Production[[#This Row],[Product]],Ingredients[ProdName],0))*Production[[#This Row],[Lots Done]],"")</f>
        <v>497.2</v>
      </c>
      <c r="J28" s="210" t="str">
        <f>IF(INDEX(Ingredients[Batter],MATCH(Production[[#This Row],[Product]],Ingredients[ProdName],0))*Production[[#This Row],[Batter Used]]&gt;0,INDEX(Ingredients[Batter],MATCH(Production[[#This Row],[Product]],Ingredients[ProdName],0))*Production[[#This Row],[Batter Used]],"")</f>
        <v/>
      </c>
      <c r="K28" s="210" t="str">
        <f>IF(INDEX(Ingredients[Breader],MATCH(Production[[#This Row],[Product]],Ingredients[ProdName],0))*Production[[#This Row],[Breader Used]]&gt;0,INDEX(Ingredients[Breader],MATCH(Production[[#This Row],[Product]],Ingredients[ProdName],0))*Production[[#This Row],[Breader Used]],"")</f>
        <v/>
      </c>
      <c r="L28" s="56"/>
      <c r="M28" s="56"/>
      <c r="N28" s="211">
        <f>IFERROR(IF(SUM(Production[[#This Row],[Meat Wt]:[BrTtl]])&lt;&gt;0,SUM(Production[[#This Row],[Meat Wt]:[BrTtl]]),""),"")</f>
        <v>2737.2</v>
      </c>
      <c r="O28" s="55">
        <v>147</v>
      </c>
      <c r="P28" s="208">
        <f>INDEX(Ingredients[Case Wt.],MATCH(Production[[#This Row],[Product]],Ingredients[ProdName],0))*Production[[#This Row],[Case Total]]</f>
        <v>3675</v>
      </c>
      <c r="Q28" s="211">
        <f>IFERROR(Production[[#This Row],[SatWt]]-Production[[#This Row],[RawWt]],"")</f>
        <v>937.80000000000018</v>
      </c>
      <c r="R28" s="222" t="str">
        <f>IF(Production[[#This Row],[Species]]&lt;&gt;"",IF(SUM(Production[[#This Row],[BtTtl]:[BrTtl]])/Production[[#This Row],[SatWt]]&lt;&gt;0,SUM(Production[[#This Row],[BtTtl]:[BrTtl]])/Production[[#This Row],[SatWt]],""),"")</f>
        <v/>
      </c>
      <c r="S28" s="223" t="str">
        <f>INDEX(Ingredients[Species],MATCH(Production[[#This Row],[Product]],Ingredients[ProdName],0))</f>
        <v>Poultry</v>
      </c>
    </row>
    <row r="29" spans="1:19" ht="11.1" customHeight="1" x14ac:dyDescent="0.25">
      <c r="A29" s="207" t="str">
        <f>IFERROR(IF(Production[[#This Row],[Date]]&lt;&gt;"",TEXT(Production[[#This Row],[Date]],"yy")&amp;"-"&amp;TEXT(Production[[#This Row],[Date]]-DATE(YEAR(Production[[#This Row],[Date]]),1,0),"000"),""),"")</f>
        <v>22-067</v>
      </c>
      <c r="B29" s="209" t="str">
        <f>IFERROR(IF(INDEX(Ingredients[Ingr1],MATCH(Production[[#This Row],[Product]],Ingredients[ProdName],0))&lt;&gt;"",INDEX(Ingredients[Ingr1],MATCH(Production[[#This Row],[Product]],Ingredients[ProdName],0)),INDEX(Ingredients[Ingr2],MATCH(Production[[#This Row],[Product]],Ingredients[ProdName],0))),"")</f>
        <v>Chicken - Tenders</v>
      </c>
      <c r="C29" s="53">
        <v>44628</v>
      </c>
      <c r="D29" s="54" t="s">
        <v>14</v>
      </c>
      <c r="E29" s="55" t="s">
        <v>183</v>
      </c>
      <c r="F29" s="56">
        <v>6</v>
      </c>
      <c r="G29" s="56">
        <v>42</v>
      </c>
      <c r="H29" s="208">
        <f>IFERROR(INDEX(Tier1[Wt],MATCH(Production[[#This Row],[Type]],Tier1[Ingredient],0))*Production[[#This Row],[Blocks Used]],0)</f>
        <v>1680</v>
      </c>
      <c r="I29" s="210">
        <f>IFERROR(INDEX(Ingredients[TtlWt],MATCH(Production[[#This Row],[Product]],Ingredients[ProdName],0))*Production[[#This Row],[Lots Done]],"")</f>
        <v>372.9</v>
      </c>
      <c r="J29" s="210" t="str">
        <f>IF(INDEX(Ingredients[Batter],MATCH(Production[[#This Row],[Product]],Ingredients[ProdName],0))*Production[[#This Row],[Batter Used]]&gt;0,INDEX(Ingredients[Batter],MATCH(Production[[#This Row],[Product]],Ingredients[ProdName],0))*Production[[#This Row],[Batter Used]],"")</f>
        <v/>
      </c>
      <c r="K29" s="210" t="str">
        <f>IF(INDEX(Ingredients[Breader],MATCH(Production[[#This Row],[Product]],Ingredients[ProdName],0))*Production[[#This Row],[Breader Used]]&gt;0,INDEX(Ingredients[Breader],MATCH(Production[[#This Row],[Product]],Ingredients[ProdName],0))*Production[[#This Row],[Breader Used]],"")</f>
        <v/>
      </c>
      <c r="L29" s="56"/>
      <c r="M29" s="56"/>
      <c r="N29" s="211">
        <f>IFERROR(IF(SUM(Production[[#This Row],[Meat Wt]:[BrTtl]])&lt;&gt;0,SUM(Production[[#This Row],[Meat Wt]:[BrTtl]]),""),"")</f>
        <v>2052.9</v>
      </c>
      <c r="O29" s="55">
        <v>115</v>
      </c>
      <c r="P29" s="208">
        <f>INDEX(Ingredients[Case Wt.],MATCH(Production[[#This Row],[Product]],Ingredients[ProdName],0))*Production[[#This Row],[Case Total]]</f>
        <v>2875</v>
      </c>
      <c r="Q29" s="211">
        <f>IFERROR(Production[[#This Row],[SatWt]]-Production[[#This Row],[RawWt]],"")</f>
        <v>822.09999999999991</v>
      </c>
      <c r="R29" s="222" t="str">
        <f>IF(Production[[#This Row],[Species]]&lt;&gt;"",IF(SUM(Production[[#This Row],[BtTtl]:[BrTtl]])/Production[[#This Row],[SatWt]]&lt;&gt;0,SUM(Production[[#This Row],[BtTtl]:[BrTtl]])/Production[[#This Row],[SatWt]],""),"")</f>
        <v/>
      </c>
      <c r="S29" s="223" t="str">
        <f>INDEX(Ingredients[Species],MATCH(Production[[#This Row],[Product]],Ingredients[ProdName],0))</f>
        <v>Poultry</v>
      </c>
    </row>
    <row r="30" spans="1:19" ht="11.1" customHeight="1" x14ac:dyDescent="0.25">
      <c r="A30" s="207" t="str">
        <f>IFERROR(IF(Production[[#This Row],[Date]]&lt;&gt;"",TEXT(Production[[#This Row],[Date]],"yy")&amp;"-"&amp;TEXT(Production[[#This Row],[Date]]-DATE(YEAR(Production[[#This Row],[Date]]),1,0),"000"),""),"")</f>
        <v>22-068</v>
      </c>
      <c r="B30" s="209" t="str">
        <f>IFERROR(IF(INDEX(Ingredients[Ingr1],MATCH(Production[[#This Row],[Product]],Ingredients[ProdName],0))&lt;&gt;"",INDEX(Ingredients[Ingr1],MATCH(Production[[#This Row],[Product]],Ingredients[ProdName],0)),INDEX(Ingredients[Ingr2],MATCH(Production[[#This Row],[Product]],Ingredients[ProdName],0))),"")</f>
        <v>Chicken - Ground</v>
      </c>
      <c r="C30" s="53">
        <v>44629</v>
      </c>
      <c r="D30" s="54" t="s">
        <v>15</v>
      </c>
      <c r="E30" s="55">
        <v>2185</v>
      </c>
      <c r="F30" s="56">
        <v>9</v>
      </c>
      <c r="G30" s="56">
        <v>45</v>
      </c>
      <c r="H30" s="208">
        <f>IFERROR(INDEX(Tier1[Wt],MATCH(Production[[#This Row],[Type]],Tier1[Ingredient],0))*Production[[#This Row],[Blocks Used]],0)</f>
        <v>2250</v>
      </c>
      <c r="I30" s="210">
        <f>IFERROR(INDEX(Ingredients[TtlWt],MATCH(Production[[#This Row],[Product]],Ingredients[ProdName],0))*Production[[#This Row],[Lots Done]],"")</f>
        <v>104.85000000000001</v>
      </c>
      <c r="J30" s="210" t="str">
        <f>IF(INDEX(Ingredients[Batter],MATCH(Production[[#This Row],[Product]],Ingredients[ProdName],0))*Production[[#This Row],[Batter Used]]&gt;0,INDEX(Ingredients[Batter],MATCH(Production[[#This Row],[Product]],Ingredients[ProdName],0))*Production[[#This Row],[Batter Used]],"")</f>
        <v/>
      </c>
      <c r="K30" s="210" t="str">
        <f>IF(INDEX(Ingredients[Breader],MATCH(Production[[#This Row],[Product]],Ingredients[ProdName],0))*Production[[#This Row],[Breader Used]]&gt;0,INDEX(Ingredients[Breader],MATCH(Production[[#This Row],[Product]],Ingredients[ProdName],0))*Production[[#This Row],[Breader Used]],"")</f>
        <v/>
      </c>
      <c r="L30" s="56"/>
      <c r="M30" s="56"/>
      <c r="N30" s="211">
        <f>IFERROR(IF(SUM(Production[[#This Row],[Meat Wt]:[BrTtl]])&lt;&gt;0,SUM(Production[[#This Row],[Meat Wt]:[BrTtl]]),""),"")</f>
        <v>2354.85</v>
      </c>
      <c r="O30" s="55">
        <v>150</v>
      </c>
      <c r="P30" s="208">
        <f>INDEX(Ingredients[Case Wt.],MATCH(Production[[#This Row],[Product]],Ingredients[ProdName],0))*Production[[#This Row],[Case Total]]</f>
        <v>4500</v>
      </c>
      <c r="Q30" s="211">
        <f>IFERROR(Production[[#This Row],[SatWt]]-Production[[#This Row],[RawWt]],"")</f>
        <v>2145.15</v>
      </c>
      <c r="R30" s="222" t="str">
        <f>IF(Production[[#This Row],[Species]]&lt;&gt;"",IF(SUM(Production[[#This Row],[BtTtl]:[BrTtl]])/Production[[#This Row],[SatWt]]&lt;&gt;0,SUM(Production[[#This Row],[BtTtl]:[BrTtl]])/Production[[#This Row],[SatWt]],""),"")</f>
        <v/>
      </c>
      <c r="S30" s="223" t="str">
        <f>INDEX(Ingredients[Species],MATCH(Production[[#This Row],[Product]],Ingredients[ProdName],0))</f>
        <v>Poultry</v>
      </c>
    </row>
    <row r="31" spans="1:19" ht="11.1" customHeight="1" x14ac:dyDescent="0.25">
      <c r="A31" s="207" t="str">
        <f>IFERROR(IF(Production[[#This Row],[Date]]&lt;&gt;"",TEXT(Production[[#This Row],[Date]],"yy")&amp;"-"&amp;TEXT(Production[[#This Row],[Date]]-DATE(YEAR(Production[[#This Row],[Date]]),1,0),"000"),""),"")</f>
        <v>22-068</v>
      </c>
      <c r="B31" s="209" t="str">
        <f>IFERROR(IF(INDEX(Ingredients[Ingr1],MATCH(Production[[#This Row],[Product]],Ingredients[ProdName],0))&lt;&gt;"",INDEX(Ingredients[Ingr1],MATCH(Production[[#This Row],[Product]],Ingredients[ProdName],0)),INDEX(Ingredients[Ingr2],MATCH(Production[[#This Row],[Product]],Ingredients[ProdName],0))),"")</f>
        <v>Chicken - Ground</v>
      </c>
      <c r="C31" s="53">
        <v>44629</v>
      </c>
      <c r="D31" s="54" t="s">
        <v>7</v>
      </c>
      <c r="E31" s="55">
        <v>2185</v>
      </c>
      <c r="F31" s="56">
        <v>3</v>
      </c>
      <c r="G31" s="56">
        <v>15</v>
      </c>
      <c r="H31" s="208">
        <f>IFERROR(INDEX(Tier1[Wt],MATCH(Production[[#This Row],[Type]],Tier1[Ingredient],0))*Production[[#This Row],[Blocks Used]],0)</f>
        <v>750</v>
      </c>
      <c r="I31" s="210">
        <f>IFERROR(INDEX(Ingredients[TtlWt],MATCH(Production[[#This Row],[Product]],Ingredients[ProdName],0))*Production[[#This Row],[Lots Done]],"")</f>
        <v>20.25</v>
      </c>
      <c r="J31" s="210" t="str">
        <f>IF(INDEX(Ingredients[Batter],MATCH(Production[[#This Row],[Product]],Ingredients[ProdName],0))*Production[[#This Row],[Batter Used]]&gt;0,INDEX(Ingredients[Batter],MATCH(Production[[#This Row],[Product]],Ingredients[ProdName],0))*Production[[#This Row],[Batter Used]],"")</f>
        <v/>
      </c>
      <c r="K31" s="210" t="str">
        <f>IF(INDEX(Ingredients[Breader],MATCH(Production[[#This Row],[Product]],Ingredients[ProdName],0))*Production[[#This Row],[Breader Used]]&gt;0,INDEX(Ingredients[Breader],MATCH(Production[[#This Row],[Product]],Ingredients[ProdName],0))*Production[[#This Row],[Breader Used]],"")</f>
        <v/>
      </c>
      <c r="L31" s="56"/>
      <c r="M31" s="56"/>
      <c r="N31" s="211">
        <f>IFERROR(IF(SUM(Production[[#This Row],[Meat Wt]:[BrTtl]])&lt;&gt;0,SUM(Production[[#This Row],[Meat Wt]:[BrTtl]]),""),"")</f>
        <v>770.25</v>
      </c>
      <c r="O31" s="55">
        <v>55</v>
      </c>
      <c r="P31" s="208">
        <f>INDEX(Ingredients[Case Wt.],MATCH(Production[[#This Row],[Product]],Ingredients[ProdName],0))*Production[[#This Row],[Case Total]]</f>
        <v>1375</v>
      </c>
      <c r="Q31" s="211">
        <f>IFERROR(Production[[#This Row],[SatWt]]-Production[[#This Row],[RawWt]],"")</f>
        <v>604.75</v>
      </c>
      <c r="R31" s="222" t="str">
        <f>IF(Production[[#This Row],[Species]]&lt;&gt;"",IF(SUM(Production[[#This Row],[BtTtl]:[BrTtl]])/Production[[#This Row],[SatWt]]&lt;&gt;0,SUM(Production[[#This Row],[BtTtl]:[BrTtl]])/Production[[#This Row],[SatWt]],""),"")</f>
        <v/>
      </c>
      <c r="S31" s="223" t="str">
        <f>INDEX(Ingredients[Species],MATCH(Production[[#This Row],[Product]],Ingredients[ProdName],0))</f>
        <v>Poultry</v>
      </c>
    </row>
    <row r="32" spans="1:19" ht="11.1" customHeight="1" x14ac:dyDescent="0.25">
      <c r="A32" s="207" t="str">
        <f>IFERROR(IF(Production[[#This Row],[Date]]&lt;&gt;"",TEXT(Production[[#This Row],[Date]],"yy")&amp;"-"&amp;TEXT(Production[[#This Row],[Date]]-DATE(YEAR(Production[[#This Row],[Date]]),1,0),"000"),""),"")</f>
        <v>22-069</v>
      </c>
      <c r="B32" s="209" t="str">
        <f>IFERROR(IF(INDEX(Ingredients[Ingr1],MATCH(Production[[#This Row],[Product]],Ingredients[ProdName],0))&lt;&gt;"",INDEX(Ingredients[Ingr1],MATCH(Production[[#This Row],[Product]],Ingredients[ProdName],0)),INDEX(Ingredients[Ingr2],MATCH(Production[[#This Row],[Product]],Ingredients[ProdName],0))),"")</f>
        <v>Chicken - Ground</v>
      </c>
      <c r="C32" s="53">
        <v>44630</v>
      </c>
      <c r="D32" s="54" t="s">
        <v>9</v>
      </c>
      <c r="E32" s="55">
        <v>2185</v>
      </c>
      <c r="F32" s="56">
        <v>12</v>
      </c>
      <c r="G32" s="56">
        <v>72</v>
      </c>
      <c r="H32" s="208">
        <f>IFERROR(INDEX(Tier1[Wt],MATCH(Production[[#This Row],[Type]],Tier1[Ingredient],0))*Production[[#This Row],[Blocks Used]],0)</f>
        <v>3600</v>
      </c>
      <c r="I32" s="210" t="str">
        <f>IFERROR(INDEX(Ingredients[TtlWt],MATCH(Production[[#This Row],[Product]],Ingredients[ProdName],0))*Production[[#This Row],[Lots Done]],"")</f>
        <v/>
      </c>
      <c r="J32" s="210" t="str">
        <f>IF(INDEX(Ingredients[Batter],MATCH(Production[[#This Row],[Product]],Ingredients[ProdName],0))*Production[[#This Row],[Batter Used]]&gt;0,INDEX(Ingredients[Batter],MATCH(Production[[#This Row],[Product]],Ingredients[ProdName],0))*Production[[#This Row],[Batter Used]],"")</f>
        <v/>
      </c>
      <c r="K32" s="210" t="str">
        <f>IF(INDEX(Ingredients[Breader],MATCH(Production[[#This Row],[Product]],Ingredients[ProdName],0))*Production[[#This Row],[Breader Used]]&gt;0,INDEX(Ingredients[Breader],MATCH(Production[[#This Row],[Product]],Ingredients[ProdName],0))*Production[[#This Row],[Breader Used]],"")</f>
        <v/>
      </c>
      <c r="L32" s="56"/>
      <c r="M32" s="56"/>
      <c r="N32" s="211">
        <f>IFERROR(IF(SUM(Production[[#This Row],[Meat Wt]:[BrTtl]])&lt;&gt;0,SUM(Production[[#This Row],[Meat Wt]:[BrTtl]]),""),"")</f>
        <v>3600</v>
      </c>
      <c r="O32" s="55">
        <v>178</v>
      </c>
      <c r="P32" s="208">
        <f>INDEX(Ingredients[Case Wt.],MATCH(Production[[#This Row],[Product]],Ingredients[ProdName],0))*Production[[#This Row],[Case Total]]</f>
        <v>5340</v>
      </c>
      <c r="Q32" s="211">
        <f>IFERROR(Production[[#This Row],[SatWt]]-Production[[#This Row],[RawWt]],"")</f>
        <v>1740</v>
      </c>
      <c r="R32" s="222" t="str">
        <f>IF(Production[[#This Row],[Species]]&lt;&gt;"",IF(SUM(Production[[#This Row],[BtTtl]:[BrTtl]])/Production[[#This Row],[SatWt]]&lt;&gt;0,SUM(Production[[#This Row],[BtTtl]:[BrTtl]])/Production[[#This Row],[SatWt]],""),"")</f>
        <v/>
      </c>
      <c r="S32" s="223" t="str">
        <f>INDEX(Ingredients[Species],MATCH(Production[[#This Row],[Product]],Ingredients[ProdName],0))</f>
        <v>Poultry</v>
      </c>
    </row>
    <row r="33" spans="1:19" ht="11.1" customHeight="1" x14ac:dyDescent="0.25">
      <c r="A33" s="207" t="str">
        <f>IFERROR(IF(Production[[#This Row],[Date]]&lt;&gt;"",TEXT(Production[[#This Row],[Date]],"yy")&amp;"-"&amp;TEXT(Production[[#This Row],[Date]]-DATE(YEAR(Production[[#This Row],[Date]]),1,0),"000"),""),"")</f>
        <v>22-069</v>
      </c>
      <c r="B33" s="209" t="str">
        <f>IFERROR(IF(INDEX(Ingredients[Ingr1],MATCH(Production[[#This Row],[Product]],Ingredients[ProdName],0))&lt;&gt;"",INDEX(Ingredients[Ingr1],MATCH(Production[[#This Row],[Product]],Ingredients[ProdName],0)),INDEX(Ingredients[Ingr2],MATCH(Production[[#This Row],[Product]],Ingredients[ProdName],0))),"")</f>
        <v>Chicken - Ground</v>
      </c>
      <c r="C33" s="53">
        <v>44630</v>
      </c>
      <c r="D33" s="54" t="s">
        <v>9</v>
      </c>
      <c r="E33" s="55">
        <v>2185</v>
      </c>
      <c r="F33" s="56">
        <v>8</v>
      </c>
      <c r="G33" s="56">
        <v>56</v>
      </c>
      <c r="H33" s="208">
        <f>IFERROR(INDEX(Tier1[Wt],MATCH(Production[[#This Row],[Type]],Tier1[Ingredient],0))*Production[[#This Row],[Blocks Used]],0)</f>
        <v>2800</v>
      </c>
      <c r="I33" s="210" t="str">
        <f>IFERROR(INDEX(Ingredients[TtlWt],MATCH(Production[[#This Row],[Product]],Ingredients[ProdName],0))*Production[[#This Row],[Lots Done]],"")</f>
        <v/>
      </c>
      <c r="J33" s="210" t="str">
        <f>IF(INDEX(Ingredients[Batter],MATCH(Production[[#This Row],[Product]],Ingredients[ProdName],0))*Production[[#This Row],[Batter Used]]&gt;0,INDEX(Ingredients[Batter],MATCH(Production[[#This Row],[Product]],Ingredients[ProdName],0))*Production[[#This Row],[Batter Used]],"")</f>
        <v/>
      </c>
      <c r="K33" s="210" t="str">
        <f>IF(INDEX(Ingredients[Breader],MATCH(Production[[#This Row],[Product]],Ingredients[ProdName],0))*Production[[#This Row],[Breader Used]]&gt;0,INDEX(Ingredients[Breader],MATCH(Production[[#This Row],[Product]],Ingredients[ProdName],0))*Production[[#This Row],[Breader Used]],"")</f>
        <v/>
      </c>
      <c r="L33" s="56"/>
      <c r="M33" s="56"/>
      <c r="N33" s="211">
        <f>IFERROR(IF(SUM(Production[[#This Row],[Meat Wt]:[BrTtl]])&lt;&gt;0,SUM(Production[[#This Row],[Meat Wt]:[BrTtl]]),""),"")</f>
        <v>2800</v>
      </c>
      <c r="O33" s="55">
        <v>98</v>
      </c>
      <c r="P33" s="208">
        <f>INDEX(Ingredients[Case Wt.],MATCH(Production[[#This Row],[Product]],Ingredients[ProdName],0))*Production[[#This Row],[Case Total]]</f>
        <v>2940</v>
      </c>
      <c r="Q33" s="211">
        <f>IFERROR(Production[[#This Row],[SatWt]]-Production[[#This Row],[RawWt]],"")</f>
        <v>140</v>
      </c>
      <c r="R33" s="222" t="str">
        <f>IF(Production[[#This Row],[Species]]&lt;&gt;"",IF(SUM(Production[[#This Row],[BtTtl]:[BrTtl]])/Production[[#This Row],[SatWt]]&lt;&gt;0,SUM(Production[[#This Row],[BtTtl]:[BrTtl]])/Production[[#This Row],[SatWt]],""),"")</f>
        <v/>
      </c>
      <c r="S33" s="223" t="str">
        <f>INDEX(Ingredients[Species],MATCH(Production[[#This Row],[Product]],Ingredients[ProdName],0))</f>
        <v>Poultry</v>
      </c>
    </row>
    <row r="34" spans="1:19" ht="11.1" customHeight="1" x14ac:dyDescent="0.25">
      <c r="A34" s="207" t="str">
        <f>IFERROR(IF(Production[[#This Row],[Date]]&lt;&gt;"",TEXT(Production[[#This Row],[Date]],"yy")&amp;"-"&amp;TEXT(Production[[#This Row],[Date]]-DATE(YEAR(Production[[#This Row],[Date]]),1,0),"000"),""),"")</f>
        <v>22-073</v>
      </c>
      <c r="B34" s="209" t="str">
        <f>IFERROR(IF(INDEX(Ingredients[Ingr1],MATCH(Production[[#This Row],[Product]],Ingredients[ProdName],0))&lt;&gt;"",INDEX(Ingredients[Ingr1],MATCH(Production[[#This Row],[Product]],Ingredients[ProdName],0)),INDEX(Ingredients[Ingr2],MATCH(Production[[#This Row],[Product]],Ingredients[ProdName],0))),"")</f>
        <v>Chicken - Ground</v>
      </c>
      <c r="C34" s="53">
        <v>44634</v>
      </c>
      <c r="D34" s="54" t="s">
        <v>15</v>
      </c>
      <c r="E34" s="55">
        <v>2185</v>
      </c>
      <c r="F34" s="56">
        <v>10</v>
      </c>
      <c r="G34" s="56">
        <v>60</v>
      </c>
      <c r="H34" s="208">
        <f>IFERROR(INDEX(Tier1[Wt],MATCH(Production[[#This Row],[Type]],Tier1[Ingredient],0))*Production[[#This Row],[Blocks Used]],0)</f>
        <v>3000</v>
      </c>
      <c r="I34" s="210">
        <f>IFERROR(INDEX(Ingredients[TtlWt],MATCH(Production[[#This Row],[Product]],Ingredients[ProdName],0))*Production[[#This Row],[Lots Done]],"")</f>
        <v>116.5</v>
      </c>
      <c r="J34" s="210" t="str">
        <f>IF(INDEX(Ingredients[Batter],MATCH(Production[[#This Row],[Product]],Ingredients[ProdName],0))*Production[[#This Row],[Batter Used]]&gt;0,INDEX(Ingredients[Batter],MATCH(Production[[#This Row],[Product]],Ingredients[ProdName],0))*Production[[#This Row],[Batter Used]],"")</f>
        <v/>
      </c>
      <c r="K34" s="210" t="str">
        <f>IF(INDEX(Ingredients[Breader],MATCH(Production[[#This Row],[Product]],Ingredients[ProdName],0))*Production[[#This Row],[Breader Used]]&gt;0,INDEX(Ingredients[Breader],MATCH(Production[[#This Row],[Product]],Ingredients[ProdName],0))*Production[[#This Row],[Breader Used]],"")</f>
        <v/>
      </c>
      <c r="L34" s="56"/>
      <c r="M34" s="56"/>
      <c r="N34" s="211">
        <f>IFERROR(IF(SUM(Production[[#This Row],[Meat Wt]:[BrTtl]])&lt;&gt;0,SUM(Production[[#This Row],[Meat Wt]:[BrTtl]]),""),"")</f>
        <v>3116.5</v>
      </c>
      <c r="O34" s="55">
        <v>157</v>
      </c>
      <c r="P34" s="208">
        <f>INDEX(Ingredients[Case Wt.],MATCH(Production[[#This Row],[Product]],Ingredients[ProdName],0))*Production[[#This Row],[Case Total]]</f>
        <v>4710</v>
      </c>
      <c r="Q34" s="211">
        <f>IFERROR(Production[[#This Row],[SatWt]]-Production[[#This Row],[RawWt]],"")</f>
        <v>1593.5</v>
      </c>
      <c r="R34" s="222" t="str">
        <f>IF(Production[[#This Row],[Species]]&lt;&gt;"",IF(SUM(Production[[#This Row],[BtTtl]:[BrTtl]])/Production[[#This Row],[SatWt]]&lt;&gt;0,SUM(Production[[#This Row],[BtTtl]:[BrTtl]])/Production[[#This Row],[SatWt]],""),"")</f>
        <v/>
      </c>
      <c r="S34" s="223" t="str">
        <f>INDEX(Ingredients[Species],MATCH(Production[[#This Row],[Product]],Ingredients[ProdName],0))</f>
        <v>Poultry</v>
      </c>
    </row>
    <row r="35" spans="1:19" ht="11.1" customHeight="1" x14ac:dyDescent="0.25">
      <c r="A35" s="207" t="str">
        <f>IFERROR(IF(Production[[#This Row],[Date]]&lt;&gt;"",TEXT(Production[[#This Row],[Date]],"yy")&amp;"-"&amp;TEXT(Production[[#This Row],[Date]]-DATE(YEAR(Production[[#This Row],[Date]]),1,0),"000"),""),"")</f>
        <v>22-074</v>
      </c>
      <c r="B35" s="209" t="str">
        <f>IFERROR(IF(INDEX(Ingredients[Ingr1],MATCH(Production[[#This Row],[Product]],Ingredients[ProdName],0))&lt;&gt;"",INDEX(Ingredients[Ingr1],MATCH(Production[[#This Row],[Product]],Ingredients[ProdName],0)),INDEX(Ingredients[Ingr2],MATCH(Production[[#This Row],[Product]],Ingredients[ProdName],0))),"")</f>
        <v>Fish - Fillets</v>
      </c>
      <c r="C35" s="53">
        <v>44635</v>
      </c>
      <c r="D35" s="54" t="s">
        <v>45</v>
      </c>
      <c r="E35" s="55">
        <v>7676</v>
      </c>
      <c r="F35" s="56"/>
      <c r="G35" s="56"/>
      <c r="H35" s="208">
        <f>IFERROR(INDEX(Tier1[Wt],MATCH(Production[[#This Row],[Type]],Tier1[Ingredient],0))*Production[[#This Row],[Blocks Used]],0)</f>
        <v>0</v>
      </c>
      <c r="I35" s="210" t="str">
        <f>IFERROR(INDEX(Ingredients[TtlWt],MATCH(Production[[#This Row],[Product]],Ingredients[ProdName],0))*Production[[#This Row],[Lots Done]],"")</f>
        <v/>
      </c>
      <c r="J35" s="210" t="str">
        <f>IF(INDEX(Ingredients[Batter],MATCH(Production[[#This Row],[Product]],Ingredients[ProdName],0))*Production[[#This Row],[Batter Used]]&gt;0,INDEX(Ingredients[Batter],MATCH(Production[[#This Row],[Product]],Ingredients[ProdName],0))*Production[[#This Row],[Batter Used]],"")</f>
        <v/>
      </c>
      <c r="K35" s="210" t="str">
        <f>IF(INDEX(Ingredients[Breader],MATCH(Production[[#This Row],[Product]],Ingredients[ProdName],0))*Production[[#This Row],[Breader Used]]&gt;0,INDEX(Ingredients[Breader],MATCH(Production[[#This Row],[Product]],Ingredients[ProdName],0))*Production[[#This Row],[Breader Used]],"")</f>
        <v/>
      </c>
      <c r="L35" s="56"/>
      <c r="M35" s="56"/>
      <c r="N35" s="211" t="str">
        <f>IFERROR(IF(SUM(Production[[#This Row],[Meat Wt]:[BrTtl]])&lt;&gt;0,SUM(Production[[#This Row],[Meat Wt]:[BrTtl]]),""),"")</f>
        <v/>
      </c>
      <c r="O35" s="55">
        <v>26</v>
      </c>
      <c r="P35" s="208">
        <f>INDEX(Ingredients[Case Wt.],MATCH(Production[[#This Row],[Product]],Ingredients[ProdName],0))*Production[[#This Row],[Case Total]]</f>
        <v>780</v>
      </c>
      <c r="Q35" s="211" t="str">
        <f>IFERROR(Production[[#This Row],[SatWt]]-Production[[#This Row],[RawWt]],"")</f>
        <v/>
      </c>
      <c r="R35" s="222" t="str">
        <f>IF(Production[[#This Row],[Species]]&lt;&gt;"",IF(SUM(Production[[#This Row],[BtTtl]:[BrTtl]])/Production[[#This Row],[SatWt]]&lt;&gt;0,SUM(Production[[#This Row],[BtTtl]:[BrTtl]])/Production[[#This Row],[SatWt]],""),"")</f>
        <v/>
      </c>
      <c r="S35" s="223" t="str">
        <f>INDEX(Ingredients[Species],MATCH(Production[[#This Row],[Product]],Ingredients[ProdName],0))</f>
        <v/>
      </c>
    </row>
    <row r="36" spans="1:19" ht="11.1" customHeight="1" x14ac:dyDescent="0.25">
      <c r="A36" s="207" t="str">
        <f>IFERROR(IF(Production[[#This Row],[Date]]&lt;&gt;"",TEXT(Production[[#This Row],[Date]],"yy")&amp;"-"&amp;TEXT(Production[[#This Row],[Date]]-DATE(YEAR(Production[[#This Row],[Date]]),1,0),"000"),""),"")</f>
        <v>22-075</v>
      </c>
      <c r="B36" s="209" t="str">
        <f>IFERROR(IF(INDEX(Ingredients[Ingr1],MATCH(Production[[#This Row],[Product]],Ingredients[ProdName],0))&lt;&gt;"",INDEX(Ingredients[Ingr1],MATCH(Production[[#This Row],[Product]],Ingredients[ProdName],0)),INDEX(Ingredients[Ingr2],MATCH(Production[[#This Row],[Product]],Ingredients[ProdName],0))),"")</f>
        <v>Chicken - Ground</v>
      </c>
      <c r="C36" s="53">
        <v>44636</v>
      </c>
      <c r="D36" s="54" t="s">
        <v>16</v>
      </c>
      <c r="E36" s="55">
        <v>2185</v>
      </c>
      <c r="F36" s="56">
        <v>12</v>
      </c>
      <c r="G36" s="56">
        <v>72</v>
      </c>
      <c r="H36" s="208">
        <f>IFERROR(INDEX(Tier1[Wt],MATCH(Production[[#This Row],[Type]],Tier1[Ingredient],0))*Production[[#This Row],[Blocks Used]],0)</f>
        <v>3600</v>
      </c>
      <c r="I36" s="210">
        <f>IFERROR(INDEX(Ingredients[TtlWt],MATCH(Production[[#This Row],[Product]],Ingredients[ProdName],0))*Production[[#This Row],[Lots Done]],"")</f>
        <v>244.79999999999998</v>
      </c>
      <c r="J36" s="210" t="str">
        <f>IF(INDEX(Ingredients[Batter],MATCH(Production[[#This Row],[Product]],Ingredients[ProdName],0))*Production[[#This Row],[Batter Used]]&gt;0,INDEX(Ingredients[Batter],MATCH(Production[[#This Row],[Product]],Ingredients[ProdName],0))*Production[[#This Row],[Batter Used]],"")</f>
        <v/>
      </c>
      <c r="K36" s="210" t="str">
        <f>IF(INDEX(Ingredients[Breader],MATCH(Production[[#This Row],[Product]],Ingredients[ProdName],0))*Production[[#This Row],[Breader Used]]&gt;0,INDEX(Ingredients[Breader],MATCH(Production[[#This Row],[Product]],Ingredients[ProdName],0))*Production[[#This Row],[Breader Used]],"")</f>
        <v/>
      </c>
      <c r="L36" s="56"/>
      <c r="M36" s="56"/>
      <c r="N36" s="211">
        <f>IFERROR(IF(SUM(Production[[#This Row],[Meat Wt]:[BrTtl]])&lt;&gt;0,SUM(Production[[#This Row],[Meat Wt]:[BrTtl]]),""),"")</f>
        <v>3844.8</v>
      </c>
      <c r="O36" s="55">
        <v>176</v>
      </c>
      <c r="P36" s="208">
        <f>INDEX(Ingredients[Case Wt.],MATCH(Production[[#This Row],[Product]],Ingredients[ProdName],0))*Production[[#This Row],[Case Total]]</f>
        <v>5280</v>
      </c>
      <c r="Q36" s="211">
        <f>IFERROR(Production[[#This Row],[SatWt]]-Production[[#This Row],[RawWt]],"")</f>
        <v>1435.1999999999998</v>
      </c>
      <c r="R36" s="222" t="str">
        <f>IF(Production[[#This Row],[Species]]&lt;&gt;"",IF(SUM(Production[[#This Row],[BtTtl]:[BrTtl]])/Production[[#This Row],[SatWt]]&lt;&gt;0,SUM(Production[[#This Row],[BtTtl]:[BrTtl]])/Production[[#This Row],[SatWt]],""),"")</f>
        <v/>
      </c>
      <c r="S36" s="223" t="str">
        <f>INDEX(Ingredients[Species],MATCH(Production[[#This Row],[Product]],Ingredients[ProdName],0))</f>
        <v>Poultry</v>
      </c>
    </row>
    <row r="37" spans="1:19" ht="11.1" customHeight="1" x14ac:dyDescent="0.25">
      <c r="A37" s="207" t="str">
        <f>IFERROR(IF(Production[[#This Row],[Date]]&lt;&gt;"",TEXT(Production[[#This Row],[Date]],"yy")&amp;"-"&amp;TEXT(Production[[#This Row],[Date]]-DATE(YEAR(Production[[#This Row],[Date]]),1,0),"000"),""),"")</f>
        <v>22-080</v>
      </c>
      <c r="B37" s="209" t="str">
        <f>IFERROR(IF(INDEX(Ingredients[Ingr1],MATCH(Production[[#This Row],[Product]],Ingredients[ProdName],0))&lt;&gt;"",INDEX(Ingredients[Ingr1],MATCH(Production[[#This Row],[Product]],Ingredients[ProdName],0)),INDEX(Ingredients[Ingr2],MATCH(Production[[#This Row],[Product]],Ingredients[ProdName],0))),"")</f>
        <v>Chicken - Ground</v>
      </c>
      <c r="C37" s="53">
        <v>44641</v>
      </c>
      <c r="D37" s="54" t="s">
        <v>7</v>
      </c>
      <c r="E37" s="55">
        <v>2185</v>
      </c>
      <c r="F37" s="56">
        <v>10</v>
      </c>
      <c r="G37" s="56">
        <v>60</v>
      </c>
      <c r="H37" s="208">
        <f>IFERROR(INDEX(Tier1[Wt],MATCH(Production[[#This Row],[Type]],Tier1[Ingredient],0))*Production[[#This Row],[Blocks Used]],0)</f>
        <v>3000</v>
      </c>
      <c r="I37" s="210">
        <f>IFERROR(INDEX(Ingredients[TtlWt],MATCH(Production[[#This Row],[Product]],Ingredients[ProdName],0))*Production[[#This Row],[Lots Done]],"")</f>
        <v>67.5</v>
      </c>
      <c r="J37" s="210" t="str">
        <f>IF(INDEX(Ingredients[Batter],MATCH(Production[[#This Row],[Product]],Ingredients[ProdName],0))*Production[[#This Row],[Batter Used]]&gt;0,INDEX(Ingredients[Batter],MATCH(Production[[#This Row],[Product]],Ingredients[ProdName],0))*Production[[#This Row],[Batter Used]],"")</f>
        <v/>
      </c>
      <c r="K37" s="210" t="str">
        <f>IF(INDEX(Ingredients[Breader],MATCH(Production[[#This Row],[Product]],Ingredients[ProdName],0))*Production[[#This Row],[Breader Used]]&gt;0,INDEX(Ingredients[Breader],MATCH(Production[[#This Row],[Product]],Ingredients[ProdName],0))*Production[[#This Row],[Breader Used]],"")</f>
        <v/>
      </c>
      <c r="L37" s="56"/>
      <c r="M37" s="56"/>
      <c r="N37" s="211">
        <f>IFERROR(IF(SUM(Production[[#This Row],[Meat Wt]:[BrTtl]])&lt;&gt;0,SUM(Production[[#This Row],[Meat Wt]:[BrTtl]]),""),"")</f>
        <v>3067.5</v>
      </c>
      <c r="O37" s="55">
        <v>171</v>
      </c>
      <c r="P37" s="208">
        <f>INDEX(Ingredients[Case Wt.],MATCH(Production[[#This Row],[Product]],Ingredients[ProdName],0))*Production[[#This Row],[Case Total]]</f>
        <v>4275</v>
      </c>
      <c r="Q37" s="211">
        <f>IFERROR(Production[[#This Row],[SatWt]]-Production[[#This Row],[RawWt]],"")</f>
        <v>1207.5</v>
      </c>
      <c r="R37" s="222" t="str">
        <f>IF(Production[[#This Row],[Species]]&lt;&gt;"",IF(SUM(Production[[#This Row],[BtTtl]:[BrTtl]])/Production[[#This Row],[SatWt]]&lt;&gt;0,SUM(Production[[#This Row],[BtTtl]:[BrTtl]])/Production[[#This Row],[SatWt]],""),"")</f>
        <v/>
      </c>
      <c r="S37" s="223" t="str">
        <f>INDEX(Ingredients[Species],MATCH(Production[[#This Row],[Product]],Ingredients[ProdName],0))</f>
        <v>Poultry</v>
      </c>
    </row>
    <row r="38" spans="1:19" ht="11.1" customHeight="1" x14ac:dyDescent="0.25">
      <c r="A38" s="207" t="str">
        <f>IFERROR(IF(Production[[#This Row],[Date]]&lt;&gt;"",TEXT(Production[[#This Row],[Date]],"yy")&amp;"-"&amp;TEXT(Production[[#This Row],[Date]]-DATE(YEAR(Production[[#This Row],[Date]]),1,0),"000"),""),"")</f>
        <v>22-081</v>
      </c>
      <c r="B38" s="209" t="str">
        <f>IFERROR(IF(INDEX(Ingredients[Ingr1],MATCH(Production[[#This Row],[Product]],Ingredients[ProdName],0))&lt;&gt;"",INDEX(Ingredients[Ingr1],MATCH(Production[[#This Row],[Product]],Ingredients[ProdName],0)),INDEX(Ingredients[Ingr2],MATCH(Production[[#This Row],[Product]],Ingredients[ProdName],0))),"")</f>
        <v>Pork - Trim</v>
      </c>
      <c r="C38" s="53">
        <v>44642</v>
      </c>
      <c r="D38" s="54" t="s">
        <v>18</v>
      </c>
      <c r="E38" s="55">
        <v>4204</v>
      </c>
      <c r="F38" s="56">
        <v>10</v>
      </c>
      <c r="G38" s="56">
        <v>50</v>
      </c>
      <c r="H38" s="208">
        <f>IFERROR(INDEX(Tier1[Wt],MATCH(Production[[#This Row],[Type]],Tier1[Ingredient],0))*Production[[#This Row],[Blocks Used]],0)</f>
        <v>3000</v>
      </c>
      <c r="I38" s="210">
        <f>IFERROR(INDEX(Ingredients[TtlWt],MATCH(Production[[#This Row],[Product]],Ingredients[ProdName],0))*Production[[#This Row],[Lots Done]],"")</f>
        <v>116.5</v>
      </c>
      <c r="J38" s="210" t="str">
        <f>IF(INDEX(Ingredients[Batter],MATCH(Production[[#This Row],[Product]],Ingredients[ProdName],0))*Production[[#This Row],[Batter Used]]&gt;0,INDEX(Ingredients[Batter],MATCH(Production[[#This Row],[Product]],Ingredients[ProdName],0))*Production[[#This Row],[Batter Used]],"")</f>
        <v/>
      </c>
      <c r="K38" s="210" t="str">
        <f>IF(INDEX(Ingredients[Breader],MATCH(Production[[#This Row],[Product]],Ingredients[ProdName],0))*Production[[#This Row],[Breader Used]]&gt;0,INDEX(Ingredients[Breader],MATCH(Production[[#This Row],[Product]],Ingredients[ProdName],0))*Production[[#This Row],[Breader Used]],"")</f>
        <v/>
      </c>
      <c r="L38" s="56"/>
      <c r="M38" s="56"/>
      <c r="N38" s="211">
        <f>IFERROR(IF(SUM(Production[[#This Row],[Meat Wt]:[BrTtl]])&lt;&gt;0,SUM(Production[[#This Row],[Meat Wt]:[BrTtl]]),""),"")</f>
        <v>3116.5</v>
      </c>
      <c r="O38" s="55">
        <v>129</v>
      </c>
      <c r="P38" s="208">
        <f>INDEX(Ingredients[Case Wt.],MATCH(Production[[#This Row],[Product]],Ingredients[ProdName],0))*Production[[#This Row],[Case Total]]</f>
        <v>3870</v>
      </c>
      <c r="Q38" s="211">
        <f>IFERROR(Production[[#This Row],[SatWt]]-Production[[#This Row],[RawWt]],"")</f>
        <v>753.5</v>
      </c>
      <c r="R38" s="222" t="str">
        <f>IF(Production[[#This Row],[Species]]&lt;&gt;"",IF(SUM(Production[[#This Row],[BtTtl]:[BrTtl]])/Production[[#This Row],[SatWt]]&lt;&gt;0,SUM(Production[[#This Row],[BtTtl]:[BrTtl]])/Production[[#This Row],[SatWt]],""),"")</f>
        <v/>
      </c>
      <c r="S38" s="223" t="str">
        <f>INDEX(Ingredients[Species],MATCH(Production[[#This Row],[Product]],Ingredients[ProdName],0))</f>
        <v>Meat</v>
      </c>
    </row>
    <row r="39" spans="1:19" ht="11.1" customHeight="1" x14ac:dyDescent="0.25">
      <c r="A39" s="207" t="str">
        <f>IFERROR(IF(Production[[#This Row],[Date]]&lt;&gt;"",TEXT(Production[[#This Row],[Date]],"yy")&amp;"-"&amp;TEXT(Production[[#This Row],[Date]]-DATE(YEAR(Production[[#This Row],[Date]]),1,0),"000"),""),"")</f>
        <v>22-082</v>
      </c>
      <c r="B39" s="209" t="str">
        <f>IFERROR(IF(INDEX(Ingredients[Ingr1],MATCH(Production[[#This Row],[Product]],Ingredients[ProdName],0))&lt;&gt;"",INDEX(Ingredients[Ingr1],MATCH(Production[[#This Row],[Product]],Ingredients[ProdName],0)),INDEX(Ingredients[Ingr2],MATCH(Production[[#This Row],[Product]],Ingredients[ProdName],0))),"")</f>
        <v>Pork - Trim</v>
      </c>
      <c r="C39" s="53">
        <v>44643</v>
      </c>
      <c r="D39" s="54" t="s">
        <v>11</v>
      </c>
      <c r="E39" s="55">
        <v>4204</v>
      </c>
      <c r="F39" s="56">
        <v>13</v>
      </c>
      <c r="G39" s="56">
        <v>65</v>
      </c>
      <c r="H39" s="211">
        <f>IFERROR(INDEX(Tier1[Wt],MATCH(Production[[#This Row],[Type]],Tier1[Ingredient],0))*Production[[#This Row],[Blocks Used]],0)</f>
        <v>3900</v>
      </c>
      <c r="I39" s="210">
        <f>IFERROR(INDEX(Ingredients[TtlWt],MATCH(Production[[#This Row],[Product]],Ingredients[ProdName],0))*Production[[#This Row],[Lots Done]],"")</f>
        <v>530.4</v>
      </c>
      <c r="J39" s="210" t="str">
        <f>IF(INDEX(Ingredients[Batter],MATCH(Production[[#This Row],[Product]],Ingredients[ProdName],0))*Production[[#This Row],[Batter Used]]&gt;0,INDEX(Ingredients[Batter],MATCH(Production[[#This Row],[Product]],Ingredients[ProdName],0))*Production[[#This Row],[Batter Used]],"")</f>
        <v/>
      </c>
      <c r="K39" s="210" t="str">
        <f>IF(INDEX(Ingredients[Breader],MATCH(Production[[#This Row],[Product]],Ingredients[ProdName],0))*Production[[#This Row],[Breader Used]]&gt;0,INDEX(Ingredients[Breader],MATCH(Production[[#This Row],[Product]],Ingredients[ProdName],0))*Production[[#This Row],[Breader Used]],"")</f>
        <v/>
      </c>
      <c r="L39" s="56"/>
      <c r="M39" s="56"/>
      <c r="N39" s="211">
        <f>IFERROR(IF(SUM(Production[[#This Row],[Meat Wt]:[BrTtl]])&lt;&gt;0,SUM(Production[[#This Row],[Meat Wt]:[BrTtl]]),""),"")</f>
        <v>4430.3999999999996</v>
      </c>
      <c r="O39" s="55">
        <v>235</v>
      </c>
      <c r="P39" s="208">
        <f>INDEX(Ingredients[Case Wt.],MATCH(Production[[#This Row],[Product]],Ingredients[ProdName],0))*Production[[#This Row],[Case Total]]</f>
        <v>5875</v>
      </c>
      <c r="Q39" s="211">
        <f>IFERROR(Production[[#This Row],[SatWt]]-Production[[#This Row],[RawWt]],"")</f>
        <v>1444.6000000000004</v>
      </c>
      <c r="R39" s="222" t="str">
        <f>IF(Production[[#This Row],[Species]]&lt;&gt;"",IF(SUM(Production[[#This Row],[BtTtl]:[BrTtl]])/Production[[#This Row],[SatWt]]&lt;&gt;0,SUM(Production[[#This Row],[BtTtl]:[BrTtl]])/Production[[#This Row],[SatWt]],""),"")</f>
        <v/>
      </c>
      <c r="S39" s="223" t="str">
        <f>INDEX(Ingredients[Species],MATCH(Production[[#This Row],[Product]],Ingredients[ProdName],0))</f>
        <v>Meat</v>
      </c>
    </row>
    <row r="40" spans="1:19" ht="11.1" customHeight="1" x14ac:dyDescent="0.25">
      <c r="A40" s="207" t="str">
        <f>IFERROR(IF(Production[[#This Row],[Date]]&lt;&gt;"",TEXT(Production[[#This Row],[Date]],"yy")&amp;"-"&amp;TEXT(Production[[#This Row],[Date]]-DATE(YEAR(Production[[#This Row],[Date]]),1,0),"000"),""),"")</f>
        <v>22-083</v>
      </c>
      <c r="B40" s="209" t="str">
        <f>IFERROR(IF(INDEX(Ingredients[Ingr1],MATCH(Production[[#This Row],[Product]],Ingredients[ProdName],0))&lt;&gt;"",INDEX(Ingredients[Ingr1],MATCH(Production[[#This Row],[Product]],Ingredients[ProdName],0)),INDEX(Ingredients[Ingr2],MATCH(Production[[#This Row],[Product]],Ingredients[ProdName],0))),"")</f>
        <v>Fish - Fillets</v>
      </c>
      <c r="C40" s="53">
        <v>44644</v>
      </c>
      <c r="D40" s="54" t="s">
        <v>45</v>
      </c>
      <c r="E40" s="55">
        <v>7676</v>
      </c>
      <c r="F40" s="56"/>
      <c r="G40" s="56"/>
      <c r="H40" s="208">
        <f>IFERROR(INDEX(Tier1[Wt],MATCH(Production[[#This Row],[Type]],Tier1[Ingredient],0))*Production[[#This Row],[Blocks Used]],0)</f>
        <v>0</v>
      </c>
      <c r="I40" s="210" t="str">
        <f>IFERROR(INDEX(Ingredients[TtlWt],MATCH(Production[[#This Row],[Product]],Ingredients[ProdName],0))*Production[[#This Row],[Lots Done]],"")</f>
        <v/>
      </c>
      <c r="J40" s="210" t="str">
        <f>IF(INDEX(Ingredients[Batter],MATCH(Production[[#This Row],[Product]],Ingredients[ProdName],0))*Production[[#This Row],[Batter Used]]&gt;0,INDEX(Ingredients[Batter],MATCH(Production[[#This Row],[Product]],Ingredients[ProdName],0))*Production[[#This Row],[Batter Used]],"")</f>
        <v/>
      </c>
      <c r="K40" s="210" t="str">
        <f>IF(INDEX(Ingredients[Breader],MATCH(Production[[#This Row],[Product]],Ingredients[ProdName],0))*Production[[#This Row],[Breader Used]]&gt;0,INDEX(Ingredients[Breader],MATCH(Production[[#This Row],[Product]],Ingredients[ProdName],0))*Production[[#This Row],[Breader Used]],"")</f>
        <v/>
      </c>
      <c r="L40" s="56"/>
      <c r="M40" s="56"/>
      <c r="N40" s="211" t="str">
        <f>IFERROR(IF(SUM(Production[[#This Row],[Meat Wt]:[BrTtl]])&lt;&gt;0,SUM(Production[[#This Row],[Meat Wt]:[BrTtl]]),""),"")</f>
        <v/>
      </c>
      <c r="O40" s="55">
        <v>101</v>
      </c>
      <c r="P40" s="208">
        <f>INDEX(Ingredients[Case Wt.],MATCH(Production[[#This Row],[Product]],Ingredients[ProdName],0))*Production[[#This Row],[Case Total]]</f>
        <v>3030</v>
      </c>
      <c r="Q40" s="211" t="str">
        <f>IFERROR(Production[[#This Row],[SatWt]]-Production[[#This Row],[RawWt]],"")</f>
        <v/>
      </c>
      <c r="R40" s="222" t="str">
        <f>IF(Production[[#This Row],[Species]]&lt;&gt;"",IF(SUM(Production[[#This Row],[BtTtl]:[BrTtl]])/Production[[#This Row],[SatWt]]&lt;&gt;0,SUM(Production[[#This Row],[BtTtl]:[BrTtl]])/Production[[#This Row],[SatWt]],""),"")</f>
        <v/>
      </c>
      <c r="S40" s="223" t="str">
        <f>INDEX(Ingredients[Species],MATCH(Production[[#This Row],[Product]],Ingredients[ProdName],0))</f>
        <v/>
      </c>
    </row>
    <row r="41" spans="1:19" ht="11.1" customHeight="1" x14ac:dyDescent="0.25">
      <c r="A41" s="207" t="str">
        <f>IFERROR(IF(Production[[#This Row],[Date]]&lt;&gt;"",TEXT(Production[[#This Row],[Date]],"yy")&amp;"-"&amp;TEXT(Production[[#This Row],[Date]]-DATE(YEAR(Production[[#This Row],[Date]]),1,0),"000"),""),"")</f>
        <v>22-087</v>
      </c>
      <c r="B41" s="209" t="str">
        <f>IFERROR(IF(INDEX(Ingredients[Ingr1],MATCH(Production[[#This Row],[Product]],Ingredients[ProdName],0))&lt;&gt;"",INDEX(Ingredients[Ingr1],MATCH(Production[[#This Row],[Product]],Ingredients[ProdName],0)),INDEX(Ingredients[Ingr2],MATCH(Production[[#This Row],[Product]],Ingredients[ProdName],0))),"")</f>
        <v>Fish - Fillets</v>
      </c>
      <c r="C41" s="53">
        <v>44648</v>
      </c>
      <c r="D41" s="54" t="s">
        <v>45</v>
      </c>
      <c r="E41" s="55">
        <v>7676</v>
      </c>
      <c r="F41" s="56"/>
      <c r="G41" s="56"/>
      <c r="H41" s="208">
        <f>IFERROR(INDEX(Tier1[Wt],MATCH(Production[[#This Row],[Type]],Tier1[Ingredient],0))*Production[[#This Row],[Blocks Used]],0)</f>
        <v>0</v>
      </c>
      <c r="I41" s="210" t="str">
        <f>IFERROR(INDEX(Ingredients[TtlWt],MATCH(Production[[#This Row],[Product]],Ingredients[ProdName],0))*Production[[#This Row],[Lots Done]],"")</f>
        <v/>
      </c>
      <c r="J41" s="210" t="str">
        <f>IF(INDEX(Ingredients[Batter],MATCH(Production[[#This Row],[Product]],Ingredients[ProdName],0))*Production[[#This Row],[Batter Used]]&gt;0,INDEX(Ingredients[Batter],MATCH(Production[[#This Row],[Product]],Ingredients[ProdName],0))*Production[[#This Row],[Batter Used]],"")</f>
        <v/>
      </c>
      <c r="K41" s="210" t="str">
        <f>IF(INDEX(Ingredients[Breader],MATCH(Production[[#This Row],[Product]],Ingredients[ProdName],0))*Production[[#This Row],[Breader Used]]&gt;0,INDEX(Ingredients[Breader],MATCH(Production[[#This Row],[Product]],Ingredients[ProdName],0))*Production[[#This Row],[Breader Used]],"")</f>
        <v/>
      </c>
      <c r="L41" s="56"/>
      <c r="M41" s="56"/>
      <c r="N41" s="211" t="str">
        <f>IFERROR(IF(SUM(Production[[#This Row],[Meat Wt]:[BrTtl]])&lt;&gt;0,SUM(Production[[#This Row],[Meat Wt]:[BrTtl]]),""),"")</f>
        <v/>
      </c>
      <c r="O41" s="55">
        <v>71</v>
      </c>
      <c r="P41" s="208">
        <f>INDEX(Ingredients[Case Wt.],MATCH(Production[[#This Row],[Product]],Ingredients[ProdName],0))*Production[[#This Row],[Case Total]]</f>
        <v>2130</v>
      </c>
      <c r="Q41" s="211" t="str">
        <f>IFERROR(Production[[#This Row],[SatWt]]-Production[[#This Row],[RawWt]],"")</f>
        <v/>
      </c>
      <c r="R41" s="222" t="str">
        <f>IF(Production[[#This Row],[Species]]&lt;&gt;"",IF(SUM(Production[[#This Row],[BtTtl]:[BrTtl]])/Production[[#This Row],[SatWt]]&lt;&gt;0,SUM(Production[[#This Row],[BtTtl]:[BrTtl]])/Production[[#This Row],[SatWt]],""),"")</f>
        <v/>
      </c>
      <c r="S41" s="223" t="str">
        <f>INDEX(Ingredients[Species],MATCH(Production[[#This Row],[Product]],Ingredients[ProdName],0))</f>
        <v/>
      </c>
    </row>
    <row r="42" spans="1:19" ht="11.1" customHeight="1" x14ac:dyDescent="0.25">
      <c r="A42" s="207" t="str">
        <f>IFERROR(IF(Production[[#This Row],[Date]]&lt;&gt;"",TEXT(Production[[#This Row],[Date]],"yy")&amp;"-"&amp;TEXT(Production[[#This Row],[Date]]-DATE(YEAR(Production[[#This Row],[Date]]),1,0),"000"),""),"")</f>
        <v>22-095</v>
      </c>
      <c r="B42" s="209" t="str">
        <f>IFERROR(IF(INDEX(Ingredients[Ingr1],MATCH(Production[[#This Row],[Product]],Ingredients[ProdName],0))&lt;&gt;"",INDEX(Ingredients[Ingr1],MATCH(Production[[#This Row],[Product]],Ingredients[ProdName],0)),INDEX(Ingredients[Ingr2],MATCH(Production[[#This Row],[Product]],Ingredients[ProdName],0))),"")</f>
        <v>Chicken - Ground</v>
      </c>
      <c r="C42" s="53">
        <v>44656</v>
      </c>
      <c r="D42" s="54" t="s">
        <v>15</v>
      </c>
      <c r="E42" s="55">
        <v>8820</v>
      </c>
      <c r="F42" s="56">
        <v>8</v>
      </c>
      <c r="G42" s="56">
        <v>48</v>
      </c>
      <c r="H42" s="208">
        <f>IFERROR(INDEX(Tier1[Wt],MATCH(Production[[#This Row],[Type]],Tier1[Ingredient],0))*Production[[#This Row],[Blocks Used]],0)</f>
        <v>2400</v>
      </c>
      <c r="I42" s="210">
        <f>IFERROR(INDEX(Ingredients[TtlWt],MATCH(Production[[#This Row],[Product]],Ingredients[ProdName],0))*Production[[#This Row],[Lots Done]],"")</f>
        <v>93.2</v>
      </c>
      <c r="J42" s="210" t="str">
        <f>IF(INDEX(Ingredients[Batter],MATCH(Production[[#This Row],[Product]],Ingredients[ProdName],0))*Production[[#This Row],[Batter Used]]&gt;0,INDEX(Ingredients[Batter],MATCH(Production[[#This Row],[Product]],Ingredients[ProdName],0))*Production[[#This Row],[Batter Used]],"")</f>
        <v/>
      </c>
      <c r="K42" s="210" t="str">
        <f>IF(INDEX(Ingredients[Breader],MATCH(Production[[#This Row],[Product]],Ingredients[ProdName],0))*Production[[#This Row],[Breader Used]]&gt;0,INDEX(Ingredients[Breader],MATCH(Production[[#This Row],[Product]],Ingredients[ProdName],0))*Production[[#This Row],[Breader Used]],"")</f>
        <v/>
      </c>
      <c r="L42" s="56"/>
      <c r="M42" s="56"/>
      <c r="N42" s="211">
        <f>IFERROR(IF(SUM(Production[[#This Row],[Meat Wt]:[BrTtl]])&lt;&gt;0,SUM(Production[[#This Row],[Meat Wt]:[BrTtl]]),""),"")</f>
        <v>2493.1999999999998</v>
      </c>
      <c r="O42" s="55">
        <v>113</v>
      </c>
      <c r="P42" s="208">
        <f>INDEX(Ingredients[Case Wt.],MATCH(Production[[#This Row],[Product]],Ingredients[ProdName],0))*Production[[#This Row],[Case Total]]</f>
        <v>3390</v>
      </c>
      <c r="Q42" s="211">
        <f>IFERROR(Production[[#This Row],[SatWt]]-Production[[#This Row],[RawWt]],"")</f>
        <v>896.80000000000018</v>
      </c>
      <c r="R42" s="222" t="str">
        <f>IF(Production[[#This Row],[Species]]&lt;&gt;"",IF(SUM(Production[[#This Row],[BtTtl]:[BrTtl]])/Production[[#This Row],[SatWt]]&lt;&gt;0,SUM(Production[[#This Row],[BtTtl]:[BrTtl]])/Production[[#This Row],[SatWt]],""),"")</f>
        <v/>
      </c>
      <c r="S42" s="223" t="str">
        <f>INDEX(Ingredients[Species],MATCH(Production[[#This Row],[Product]],Ingredients[ProdName],0))</f>
        <v>Poultry</v>
      </c>
    </row>
    <row r="43" spans="1:19" ht="11.1" customHeight="1" x14ac:dyDescent="0.25">
      <c r="A43" s="207" t="str">
        <f>IFERROR(IF(Production[[#This Row],[Date]]&lt;&gt;"",TEXT(Production[[#This Row],[Date]],"yy")&amp;"-"&amp;TEXT(Production[[#This Row],[Date]]-DATE(YEAR(Production[[#This Row],[Date]]),1,0),"000"),""),"")</f>
        <v>22-096</v>
      </c>
      <c r="B43" s="209" t="str">
        <f>IFERROR(IF(INDEX(Ingredients[Ingr1],MATCH(Production[[#This Row],[Product]],Ingredients[ProdName],0))&lt;&gt;"",INDEX(Ingredients[Ingr1],MATCH(Production[[#This Row],[Product]],Ingredients[ProdName],0)),INDEX(Ingredients[Ingr2],MATCH(Production[[#This Row],[Product]],Ingredients[ProdName],0))),"")</f>
        <v>Chicken - Ground</v>
      </c>
      <c r="C43" s="53">
        <v>44657</v>
      </c>
      <c r="D43" s="54" t="s">
        <v>13</v>
      </c>
      <c r="E43" s="55">
        <v>8820</v>
      </c>
      <c r="F43" s="56">
        <v>8</v>
      </c>
      <c r="G43" s="56">
        <v>48</v>
      </c>
      <c r="H43" s="208">
        <f>IFERROR(INDEX(Tier1[Wt],MATCH(Production[[#This Row],[Type]],Tier1[Ingredient],0))*Production[[#This Row],[Blocks Used]],0)</f>
        <v>2400</v>
      </c>
      <c r="I43" s="210">
        <f>IFERROR(INDEX(Ingredients[TtlWt],MATCH(Production[[#This Row],[Product]],Ingredients[ProdName],0))*Production[[#This Row],[Lots Done]],"")</f>
        <v>380</v>
      </c>
      <c r="J43" s="210" t="str">
        <f>IF(INDEX(Ingredients[Batter],MATCH(Production[[#This Row],[Product]],Ingredients[ProdName],0))*Production[[#This Row],[Batter Used]]&gt;0,INDEX(Ingredients[Batter],MATCH(Production[[#This Row],[Product]],Ingredients[ProdName],0))*Production[[#This Row],[Batter Used]],"")</f>
        <v/>
      </c>
      <c r="K43" s="210" t="str">
        <f>IF(INDEX(Ingredients[Breader],MATCH(Production[[#This Row],[Product]],Ingredients[ProdName],0))*Production[[#This Row],[Breader Used]]&gt;0,INDEX(Ingredients[Breader],MATCH(Production[[#This Row],[Product]],Ingredients[ProdName],0))*Production[[#This Row],[Breader Used]],"")</f>
        <v/>
      </c>
      <c r="L43" s="56"/>
      <c r="M43" s="56"/>
      <c r="N43" s="211">
        <f>IFERROR(IF(SUM(Production[[#This Row],[Meat Wt]:[BrTtl]])&lt;&gt;0,SUM(Production[[#This Row],[Meat Wt]:[BrTtl]]),""),"")</f>
        <v>2780</v>
      </c>
      <c r="O43" s="55">
        <v>118</v>
      </c>
      <c r="P43" s="208">
        <f>INDEX(Ingredients[Case Wt.],MATCH(Production[[#This Row],[Product]],Ingredients[ProdName],0))*Production[[#This Row],[Case Total]]</f>
        <v>3540</v>
      </c>
      <c r="Q43" s="211">
        <f>IFERROR(Production[[#This Row],[SatWt]]-Production[[#This Row],[RawWt]],"")</f>
        <v>760</v>
      </c>
      <c r="R43" s="222" t="str">
        <f>IF(Production[[#This Row],[Species]]&lt;&gt;"",IF(SUM(Production[[#This Row],[BtTtl]:[BrTtl]])/Production[[#This Row],[SatWt]]&lt;&gt;0,SUM(Production[[#This Row],[BtTtl]:[BrTtl]])/Production[[#This Row],[SatWt]],""),"")</f>
        <v/>
      </c>
      <c r="S43" s="223" t="str">
        <f>INDEX(Ingredients[Species],MATCH(Production[[#This Row],[Product]],Ingredients[ProdName],0))</f>
        <v>Poultry</v>
      </c>
    </row>
    <row r="44" spans="1:19" ht="11.1" customHeight="1" x14ac:dyDescent="0.25">
      <c r="A44" s="207" t="str">
        <f>IFERROR(IF(Production[[#This Row],[Date]]&lt;&gt;"",TEXT(Production[[#This Row],[Date]],"yy")&amp;"-"&amp;TEXT(Production[[#This Row],[Date]]-DATE(YEAR(Production[[#This Row],[Date]]),1,0),"000"),""),"")</f>
        <v>22-097</v>
      </c>
      <c r="B44" s="209" t="str">
        <f>IFERROR(IF(INDEX(Ingredients[Ingr1],MATCH(Production[[#This Row],[Product]],Ingredients[ProdName],0))&lt;&gt;"",INDEX(Ingredients[Ingr1],MATCH(Production[[#This Row],[Product]],Ingredients[ProdName],0)),INDEX(Ingredients[Ingr2],MATCH(Production[[#This Row],[Product]],Ingredients[ProdName],0))),"")</f>
        <v>Chicken - Ground</v>
      </c>
      <c r="C44" s="53">
        <v>44658</v>
      </c>
      <c r="D44" s="54" t="s">
        <v>9</v>
      </c>
      <c r="E44" s="55">
        <v>8820</v>
      </c>
      <c r="F44" s="56">
        <v>15</v>
      </c>
      <c r="G44" s="56">
        <v>90</v>
      </c>
      <c r="H44" s="208">
        <f>IFERROR(INDEX(Tier1[Wt],MATCH(Production[[#This Row],[Type]],Tier1[Ingredient],0))*Production[[#This Row],[Blocks Used]],0)</f>
        <v>4500</v>
      </c>
      <c r="I44" s="210" t="str">
        <f>IFERROR(INDEX(Ingredients[TtlWt],MATCH(Production[[#This Row],[Product]],Ingredients[ProdName],0))*Production[[#This Row],[Lots Done]],"")</f>
        <v/>
      </c>
      <c r="J44" s="210" t="str">
        <f>IF(INDEX(Ingredients[Batter],MATCH(Production[[#This Row],[Product]],Ingredients[ProdName],0))*Production[[#This Row],[Batter Used]]&gt;0,INDEX(Ingredients[Batter],MATCH(Production[[#This Row],[Product]],Ingredients[ProdName],0))*Production[[#This Row],[Batter Used]],"")</f>
        <v/>
      </c>
      <c r="K44" s="210" t="str">
        <f>IF(INDEX(Ingredients[Breader],MATCH(Production[[#This Row],[Product]],Ingredients[ProdName],0))*Production[[#This Row],[Breader Used]]&gt;0,INDEX(Ingredients[Breader],MATCH(Production[[#This Row],[Product]],Ingredients[ProdName],0))*Production[[#This Row],[Breader Used]],"")</f>
        <v/>
      </c>
      <c r="L44" s="56"/>
      <c r="M44" s="56"/>
      <c r="N44" s="211">
        <f>IFERROR(IF(SUM(Production[[#This Row],[Meat Wt]:[BrTtl]])&lt;&gt;0,SUM(Production[[#This Row],[Meat Wt]:[BrTtl]]),""),"")</f>
        <v>4500</v>
      </c>
      <c r="O44" s="55">
        <v>212</v>
      </c>
      <c r="P44" s="208">
        <f>INDEX(Ingredients[Case Wt.],MATCH(Production[[#This Row],[Product]],Ingredients[ProdName],0))*Production[[#This Row],[Case Total]]</f>
        <v>6360</v>
      </c>
      <c r="Q44" s="211">
        <f>IFERROR(Production[[#This Row],[SatWt]]-Production[[#This Row],[RawWt]],"")</f>
        <v>1860</v>
      </c>
      <c r="R44" s="222" t="str">
        <f>IF(Production[[#This Row],[Species]]&lt;&gt;"",IF(SUM(Production[[#This Row],[BtTtl]:[BrTtl]])/Production[[#This Row],[SatWt]]&lt;&gt;0,SUM(Production[[#This Row],[BtTtl]:[BrTtl]])/Production[[#This Row],[SatWt]],""),"")</f>
        <v/>
      </c>
      <c r="S44" s="223" t="str">
        <f>INDEX(Ingredients[Species],MATCH(Production[[#This Row],[Product]],Ingredients[ProdName],0))</f>
        <v>Poultry</v>
      </c>
    </row>
    <row r="45" spans="1:19" ht="11.1" customHeight="1" x14ac:dyDescent="0.25">
      <c r="A45" s="207" t="str">
        <f>IFERROR(IF(Production[[#This Row],[Date]]&lt;&gt;"",TEXT(Production[[#This Row],[Date]],"yy")&amp;"-"&amp;TEXT(Production[[#This Row],[Date]]-DATE(YEAR(Production[[#This Row],[Date]]),1,0),"000"),""),"")</f>
        <v>22-101</v>
      </c>
      <c r="B45" s="209" t="str">
        <f>IFERROR(IF(INDEX(Ingredients[Ingr1],MATCH(Production[[#This Row],[Product]],Ingredients[ProdName],0))&lt;&gt;"",INDEX(Ingredients[Ingr1],MATCH(Production[[#This Row],[Product]],Ingredients[ProdName],0)),INDEX(Ingredients[Ingr2],MATCH(Production[[#This Row],[Product]],Ingredients[ProdName],0))),"")</f>
        <v>Chicken - Ground</v>
      </c>
      <c r="C45" s="53">
        <v>44662</v>
      </c>
      <c r="D45" s="54" t="s">
        <v>7</v>
      </c>
      <c r="E45" s="55">
        <v>8820</v>
      </c>
      <c r="F45" s="56">
        <v>11</v>
      </c>
      <c r="G45" s="56">
        <v>66</v>
      </c>
      <c r="H45" s="208">
        <f>IFERROR(INDEX(Tier1[Wt],MATCH(Production[[#This Row],[Type]],Tier1[Ingredient],0))*Production[[#This Row],[Blocks Used]],0)</f>
        <v>3300</v>
      </c>
      <c r="I45" s="210">
        <f>IFERROR(INDEX(Ingredients[TtlWt],MATCH(Production[[#This Row],[Product]],Ingredients[ProdName],0))*Production[[#This Row],[Lots Done]],"")</f>
        <v>74.25</v>
      </c>
      <c r="J45" s="210" t="str">
        <f>IF(INDEX(Ingredients[Batter],MATCH(Production[[#This Row],[Product]],Ingredients[ProdName],0))*Production[[#This Row],[Batter Used]]&gt;0,INDEX(Ingredients[Batter],MATCH(Production[[#This Row],[Product]],Ingredients[ProdName],0))*Production[[#This Row],[Batter Used]],"")</f>
        <v/>
      </c>
      <c r="K45" s="210" t="str">
        <f>IF(INDEX(Ingredients[Breader],MATCH(Production[[#This Row],[Product]],Ingredients[ProdName],0))*Production[[#This Row],[Breader Used]]&gt;0,INDEX(Ingredients[Breader],MATCH(Production[[#This Row],[Product]],Ingredients[ProdName],0))*Production[[#This Row],[Breader Used]],"")</f>
        <v/>
      </c>
      <c r="L45" s="56"/>
      <c r="M45" s="56"/>
      <c r="N45" s="211">
        <f>IFERROR(IF(SUM(Production[[#This Row],[Meat Wt]:[BrTtl]])&lt;&gt;0,SUM(Production[[#This Row],[Meat Wt]:[BrTtl]]),""),"")</f>
        <v>3374.25</v>
      </c>
      <c r="O45" s="55">
        <v>180</v>
      </c>
      <c r="P45" s="208">
        <f>INDEX(Ingredients[Case Wt.],MATCH(Production[[#This Row],[Product]],Ingredients[ProdName],0))*Production[[#This Row],[Case Total]]</f>
        <v>4500</v>
      </c>
      <c r="Q45" s="211">
        <f>IFERROR(Production[[#This Row],[SatWt]]-Production[[#This Row],[RawWt]],"")</f>
        <v>1125.75</v>
      </c>
      <c r="R45" s="222" t="str">
        <f>IF(Production[[#This Row],[Species]]&lt;&gt;"",IF(SUM(Production[[#This Row],[BtTtl]:[BrTtl]])/Production[[#This Row],[SatWt]]&lt;&gt;0,SUM(Production[[#This Row],[BtTtl]:[BrTtl]])/Production[[#This Row],[SatWt]],""),"")</f>
        <v/>
      </c>
      <c r="S45" s="223" t="str">
        <f>INDEX(Ingredients[Species],MATCH(Production[[#This Row],[Product]],Ingredients[ProdName],0))</f>
        <v>Poultry</v>
      </c>
    </row>
    <row r="46" spans="1:19" ht="11.1" customHeight="1" x14ac:dyDescent="0.25">
      <c r="A46" s="207" t="str">
        <f>IFERROR(IF(Production[[#This Row],[Date]]&lt;&gt;"",TEXT(Production[[#This Row],[Date]],"yy")&amp;"-"&amp;TEXT(Production[[#This Row],[Date]]-DATE(YEAR(Production[[#This Row],[Date]]),1,0),"000"),""),"")</f>
        <v>22-102</v>
      </c>
      <c r="B46" s="209" t="str">
        <f>IFERROR(IF(INDEX(Ingredients[Ingr1],MATCH(Production[[#This Row],[Product]],Ingredients[ProdName],0))&lt;&gt;"",INDEX(Ingredients[Ingr1],MATCH(Production[[#This Row],[Product]],Ingredients[ProdName],0)),INDEX(Ingredients[Ingr2],MATCH(Production[[#This Row],[Product]],Ingredients[ProdName],0))),"")</f>
        <v>Chicken - Tenders</v>
      </c>
      <c r="C46" s="53">
        <v>44663</v>
      </c>
      <c r="D46" s="54" t="s">
        <v>14</v>
      </c>
      <c r="E46" s="55" t="s">
        <v>183</v>
      </c>
      <c r="F46" s="56">
        <v>12</v>
      </c>
      <c r="G46" s="56">
        <v>84</v>
      </c>
      <c r="H46" s="208">
        <f>IFERROR(INDEX(Tier1[Wt],MATCH(Production[[#This Row],[Type]],Tier1[Ingredient],0))*Production[[#This Row],[Blocks Used]],0)</f>
        <v>3360</v>
      </c>
      <c r="I46" s="210">
        <f>IFERROR(INDEX(Ingredients[TtlWt],MATCH(Production[[#This Row],[Product]],Ingredients[ProdName],0))*Production[[#This Row],[Lots Done]],"")</f>
        <v>745.8</v>
      </c>
      <c r="J46" s="210" t="str">
        <f>IF(INDEX(Ingredients[Batter],MATCH(Production[[#This Row],[Product]],Ingredients[ProdName],0))*Production[[#This Row],[Batter Used]]&gt;0,INDEX(Ingredients[Batter],MATCH(Production[[#This Row],[Product]],Ingredients[ProdName],0))*Production[[#This Row],[Batter Used]],"")</f>
        <v/>
      </c>
      <c r="K46" s="210" t="str">
        <f>IF(INDEX(Ingredients[Breader],MATCH(Production[[#This Row],[Product]],Ingredients[ProdName],0))*Production[[#This Row],[Breader Used]]&gt;0,INDEX(Ingredients[Breader],MATCH(Production[[#This Row],[Product]],Ingredients[ProdName],0))*Production[[#This Row],[Breader Used]],"")</f>
        <v/>
      </c>
      <c r="L46" s="56"/>
      <c r="M46" s="56"/>
      <c r="N46" s="211">
        <f>IFERROR(IF(SUM(Production[[#This Row],[Meat Wt]:[BrTtl]])&lt;&gt;0,SUM(Production[[#This Row],[Meat Wt]:[BrTtl]]),""),"")</f>
        <v>4105.8</v>
      </c>
      <c r="O46" s="55">
        <v>222</v>
      </c>
      <c r="P46" s="208">
        <f>INDEX(Ingredients[Case Wt.],MATCH(Production[[#This Row],[Product]],Ingredients[ProdName],0))*Production[[#This Row],[Case Total]]</f>
        <v>5550</v>
      </c>
      <c r="Q46" s="211">
        <f>IFERROR(Production[[#This Row],[SatWt]]-Production[[#This Row],[RawWt]],"")</f>
        <v>1444.1999999999998</v>
      </c>
      <c r="R46" s="222" t="str">
        <f>IF(Production[[#This Row],[Species]]&lt;&gt;"",IF(SUM(Production[[#This Row],[BtTtl]:[BrTtl]])/Production[[#This Row],[SatWt]]&lt;&gt;0,SUM(Production[[#This Row],[BtTtl]:[BrTtl]])/Production[[#This Row],[SatWt]],""),"")</f>
        <v/>
      </c>
      <c r="S46" s="223" t="str">
        <f>INDEX(Ingredients[Species],MATCH(Production[[#This Row],[Product]],Ingredients[ProdName],0))</f>
        <v>Poultry</v>
      </c>
    </row>
    <row r="47" spans="1:19" ht="11.1" customHeight="1" x14ac:dyDescent="0.25">
      <c r="A47" s="207" t="str">
        <f>IFERROR(IF(Production[[#This Row],[Date]]&lt;&gt;"",TEXT(Production[[#This Row],[Date]],"yy")&amp;"-"&amp;TEXT(Production[[#This Row],[Date]]-DATE(YEAR(Production[[#This Row],[Date]]),1,0),"000"),""),"")</f>
        <v>22-103</v>
      </c>
      <c r="B47" s="209" t="str">
        <f>IFERROR(IF(INDEX(Ingredients[Ingr1],MATCH(Production[[#This Row],[Product]],Ingredients[ProdName],0))&lt;&gt;"",INDEX(Ingredients[Ingr1],MATCH(Production[[#This Row],[Product]],Ingredients[ProdName],0)),INDEX(Ingredients[Ingr2],MATCH(Production[[#This Row],[Product]],Ingredients[ProdName],0))),"")</f>
        <v>Chicken - Tenders</v>
      </c>
      <c r="C47" s="53">
        <v>44664</v>
      </c>
      <c r="D47" s="54" t="s">
        <v>21</v>
      </c>
      <c r="E47" s="55" t="s">
        <v>183</v>
      </c>
      <c r="F47" s="56">
        <v>12</v>
      </c>
      <c r="G47" s="56">
        <v>84</v>
      </c>
      <c r="H47" s="208">
        <f>IFERROR(INDEX(Tier1[Wt],MATCH(Production[[#This Row],[Type]],Tier1[Ingredient],0))*Production[[#This Row],[Blocks Used]],0)</f>
        <v>3360</v>
      </c>
      <c r="I47" s="210">
        <f>IFERROR(INDEX(Ingredients[TtlWt],MATCH(Production[[#This Row],[Product]],Ingredients[ProdName],0))*Production[[#This Row],[Lots Done]],"")</f>
        <v>648</v>
      </c>
      <c r="J47" s="210">
        <f>IF(INDEX(Ingredients[Batter],MATCH(Production[[#This Row],[Product]],Ingredients[ProdName],0))*Production[[#This Row],[Batter Used]]&gt;0,INDEX(Ingredients[Batter],MATCH(Production[[#This Row],[Product]],Ingredients[ProdName],0))*Production[[#This Row],[Batter Used]],"")</f>
        <v>200</v>
      </c>
      <c r="K47" s="210">
        <f>IF(INDEX(Ingredients[Breader],MATCH(Production[[#This Row],[Product]],Ingredients[ProdName],0))*Production[[#This Row],[Breader Used]]&gt;0,INDEX(Ingredients[Breader],MATCH(Production[[#This Row],[Product]],Ingredients[ProdName],0))*Production[[#This Row],[Breader Used]],"")</f>
        <v>900</v>
      </c>
      <c r="L47" s="56">
        <v>4</v>
      </c>
      <c r="M47" s="56">
        <v>18</v>
      </c>
      <c r="N47" s="211">
        <f>IFERROR(IF(SUM(Production[[#This Row],[Meat Wt]:[BrTtl]])&lt;&gt;0,SUM(Production[[#This Row],[Meat Wt]:[BrTtl]]),""),"")</f>
        <v>5108</v>
      </c>
      <c r="O47" s="55">
        <v>263</v>
      </c>
      <c r="P47" s="208">
        <f>INDEX(Ingredients[Case Wt.],MATCH(Production[[#This Row],[Product]],Ingredients[ProdName],0))*Production[[#This Row],[Case Total]]</f>
        <v>6575</v>
      </c>
      <c r="Q47" s="211">
        <f>IFERROR(Production[[#This Row],[SatWt]]-Production[[#This Row],[RawWt]],"")</f>
        <v>1467</v>
      </c>
      <c r="R47" s="222">
        <f>IF(Production[[#This Row],[Species]]&lt;&gt;"",IF(SUM(Production[[#This Row],[BtTtl]:[BrTtl]])/Production[[#This Row],[SatWt]]&lt;&gt;0,SUM(Production[[#This Row],[BtTtl]:[BrTtl]])/Production[[#This Row],[SatWt]],""),"")</f>
        <v>0.16730038022813687</v>
      </c>
      <c r="S47" s="223" t="str">
        <f>INDEX(Ingredients[Species],MATCH(Production[[#This Row],[Product]],Ingredients[ProdName],0))</f>
        <v>Poultry</v>
      </c>
    </row>
    <row r="48" spans="1:19" ht="11.1" customHeight="1" x14ac:dyDescent="0.25">
      <c r="A48" s="207" t="str">
        <f>IFERROR(IF(Production[[#This Row],[Date]]&lt;&gt;"",TEXT(Production[[#This Row],[Date]],"yy")&amp;"-"&amp;TEXT(Production[[#This Row],[Date]]-DATE(YEAR(Production[[#This Row],[Date]]),1,0),"000"),""),"")</f>
        <v>22-104</v>
      </c>
      <c r="B48" s="209" t="str">
        <f>IFERROR(IF(INDEX(Ingredients[Ingr1],MATCH(Production[[#This Row],[Product]],Ingredients[ProdName],0))&lt;&gt;"",INDEX(Ingredients[Ingr1],MATCH(Production[[#This Row],[Product]],Ingredients[ProdName],0)),INDEX(Ingredients[Ingr2],MATCH(Production[[#This Row],[Product]],Ingredients[ProdName],0))),"")</f>
        <v>Chicken - Tenders</v>
      </c>
      <c r="C48" s="53">
        <v>44665</v>
      </c>
      <c r="D48" s="54" t="s">
        <v>21</v>
      </c>
      <c r="E48" s="55" t="s">
        <v>183</v>
      </c>
      <c r="F48" s="56">
        <v>7</v>
      </c>
      <c r="G48" s="56">
        <v>49</v>
      </c>
      <c r="H48" s="208">
        <f>IFERROR(INDEX(Tier1[Wt],MATCH(Production[[#This Row],[Type]],Tier1[Ingredient],0))*Production[[#This Row],[Blocks Used]],0)</f>
        <v>1960</v>
      </c>
      <c r="I48" s="210">
        <f>IFERROR(INDEX(Ingredients[TtlWt],MATCH(Production[[#This Row],[Product]],Ingredients[ProdName],0))*Production[[#This Row],[Lots Done]],"")</f>
        <v>378</v>
      </c>
      <c r="J48" s="210">
        <f>IF(INDEX(Ingredients[Batter],MATCH(Production[[#This Row],[Product]],Ingredients[ProdName],0))*Production[[#This Row],[Batter Used]]&gt;0,INDEX(Ingredients[Batter],MATCH(Production[[#This Row],[Product]],Ingredients[ProdName],0))*Production[[#This Row],[Batter Used]],"")</f>
        <v>100</v>
      </c>
      <c r="K48" s="210">
        <f>IF(INDEX(Ingredients[Breader],MATCH(Production[[#This Row],[Product]],Ingredients[ProdName],0))*Production[[#This Row],[Breader Used]]&gt;0,INDEX(Ingredients[Breader],MATCH(Production[[#This Row],[Product]],Ingredients[ProdName],0))*Production[[#This Row],[Breader Used]],"")</f>
        <v>750</v>
      </c>
      <c r="L48" s="56">
        <v>2</v>
      </c>
      <c r="M48" s="56">
        <v>15</v>
      </c>
      <c r="N48" s="211">
        <f>IFERROR(IF(SUM(Production[[#This Row],[Meat Wt]:[BrTtl]])&lt;&gt;0,SUM(Production[[#This Row],[Meat Wt]:[BrTtl]]),""),"")</f>
        <v>3188</v>
      </c>
      <c r="O48" s="55">
        <v>144</v>
      </c>
      <c r="P48" s="208">
        <f>INDEX(Ingredients[Case Wt.],MATCH(Production[[#This Row],[Product]],Ingredients[ProdName],0))*Production[[#This Row],[Case Total]]</f>
        <v>3600</v>
      </c>
      <c r="Q48" s="211">
        <f>IFERROR(Production[[#This Row],[SatWt]]-Production[[#This Row],[RawWt]],"")</f>
        <v>412</v>
      </c>
      <c r="R48" s="222">
        <f>IF(Production[[#This Row],[Species]]&lt;&gt;"",IF(SUM(Production[[#This Row],[BtTtl]:[BrTtl]])/Production[[#This Row],[SatWt]]&lt;&gt;0,SUM(Production[[#This Row],[BtTtl]:[BrTtl]])/Production[[#This Row],[SatWt]],""),"")</f>
        <v>0.2361111111111111</v>
      </c>
      <c r="S48" s="223" t="str">
        <f>INDEX(Ingredients[Species],MATCH(Production[[#This Row],[Product]],Ingredients[ProdName],0))</f>
        <v>Poultry</v>
      </c>
    </row>
    <row r="49" spans="1:19" ht="11.1" customHeight="1" x14ac:dyDescent="0.25">
      <c r="A49" s="207" t="str">
        <f>IFERROR(IF(Production[[#This Row],[Date]]&lt;&gt;"",TEXT(Production[[#This Row],[Date]],"yy")&amp;"-"&amp;TEXT(Production[[#This Row],[Date]]-DATE(YEAR(Production[[#This Row],[Date]]),1,0),"000"),""),"")</f>
        <v>22-104</v>
      </c>
      <c r="B49" s="209" t="str">
        <f>IFERROR(IF(INDEX(Ingredients[Ingr1],MATCH(Production[[#This Row],[Product]],Ingredients[ProdName],0))&lt;&gt;"",INDEX(Ingredients[Ingr1],MATCH(Production[[#This Row],[Product]],Ingredients[ProdName],0)),INDEX(Ingredients[Ingr2],MATCH(Production[[#This Row],[Product]],Ingredients[ProdName],0))),"")</f>
        <v>Chicken - Tenders</v>
      </c>
      <c r="C49" s="53">
        <v>44665</v>
      </c>
      <c r="D49" s="54" t="s">
        <v>12</v>
      </c>
      <c r="E49" s="55" t="s">
        <v>183</v>
      </c>
      <c r="F49" s="56">
        <v>5</v>
      </c>
      <c r="G49" s="56">
        <v>35</v>
      </c>
      <c r="H49" s="208">
        <f>IFERROR(INDEX(Tier1[Wt],MATCH(Production[[#This Row],[Type]],Tier1[Ingredient],0))*Production[[#This Row],[Blocks Used]],0)</f>
        <v>1400</v>
      </c>
      <c r="I49" s="210">
        <f>IFERROR(INDEX(Ingredients[TtlWt],MATCH(Production[[#This Row],[Product]],Ingredients[ProdName],0))*Production[[#This Row],[Lots Done]],"")</f>
        <v>299</v>
      </c>
      <c r="J49" s="210">
        <f>IF(INDEX(Ingredients[Batter],MATCH(Production[[#This Row],[Product]],Ingredients[ProdName],0))*Production[[#This Row],[Batter Used]]&gt;0,INDEX(Ingredients[Batter],MATCH(Production[[#This Row],[Product]],Ingredients[ProdName],0))*Production[[#This Row],[Batter Used]],"")</f>
        <v>100</v>
      </c>
      <c r="K49" s="210">
        <f>IF(INDEX(Ingredients[Breader],MATCH(Production[[#This Row],[Product]],Ingredients[ProdName],0))*Production[[#This Row],[Breader Used]]&gt;0,INDEX(Ingredients[Breader],MATCH(Production[[#This Row],[Product]],Ingredients[ProdName],0))*Production[[#This Row],[Breader Used]],"")</f>
        <v>500</v>
      </c>
      <c r="L49" s="56">
        <v>2</v>
      </c>
      <c r="M49" s="56">
        <v>10</v>
      </c>
      <c r="N49" s="211">
        <f>IFERROR(IF(SUM(Production[[#This Row],[Meat Wt]:[BrTtl]])&lt;&gt;0,SUM(Production[[#This Row],[Meat Wt]:[BrTtl]]),""),"")</f>
        <v>2299</v>
      </c>
      <c r="O49" s="55">
        <v>112</v>
      </c>
      <c r="P49" s="208">
        <f>INDEX(Ingredients[Case Wt.],MATCH(Production[[#This Row],[Product]],Ingredients[ProdName],0))*Production[[#This Row],[Case Total]]</f>
        <v>2800</v>
      </c>
      <c r="Q49" s="211">
        <f>IFERROR(Production[[#This Row],[SatWt]]-Production[[#This Row],[RawWt]],"")</f>
        <v>501</v>
      </c>
      <c r="R49" s="222">
        <f>IF(Production[[#This Row],[Species]]&lt;&gt;"",IF(SUM(Production[[#This Row],[BtTtl]:[BrTtl]])/Production[[#This Row],[SatWt]]&lt;&gt;0,SUM(Production[[#This Row],[BtTtl]:[BrTtl]])/Production[[#This Row],[SatWt]],""),"")</f>
        <v>0.21428571428571427</v>
      </c>
      <c r="S49" s="223" t="str">
        <f>INDEX(Ingredients[Species],MATCH(Production[[#This Row],[Product]],Ingredients[ProdName],0))</f>
        <v>Poultry</v>
      </c>
    </row>
    <row r="50" spans="1:19" ht="11.1" customHeight="1" x14ac:dyDescent="0.25">
      <c r="A50" s="207" t="str">
        <f>IFERROR(IF(Production[[#This Row],[Date]]&lt;&gt;"",TEXT(Production[[#This Row],[Date]],"yy")&amp;"-"&amp;TEXT(Production[[#This Row],[Date]]-DATE(YEAR(Production[[#This Row],[Date]]),1,0),"000"),""),"")</f>
        <v>22-108</v>
      </c>
      <c r="B50" s="209" t="str">
        <f>IFERROR(IF(INDEX(Ingredients[Ingr1],MATCH(Production[[#This Row],[Product]],Ingredients[ProdName],0))&lt;&gt;"",INDEX(Ingredients[Ingr1],MATCH(Production[[#This Row],[Product]],Ingredients[ProdName],0)),INDEX(Ingredients[Ingr2],MATCH(Production[[#This Row],[Product]],Ingredients[ProdName],0))),"")</f>
        <v>Fish - Imitation Crab</v>
      </c>
      <c r="C50" s="53">
        <v>44669</v>
      </c>
      <c r="D50" s="54" t="s">
        <v>47</v>
      </c>
      <c r="E50" s="55">
        <v>2023</v>
      </c>
      <c r="F50" s="56">
        <v>11</v>
      </c>
      <c r="G50" s="56">
        <v>550</v>
      </c>
      <c r="H50" s="208">
        <f>IFERROR(INDEX(Tier1[Wt],MATCH(Production[[#This Row],[Type]],Tier1[Ingredient],0))*Production[[#This Row],[Blocks Used]],0)</f>
        <v>16500</v>
      </c>
      <c r="I50" s="210">
        <f>IFERROR(INDEX(Ingredients[TtlWt],MATCH(Production[[#This Row],[Product]],Ingredients[ProdName],0))*Production[[#This Row],[Lots Done]],"")</f>
        <v>330</v>
      </c>
      <c r="J50" s="210">
        <f>IF(INDEX(Ingredients[Batter],MATCH(Production[[#This Row],[Product]],Ingredients[ProdName],0))*Production[[#This Row],[Batter Used]]&gt;0,INDEX(Ingredients[Batter],MATCH(Production[[#This Row],[Product]],Ingredients[ProdName],0))*Production[[#This Row],[Batter Used]],"")</f>
        <v>150</v>
      </c>
      <c r="K50" s="210">
        <f>IF(INDEX(Ingredients[Breader],MATCH(Production[[#This Row],[Product]],Ingredients[ProdName],0))*Production[[#This Row],[Breader Used]]&gt;0,INDEX(Ingredients[Breader],MATCH(Production[[#This Row],[Product]],Ingredients[ProdName],0))*Production[[#This Row],[Breader Used]],"")</f>
        <v>700</v>
      </c>
      <c r="L50" s="56">
        <v>3</v>
      </c>
      <c r="M50" s="56">
        <v>14</v>
      </c>
      <c r="N50" s="211">
        <f>IFERROR(IF(SUM(Production[[#This Row],[Meat Wt]:[BrTtl]])&lt;&gt;0,SUM(Production[[#This Row],[Meat Wt]:[BrTtl]]),""),"")</f>
        <v>17680</v>
      </c>
      <c r="O50" s="55">
        <v>217</v>
      </c>
      <c r="P50" s="208">
        <f>INDEX(Ingredients[Case Wt.],MATCH(Production[[#This Row],[Product]],Ingredients[ProdName],0))*Production[[#This Row],[Case Total]]</f>
        <v>5425</v>
      </c>
      <c r="Q50" s="211">
        <f>IFERROR(Production[[#This Row],[SatWt]]-Production[[#This Row],[RawWt]],"")</f>
        <v>-12255</v>
      </c>
      <c r="R50" s="222" t="str">
        <f>IF(Production[[#This Row],[Species]]&lt;&gt;"",IF(SUM(Production[[#This Row],[BtTtl]:[BrTtl]])/Production[[#This Row],[SatWt]]&lt;&gt;0,SUM(Production[[#This Row],[BtTtl]:[BrTtl]])/Production[[#This Row],[SatWt]],""),"")</f>
        <v/>
      </c>
      <c r="S50" s="223" t="str">
        <f>INDEX(Ingredients[Species],MATCH(Production[[#This Row],[Product]],Ingredients[ProdName],0))</f>
        <v/>
      </c>
    </row>
    <row r="51" spans="1:19" ht="11.1" customHeight="1" x14ac:dyDescent="0.25">
      <c r="A51" s="207" t="str">
        <f>IFERROR(IF(Production[[#This Row],[Date]]&lt;&gt;"",TEXT(Production[[#This Row],[Date]],"yy")&amp;"-"&amp;TEXT(Production[[#This Row],[Date]]-DATE(YEAR(Production[[#This Row],[Date]]),1,0),"000"),""),"")</f>
        <v>22-110</v>
      </c>
      <c r="B51" s="209" t="str">
        <f>IFERROR(IF(INDEX(Ingredients[Ingr1],MATCH(Production[[#This Row],[Product]],Ingredients[ProdName],0))&lt;&gt;"",INDEX(Ingredients[Ingr1],MATCH(Production[[#This Row],[Product]],Ingredients[ProdName],0)),INDEX(Ingredients[Ingr2],MATCH(Production[[#This Row],[Product]],Ingredients[ProdName],0))),"")</f>
        <v>Chicken - Ground</v>
      </c>
      <c r="C51" s="53">
        <v>44671</v>
      </c>
      <c r="D51" s="54" t="s">
        <v>15</v>
      </c>
      <c r="E51" s="55">
        <v>8820</v>
      </c>
      <c r="F51" s="56">
        <v>6</v>
      </c>
      <c r="G51" s="56">
        <v>42</v>
      </c>
      <c r="H51" s="208">
        <f>IFERROR(INDEX(Tier1[Wt],MATCH(Production[[#This Row],[Type]],Tier1[Ingredient],0))*Production[[#This Row],[Blocks Used]],0)</f>
        <v>2100</v>
      </c>
      <c r="I51" s="210">
        <f>IFERROR(INDEX(Ingredients[TtlWt],MATCH(Production[[#This Row],[Product]],Ingredients[ProdName],0))*Production[[#This Row],[Lots Done]],"")</f>
        <v>69.900000000000006</v>
      </c>
      <c r="J51" s="210" t="str">
        <f>IF(INDEX(Ingredients[Batter],MATCH(Production[[#This Row],[Product]],Ingredients[ProdName],0))*Production[[#This Row],[Batter Used]]&gt;0,INDEX(Ingredients[Batter],MATCH(Production[[#This Row],[Product]],Ingredients[ProdName],0))*Production[[#This Row],[Batter Used]],"")</f>
        <v/>
      </c>
      <c r="K51" s="210" t="str">
        <f>IF(INDEX(Ingredients[Breader],MATCH(Production[[#This Row],[Product]],Ingredients[ProdName],0))*Production[[#This Row],[Breader Used]]&gt;0,INDEX(Ingredients[Breader],MATCH(Production[[#This Row],[Product]],Ingredients[ProdName],0))*Production[[#This Row],[Breader Used]],"")</f>
        <v/>
      </c>
      <c r="L51" s="56"/>
      <c r="M51" s="56"/>
      <c r="N51" s="211">
        <f>IFERROR(IF(SUM(Production[[#This Row],[Meat Wt]:[BrTtl]])&lt;&gt;0,SUM(Production[[#This Row],[Meat Wt]:[BrTtl]]),""),"")</f>
        <v>2169.9</v>
      </c>
      <c r="O51" s="55">
        <v>86</v>
      </c>
      <c r="P51" s="208">
        <f>INDEX(Ingredients[Case Wt.],MATCH(Production[[#This Row],[Product]],Ingredients[ProdName],0))*Production[[#This Row],[Case Total]]</f>
        <v>2580</v>
      </c>
      <c r="Q51" s="211">
        <f>IFERROR(Production[[#This Row],[SatWt]]-Production[[#This Row],[RawWt]],"")</f>
        <v>410.09999999999991</v>
      </c>
      <c r="R51" s="222" t="str">
        <f>IF(Production[[#This Row],[Species]]&lt;&gt;"",IF(SUM(Production[[#This Row],[BtTtl]:[BrTtl]])/Production[[#This Row],[SatWt]]&lt;&gt;0,SUM(Production[[#This Row],[BtTtl]:[BrTtl]])/Production[[#This Row],[SatWt]],""),"")</f>
        <v/>
      </c>
      <c r="S51" s="223" t="str">
        <f>INDEX(Ingredients[Species],MATCH(Production[[#This Row],[Product]],Ingredients[ProdName],0))</f>
        <v>Poultry</v>
      </c>
    </row>
    <row r="52" spans="1:19" ht="11.1" customHeight="1" x14ac:dyDescent="0.25">
      <c r="A52" s="207" t="str">
        <f>IFERROR(IF(Production[[#This Row],[Date]]&lt;&gt;"",TEXT(Production[[#This Row],[Date]],"yy")&amp;"-"&amp;TEXT(Production[[#This Row],[Date]]-DATE(YEAR(Production[[#This Row],[Date]]),1,0),"000"),""),"")</f>
        <v>22-115</v>
      </c>
      <c r="B52" s="209" t="str">
        <f>IFERROR(IF(INDEX(Ingredients[Ingr1],MATCH(Production[[#This Row],[Product]],Ingredients[ProdName],0))&lt;&gt;"",INDEX(Ingredients[Ingr1],MATCH(Production[[#This Row],[Product]],Ingredients[ProdName],0)),INDEX(Ingredients[Ingr2],MATCH(Production[[#This Row],[Product]],Ingredients[ProdName],0))),"")</f>
        <v>Fish - Imitation Crab</v>
      </c>
      <c r="C52" s="53">
        <v>44676</v>
      </c>
      <c r="D52" s="54" t="s">
        <v>47</v>
      </c>
      <c r="E52" s="55">
        <v>2023</v>
      </c>
      <c r="F52" s="56">
        <v>11</v>
      </c>
      <c r="G52" s="56">
        <v>550</v>
      </c>
      <c r="H52" s="208">
        <f>IFERROR(INDEX(Tier1[Wt],MATCH(Production[[#This Row],[Type]],Tier1[Ingredient],0))*Production[[#This Row],[Blocks Used]],0)</f>
        <v>16500</v>
      </c>
      <c r="I52" s="210">
        <f>IFERROR(INDEX(Ingredients[TtlWt],MATCH(Production[[#This Row],[Product]],Ingredients[ProdName],0))*Production[[#This Row],[Lots Done]],"")</f>
        <v>330</v>
      </c>
      <c r="J52" s="210">
        <f>IF(INDEX(Ingredients[Batter],MATCH(Production[[#This Row],[Product]],Ingredients[ProdName],0))*Production[[#This Row],[Batter Used]]&gt;0,INDEX(Ingredients[Batter],MATCH(Production[[#This Row],[Product]],Ingredients[ProdName],0))*Production[[#This Row],[Batter Used]],"")</f>
        <v>550</v>
      </c>
      <c r="K52" s="210">
        <f>IF(INDEX(Ingredients[Breader],MATCH(Production[[#This Row],[Product]],Ingredients[ProdName],0))*Production[[#This Row],[Breader Used]]&gt;0,INDEX(Ingredients[Breader],MATCH(Production[[#This Row],[Product]],Ingredients[ProdName],0))*Production[[#This Row],[Breader Used]],"")</f>
        <v>750</v>
      </c>
      <c r="L52" s="56">
        <v>11</v>
      </c>
      <c r="M52" s="56">
        <v>15</v>
      </c>
      <c r="N52" s="211">
        <f>IFERROR(IF(SUM(Production[[#This Row],[Meat Wt]:[BrTtl]])&lt;&gt;0,SUM(Production[[#This Row],[Meat Wt]:[BrTtl]]),""),"")</f>
        <v>18130</v>
      </c>
      <c r="O52" s="55">
        <v>204</v>
      </c>
      <c r="P52" s="208">
        <f>INDEX(Ingredients[Case Wt.],MATCH(Production[[#This Row],[Product]],Ingredients[ProdName],0))*Production[[#This Row],[Case Total]]</f>
        <v>5100</v>
      </c>
      <c r="Q52" s="211">
        <f>IFERROR(Production[[#This Row],[SatWt]]-Production[[#This Row],[RawWt]],"")</f>
        <v>-13030</v>
      </c>
      <c r="R52" s="222" t="str">
        <f>IF(Production[[#This Row],[Species]]&lt;&gt;"",IF(SUM(Production[[#This Row],[BtTtl]:[BrTtl]])/Production[[#This Row],[SatWt]]&lt;&gt;0,SUM(Production[[#This Row],[BtTtl]:[BrTtl]])/Production[[#This Row],[SatWt]],""),"")</f>
        <v/>
      </c>
      <c r="S52" s="223" t="str">
        <f>INDEX(Ingredients[Species],MATCH(Production[[#This Row],[Product]],Ingredients[ProdName],0))</f>
        <v/>
      </c>
    </row>
    <row r="53" spans="1:19" ht="11.1" customHeight="1" x14ac:dyDescent="0.25">
      <c r="A53" s="207" t="str">
        <f>IFERROR(IF(Production[[#This Row],[Date]]&lt;&gt;"",TEXT(Production[[#This Row],[Date]],"yy")&amp;"-"&amp;TEXT(Production[[#This Row],[Date]]-DATE(YEAR(Production[[#This Row],[Date]]),1,0),"000"),""),"")</f>
        <v>22-116</v>
      </c>
      <c r="B53" s="209" t="str">
        <f>IFERROR(IF(INDEX(Ingredients[Ingr1],MATCH(Production[[#This Row],[Product]],Ingredients[ProdName],0))&lt;&gt;"",INDEX(Ingredients[Ingr1],MATCH(Production[[#This Row],[Product]],Ingredients[ProdName],0)),INDEX(Ingredients[Ingr2],MATCH(Production[[#This Row],[Product]],Ingredients[ProdName],0))),"")</f>
        <v>Chicken - Ground</v>
      </c>
      <c r="C53" s="53">
        <v>44677</v>
      </c>
      <c r="D53" s="54" t="s">
        <v>15</v>
      </c>
      <c r="E53" s="55">
        <v>8864</v>
      </c>
      <c r="F53" s="56">
        <v>12</v>
      </c>
      <c r="G53" s="56">
        <v>72</v>
      </c>
      <c r="H53" s="208">
        <f>IFERROR(INDEX(Tier1[Wt],MATCH(Production[[#This Row],[Type]],Tier1[Ingredient],0))*Production[[#This Row],[Blocks Used]],0)</f>
        <v>3600</v>
      </c>
      <c r="I53" s="210">
        <f>IFERROR(INDEX(Ingredients[TtlWt],MATCH(Production[[#This Row],[Product]],Ingredients[ProdName],0))*Production[[#This Row],[Lots Done]],"")</f>
        <v>139.80000000000001</v>
      </c>
      <c r="J53" s="210" t="str">
        <f>IF(INDEX(Ingredients[Batter],MATCH(Production[[#This Row],[Product]],Ingredients[ProdName],0))*Production[[#This Row],[Batter Used]]&gt;0,INDEX(Ingredients[Batter],MATCH(Production[[#This Row],[Product]],Ingredients[ProdName],0))*Production[[#This Row],[Batter Used]],"")</f>
        <v/>
      </c>
      <c r="K53" s="210" t="str">
        <f>IF(INDEX(Ingredients[Breader],MATCH(Production[[#This Row],[Product]],Ingredients[ProdName],0))*Production[[#This Row],[Breader Used]]&gt;0,INDEX(Ingredients[Breader],MATCH(Production[[#This Row],[Product]],Ingredients[ProdName],0))*Production[[#This Row],[Breader Used]],"")</f>
        <v/>
      </c>
      <c r="L53" s="56"/>
      <c r="M53" s="56"/>
      <c r="N53" s="211">
        <f>IFERROR(IF(SUM(Production[[#This Row],[Meat Wt]:[BrTtl]])&lt;&gt;0,SUM(Production[[#This Row],[Meat Wt]:[BrTtl]]),""),"")</f>
        <v>3739.8</v>
      </c>
      <c r="O53" s="55">
        <v>176</v>
      </c>
      <c r="P53" s="208">
        <f>INDEX(Ingredients[Case Wt.],MATCH(Production[[#This Row],[Product]],Ingredients[ProdName],0))*Production[[#This Row],[Case Total]]</f>
        <v>5280</v>
      </c>
      <c r="Q53" s="211">
        <f>IFERROR(Production[[#This Row],[SatWt]]-Production[[#This Row],[RawWt]],"")</f>
        <v>1540.1999999999998</v>
      </c>
      <c r="R53" s="222" t="str">
        <f>IF(Production[[#This Row],[Species]]&lt;&gt;"",IF(SUM(Production[[#This Row],[BtTtl]:[BrTtl]])/Production[[#This Row],[SatWt]]&lt;&gt;0,SUM(Production[[#This Row],[BtTtl]:[BrTtl]])/Production[[#This Row],[SatWt]],""),"")</f>
        <v/>
      </c>
      <c r="S53" s="223" t="str">
        <f>INDEX(Ingredients[Species],MATCH(Production[[#This Row],[Product]],Ingredients[ProdName],0))</f>
        <v>Poultry</v>
      </c>
    </row>
    <row r="54" spans="1:19" ht="11.1" customHeight="1" x14ac:dyDescent="0.25">
      <c r="A54" s="207" t="str">
        <f>IFERROR(IF(Production[[#This Row],[Date]]&lt;&gt;"",TEXT(Production[[#This Row],[Date]],"yy")&amp;"-"&amp;TEXT(Production[[#This Row],[Date]]-DATE(YEAR(Production[[#This Row],[Date]]),1,0),"000"),""),"")</f>
        <v>22-117</v>
      </c>
      <c r="B54" s="209" t="str">
        <f>IFERROR(IF(INDEX(Ingredients[Ingr1],MATCH(Production[[#This Row],[Product]],Ingredients[ProdName],0))&lt;&gt;"",INDEX(Ingredients[Ingr1],MATCH(Production[[#This Row],[Product]],Ingredients[ProdName],0)),INDEX(Ingredients[Ingr2],MATCH(Production[[#This Row],[Product]],Ingredients[ProdName],0))),"")</f>
        <v>Chicken - Ground</v>
      </c>
      <c r="C54" s="53">
        <v>44678</v>
      </c>
      <c r="D54" s="54" t="s">
        <v>9</v>
      </c>
      <c r="E54" s="55">
        <v>8864</v>
      </c>
      <c r="F54" s="56">
        <v>14</v>
      </c>
      <c r="G54" s="56">
        <v>98</v>
      </c>
      <c r="H54" s="208">
        <f>IFERROR(INDEX(Tier1[Wt],MATCH(Production[[#This Row],[Type]],Tier1[Ingredient],0))*Production[[#This Row],[Blocks Used]],0)</f>
        <v>4900</v>
      </c>
      <c r="I54" s="210" t="str">
        <f>IFERROR(INDEX(Ingredients[TtlWt],MATCH(Production[[#This Row],[Product]],Ingredients[ProdName],0))*Production[[#This Row],[Lots Done]],"")</f>
        <v/>
      </c>
      <c r="J54" s="210" t="str">
        <f>IF(INDEX(Ingredients[Batter],MATCH(Production[[#This Row],[Product]],Ingredients[ProdName],0))*Production[[#This Row],[Batter Used]]&gt;0,INDEX(Ingredients[Batter],MATCH(Production[[#This Row],[Product]],Ingredients[ProdName],0))*Production[[#This Row],[Batter Used]],"")</f>
        <v/>
      </c>
      <c r="K54" s="210" t="str">
        <f>IF(INDEX(Ingredients[Breader],MATCH(Production[[#This Row],[Product]],Ingredients[ProdName],0))*Production[[#This Row],[Breader Used]]&gt;0,INDEX(Ingredients[Breader],MATCH(Production[[#This Row],[Product]],Ingredients[ProdName],0))*Production[[#This Row],[Breader Used]],"")</f>
        <v/>
      </c>
      <c r="L54" s="56"/>
      <c r="M54" s="56"/>
      <c r="N54" s="211">
        <f>IFERROR(IF(SUM(Production[[#This Row],[Meat Wt]:[BrTtl]])&lt;&gt;0,SUM(Production[[#This Row],[Meat Wt]:[BrTtl]]),""),"")</f>
        <v>4900</v>
      </c>
      <c r="O54" s="55">
        <v>195</v>
      </c>
      <c r="P54" s="208">
        <f>INDEX(Ingredients[Case Wt.],MATCH(Production[[#This Row],[Product]],Ingredients[ProdName],0))*Production[[#This Row],[Case Total]]</f>
        <v>5850</v>
      </c>
      <c r="Q54" s="211">
        <f>IFERROR(Production[[#This Row],[SatWt]]-Production[[#This Row],[RawWt]],"")</f>
        <v>950</v>
      </c>
      <c r="R54" s="222" t="str">
        <f>IF(Production[[#This Row],[Species]]&lt;&gt;"",IF(SUM(Production[[#This Row],[BtTtl]:[BrTtl]])/Production[[#This Row],[SatWt]]&lt;&gt;0,SUM(Production[[#This Row],[BtTtl]:[BrTtl]])/Production[[#This Row],[SatWt]],""),"")</f>
        <v/>
      </c>
      <c r="S54" s="223" t="str">
        <f>INDEX(Ingredients[Species],MATCH(Production[[#This Row],[Product]],Ingredients[ProdName],0))</f>
        <v>Poultry</v>
      </c>
    </row>
    <row r="55" spans="1:19" ht="11.1" customHeight="1" x14ac:dyDescent="0.25">
      <c r="A55" s="207" t="str">
        <f>IFERROR(IF(Production[[#This Row],[Date]]&lt;&gt;"",TEXT(Production[[#This Row],[Date]],"yy")&amp;"-"&amp;TEXT(Production[[#This Row],[Date]]-DATE(YEAR(Production[[#This Row],[Date]]),1,0),"000"),""),"")</f>
        <v>22-117</v>
      </c>
      <c r="B55" s="209" t="str">
        <f>IFERROR(IF(INDEX(Ingredients[Ingr1],MATCH(Production[[#This Row],[Product]],Ingredients[ProdName],0))&lt;&gt;"",INDEX(Ingredients[Ingr1],MATCH(Production[[#This Row],[Product]],Ingredients[ProdName],0)),INDEX(Ingredients[Ingr2],MATCH(Production[[#This Row],[Product]],Ingredients[ProdName],0))),"")</f>
        <v>Chicken - Ground</v>
      </c>
      <c r="C55" s="53">
        <v>44678</v>
      </c>
      <c r="D55" s="54" t="s">
        <v>9</v>
      </c>
      <c r="E55" s="55">
        <v>8864</v>
      </c>
      <c r="F55" s="56">
        <v>11</v>
      </c>
      <c r="G55" s="56">
        <v>77</v>
      </c>
      <c r="H55" s="208">
        <f>IFERROR(INDEX(Tier1[Wt],MATCH(Production[[#This Row],[Type]],Tier1[Ingredient],0))*Production[[#This Row],[Blocks Used]],0)</f>
        <v>3850</v>
      </c>
      <c r="I55" s="210" t="str">
        <f>IFERROR(INDEX(Ingredients[TtlWt],MATCH(Production[[#This Row],[Product]],Ingredients[ProdName],0))*Production[[#This Row],[Lots Done]],"")</f>
        <v/>
      </c>
      <c r="J55" s="210" t="str">
        <f>IF(INDEX(Ingredients[Batter],MATCH(Production[[#This Row],[Product]],Ingredients[ProdName],0))*Production[[#This Row],[Batter Used]]&gt;0,INDEX(Ingredients[Batter],MATCH(Production[[#This Row],[Product]],Ingredients[ProdName],0))*Production[[#This Row],[Batter Used]],"")</f>
        <v/>
      </c>
      <c r="K55" s="210" t="str">
        <f>IF(INDEX(Ingredients[Breader],MATCH(Production[[#This Row],[Product]],Ingredients[ProdName],0))*Production[[#This Row],[Breader Used]]&gt;0,INDEX(Ingredients[Breader],MATCH(Production[[#This Row],[Product]],Ingredients[ProdName],0))*Production[[#This Row],[Breader Used]],"")</f>
        <v/>
      </c>
      <c r="L55" s="56"/>
      <c r="M55" s="56"/>
      <c r="N55" s="211">
        <f>IFERROR(IF(SUM(Production[[#This Row],[Meat Wt]:[BrTtl]])&lt;&gt;0,SUM(Production[[#This Row],[Meat Wt]:[BrTtl]]),""),"")</f>
        <v>3850</v>
      </c>
      <c r="O55" s="55">
        <v>147</v>
      </c>
      <c r="P55" s="208">
        <f>INDEX(Ingredients[Case Wt.],MATCH(Production[[#This Row],[Product]],Ingredients[ProdName],0))*Production[[#This Row],[Case Total]]</f>
        <v>4410</v>
      </c>
      <c r="Q55" s="211">
        <f>IFERROR(Production[[#This Row],[SatWt]]-Production[[#This Row],[RawWt]],"")</f>
        <v>560</v>
      </c>
      <c r="R55" s="222" t="str">
        <f>IF(Production[[#This Row],[Species]]&lt;&gt;"",IF(SUM(Production[[#This Row],[BtTtl]:[BrTtl]])/Production[[#This Row],[SatWt]]&lt;&gt;0,SUM(Production[[#This Row],[BtTtl]:[BrTtl]])/Production[[#This Row],[SatWt]],""),"")</f>
        <v/>
      </c>
      <c r="S55" s="223" t="str">
        <f>INDEX(Ingredients[Species],MATCH(Production[[#This Row],[Product]],Ingredients[ProdName],0))</f>
        <v>Poultry</v>
      </c>
    </row>
    <row r="56" spans="1:19" ht="11.1" customHeight="1" x14ac:dyDescent="0.25">
      <c r="A56" s="207" t="str">
        <f>IFERROR(IF(Production[[#This Row],[Date]]&lt;&gt;"",TEXT(Production[[#This Row],[Date]],"yy")&amp;"-"&amp;TEXT(Production[[#This Row],[Date]]-DATE(YEAR(Production[[#This Row],[Date]]),1,0),"000"),""),"")</f>
        <v>22-118</v>
      </c>
      <c r="B56" s="209" t="str">
        <f>IFERROR(IF(INDEX(Ingredients[Ingr1],MATCH(Production[[#This Row],[Product]],Ingredients[ProdName],0))&lt;&gt;"",INDEX(Ingredients[Ingr1],MATCH(Production[[#This Row],[Product]],Ingredients[ProdName],0)),INDEX(Ingredients[Ingr2],MATCH(Production[[#This Row],[Product]],Ingredients[ProdName],0))),"")</f>
        <v>Chicken - Ground</v>
      </c>
      <c r="C56" s="53">
        <v>44679</v>
      </c>
      <c r="D56" s="54" t="s">
        <v>9</v>
      </c>
      <c r="E56" s="55">
        <v>8864</v>
      </c>
      <c r="F56" s="56">
        <v>15</v>
      </c>
      <c r="G56" s="56">
        <v>105</v>
      </c>
      <c r="H56" s="208">
        <f>IFERROR(INDEX(Tier1[Wt],MATCH(Production[[#This Row],[Type]],Tier1[Ingredient],0))*Production[[#This Row],[Blocks Used]],0)</f>
        <v>5250</v>
      </c>
      <c r="I56" s="210" t="str">
        <f>IFERROR(INDEX(Ingredients[TtlWt],MATCH(Production[[#This Row],[Product]],Ingredients[ProdName],0))*Production[[#This Row],[Lots Done]],"")</f>
        <v/>
      </c>
      <c r="J56" s="210" t="str">
        <f>IF(INDEX(Ingredients[Batter],MATCH(Production[[#This Row],[Product]],Ingredients[ProdName],0))*Production[[#This Row],[Batter Used]]&gt;0,INDEX(Ingredients[Batter],MATCH(Production[[#This Row],[Product]],Ingredients[ProdName],0))*Production[[#This Row],[Batter Used]],"")</f>
        <v/>
      </c>
      <c r="K56" s="210" t="str">
        <f>IF(INDEX(Ingredients[Breader],MATCH(Production[[#This Row],[Product]],Ingredients[ProdName],0))*Production[[#This Row],[Breader Used]]&gt;0,INDEX(Ingredients[Breader],MATCH(Production[[#This Row],[Product]],Ingredients[ProdName],0))*Production[[#This Row],[Breader Used]],"")</f>
        <v/>
      </c>
      <c r="L56" s="56"/>
      <c r="M56" s="56"/>
      <c r="N56" s="211">
        <f>IFERROR(IF(SUM(Production[[#This Row],[Meat Wt]:[BrTtl]])&lt;&gt;0,SUM(Production[[#This Row],[Meat Wt]:[BrTtl]]),""),"")</f>
        <v>5250</v>
      </c>
      <c r="O56" s="55">
        <v>220</v>
      </c>
      <c r="P56" s="208">
        <f>INDEX(Ingredients[Case Wt.],MATCH(Production[[#This Row],[Product]],Ingredients[ProdName],0))*Production[[#This Row],[Case Total]]</f>
        <v>6600</v>
      </c>
      <c r="Q56" s="211">
        <f>IFERROR(Production[[#This Row],[SatWt]]-Production[[#This Row],[RawWt]],"")</f>
        <v>1350</v>
      </c>
      <c r="R56" s="222" t="str">
        <f>IF(Production[[#This Row],[Species]]&lt;&gt;"",IF(SUM(Production[[#This Row],[BtTtl]:[BrTtl]])/Production[[#This Row],[SatWt]]&lt;&gt;0,SUM(Production[[#This Row],[BtTtl]:[BrTtl]])/Production[[#This Row],[SatWt]],""),"")</f>
        <v/>
      </c>
      <c r="S56" s="223" t="str">
        <f>INDEX(Ingredients[Species],MATCH(Production[[#This Row],[Product]],Ingredients[ProdName],0))</f>
        <v>Poultry</v>
      </c>
    </row>
    <row r="57" spans="1:19" ht="11.1" customHeight="1" x14ac:dyDescent="0.25">
      <c r="A57" s="207" t="str">
        <f>IFERROR(IF(Production[[#This Row],[Date]]&lt;&gt;"",TEXT(Production[[#This Row],[Date]],"yy")&amp;"-"&amp;TEXT(Production[[#This Row],[Date]]-DATE(YEAR(Production[[#This Row],[Date]]),1,0),"000"),""),"")</f>
        <v>22-122</v>
      </c>
      <c r="B57" s="209" t="str">
        <f>IFERROR(IF(INDEX(Ingredients[Ingr1],MATCH(Production[[#This Row],[Product]],Ingredients[ProdName],0))&lt;&gt;"",INDEX(Ingredients[Ingr1],MATCH(Production[[#This Row],[Product]],Ingredients[ProdName],0)),INDEX(Ingredients[Ingr2],MATCH(Production[[#This Row],[Product]],Ingredients[ProdName],0))),"")</f>
        <v>Chicken - Ground</v>
      </c>
      <c r="C57" s="53">
        <v>44683</v>
      </c>
      <c r="D57" s="54" t="s">
        <v>7</v>
      </c>
      <c r="E57" s="55">
        <v>8864</v>
      </c>
      <c r="F57" s="56">
        <v>12</v>
      </c>
      <c r="G57" s="56">
        <v>72</v>
      </c>
      <c r="H57" s="208">
        <f>IFERROR(INDEX(Tier1[Wt],MATCH(Production[[#This Row],[Type]],Tier1[Ingredient],0))*Production[[#This Row],[Blocks Used]],0)</f>
        <v>3600</v>
      </c>
      <c r="I57" s="210">
        <f>IFERROR(INDEX(Ingredients[TtlWt],MATCH(Production[[#This Row],[Product]],Ingredients[ProdName],0))*Production[[#This Row],[Lots Done]],"")</f>
        <v>81</v>
      </c>
      <c r="J57" s="210" t="str">
        <f>IF(INDEX(Ingredients[Batter],MATCH(Production[[#This Row],[Product]],Ingredients[ProdName],0))*Production[[#This Row],[Batter Used]]&gt;0,INDEX(Ingredients[Batter],MATCH(Production[[#This Row],[Product]],Ingredients[ProdName],0))*Production[[#This Row],[Batter Used]],"")</f>
        <v/>
      </c>
      <c r="K57" s="210" t="str">
        <f>IF(INDEX(Ingredients[Breader],MATCH(Production[[#This Row],[Product]],Ingredients[ProdName],0))*Production[[#This Row],[Breader Used]]&gt;0,INDEX(Ingredients[Breader],MATCH(Production[[#This Row],[Product]],Ingredients[ProdName],0))*Production[[#This Row],[Breader Used]],"")</f>
        <v/>
      </c>
      <c r="L57" s="56"/>
      <c r="M57" s="56"/>
      <c r="N57" s="211">
        <f>IFERROR(IF(SUM(Production[[#This Row],[Meat Wt]:[BrTtl]])&lt;&gt;0,SUM(Production[[#This Row],[Meat Wt]:[BrTtl]]),""),"")</f>
        <v>3681</v>
      </c>
      <c r="O57" s="55">
        <v>194</v>
      </c>
      <c r="P57" s="208">
        <f>INDEX(Ingredients[Case Wt.],MATCH(Production[[#This Row],[Product]],Ingredients[ProdName],0))*Production[[#This Row],[Case Total]]</f>
        <v>4850</v>
      </c>
      <c r="Q57" s="211">
        <f>IFERROR(Production[[#This Row],[SatWt]]-Production[[#This Row],[RawWt]],"")</f>
        <v>1169</v>
      </c>
      <c r="R57" s="222" t="str">
        <f>IF(Production[[#This Row],[Species]]&lt;&gt;"",IF(SUM(Production[[#This Row],[BtTtl]:[BrTtl]])/Production[[#This Row],[SatWt]]&lt;&gt;0,SUM(Production[[#This Row],[BtTtl]:[BrTtl]])/Production[[#This Row],[SatWt]],""),"")</f>
        <v/>
      </c>
      <c r="S57" s="223" t="str">
        <f>INDEX(Ingredients[Species],MATCH(Production[[#This Row],[Product]],Ingredients[ProdName],0))</f>
        <v>Poultry</v>
      </c>
    </row>
    <row r="58" spans="1:19" ht="11.1" customHeight="1" x14ac:dyDescent="0.25">
      <c r="A58" s="207" t="str">
        <f>IFERROR(IF(Production[[#This Row],[Date]]&lt;&gt;"",TEXT(Production[[#This Row],[Date]],"yy")&amp;"-"&amp;TEXT(Production[[#This Row],[Date]]-DATE(YEAR(Production[[#This Row],[Date]]),1,0),"000"),""),"")</f>
        <v>22-124</v>
      </c>
      <c r="B58" s="209" t="str">
        <f>IFERROR(IF(INDEX(Ingredients[Ingr1],MATCH(Production[[#This Row],[Product]],Ingredients[ProdName],0))&lt;&gt;"",INDEX(Ingredients[Ingr1],MATCH(Production[[#This Row],[Product]],Ingredients[ProdName],0)),INDEX(Ingredients[Ingr2],MATCH(Production[[#This Row],[Product]],Ingredients[ProdName],0))),"")</f>
        <v>Chicken - Ground</v>
      </c>
      <c r="C58" s="53">
        <v>44685</v>
      </c>
      <c r="D58" s="54" t="s">
        <v>13</v>
      </c>
      <c r="E58" s="55">
        <v>8864</v>
      </c>
      <c r="F58" s="56">
        <v>15</v>
      </c>
      <c r="G58" s="56">
        <v>90</v>
      </c>
      <c r="H58" s="208">
        <f>IFERROR(INDEX(Tier1[Wt],MATCH(Production[[#This Row],[Type]],Tier1[Ingredient],0))*Production[[#This Row],[Blocks Used]],0)</f>
        <v>4500</v>
      </c>
      <c r="I58" s="210">
        <f>IFERROR(INDEX(Ingredients[TtlWt],MATCH(Production[[#This Row],[Product]],Ingredients[ProdName],0))*Production[[#This Row],[Lots Done]],"")</f>
        <v>712.5</v>
      </c>
      <c r="J58" s="210" t="str">
        <f>IF(INDEX(Ingredients[Batter],MATCH(Production[[#This Row],[Product]],Ingredients[ProdName],0))*Production[[#This Row],[Batter Used]]&gt;0,INDEX(Ingredients[Batter],MATCH(Production[[#This Row],[Product]],Ingredients[ProdName],0))*Production[[#This Row],[Batter Used]],"")</f>
        <v/>
      </c>
      <c r="K58" s="210" t="str">
        <f>IF(INDEX(Ingredients[Breader],MATCH(Production[[#This Row],[Product]],Ingredients[ProdName],0))*Production[[#This Row],[Breader Used]]&gt;0,INDEX(Ingredients[Breader],MATCH(Production[[#This Row],[Product]],Ingredients[ProdName],0))*Production[[#This Row],[Breader Used]],"")</f>
        <v/>
      </c>
      <c r="L58" s="56"/>
      <c r="M58" s="56"/>
      <c r="N58" s="211">
        <f>IFERROR(IF(SUM(Production[[#This Row],[Meat Wt]:[BrTtl]])&lt;&gt;0,SUM(Production[[#This Row],[Meat Wt]:[BrTtl]]),""),"")</f>
        <v>5212.5</v>
      </c>
      <c r="O58" s="55">
        <v>235</v>
      </c>
      <c r="P58" s="208">
        <f>INDEX(Ingredients[Case Wt.],MATCH(Production[[#This Row],[Product]],Ingredients[ProdName],0))*Production[[#This Row],[Case Total]]</f>
        <v>7050</v>
      </c>
      <c r="Q58" s="211">
        <f>IFERROR(Production[[#This Row],[SatWt]]-Production[[#This Row],[RawWt]],"")</f>
        <v>1837.5</v>
      </c>
      <c r="R58" s="222" t="str">
        <f>IF(Production[[#This Row],[Species]]&lt;&gt;"",IF(SUM(Production[[#This Row],[BtTtl]:[BrTtl]])/Production[[#This Row],[SatWt]]&lt;&gt;0,SUM(Production[[#This Row],[BtTtl]:[BrTtl]])/Production[[#This Row],[SatWt]],""),"")</f>
        <v/>
      </c>
      <c r="S58" s="223" t="str">
        <f>INDEX(Ingredients[Species],MATCH(Production[[#This Row],[Product]],Ingredients[ProdName],0))</f>
        <v>Poultry</v>
      </c>
    </row>
    <row r="59" spans="1:19" ht="11.1" customHeight="1" x14ac:dyDescent="0.25">
      <c r="A59" s="207" t="str">
        <f>IFERROR(IF(Production[[#This Row],[Date]]&lt;&gt;"",TEXT(Production[[#This Row],[Date]],"yy")&amp;"-"&amp;TEXT(Production[[#This Row],[Date]]-DATE(YEAR(Production[[#This Row],[Date]]),1,0),"000"),""),"")</f>
        <v>22-131</v>
      </c>
      <c r="B59" s="209" t="str">
        <f>IFERROR(IF(INDEX(Ingredients[Ingr1],MATCH(Production[[#This Row],[Product]],Ingredients[ProdName],0))&lt;&gt;"",INDEX(Ingredients[Ingr1],MATCH(Production[[#This Row],[Product]],Ingredients[ProdName],0)),INDEX(Ingredients[Ingr2],MATCH(Production[[#This Row],[Product]],Ingredients[ProdName],0))),"")</f>
        <v>Chicken - Tenders</v>
      </c>
      <c r="C59" s="53">
        <v>44692</v>
      </c>
      <c r="D59" s="54" t="s">
        <v>21</v>
      </c>
      <c r="E59" s="55" t="s">
        <v>181</v>
      </c>
      <c r="F59" s="56">
        <v>14</v>
      </c>
      <c r="G59" s="56">
        <v>98</v>
      </c>
      <c r="H59" s="208">
        <f>IFERROR(INDEX(Tier1[Wt],MATCH(Production[[#This Row],[Type]],Tier1[Ingredient],0))*Production[[#This Row],[Blocks Used]],0)</f>
        <v>3920</v>
      </c>
      <c r="I59" s="210">
        <f>IFERROR(INDEX(Ingredients[TtlWt],MATCH(Production[[#This Row],[Product]],Ingredients[ProdName],0))*Production[[#This Row],[Lots Done]],"")</f>
        <v>756</v>
      </c>
      <c r="J59" s="210">
        <f>IF(INDEX(Ingredients[Batter],MATCH(Production[[#This Row],[Product]],Ingredients[ProdName],0))*Production[[#This Row],[Batter Used]]&gt;0,INDEX(Ingredients[Batter],MATCH(Production[[#This Row],[Product]],Ingredients[ProdName],0))*Production[[#This Row],[Batter Used]],"")</f>
        <v>150</v>
      </c>
      <c r="K59" s="210">
        <f>IF(INDEX(Ingredients[Breader],MATCH(Production[[#This Row],[Product]],Ingredients[ProdName],0))*Production[[#This Row],[Breader Used]]&gt;0,INDEX(Ingredients[Breader],MATCH(Production[[#This Row],[Product]],Ingredients[ProdName],0))*Production[[#This Row],[Breader Used]],"")</f>
        <v>1100</v>
      </c>
      <c r="L59" s="56">
        <v>3</v>
      </c>
      <c r="M59" s="56">
        <v>22</v>
      </c>
      <c r="N59" s="211">
        <f>IFERROR(IF(SUM(Production[[#This Row],[Meat Wt]:[BrTtl]])&lt;&gt;0,SUM(Production[[#This Row],[Meat Wt]:[BrTtl]]),""),"")</f>
        <v>5926</v>
      </c>
      <c r="O59" s="55">
        <v>301</v>
      </c>
      <c r="P59" s="208">
        <f>INDEX(Ingredients[Case Wt.],MATCH(Production[[#This Row],[Product]],Ingredients[ProdName],0))*Production[[#This Row],[Case Total]]</f>
        <v>7525</v>
      </c>
      <c r="Q59" s="211">
        <f>IFERROR(Production[[#This Row],[SatWt]]-Production[[#This Row],[RawWt]],"")</f>
        <v>1599</v>
      </c>
      <c r="R59" s="222">
        <f>IF(Production[[#This Row],[Species]]&lt;&gt;"",IF(SUM(Production[[#This Row],[BtTtl]:[BrTtl]])/Production[[#This Row],[SatWt]]&lt;&gt;0,SUM(Production[[#This Row],[BtTtl]:[BrTtl]])/Production[[#This Row],[SatWt]],""),"")</f>
        <v>0.16611295681063123</v>
      </c>
      <c r="S59" s="223" t="str">
        <f>INDEX(Ingredients[Species],MATCH(Production[[#This Row],[Product]],Ingredients[ProdName],0))</f>
        <v>Poultry</v>
      </c>
    </row>
    <row r="60" spans="1:19" ht="11.1" customHeight="1" x14ac:dyDescent="0.25">
      <c r="A60" s="207" t="str">
        <f>IFERROR(IF(Production[[#This Row],[Date]]&lt;&gt;"",TEXT(Production[[#This Row],[Date]],"yy")&amp;"-"&amp;TEXT(Production[[#This Row],[Date]]-DATE(YEAR(Production[[#This Row],[Date]]),1,0),"000"),""),"")</f>
        <v>22-132</v>
      </c>
      <c r="B60" s="209" t="str">
        <f>IFERROR(IF(INDEX(Ingredients[Ingr1],MATCH(Production[[#This Row],[Product]],Ingredients[ProdName],0))&lt;&gt;"",INDEX(Ingredients[Ingr1],MATCH(Production[[#This Row],[Product]],Ingredients[ProdName],0)),INDEX(Ingredients[Ingr2],MATCH(Production[[#This Row],[Product]],Ingredients[ProdName],0))),"")</f>
        <v>Chicken - Tenders</v>
      </c>
      <c r="C60" s="53">
        <v>44693</v>
      </c>
      <c r="D60" s="54" t="s">
        <v>21</v>
      </c>
      <c r="E60" s="55" t="s">
        <v>181</v>
      </c>
      <c r="F60" s="56">
        <v>10</v>
      </c>
      <c r="G60" s="56">
        <v>70</v>
      </c>
      <c r="H60" s="208">
        <f>IFERROR(INDEX(Tier1[Wt],MATCH(Production[[#This Row],[Type]],Tier1[Ingredient],0))*Production[[#This Row],[Blocks Used]],0)</f>
        <v>2800</v>
      </c>
      <c r="I60" s="210">
        <f>IFERROR(INDEX(Ingredients[TtlWt],MATCH(Production[[#This Row],[Product]],Ingredients[ProdName],0))*Production[[#This Row],[Lots Done]],"")</f>
        <v>540</v>
      </c>
      <c r="J60" s="210">
        <f>IF(INDEX(Ingredients[Batter],MATCH(Production[[#This Row],[Product]],Ingredients[ProdName],0))*Production[[#This Row],[Batter Used]]&gt;0,INDEX(Ingredients[Batter],MATCH(Production[[#This Row],[Product]],Ingredients[ProdName],0))*Production[[#This Row],[Batter Used]],"")</f>
        <v>150</v>
      </c>
      <c r="K60" s="210">
        <f>IF(INDEX(Ingredients[Breader],MATCH(Production[[#This Row],[Product]],Ingredients[ProdName],0))*Production[[#This Row],[Breader Used]]&gt;0,INDEX(Ingredients[Breader],MATCH(Production[[#This Row],[Product]],Ingredients[ProdName],0))*Production[[#This Row],[Breader Used]],"")</f>
        <v>1000</v>
      </c>
      <c r="L60" s="56">
        <v>3</v>
      </c>
      <c r="M60" s="56">
        <v>20</v>
      </c>
      <c r="N60" s="211">
        <f>IFERROR(IF(SUM(Production[[#This Row],[Meat Wt]:[BrTtl]])&lt;&gt;0,SUM(Production[[#This Row],[Meat Wt]:[BrTtl]]),""),"")</f>
        <v>4490</v>
      </c>
      <c r="O60" s="55">
        <v>222</v>
      </c>
      <c r="P60" s="208">
        <f>INDEX(Ingredients[Case Wt.],MATCH(Production[[#This Row],[Product]],Ingredients[ProdName],0))*Production[[#This Row],[Case Total]]</f>
        <v>5550</v>
      </c>
      <c r="Q60" s="211">
        <f>IFERROR(Production[[#This Row],[SatWt]]-Production[[#This Row],[RawWt]],"")</f>
        <v>1060</v>
      </c>
      <c r="R60" s="222">
        <f>IF(Production[[#This Row],[Species]]&lt;&gt;"",IF(SUM(Production[[#This Row],[BtTtl]:[BrTtl]])/Production[[#This Row],[SatWt]]&lt;&gt;0,SUM(Production[[#This Row],[BtTtl]:[BrTtl]])/Production[[#This Row],[SatWt]],""),"")</f>
        <v>0.2072072072072072</v>
      </c>
      <c r="S60" s="223" t="str">
        <f>INDEX(Ingredients[Species],MATCH(Production[[#This Row],[Product]],Ingredients[ProdName],0))</f>
        <v>Poultry</v>
      </c>
    </row>
    <row r="61" spans="1:19" ht="11.1" customHeight="1" x14ac:dyDescent="0.25">
      <c r="A61" s="207" t="str">
        <f>IFERROR(IF(Production[[#This Row],[Date]]&lt;&gt;"",TEXT(Production[[#This Row],[Date]],"yy")&amp;"-"&amp;TEXT(Production[[#This Row],[Date]]-DATE(YEAR(Production[[#This Row],[Date]]),1,0),"000"),""),"")</f>
        <v>22-136</v>
      </c>
      <c r="B61" s="209" t="str">
        <f>IFERROR(IF(INDEX(Ingredients[Ingr1],MATCH(Production[[#This Row],[Product]],Ingredients[ProdName],0))&lt;&gt;"",INDEX(Ingredients[Ingr1],MATCH(Production[[#This Row],[Product]],Ingredients[ProdName],0)),INDEX(Ingredients[Ingr2],MATCH(Production[[#This Row],[Product]],Ingredients[ProdName],0))),"")</f>
        <v>Chicken - Tenders</v>
      </c>
      <c r="C61" s="53">
        <v>44697</v>
      </c>
      <c r="D61" s="54" t="s">
        <v>12</v>
      </c>
      <c r="E61" s="55" t="s">
        <v>181</v>
      </c>
      <c r="F61" s="56">
        <v>12</v>
      </c>
      <c r="G61" s="56">
        <v>86</v>
      </c>
      <c r="H61" s="208">
        <f>IFERROR(INDEX(Tier1[Wt],MATCH(Production[[#This Row],[Type]],Tier1[Ingredient],0))*Production[[#This Row],[Blocks Used]],0)</f>
        <v>3440</v>
      </c>
      <c r="I61" s="210">
        <f>IFERROR(INDEX(Ingredients[TtlWt],MATCH(Production[[#This Row],[Product]],Ingredients[ProdName],0))*Production[[#This Row],[Lots Done]],"")</f>
        <v>717.59999999999991</v>
      </c>
      <c r="J61" s="210">
        <f>IF(INDEX(Ingredients[Batter],MATCH(Production[[#This Row],[Product]],Ingredients[ProdName],0))*Production[[#This Row],[Batter Used]]&gt;0,INDEX(Ingredients[Batter],MATCH(Production[[#This Row],[Product]],Ingredients[ProdName],0))*Production[[#This Row],[Batter Used]],"")</f>
        <v>150</v>
      </c>
      <c r="K61" s="210">
        <f>IF(INDEX(Ingredients[Breader],MATCH(Production[[#This Row],[Product]],Ingredients[ProdName],0))*Production[[#This Row],[Breader Used]]&gt;0,INDEX(Ingredients[Breader],MATCH(Production[[#This Row],[Product]],Ingredients[ProdName],0))*Production[[#This Row],[Breader Used]],"")</f>
        <v>1450</v>
      </c>
      <c r="L61" s="56">
        <v>3</v>
      </c>
      <c r="M61" s="56">
        <v>29</v>
      </c>
      <c r="N61" s="211">
        <f>IFERROR(IF(SUM(Production[[#This Row],[Meat Wt]:[BrTtl]])&lt;&gt;0,SUM(Production[[#This Row],[Meat Wt]:[BrTtl]]),""),"")</f>
        <v>5757.6</v>
      </c>
      <c r="O61" s="55">
        <v>264</v>
      </c>
      <c r="P61" s="208">
        <f>INDEX(Ingredients[Case Wt.],MATCH(Production[[#This Row],[Product]],Ingredients[ProdName],0))*Production[[#This Row],[Case Total]]</f>
        <v>6600</v>
      </c>
      <c r="Q61" s="211">
        <f>IFERROR(Production[[#This Row],[SatWt]]-Production[[#This Row],[RawWt]],"")</f>
        <v>842.39999999999964</v>
      </c>
      <c r="R61" s="222">
        <f>IF(Production[[#This Row],[Species]]&lt;&gt;"",IF(SUM(Production[[#This Row],[BtTtl]:[BrTtl]])/Production[[#This Row],[SatWt]]&lt;&gt;0,SUM(Production[[#This Row],[BtTtl]:[BrTtl]])/Production[[#This Row],[SatWt]],""),"")</f>
        <v>0.24242424242424243</v>
      </c>
      <c r="S61" s="223" t="str">
        <f>INDEX(Ingredients[Species],MATCH(Production[[#This Row],[Product]],Ingredients[ProdName],0))</f>
        <v>Poultry</v>
      </c>
    </row>
    <row r="62" spans="1:19" ht="11.1" customHeight="1" x14ac:dyDescent="0.25">
      <c r="A62" s="207" t="str">
        <f>IFERROR(IF(Production[[#This Row],[Date]]&lt;&gt;"",TEXT(Production[[#This Row],[Date]],"yy")&amp;"-"&amp;TEXT(Production[[#This Row],[Date]]-DATE(YEAR(Production[[#This Row],[Date]]),1,0),"000"),""),"")</f>
        <v>22-137</v>
      </c>
      <c r="B62" s="209" t="str">
        <f>IFERROR(IF(INDEX(Ingredients[Ingr1],MATCH(Production[[#This Row],[Product]],Ingredients[ProdName],0))&lt;&gt;"",INDEX(Ingredients[Ingr1],MATCH(Production[[#This Row],[Product]],Ingredients[ProdName],0)),INDEX(Ingredients[Ingr2],MATCH(Production[[#This Row],[Product]],Ingredients[ProdName],0))),"")</f>
        <v>Cheese - Gouda</v>
      </c>
      <c r="C62" s="53">
        <v>44698</v>
      </c>
      <c r="D62" s="54" t="s">
        <v>46</v>
      </c>
      <c r="E62" s="55" t="s">
        <v>184</v>
      </c>
      <c r="F62" s="56">
        <v>9</v>
      </c>
      <c r="G62" s="56">
        <v>54</v>
      </c>
      <c r="H62" s="208">
        <f>IFERROR(INDEX(Tier1[Wt],MATCH(Production[[#This Row],[Type]],Tier1[Ingredient],0))*Production[[#This Row],[Blocks Used]],0)</f>
        <v>0</v>
      </c>
      <c r="I62" s="210">
        <f>IFERROR(INDEX(Ingredients[TtlWt],MATCH(Production[[#This Row],[Product]],Ingredients[ProdName],0))*Production[[#This Row],[Lots Done]],"")</f>
        <v>1485</v>
      </c>
      <c r="J62" s="210">
        <f>IF(INDEX(Ingredients[Batter],MATCH(Production[[#This Row],[Product]],Ingredients[ProdName],0))*Production[[#This Row],[Batter Used]]&gt;0,INDEX(Ingredients[Batter],MATCH(Production[[#This Row],[Product]],Ingredients[ProdName],0))*Production[[#This Row],[Batter Used]],"")</f>
        <v>200</v>
      </c>
      <c r="K62" s="210">
        <f>IF(INDEX(Ingredients[Breader],MATCH(Production[[#This Row],[Product]],Ingredients[ProdName],0))*Production[[#This Row],[Breader Used]]&gt;0,INDEX(Ingredients[Breader],MATCH(Production[[#This Row],[Product]],Ingredients[ProdName],0))*Production[[#This Row],[Breader Used]],"")</f>
        <v>300</v>
      </c>
      <c r="L62" s="56">
        <v>4</v>
      </c>
      <c r="M62" s="56">
        <v>6</v>
      </c>
      <c r="N62" s="211">
        <f>IFERROR(IF(SUM(Production[[#This Row],[Meat Wt]:[BrTtl]])&lt;&gt;0,SUM(Production[[#This Row],[Meat Wt]:[BrTtl]]),""),"")</f>
        <v>1985</v>
      </c>
      <c r="O62" s="55">
        <v>86</v>
      </c>
      <c r="P62" s="208">
        <f>INDEX(Ingredients[Case Wt.],MATCH(Production[[#This Row],[Product]],Ingredients[ProdName],0))*Production[[#This Row],[Case Total]]</f>
        <v>2150</v>
      </c>
      <c r="Q62" s="211">
        <f>IFERROR(Production[[#This Row],[SatWt]]-Production[[#This Row],[RawWt]],"")</f>
        <v>165</v>
      </c>
      <c r="R62" s="222" t="str">
        <f>IF(Production[[#This Row],[Species]]&lt;&gt;"",IF(SUM(Production[[#This Row],[BtTtl]:[BrTtl]])/Production[[#This Row],[SatWt]]&lt;&gt;0,SUM(Production[[#This Row],[BtTtl]:[BrTtl]])/Production[[#This Row],[SatWt]],""),"")</f>
        <v/>
      </c>
      <c r="S62" s="223" t="str">
        <f>INDEX(Ingredients[Species],MATCH(Production[[#This Row],[Product]],Ingredients[ProdName],0))</f>
        <v/>
      </c>
    </row>
    <row r="63" spans="1:19" ht="11.1" customHeight="1" x14ac:dyDescent="0.25">
      <c r="A63" s="207" t="str">
        <f>IFERROR(IF(Production[[#This Row],[Date]]&lt;&gt;"",TEXT(Production[[#This Row],[Date]],"yy")&amp;"-"&amp;TEXT(Production[[#This Row],[Date]]-DATE(YEAR(Production[[#This Row],[Date]]),1,0),"000"),""),"")</f>
        <v>22-143</v>
      </c>
      <c r="B63" s="209" t="str">
        <f>IFERROR(IF(INDEX(Ingredients[Ingr1],MATCH(Production[[#This Row],[Product]],Ingredients[ProdName],0))&lt;&gt;"",INDEX(Ingredients[Ingr1],MATCH(Production[[#This Row],[Product]],Ingredients[ProdName],0)),INDEX(Ingredients[Ingr2],MATCH(Production[[#This Row],[Product]],Ingredients[ProdName],0))),"")</f>
        <v>Chicken - Ground</v>
      </c>
      <c r="C63" s="53">
        <v>44704</v>
      </c>
      <c r="D63" s="54" t="s">
        <v>23</v>
      </c>
      <c r="E63" s="55">
        <v>8864</v>
      </c>
      <c r="F63" s="56">
        <v>20</v>
      </c>
      <c r="G63" s="56">
        <v>140</v>
      </c>
      <c r="H63" s="208">
        <f>IFERROR(INDEX(Tier1[Wt],MATCH(Production[[#This Row],[Type]],Tier1[Ingredient],0))*Production[[#This Row],[Blocks Used]],0)</f>
        <v>7000</v>
      </c>
      <c r="I63" s="210">
        <f>IFERROR(INDEX(Ingredients[TtlWt],MATCH(Production[[#This Row],[Product]],Ingredients[ProdName],0))*Production[[#This Row],[Lots Done]],"")</f>
        <v>233</v>
      </c>
      <c r="J63" s="210" t="str">
        <f>IF(INDEX(Ingredients[Batter],MATCH(Production[[#This Row],[Product]],Ingredients[ProdName],0))*Production[[#This Row],[Batter Used]]&gt;0,INDEX(Ingredients[Batter],MATCH(Production[[#This Row],[Product]],Ingredients[ProdName],0))*Production[[#This Row],[Batter Used]],"")</f>
        <v/>
      </c>
      <c r="K63" s="210" t="str">
        <f>IF(INDEX(Ingredients[Breader],MATCH(Production[[#This Row],[Product]],Ingredients[ProdName],0))*Production[[#This Row],[Breader Used]]&gt;0,INDEX(Ingredients[Breader],MATCH(Production[[#This Row],[Product]],Ingredients[ProdName],0))*Production[[#This Row],[Breader Used]],"")</f>
        <v/>
      </c>
      <c r="L63" s="56"/>
      <c r="M63" s="56"/>
      <c r="N63" s="211">
        <f>IFERROR(IF(SUM(Production[[#This Row],[Meat Wt]:[BrTtl]])&lt;&gt;0,SUM(Production[[#This Row],[Meat Wt]:[BrTtl]]),""),"")</f>
        <v>7233</v>
      </c>
      <c r="O63" s="55">
        <v>280</v>
      </c>
      <c r="P63" s="208">
        <f>INDEX(Ingredients[Case Wt.],MATCH(Production[[#This Row],[Product]],Ingredients[ProdName],0))*Production[[#This Row],[Case Total]]</f>
        <v>8400</v>
      </c>
      <c r="Q63" s="211">
        <f>IFERROR(Production[[#This Row],[SatWt]]-Production[[#This Row],[RawWt]],"")</f>
        <v>1167</v>
      </c>
      <c r="R63" s="222" t="str">
        <f>IF(Production[[#This Row],[Species]]&lt;&gt;"",IF(SUM(Production[[#This Row],[BtTtl]:[BrTtl]])/Production[[#This Row],[SatWt]]&lt;&gt;0,SUM(Production[[#This Row],[BtTtl]:[BrTtl]])/Production[[#This Row],[SatWt]],""),"")</f>
        <v/>
      </c>
      <c r="S63" s="223" t="str">
        <f>INDEX(Ingredients[Species],MATCH(Production[[#This Row],[Product]],Ingredients[ProdName],0))</f>
        <v>Poultry</v>
      </c>
    </row>
    <row r="64" spans="1:19" ht="11.1" customHeight="1" x14ac:dyDescent="0.25">
      <c r="A64" s="207" t="str">
        <f>IFERROR(IF(Production[[#This Row],[Date]]&lt;&gt;"",TEXT(Production[[#This Row],[Date]],"yy")&amp;"-"&amp;TEXT(Production[[#This Row],[Date]]-DATE(YEAR(Production[[#This Row],[Date]]),1,0),"000"),""),"")</f>
        <v>22-144</v>
      </c>
      <c r="B64" s="209" t="str">
        <f>IFERROR(IF(INDEX(Ingredients[Ingr1],MATCH(Production[[#This Row],[Product]],Ingredients[ProdName],0))&lt;&gt;"",INDEX(Ingredients[Ingr1],MATCH(Production[[#This Row],[Product]],Ingredients[ProdName],0)),INDEX(Ingredients[Ingr2],MATCH(Production[[#This Row],[Product]],Ingredients[ProdName],0))),"")</f>
        <v>Chicken - Ground</v>
      </c>
      <c r="C64" s="53">
        <v>44705</v>
      </c>
      <c r="D64" s="54" t="s">
        <v>16</v>
      </c>
      <c r="E64" s="55">
        <v>731</v>
      </c>
      <c r="F64" s="56">
        <v>10</v>
      </c>
      <c r="G64" s="56">
        <v>60</v>
      </c>
      <c r="H64" s="208">
        <f>IFERROR(INDEX(Tier1[Wt],MATCH(Production[[#This Row],[Type]],Tier1[Ingredient],0))*Production[[#This Row],[Blocks Used]],0)</f>
        <v>3000</v>
      </c>
      <c r="I64" s="210">
        <f>IFERROR(INDEX(Ingredients[TtlWt],MATCH(Production[[#This Row],[Product]],Ingredients[ProdName],0))*Production[[#This Row],[Lots Done]],"")</f>
        <v>204</v>
      </c>
      <c r="J64" s="210" t="str">
        <f>IF(INDEX(Ingredients[Batter],MATCH(Production[[#This Row],[Product]],Ingredients[ProdName],0))*Production[[#This Row],[Batter Used]]&gt;0,INDEX(Ingredients[Batter],MATCH(Production[[#This Row],[Product]],Ingredients[ProdName],0))*Production[[#This Row],[Batter Used]],"")</f>
        <v/>
      </c>
      <c r="K64" s="210" t="str">
        <f>IF(INDEX(Ingredients[Breader],MATCH(Production[[#This Row],[Product]],Ingredients[ProdName],0))*Production[[#This Row],[Breader Used]]&gt;0,INDEX(Ingredients[Breader],MATCH(Production[[#This Row],[Product]],Ingredients[ProdName],0))*Production[[#This Row],[Breader Used]],"")</f>
        <v/>
      </c>
      <c r="L64" s="56"/>
      <c r="M64" s="56"/>
      <c r="N64" s="211">
        <f>IFERROR(IF(SUM(Production[[#This Row],[Meat Wt]:[BrTtl]])&lt;&gt;0,SUM(Production[[#This Row],[Meat Wt]:[BrTtl]]),""),"")</f>
        <v>3204</v>
      </c>
      <c r="O64" s="55">
        <v>140</v>
      </c>
      <c r="P64" s="208">
        <f>INDEX(Ingredients[Case Wt.],MATCH(Production[[#This Row],[Product]],Ingredients[ProdName],0))*Production[[#This Row],[Case Total]]</f>
        <v>4200</v>
      </c>
      <c r="Q64" s="211">
        <f>IFERROR(Production[[#This Row],[SatWt]]-Production[[#This Row],[RawWt]],"")</f>
        <v>996</v>
      </c>
      <c r="R64" s="222" t="str">
        <f>IF(Production[[#This Row],[Species]]&lt;&gt;"",IF(SUM(Production[[#This Row],[BtTtl]:[BrTtl]])/Production[[#This Row],[SatWt]]&lt;&gt;0,SUM(Production[[#This Row],[BtTtl]:[BrTtl]])/Production[[#This Row],[SatWt]],""),"")</f>
        <v/>
      </c>
      <c r="S64" s="223" t="str">
        <f>INDEX(Ingredients[Species],MATCH(Production[[#This Row],[Product]],Ingredients[ProdName],0))</f>
        <v>Poultry</v>
      </c>
    </row>
    <row r="65" spans="1:19" ht="11.1" customHeight="1" x14ac:dyDescent="0.25">
      <c r="A65" s="207" t="str">
        <f>IFERROR(IF(Production[[#This Row],[Date]]&lt;&gt;"",TEXT(Production[[#This Row],[Date]],"yy")&amp;"-"&amp;TEXT(Production[[#This Row],[Date]]-DATE(YEAR(Production[[#This Row],[Date]]),1,0),"000"),""),"")</f>
        <v>22-145</v>
      </c>
      <c r="B65" s="209" t="str">
        <f>IFERROR(IF(INDEX(Ingredients[Ingr1],MATCH(Production[[#This Row],[Product]],Ingredients[ProdName],0))&lt;&gt;"",INDEX(Ingredients[Ingr1],MATCH(Production[[#This Row],[Product]],Ingredients[ProdName],0)),INDEX(Ingredients[Ingr2],MATCH(Production[[#This Row],[Product]],Ingredients[ProdName],0))),"")</f>
        <v>Chicken - Ground</v>
      </c>
      <c r="C65" s="53">
        <v>44706</v>
      </c>
      <c r="D65" s="54" t="s">
        <v>15</v>
      </c>
      <c r="E65" s="55">
        <v>731</v>
      </c>
      <c r="F65" s="56">
        <v>10</v>
      </c>
      <c r="G65" s="56">
        <v>60</v>
      </c>
      <c r="H65" s="208">
        <f>IFERROR(INDEX(Tier1[Wt],MATCH(Production[[#This Row],[Type]],Tier1[Ingredient],0))*Production[[#This Row],[Blocks Used]],0)</f>
        <v>3000</v>
      </c>
      <c r="I65" s="210">
        <f>IFERROR(INDEX(Ingredients[TtlWt],MATCH(Production[[#This Row],[Product]],Ingredients[ProdName],0))*Production[[#This Row],[Lots Done]],"")</f>
        <v>116.5</v>
      </c>
      <c r="J65" s="210" t="str">
        <f>IF(INDEX(Ingredients[Batter],MATCH(Production[[#This Row],[Product]],Ingredients[ProdName],0))*Production[[#This Row],[Batter Used]]&gt;0,INDEX(Ingredients[Batter],MATCH(Production[[#This Row],[Product]],Ingredients[ProdName],0))*Production[[#This Row],[Batter Used]],"")</f>
        <v/>
      </c>
      <c r="K65" s="210" t="str">
        <f>IF(INDEX(Ingredients[Breader],MATCH(Production[[#This Row],[Product]],Ingredients[ProdName],0))*Production[[#This Row],[Breader Used]]&gt;0,INDEX(Ingredients[Breader],MATCH(Production[[#This Row],[Product]],Ingredients[ProdName],0))*Production[[#This Row],[Breader Used]],"")</f>
        <v/>
      </c>
      <c r="L65" s="56"/>
      <c r="M65" s="56"/>
      <c r="N65" s="211">
        <f>IFERROR(IF(SUM(Production[[#This Row],[Meat Wt]:[BrTtl]])&lt;&gt;0,SUM(Production[[#This Row],[Meat Wt]:[BrTtl]]),""),"")</f>
        <v>3116.5</v>
      </c>
      <c r="O65" s="55">
        <v>140</v>
      </c>
      <c r="P65" s="208">
        <f>INDEX(Ingredients[Case Wt.],MATCH(Production[[#This Row],[Product]],Ingredients[ProdName],0))*Production[[#This Row],[Case Total]]</f>
        <v>4200</v>
      </c>
      <c r="Q65" s="211">
        <f>IFERROR(Production[[#This Row],[SatWt]]-Production[[#This Row],[RawWt]],"")</f>
        <v>1083.5</v>
      </c>
      <c r="R65" s="222" t="str">
        <f>IF(Production[[#This Row],[Species]]&lt;&gt;"",IF(SUM(Production[[#This Row],[BtTtl]:[BrTtl]])/Production[[#This Row],[SatWt]]&lt;&gt;0,SUM(Production[[#This Row],[BtTtl]:[BrTtl]])/Production[[#This Row],[SatWt]],""),"")</f>
        <v/>
      </c>
      <c r="S65" s="223" t="str">
        <f>INDEX(Ingredients[Species],MATCH(Production[[#This Row],[Product]],Ingredients[ProdName],0))</f>
        <v>Poultry</v>
      </c>
    </row>
    <row r="66" spans="1:19" ht="11.1" customHeight="1" x14ac:dyDescent="0.25">
      <c r="A66" s="207" t="str">
        <f>IFERROR(IF(Production[[#This Row],[Date]]&lt;&gt;"",TEXT(Production[[#This Row],[Date]],"yy")&amp;"-"&amp;TEXT(Production[[#This Row],[Date]]-DATE(YEAR(Production[[#This Row],[Date]]),1,0),"000"),""),"")</f>
        <v>22-146</v>
      </c>
      <c r="B66" s="209" t="str">
        <f>IFERROR(IF(INDEX(Ingredients[Ingr1],MATCH(Production[[#This Row],[Product]],Ingredients[ProdName],0))&lt;&gt;"",INDEX(Ingredients[Ingr1],MATCH(Production[[#This Row],[Product]],Ingredients[ProdName],0)),INDEX(Ingredients[Ingr2],MATCH(Production[[#This Row],[Product]],Ingredients[ProdName],0))),"")</f>
        <v>Chicken - Ground</v>
      </c>
      <c r="C66" s="53">
        <v>44707</v>
      </c>
      <c r="D66" s="54" t="s">
        <v>15</v>
      </c>
      <c r="E66" s="55">
        <v>731</v>
      </c>
      <c r="F66" s="56">
        <v>10</v>
      </c>
      <c r="G66" s="56">
        <v>60</v>
      </c>
      <c r="H66" s="208">
        <f>IFERROR(INDEX(Tier1[Wt],MATCH(Production[[#This Row],[Type]],Tier1[Ingredient],0))*Production[[#This Row],[Blocks Used]],0)</f>
        <v>3000</v>
      </c>
      <c r="I66" s="210">
        <f>IFERROR(INDEX(Ingredients[TtlWt],MATCH(Production[[#This Row],[Product]],Ingredients[ProdName],0))*Production[[#This Row],[Lots Done]],"")</f>
        <v>116.5</v>
      </c>
      <c r="J66" s="210" t="str">
        <f>IF(INDEX(Ingredients[Batter],MATCH(Production[[#This Row],[Product]],Ingredients[ProdName],0))*Production[[#This Row],[Batter Used]]&gt;0,INDEX(Ingredients[Batter],MATCH(Production[[#This Row],[Product]],Ingredients[ProdName],0))*Production[[#This Row],[Batter Used]],"")</f>
        <v/>
      </c>
      <c r="K66" s="210" t="str">
        <f>IF(INDEX(Ingredients[Breader],MATCH(Production[[#This Row],[Product]],Ingredients[ProdName],0))*Production[[#This Row],[Breader Used]]&gt;0,INDEX(Ingredients[Breader],MATCH(Production[[#This Row],[Product]],Ingredients[ProdName],0))*Production[[#This Row],[Breader Used]],"")</f>
        <v/>
      </c>
      <c r="L66" s="56"/>
      <c r="M66" s="56"/>
      <c r="N66" s="211">
        <f>IFERROR(IF(SUM(Production[[#This Row],[Meat Wt]:[BrTtl]])&lt;&gt;0,SUM(Production[[#This Row],[Meat Wt]:[BrTtl]]),""),"")</f>
        <v>3116.5</v>
      </c>
      <c r="O66" s="55">
        <v>143</v>
      </c>
      <c r="P66" s="208">
        <f>INDEX(Ingredients[Case Wt.],MATCH(Production[[#This Row],[Product]],Ingredients[ProdName],0))*Production[[#This Row],[Case Total]]</f>
        <v>4290</v>
      </c>
      <c r="Q66" s="211">
        <f>IFERROR(Production[[#This Row],[SatWt]]-Production[[#This Row],[RawWt]],"")</f>
        <v>1173.5</v>
      </c>
      <c r="R66" s="222" t="str">
        <f>IF(Production[[#This Row],[Species]]&lt;&gt;"",IF(SUM(Production[[#This Row],[BtTtl]:[BrTtl]])/Production[[#This Row],[SatWt]]&lt;&gt;0,SUM(Production[[#This Row],[BtTtl]:[BrTtl]])/Production[[#This Row],[SatWt]],""),"")</f>
        <v/>
      </c>
      <c r="S66" s="223" t="str">
        <f>INDEX(Ingredients[Species],MATCH(Production[[#This Row],[Product]],Ingredients[ProdName],0))</f>
        <v>Poultry</v>
      </c>
    </row>
    <row r="67" spans="1:19" ht="11.1" customHeight="1" x14ac:dyDescent="0.25">
      <c r="A67" s="207" t="str">
        <f>IFERROR(IF(Production[[#This Row],[Date]]&lt;&gt;"",TEXT(Production[[#This Row],[Date]],"yy")&amp;"-"&amp;TEXT(Production[[#This Row],[Date]]-DATE(YEAR(Production[[#This Row],[Date]]),1,0),"000"),""),"")</f>
        <v>22-151</v>
      </c>
      <c r="B67" s="209" t="str">
        <f>IFERROR(IF(INDEX(Ingredients[Ingr1],MATCH(Production[[#This Row],[Product]],Ingredients[ProdName],0))&lt;&gt;"",INDEX(Ingredients[Ingr1],MATCH(Production[[#This Row],[Product]],Ingredients[ProdName],0)),INDEX(Ingredients[Ingr2],MATCH(Production[[#This Row],[Product]],Ingredients[ProdName],0))),"")</f>
        <v>Chicken - Ground</v>
      </c>
      <c r="C67" s="53">
        <v>44712</v>
      </c>
      <c r="D67" s="54" t="s">
        <v>7</v>
      </c>
      <c r="E67" s="55">
        <v>731</v>
      </c>
      <c r="F67" s="56">
        <v>10</v>
      </c>
      <c r="G67" s="56">
        <v>60</v>
      </c>
      <c r="H67" s="208">
        <f>IFERROR(INDEX(Tier1[Wt],MATCH(Production[[#This Row],[Type]],Tier1[Ingredient],0))*Production[[#This Row],[Blocks Used]],0)</f>
        <v>3000</v>
      </c>
      <c r="I67" s="210">
        <f>IFERROR(INDEX(Ingredients[TtlWt],MATCH(Production[[#This Row],[Product]],Ingredients[ProdName],0))*Production[[#This Row],[Lots Done]],"")</f>
        <v>67.5</v>
      </c>
      <c r="J67" s="210" t="str">
        <f>IF(INDEX(Ingredients[Batter],MATCH(Production[[#This Row],[Product]],Ingredients[ProdName],0))*Production[[#This Row],[Batter Used]]&gt;0,INDEX(Ingredients[Batter],MATCH(Production[[#This Row],[Product]],Ingredients[ProdName],0))*Production[[#This Row],[Batter Used]],"")</f>
        <v/>
      </c>
      <c r="K67" s="210" t="str">
        <f>IF(INDEX(Ingredients[Breader],MATCH(Production[[#This Row],[Product]],Ingredients[ProdName],0))*Production[[#This Row],[Breader Used]]&gt;0,INDEX(Ingredients[Breader],MATCH(Production[[#This Row],[Product]],Ingredients[ProdName],0))*Production[[#This Row],[Breader Used]],"")</f>
        <v/>
      </c>
      <c r="L67" s="56"/>
      <c r="M67" s="56"/>
      <c r="N67" s="211">
        <f>IFERROR(IF(SUM(Production[[#This Row],[Meat Wt]:[BrTtl]])&lt;&gt;0,SUM(Production[[#This Row],[Meat Wt]:[BrTtl]]),""),"")</f>
        <v>3067.5</v>
      </c>
      <c r="O67" s="55">
        <v>168</v>
      </c>
      <c r="P67" s="208">
        <f>INDEX(Ingredients[Case Wt.],MATCH(Production[[#This Row],[Product]],Ingredients[ProdName],0))*Production[[#This Row],[Case Total]]</f>
        <v>4200</v>
      </c>
      <c r="Q67" s="211">
        <f>IFERROR(Production[[#This Row],[SatWt]]-Production[[#This Row],[RawWt]],"")</f>
        <v>1132.5</v>
      </c>
      <c r="R67" s="222" t="str">
        <f>IF(Production[[#This Row],[Species]]&lt;&gt;"",IF(SUM(Production[[#This Row],[BtTtl]:[BrTtl]])/Production[[#This Row],[SatWt]]&lt;&gt;0,SUM(Production[[#This Row],[BtTtl]:[BrTtl]])/Production[[#This Row],[SatWt]],""),"")</f>
        <v/>
      </c>
      <c r="S67" s="223" t="str">
        <f>INDEX(Ingredients[Species],MATCH(Production[[#This Row],[Product]],Ingredients[ProdName],0))</f>
        <v>Poultry</v>
      </c>
    </row>
    <row r="68" spans="1:19" ht="11.1" customHeight="1" x14ac:dyDescent="0.25">
      <c r="A68" s="207" t="str">
        <f>IFERROR(IF(Production[[#This Row],[Date]]&lt;&gt;"",TEXT(Production[[#This Row],[Date]],"yy")&amp;"-"&amp;TEXT(Production[[#This Row],[Date]]-DATE(YEAR(Production[[#This Row],[Date]]),1,0),"000"),""),"")</f>
        <v>22-152</v>
      </c>
      <c r="B68" s="209" t="str">
        <f>IFERROR(IF(INDEX(Ingredients[Ingr1],MATCH(Production[[#This Row],[Product]],Ingredients[ProdName],0))&lt;&gt;"",INDEX(Ingredients[Ingr1],MATCH(Production[[#This Row],[Product]],Ingredients[ProdName],0)),INDEX(Ingredients[Ingr2],MATCH(Production[[#This Row],[Product]],Ingredients[ProdName],0))),"")</f>
        <v>Chicken - Ground</v>
      </c>
      <c r="C68" s="53">
        <v>44713</v>
      </c>
      <c r="D68" s="54" t="s">
        <v>17</v>
      </c>
      <c r="E68" s="55">
        <v>731</v>
      </c>
      <c r="F68" s="56">
        <v>10</v>
      </c>
      <c r="G68" s="56">
        <v>60</v>
      </c>
      <c r="H68" s="208">
        <f>IFERROR(INDEX(Tier1[Wt],MATCH(Production[[#This Row],[Type]],Tier1[Ingredient],0))*Production[[#This Row],[Blocks Used]],0)</f>
        <v>3000</v>
      </c>
      <c r="I68" s="210">
        <f>IFERROR(INDEX(Ingredients[TtlWt],MATCH(Production[[#This Row],[Product]],Ingredients[ProdName],0))*Production[[#This Row],[Lots Done]],"")</f>
        <v>419.5</v>
      </c>
      <c r="J68" s="210" t="str">
        <f>IF(INDEX(Ingredients[Batter],MATCH(Production[[#This Row],[Product]],Ingredients[ProdName],0))*Production[[#This Row],[Batter Used]]&gt;0,INDEX(Ingredients[Batter],MATCH(Production[[#This Row],[Product]],Ingredients[ProdName],0))*Production[[#This Row],[Batter Used]],"")</f>
        <v/>
      </c>
      <c r="K68" s="210" t="str">
        <f>IF(INDEX(Ingredients[Breader],MATCH(Production[[#This Row],[Product]],Ingredients[ProdName],0))*Production[[#This Row],[Breader Used]]&gt;0,INDEX(Ingredients[Breader],MATCH(Production[[#This Row],[Product]],Ingredients[ProdName],0))*Production[[#This Row],[Breader Used]],"")</f>
        <v/>
      </c>
      <c r="L68" s="56"/>
      <c r="M68" s="56"/>
      <c r="N68" s="211">
        <f>IFERROR(IF(SUM(Production[[#This Row],[Meat Wt]:[BrTtl]])&lt;&gt;0,SUM(Production[[#This Row],[Meat Wt]:[BrTtl]]),""),"")</f>
        <v>3419.5</v>
      </c>
      <c r="O68" s="55">
        <v>161</v>
      </c>
      <c r="P68" s="208">
        <f>INDEX(Ingredients[Case Wt.],MATCH(Production[[#This Row],[Product]],Ingredients[ProdName],0))*Production[[#This Row],[Case Total]]</f>
        <v>4025</v>
      </c>
      <c r="Q68" s="211">
        <f>IFERROR(Production[[#This Row],[SatWt]]-Production[[#This Row],[RawWt]],"")</f>
        <v>605.5</v>
      </c>
      <c r="R68" s="222" t="str">
        <f>IF(Production[[#This Row],[Species]]&lt;&gt;"",IF(SUM(Production[[#This Row],[BtTtl]:[BrTtl]])/Production[[#This Row],[SatWt]]&lt;&gt;0,SUM(Production[[#This Row],[BtTtl]:[BrTtl]])/Production[[#This Row],[SatWt]],""),"")</f>
        <v/>
      </c>
      <c r="S68" s="223" t="str">
        <f>INDEX(Ingredients[Species],MATCH(Production[[#This Row],[Product]],Ingredients[ProdName],0))</f>
        <v>Poultry</v>
      </c>
    </row>
    <row r="69" spans="1:19" ht="11.1" customHeight="1" x14ac:dyDescent="0.25">
      <c r="A69" s="207" t="str">
        <f>IFERROR(IF(Production[[#This Row],[Date]]&lt;&gt;"",TEXT(Production[[#This Row],[Date]],"yy")&amp;"-"&amp;TEXT(Production[[#This Row],[Date]]-DATE(YEAR(Production[[#This Row],[Date]]),1,0),"000"),""),"")</f>
        <v>22-153</v>
      </c>
      <c r="B69" s="209" t="str">
        <f>IFERROR(IF(INDEX(Ingredients[Ingr1],MATCH(Production[[#This Row],[Product]],Ingredients[ProdName],0))&lt;&gt;"",INDEX(Ingredients[Ingr1],MATCH(Production[[#This Row],[Product]],Ingredients[ProdName],0)),INDEX(Ingredients[Ingr2],MATCH(Production[[#This Row],[Product]],Ingredients[ProdName],0))),"")</f>
        <v>Chicken - Ground</v>
      </c>
      <c r="C69" s="53">
        <v>44714</v>
      </c>
      <c r="D69" s="54" t="s">
        <v>8</v>
      </c>
      <c r="E69" s="55">
        <v>731</v>
      </c>
      <c r="F69" s="56">
        <v>5</v>
      </c>
      <c r="G69" s="56">
        <v>30</v>
      </c>
      <c r="H69" s="208">
        <f>IFERROR(INDEX(Tier1[Wt],MATCH(Production[[#This Row],[Type]],Tier1[Ingredient],0))*Production[[#This Row],[Blocks Used]],0)</f>
        <v>1500</v>
      </c>
      <c r="I69" s="210">
        <f>IFERROR(INDEX(Ingredients[TtlWt],MATCH(Production[[#This Row],[Product]],Ingredients[ProdName],0))*Production[[#This Row],[Lots Done]],"")</f>
        <v>326</v>
      </c>
      <c r="J69" s="210" t="str">
        <f>IF(INDEX(Ingredients[Batter],MATCH(Production[[#This Row],[Product]],Ingredients[ProdName],0))*Production[[#This Row],[Batter Used]]&gt;0,INDEX(Ingredients[Batter],MATCH(Production[[#This Row],[Product]],Ingredients[ProdName],0))*Production[[#This Row],[Batter Used]],"")</f>
        <v/>
      </c>
      <c r="K69" s="210" t="str">
        <f>IF(INDEX(Ingredients[Breader],MATCH(Production[[#This Row],[Product]],Ingredients[ProdName],0))*Production[[#This Row],[Breader Used]]&gt;0,INDEX(Ingredients[Breader],MATCH(Production[[#This Row],[Product]],Ingredients[ProdName],0))*Production[[#This Row],[Breader Used]],"")</f>
        <v/>
      </c>
      <c r="L69" s="56"/>
      <c r="M69" s="56"/>
      <c r="N69" s="211">
        <f>IFERROR(IF(SUM(Production[[#This Row],[Meat Wt]:[BrTtl]])&lt;&gt;0,SUM(Production[[#This Row],[Meat Wt]:[BrTtl]]),""),"")</f>
        <v>1826</v>
      </c>
      <c r="O69" s="55">
        <v>108</v>
      </c>
      <c r="P69" s="208">
        <f>INDEX(Ingredients[Case Wt.],MATCH(Production[[#This Row],[Product]],Ingredients[ProdName],0))*Production[[#This Row],[Case Total]]</f>
        <v>2700</v>
      </c>
      <c r="Q69" s="211">
        <f>IFERROR(Production[[#This Row],[SatWt]]-Production[[#This Row],[RawWt]],"")</f>
        <v>874</v>
      </c>
      <c r="R69" s="222" t="str">
        <f>IF(Production[[#This Row],[Species]]&lt;&gt;"",IF(SUM(Production[[#This Row],[BtTtl]:[BrTtl]])/Production[[#This Row],[SatWt]]&lt;&gt;0,SUM(Production[[#This Row],[BtTtl]:[BrTtl]])/Production[[#This Row],[SatWt]],""),"")</f>
        <v/>
      </c>
      <c r="S69" s="223" t="str">
        <f>INDEX(Ingredients[Species],MATCH(Production[[#This Row],[Product]],Ingredients[ProdName],0))</f>
        <v>Poultry</v>
      </c>
    </row>
    <row r="70" spans="1:19" ht="11.1" customHeight="1" x14ac:dyDescent="0.25">
      <c r="A70" s="207" t="str">
        <f>IFERROR(IF(Production[[#This Row],[Date]]&lt;&gt;"",TEXT(Production[[#This Row],[Date]],"yy")&amp;"-"&amp;TEXT(Production[[#This Row],[Date]]-DATE(YEAR(Production[[#This Row],[Date]]),1,0),"000"),""),"")</f>
        <v>22-158</v>
      </c>
      <c r="B70" s="209" t="str">
        <f>IFERROR(IF(INDEX(Ingredients[Ingr1],MATCH(Production[[#This Row],[Product]],Ingredients[ProdName],0))&lt;&gt;"",INDEX(Ingredients[Ingr1],MATCH(Production[[#This Row],[Product]],Ingredients[ProdName],0)),INDEX(Ingredients[Ingr2],MATCH(Production[[#This Row],[Product]],Ingredients[ProdName],0))),"")</f>
        <v>Chicken - Ground</v>
      </c>
      <c r="C70" s="53">
        <v>44719</v>
      </c>
      <c r="D70" s="54" t="s">
        <v>9</v>
      </c>
      <c r="E70" s="55">
        <v>731</v>
      </c>
      <c r="F70" s="56">
        <v>14</v>
      </c>
      <c r="G70" s="56">
        <v>84</v>
      </c>
      <c r="H70" s="208">
        <f>IFERROR(INDEX(Tier1[Wt],MATCH(Production[[#This Row],[Type]],Tier1[Ingredient],0))*Production[[#This Row],[Blocks Used]],0)</f>
        <v>4200</v>
      </c>
      <c r="I70" s="210" t="str">
        <f>IFERROR(INDEX(Ingredients[TtlWt],MATCH(Production[[#This Row],[Product]],Ingredients[ProdName],0))*Production[[#This Row],[Lots Done]],"")</f>
        <v/>
      </c>
      <c r="J70" s="210" t="str">
        <f>IF(INDEX(Ingredients[Batter],MATCH(Production[[#This Row],[Product]],Ingredients[ProdName],0))*Production[[#This Row],[Batter Used]]&gt;0,INDEX(Ingredients[Batter],MATCH(Production[[#This Row],[Product]],Ingredients[ProdName],0))*Production[[#This Row],[Batter Used]],"")</f>
        <v/>
      </c>
      <c r="K70" s="210" t="str">
        <f>IF(INDEX(Ingredients[Breader],MATCH(Production[[#This Row],[Product]],Ingredients[ProdName],0))*Production[[#This Row],[Breader Used]]&gt;0,INDEX(Ingredients[Breader],MATCH(Production[[#This Row],[Product]],Ingredients[ProdName],0))*Production[[#This Row],[Breader Used]],"")</f>
        <v/>
      </c>
      <c r="L70" s="56"/>
      <c r="M70" s="56"/>
      <c r="N70" s="211">
        <f>IFERROR(IF(SUM(Production[[#This Row],[Meat Wt]:[BrTtl]])&lt;&gt;0,SUM(Production[[#This Row],[Meat Wt]:[BrTtl]]),""),"")</f>
        <v>4200</v>
      </c>
      <c r="O70" s="55">
        <v>173</v>
      </c>
      <c r="P70" s="208">
        <f>INDEX(Ingredients[Case Wt.],MATCH(Production[[#This Row],[Product]],Ingredients[ProdName],0))*Production[[#This Row],[Case Total]]</f>
        <v>5190</v>
      </c>
      <c r="Q70" s="211">
        <f>IFERROR(Production[[#This Row],[SatWt]]-Production[[#This Row],[RawWt]],"")</f>
        <v>990</v>
      </c>
      <c r="R70" s="222" t="str">
        <f>IF(Production[[#This Row],[Species]]&lt;&gt;"",IF(SUM(Production[[#This Row],[BtTtl]:[BrTtl]])/Production[[#This Row],[SatWt]]&lt;&gt;0,SUM(Production[[#This Row],[BtTtl]:[BrTtl]])/Production[[#This Row],[SatWt]],""),"")</f>
        <v/>
      </c>
      <c r="S70" s="223" t="str">
        <f>INDEX(Ingredients[Species],MATCH(Production[[#This Row],[Product]],Ingredients[ProdName],0))</f>
        <v>Poultry</v>
      </c>
    </row>
    <row r="71" spans="1:19" ht="11.1" customHeight="1" x14ac:dyDescent="0.25">
      <c r="A71" s="207" t="str">
        <f>IFERROR(IF(Production[[#This Row],[Date]]&lt;&gt;"",TEXT(Production[[#This Row],[Date]],"yy")&amp;"-"&amp;TEXT(Production[[#This Row],[Date]]-DATE(YEAR(Production[[#This Row],[Date]]),1,0),"000"),""),"")</f>
        <v>22-159</v>
      </c>
      <c r="B71" s="209" t="str">
        <f>IFERROR(IF(INDEX(Ingredients[Ingr1],MATCH(Production[[#This Row],[Product]],Ingredients[ProdName],0))&lt;&gt;"",INDEX(Ingredients[Ingr1],MATCH(Production[[#This Row],[Product]],Ingredients[ProdName],0)),INDEX(Ingredients[Ingr2],MATCH(Production[[#This Row],[Product]],Ingredients[ProdName],0))),"")</f>
        <v>Chicken - Ground</v>
      </c>
      <c r="C71" s="53">
        <v>44720</v>
      </c>
      <c r="D71" s="54" t="s">
        <v>9</v>
      </c>
      <c r="E71" s="55">
        <v>731</v>
      </c>
      <c r="F71" s="56">
        <v>16</v>
      </c>
      <c r="G71" s="56">
        <v>96</v>
      </c>
      <c r="H71" s="208">
        <f>IFERROR(INDEX(Tier1[Wt],MATCH(Production[[#This Row],[Type]],Tier1[Ingredient],0))*Production[[#This Row],[Blocks Used]],0)</f>
        <v>4800</v>
      </c>
      <c r="I71" s="210" t="str">
        <f>IFERROR(INDEX(Ingredients[TtlWt],MATCH(Production[[#This Row],[Product]],Ingredients[ProdName],0))*Production[[#This Row],[Lots Done]],"")</f>
        <v/>
      </c>
      <c r="J71" s="210" t="str">
        <f>IF(INDEX(Ingredients[Batter],MATCH(Production[[#This Row],[Product]],Ingredients[ProdName],0))*Production[[#This Row],[Batter Used]]&gt;0,INDEX(Ingredients[Batter],MATCH(Production[[#This Row],[Product]],Ingredients[ProdName],0))*Production[[#This Row],[Batter Used]],"")</f>
        <v/>
      </c>
      <c r="K71" s="210" t="str">
        <f>IF(INDEX(Ingredients[Breader],MATCH(Production[[#This Row],[Product]],Ingredients[ProdName],0))*Production[[#This Row],[Breader Used]]&gt;0,INDEX(Ingredients[Breader],MATCH(Production[[#This Row],[Product]],Ingredients[ProdName],0))*Production[[#This Row],[Breader Used]],"")</f>
        <v/>
      </c>
      <c r="L71" s="56"/>
      <c r="M71" s="56"/>
      <c r="N71" s="211">
        <f>IFERROR(IF(SUM(Production[[#This Row],[Meat Wt]:[BrTtl]])&lt;&gt;0,SUM(Production[[#This Row],[Meat Wt]:[BrTtl]]),""),"")</f>
        <v>4800</v>
      </c>
      <c r="O71" s="55">
        <v>211</v>
      </c>
      <c r="P71" s="208">
        <f>INDEX(Ingredients[Case Wt.],MATCH(Production[[#This Row],[Product]],Ingredients[ProdName],0))*Production[[#This Row],[Case Total]]</f>
        <v>6330</v>
      </c>
      <c r="Q71" s="211">
        <f>IFERROR(Production[[#This Row],[SatWt]]-Production[[#This Row],[RawWt]],"")</f>
        <v>1530</v>
      </c>
      <c r="R71" s="222" t="str">
        <f>IF(Production[[#This Row],[Species]]&lt;&gt;"",IF(SUM(Production[[#This Row],[BtTtl]:[BrTtl]])/Production[[#This Row],[SatWt]]&lt;&gt;0,SUM(Production[[#This Row],[BtTtl]:[BrTtl]])/Production[[#This Row],[SatWt]],""),"")</f>
        <v/>
      </c>
      <c r="S71" s="223" t="str">
        <f>INDEX(Ingredients[Species],MATCH(Production[[#This Row],[Product]],Ingredients[ProdName],0))</f>
        <v>Poultry</v>
      </c>
    </row>
    <row r="72" spans="1:19" ht="11.1" customHeight="1" x14ac:dyDescent="0.25">
      <c r="A72" s="207" t="str">
        <f>IFERROR(IF(Production[[#This Row],[Date]]&lt;&gt;"",TEXT(Production[[#This Row],[Date]],"yy")&amp;"-"&amp;TEXT(Production[[#This Row],[Date]]-DATE(YEAR(Production[[#This Row],[Date]]),1,0),"000"),""),"")</f>
        <v>22-165</v>
      </c>
      <c r="B72" s="209" t="str">
        <f>IFERROR(IF(INDEX(Ingredients[Ingr1],MATCH(Production[[#This Row],[Product]],Ingredients[ProdName],0))&lt;&gt;"",INDEX(Ingredients[Ingr1],MATCH(Production[[#This Row],[Product]],Ingredients[ProdName],0)),INDEX(Ingredients[Ingr2],MATCH(Production[[#This Row],[Product]],Ingredients[ProdName],0))),"")</f>
        <v>Chicken - Ground</v>
      </c>
      <c r="C72" s="53">
        <v>44726</v>
      </c>
      <c r="D72" s="54" t="s">
        <v>15</v>
      </c>
      <c r="E72" s="55">
        <v>731</v>
      </c>
      <c r="F72" s="56">
        <v>8</v>
      </c>
      <c r="G72" s="56">
        <v>48</v>
      </c>
      <c r="H72" s="208">
        <f>IFERROR(INDEX(Tier1[Wt],MATCH(Production[[#This Row],[Type]],Tier1[Ingredient],0))*Production[[#This Row],[Blocks Used]],0)</f>
        <v>2400</v>
      </c>
      <c r="I72" s="210">
        <f>IFERROR(INDEX(Ingredients[TtlWt],MATCH(Production[[#This Row],[Product]],Ingredients[ProdName],0))*Production[[#This Row],[Lots Done]],"")</f>
        <v>93.2</v>
      </c>
      <c r="J72" s="210" t="str">
        <f>IF(INDEX(Ingredients[Batter],MATCH(Production[[#This Row],[Product]],Ingredients[ProdName],0))*Production[[#This Row],[Batter Used]]&gt;0,INDEX(Ingredients[Batter],MATCH(Production[[#This Row],[Product]],Ingredients[ProdName],0))*Production[[#This Row],[Batter Used]],"")</f>
        <v/>
      </c>
      <c r="K72" s="210" t="str">
        <f>IF(INDEX(Ingredients[Breader],MATCH(Production[[#This Row],[Product]],Ingredients[ProdName],0))*Production[[#This Row],[Breader Used]]&gt;0,INDEX(Ingredients[Breader],MATCH(Production[[#This Row],[Product]],Ingredients[ProdName],0))*Production[[#This Row],[Breader Used]],"")</f>
        <v/>
      </c>
      <c r="L72" s="56"/>
      <c r="M72" s="56"/>
      <c r="N72" s="211">
        <f>IFERROR(IF(SUM(Production[[#This Row],[Meat Wt]:[BrTtl]])&lt;&gt;0,SUM(Production[[#This Row],[Meat Wt]:[BrTtl]]),""),"")</f>
        <v>2493.1999999999998</v>
      </c>
      <c r="O72" s="55">
        <v>105</v>
      </c>
      <c r="P72" s="208">
        <f>INDEX(Ingredients[Case Wt.],MATCH(Production[[#This Row],[Product]],Ingredients[ProdName],0))*Production[[#This Row],[Case Total]]</f>
        <v>3150</v>
      </c>
      <c r="Q72" s="211">
        <f>IFERROR(Production[[#This Row],[SatWt]]-Production[[#This Row],[RawWt]],"")</f>
        <v>656.80000000000018</v>
      </c>
      <c r="R72" s="222" t="str">
        <f>IF(Production[[#This Row],[Species]]&lt;&gt;"",IF(SUM(Production[[#This Row],[BtTtl]:[BrTtl]])/Production[[#This Row],[SatWt]]&lt;&gt;0,SUM(Production[[#This Row],[BtTtl]:[BrTtl]])/Production[[#This Row],[SatWt]],""),"")</f>
        <v/>
      </c>
      <c r="S72" s="223" t="str">
        <f>INDEX(Ingredients[Species],MATCH(Production[[#This Row],[Product]],Ingredients[ProdName],0))</f>
        <v>Poultry</v>
      </c>
    </row>
    <row r="73" spans="1:19" ht="11.1" customHeight="1" x14ac:dyDescent="0.25">
      <c r="A73" s="207" t="str">
        <f>IFERROR(IF(Production[[#This Row],[Date]]&lt;&gt;"",TEXT(Production[[#This Row],[Date]],"yy")&amp;"-"&amp;TEXT(Production[[#This Row],[Date]]-DATE(YEAR(Production[[#This Row],[Date]]),1,0),"000"),""),"")</f>
        <v>22-166</v>
      </c>
      <c r="B73" s="209" t="str">
        <f>IFERROR(IF(INDEX(Ingredients[Ingr1],MATCH(Production[[#This Row],[Product]],Ingredients[ProdName],0))&lt;&gt;"",INDEX(Ingredients[Ingr1],MATCH(Production[[#This Row],[Product]],Ingredients[ProdName],0)),INDEX(Ingredients[Ingr2],MATCH(Production[[#This Row],[Product]],Ingredients[ProdName],0))),"")</f>
        <v>Cornmeal</v>
      </c>
      <c r="C73" s="53">
        <v>44727</v>
      </c>
      <c r="D73" s="54" t="s">
        <v>24</v>
      </c>
      <c r="E73" s="55" t="s">
        <v>185</v>
      </c>
      <c r="F73" s="56"/>
      <c r="G73" s="56"/>
      <c r="H73" s="208">
        <f>IFERROR(INDEX(Tier1[Wt],MATCH(Production[[#This Row],[Type]],Tier1[Ingredient],0))*Production[[#This Row],[Blocks Used]],0)</f>
        <v>0</v>
      </c>
      <c r="I73" s="210" t="str">
        <f>IFERROR(INDEX(Ingredients[TtlWt],MATCH(Production[[#This Row],[Product]],Ingredients[ProdName],0))*Production[[#This Row],[Lots Done]],"")</f>
        <v/>
      </c>
      <c r="J73" s="210" t="str">
        <f>IF(INDEX(Ingredients[Batter],MATCH(Production[[#This Row],[Product]],Ingredients[ProdName],0))*Production[[#This Row],[Batter Used]]&gt;0,INDEX(Ingredients[Batter],MATCH(Production[[#This Row],[Product]],Ingredients[ProdName],0))*Production[[#This Row],[Batter Used]],"")</f>
        <v/>
      </c>
      <c r="K73" s="210" t="str">
        <f>IF(INDEX(Ingredients[Breader],MATCH(Production[[#This Row],[Product]],Ingredients[ProdName],0))*Production[[#This Row],[Breader Used]]&gt;0,INDEX(Ingredients[Breader],MATCH(Production[[#This Row],[Product]],Ingredients[ProdName],0))*Production[[#This Row],[Breader Used]],"")</f>
        <v/>
      </c>
      <c r="L73" s="56"/>
      <c r="M73" s="56"/>
      <c r="N73" s="211" t="str">
        <f>IFERROR(IF(SUM(Production[[#This Row],[Meat Wt]:[BrTtl]])&lt;&gt;0,SUM(Production[[#This Row],[Meat Wt]:[BrTtl]]),""),"")</f>
        <v/>
      </c>
      <c r="O73" s="55">
        <v>15</v>
      </c>
      <c r="P73" s="208">
        <f>INDEX(Ingredients[Case Wt.],MATCH(Production[[#This Row],[Product]],Ingredients[ProdName],0))*Production[[#This Row],[Case Total]]</f>
        <v>75</v>
      </c>
      <c r="Q73" s="211" t="str">
        <f>IFERROR(Production[[#This Row],[SatWt]]-Production[[#This Row],[RawWt]],"")</f>
        <v/>
      </c>
      <c r="R73" s="222" t="str">
        <f>IF(Production[[#This Row],[Species]]&lt;&gt;"",IF(SUM(Production[[#This Row],[BtTtl]:[BrTtl]])/Production[[#This Row],[SatWt]]&lt;&gt;0,SUM(Production[[#This Row],[BtTtl]:[BrTtl]])/Production[[#This Row],[SatWt]],""),"")</f>
        <v/>
      </c>
      <c r="S73" s="223" t="str">
        <f>INDEX(Ingredients[Species],MATCH(Production[[#This Row],[Product]],Ingredients[ProdName],0))</f>
        <v/>
      </c>
    </row>
    <row r="74" spans="1:19" ht="11.1" customHeight="1" x14ac:dyDescent="0.25">
      <c r="A74" s="207" t="str">
        <f>IFERROR(IF(Production[[#This Row],[Date]]&lt;&gt;"",TEXT(Production[[#This Row],[Date]],"yy")&amp;"-"&amp;TEXT(Production[[#This Row],[Date]]-DATE(YEAR(Production[[#This Row],[Date]]),1,0),"000"),""),"")</f>
        <v>22-167</v>
      </c>
      <c r="B74" s="209" t="str">
        <f>IFERROR(IF(INDEX(Ingredients[Ingr1],MATCH(Production[[#This Row],[Product]],Ingredients[ProdName],0))&lt;&gt;"",INDEX(Ingredients[Ingr1],MATCH(Production[[#This Row],[Product]],Ingredients[ProdName],0)),INDEX(Ingredients[Ingr2],MATCH(Production[[#This Row],[Product]],Ingredients[ProdName],0))),"")</f>
        <v>Cornmeal</v>
      </c>
      <c r="C74" s="53">
        <v>44728</v>
      </c>
      <c r="D74" s="54" t="s">
        <v>24</v>
      </c>
      <c r="E74" s="55" t="s">
        <v>186</v>
      </c>
      <c r="F74" s="56"/>
      <c r="G74" s="56"/>
      <c r="H74" s="208">
        <f>IFERROR(INDEX(Tier1[Wt],MATCH(Production[[#This Row],[Type]],Tier1[Ingredient],0))*Production[[#This Row],[Blocks Used]],0)</f>
        <v>0</v>
      </c>
      <c r="I74" s="210" t="str">
        <f>IFERROR(INDEX(Ingredients[TtlWt],MATCH(Production[[#This Row],[Product]],Ingredients[ProdName],0))*Production[[#This Row],[Lots Done]],"")</f>
        <v/>
      </c>
      <c r="J74" s="210" t="str">
        <f>IF(INDEX(Ingredients[Batter],MATCH(Production[[#This Row],[Product]],Ingredients[ProdName],0))*Production[[#This Row],[Batter Used]]&gt;0,INDEX(Ingredients[Batter],MATCH(Production[[#This Row],[Product]],Ingredients[ProdName],0))*Production[[#This Row],[Batter Used]],"")</f>
        <v/>
      </c>
      <c r="K74" s="210" t="str">
        <f>IF(INDEX(Ingredients[Breader],MATCH(Production[[#This Row],[Product]],Ingredients[ProdName],0))*Production[[#This Row],[Breader Used]]&gt;0,INDEX(Ingredients[Breader],MATCH(Production[[#This Row],[Product]],Ingredients[ProdName],0))*Production[[#This Row],[Breader Used]],"")</f>
        <v/>
      </c>
      <c r="L74" s="56"/>
      <c r="M74" s="56"/>
      <c r="N74" s="211" t="str">
        <f>IFERROR(IF(SUM(Production[[#This Row],[Meat Wt]:[BrTtl]])&lt;&gt;0,SUM(Production[[#This Row],[Meat Wt]:[BrTtl]]),""),"")</f>
        <v/>
      </c>
      <c r="O74" s="55">
        <v>28</v>
      </c>
      <c r="P74" s="208">
        <f>INDEX(Ingredients[Case Wt.],MATCH(Production[[#This Row],[Product]],Ingredients[ProdName],0))*Production[[#This Row],[Case Total]]</f>
        <v>140</v>
      </c>
      <c r="Q74" s="211" t="str">
        <f>IFERROR(Production[[#This Row],[SatWt]]-Production[[#This Row],[RawWt]],"")</f>
        <v/>
      </c>
      <c r="R74" s="222" t="str">
        <f>IF(Production[[#This Row],[Species]]&lt;&gt;"",IF(SUM(Production[[#This Row],[BtTtl]:[BrTtl]])/Production[[#This Row],[SatWt]]&lt;&gt;0,SUM(Production[[#This Row],[BtTtl]:[BrTtl]])/Production[[#This Row],[SatWt]],""),"")</f>
        <v/>
      </c>
      <c r="S74" s="223" t="str">
        <f>INDEX(Ingredients[Species],MATCH(Production[[#This Row],[Product]],Ingredients[ProdName],0))</f>
        <v/>
      </c>
    </row>
    <row r="75" spans="1:19" ht="11.1" customHeight="1" x14ac:dyDescent="0.25">
      <c r="A75" s="207" t="str">
        <f>IFERROR(IF(Production[[#This Row],[Date]]&lt;&gt;"",TEXT(Production[[#This Row],[Date]],"yy")&amp;"-"&amp;TEXT(Production[[#This Row],[Date]]-DATE(YEAR(Production[[#This Row],[Date]]),1,0),"000"),""),"")</f>
        <v>22-172</v>
      </c>
      <c r="B75" s="209" t="str">
        <f>IFERROR(IF(INDEX(Ingredients[Ingr1],MATCH(Production[[#This Row],[Product]],Ingredients[ProdName],0))&lt;&gt;"",INDEX(Ingredients[Ingr1],MATCH(Production[[#This Row],[Product]],Ingredients[ProdName],0)),INDEX(Ingredients[Ingr2],MATCH(Production[[#This Row],[Product]],Ingredients[ProdName],0))),"")</f>
        <v>Cornmeal</v>
      </c>
      <c r="C75" s="53">
        <v>44733</v>
      </c>
      <c r="D75" s="54" t="s">
        <v>24</v>
      </c>
      <c r="E75" s="55" t="s">
        <v>187</v>
      </c>
      <c r="F75" s="56"/>
      <c r="G75" s="56"/>
      <c r="H75" s="208">
        <f>IFERROR(INDEX(Tier1[Wt],MATCH(Production[[#This Row],[Type]],Tier1[Ingredient],0))*Production[[#This Row],[Blocks Used]],0)</f>
        <v>0</v>
      </c>
      <c r="I75" s="210" t="str">
        <f>IFERROR(INDEX(Ingredients[TtlWt],MATCH(Production[[#This Row],[Product]],Ingredients[ProdName],0))*Production[[#This Row],[Lots Done]],"")</f>
        <v/>
      </c>
      <c r="J75" s="210" t="str">
        <f>IF(INDEX(Ingredients[Batter],MATCH(Production[[#This Row],[Product]],Ingredients[ProdName],0))*Production[[#This Row],[Batter Used]]&gt;0,INDEX(Ingredients[Batter],MATCH(Production[[#This Row],[Product]],Ingredients[ProdName],0))*Production[[#This Row],[Batter Used]],"")</f>
        <v/>
      </c>
      <c r="K75" s="210" t="str">
        <f>IF(INDEX(Ingredients[Breader],MATCH(Production[[#This Row],[Product]],Ingredients[ProdName],0))*Production[[#This Row],[Breader Used]]&gt;0,INDEX(Ingredients[Breader],MATCH(Production[[#This Row],[Product]],Ingredients[ProdName],0))*Production[[#This Row],[Breader Used]],"")</f>
        <v/>
      </c>
      <c r="L75" s="56"/>
      <c r="M75" s="56"/>
      <c r="N75" s="211" t="str">
        <f>IFERROR(IF(SUM(Production[[#This Row],[Meat Wt]:[BrTtl]])&lt;&gt;0,SUM(Production[[#This Row],[Meat Wt]:[BrTtl]]),""),"")</f>
        <v/>
      </c>
      <c r="O75" s="55">
        <v>48</v>
      </c>
      <c r="P75" s="208">
        <f>INDEX(Ingredients[Case Wt.],MATCH(Production[[#This Row],[Product]],Ingredients[ProdName],0))*Production[[#This Row],[Case Total]]</f>
        <v>240</v>
      </c>
      <c r="Q75" s="211" t="str">
        <f>IFERROR(Production[[#This Row],[SatWt]]-Production[[#This Row],[RawWt]],"")</f>
        <v/>
      </c>
      <c r="R75" s="222" t="str">
        <f>IF(Production[[#This Row],[Species]]&lt;&gt;"",IF(SUM(Production[[#This Row],[BtTtl]:[BrTtl]])/Production[[#This Row],[SatWt]]&lt;&gt;0,SUM(Production[[#This Row],[BtTtl]:[BrTtl]])/Production[[#This Row],[SatWt]],""),"")</f>
        <v/>
      </c>
      <c r="S75" s="223" t="str">
        <f>INDEX(Ingredients[Species],MATCH(Production[[#This Row],[Product]],Ingredients[ProdName],0))</f>
        <v/>
      </c>
    </row>
    <row r="76" spans="1:19" ht="11.1" customHeight="1" x14ac:dyDescent="0.25">
      <c r="A76" s="207" t="str">
        <f>IFERROR(IF(Production[[#This Row],[Date]]&lt;&gt;"",TEXT(Production[[#This Row],[Date]],"yy")&amp;"-"&amp;TEXT(Production[[#This Row],[Date]]-DATE(YEAR(Production[[#This Row],[Date]]),1,0),"000"),""),"")</f>
        <v>22-173</v>
      </c>
      <c r="B76" s="209" t="str">
        <f>IFERROR(IF(INDEX(Ingredients[Ingr1],MATCH(Production[[#This Row],[Product]],Ingredients[ProdName],0))&lt;&gt;"",INDEX(Ingredients[Ingr1],MATCH(Production[[#This Row],[Product]],Ingredients[ProdName],0)),INDEX(Ingredients[Ingr2],MATCH(Production[[#This Row],[Product]],Ingredients[ProdName],0))),"")</f>
        <v>Cornmeal</v>
      </c>
      <c r="C76" s="53">
        <v>44734</v>
      </c>
      <c r="D76" s="54" t="s">
        <v>24</v>
      </c>
      <c r="E76" s="55" t="s">
        <v>188</v>
      </c>
      <c r="F76" s="56"/>
      <c r="G76" s="56"/>
      <c r="H76" s="208">
        <f>IFERROR(INDEX(Tier1[Wt],MATCH(Production[[#This Row],[Type]],Tier1[Ingredient],0))*Production[[#This Row],[Blocks Used]],0)</f>
        <v>0</v>
      </c>
      <c r="I76" s="210" t="str">
        <f>IFERROR(INDEX(Ingredients[TtlWt],MATCH(Production[[#This Row],[Product]],Ingredients[ProdName],0))*Production[[#This Row],[Lots Done]],"")</f>
        <v/>
      </c>
      <c r="J76" s="210" t="str">
        <f>IF(INDEX(Ingredients[Batter],MATCH(Production[[#This Row],[Product]],Ingredients[ProdName],0))*Production[[#This Row],[Batter Used]]&gt;0,INDEX(Ingredients[Batter],MATCH(Production[[#This Row],[Product]],Ingredients[ProdName],0))*Production[[#This Row],[Batter Used]],"")</f>
        <v/>
      </c>
      <c r="K76" s="210" t="str">
        <f>IF(INDEX(Ingredients[Breader],MATCH(Production[[#This Row],[Product]],Ingredients[ProdName],0))*Production[[#This Row],[Breader Used]]&gt;0,INDEX(Ingredients[Breader],MATCH(Production[[#This Row],[Product]],Ingredients[ProdName],0))*Production[[#This Row],[Breader Used]],"")</f>
        <v/>
      </c>
      <c r="L76" s="56"/>
      <c r="M76" s="56"/>
      <c r="N76" s="211" t="str">
        <f>IFERROR(IF(SUM(Production[[#This Row],[Meat Wt]:[BrTtl]])&lt;&gt;0,SUM(Production[[#This Row],[Meat Wt]:[BrTtl]]),""),"")</f>
        <v/>
      </c>
      <c r="O76" s="55">
        <v>49</v>
      </c>
      <c r="P76" s="208">
        <f>INDEX(Ingredients[Case Wt.],MATCH(Production[[#This Row],[Product]],Ingredients[ProdName],0))*Production[[#This Row],[Case Total]]</f>
        <v>245</v>
      </c>
      <c r="Q76" s="211" t="str">
        <f>IFERROR(Production[[#This Row],[SatWt]]-Production[[#This Row],[RawWt]],"")</f>
        <v/>
      </c>
      <c r="R76" s="222" t="str">
        <f>IF(Production[[#This Row],[Species]]&lt;&gt;"",IF(SUM(Production[[#This Row],[BtTtl]:[BrTtl]])/Production[[#This Row],[SatWt]]&lt;&gt;0,SUM(Production[[#This Row],[BtTtl]:[BrTtl]])/Production[[#This Row],[SatWt]],""),"")</f>
        <v/>
      </c>
      <c r="S76" s="223" t="str">
        <f>INDEX(Ingredients[Species],MATCH(Production[[#This Row],[Product]],Ingredients[ProdName],0))</f>
        <v/>
      </c>
    </row>
    <row r="77" spans="1:19" ht="11.1" customHeight="1" x14ac:dyDescent="0.25">
      <c r="A77" s="207" t="str">
        <f>IFERROR(IF(Production[[#This Row],[Date]]&lt;&gt;"",TEXT(Production[[#This Row],[Date]],"yy")&amp;"-"&amp;TEXT(Production[[#This Row],[Date]]-DATE(YEAR(Production[[#This Row],[Date]]),1,0),"000"),""),"")</f>
        <v>22-178</v>
      </c>
      <c r="B77" s="209" t="str">
        <f>IFERROR(IF(INDEX(Ingredients[Ingr1],MATCH(Production[[#This Row],[Product]],Ingredients[ProdName],0))&lt;&gt;"",INDEX(Ingredients[Ingr1],MATCH(Production[[#This Row],[Product]],Ingredients[ProdName],0)),INDEX(Ingredients[Ingr2],MATCH(Production[[#This Row],[Product]],Ingredients[ProdName],0))),"")</f>
        <v>Chicken - Ground</v>
      </c>
      <c r="C77" s="53">
        <v>44739</v>
      </c>
      <c r="D77" s="54" t="s">
        <v>7</v>
      </c>
      <c r="E77" s="55">
        <v>731</v>
      </c>
      <c r="F77" s="56">
        <v>10</v>
      </c>
      <c r="G77" s="56">
        <v>60</v>
      </c>
      <c r="H77" s="208">
        <f>IFERROR(INDEX(Tier1[Wt],MATCH(Production[[#This Row],[Type]],Tier1[Ingredient],0))*Production[[#This Row],[Blocks Used]],0)</f>
        <v>3000</v>
      </c>
      <c r="I77" s="210">
        <f>IFERROR(INDEX(Ingredients[TtlWt],MATCH(Production[[#This Row],[Product]],Ingredients[ProdName],0))*Production[[#This Row],[Lots Done]],"")</f>
        <v>67.5</v>
      </c>
      <c r="J77" s="210" t="str">
        <f>IF(INDEX(Ingredients[Batter],MATCH(Production[[#This Row],[Product]],Ingredients[ProdName],0))*Production[[#This Row],[Batter Used]]&gt;0,INDEX(Ingredients[Batter],MATCH(Production[[#This Row],[Product]],Ingredients[ProdName],0))*Production[[#This Row],[Batter Used]],"")</f>
        <v/>
      </c>
      <c r="K77" s="210" t="str">
        <f>IF(INDEX(Ingredients[Breader],MATCH(Production[[#This Row],[Product]],Ingredients[ProdName],0))*Production[[#This Row],[Breader Used]]&gt;0,INDEX(Ingredients[Breader],MATCH(Production[[#This Row],[Product]],Ingredients[ProdName],0))*Production[[#This Row],[Breader Used]],"")</f>
        <v/>
      </c>
      <c r="L77" s="56"/>
      <c r="M77" s="56"/>
      <c r="N77" s="211">
        <f>IFERROR(IF(SUM(Production[[#This Row],[Meat Wt]:[BrTtl]])&lt;&gt;0,SUM(Production[[#This Row],[Meat Wt]:[BrTtl]]),""),"")</f>
        <v>3067.5</v>
      </c>
      <c r="O77" s="55">
        <v>179</v>
      </c>
      <c r="P77" s="208">
        <f>INDEX(Ingredients[Case Wt.],MATCH(Production[[#This Row],[Product]],Ingredients[ProdName],0))*Production[[#This Row],[Case Total]]</f>
        <v>4475</v>
      </c>
      <c r="Q77" s="211">
        <f>IFERROR(Production[[#This Row],[SatWt]]-Production[[#This Row],[RawWt]],"")</f>
        <v>1407.5</v>
      </c>
      <c r="R77" s="222" t="str">
        <f>IF(Production[[#This Row],[Species]]&lt;&gt;"",IF(SUM(Production[[#This Row],[BtTtl]:[BrTtl]])/Production[[#This Row],[SatWt]]&lt;&gt;0,SUM(Production[[#This Row],[BtTtl]:[BrTtl]])/Production[[#This Row],[SatWt]],""),"")</f>
        <v/>
      </c>
      <c r="S77" s="223" t="str">
        <f>INDEX(Ingredients[Species],MATCH(Production[[#This Row],[Product]],Ingredients[ProdName],0))</f>
        <v>Poultry</v>
      </c>
    </row>
    <row r="78" spans="1:19" ht="11.1" customHeight="1" x14ac:dyDescent="0.25">
      <c r="A78" s="207" t="str">
        <f>IFERROR(IF(Production[[#This Row],[Date]]&lt;&gt;"",TEXT(Production[[#This Row],[Date]],"yy")&amp;"-"&amp;TEXT(Production[[#This Row],[Date]]-DATE(YEAR(Production[[#This Row],[Date]]),1,0),"000"),""),"")</f>
        <v>22-179</v>
      </c>
      <c r="B78" s="209" t="str">
        <f>IFERROR(IF(INDEX(Ingredients[Ingr1],MATCH(Production[[#This Row],[Product]],Ingredients[ProdName],0))&lt;&gt;"",INDEX(Ingredients[Ingr1],MATCH(Production[[#This Row],[Product]],Ingredients[ProdName],0)),INDEX(Ingredients[Ingr2],MATCH(Production[[#This Row],[Product]],Ingredients[ProdName],0))),"")</f>
        <v>Cornmeal</v>
      </c>
      <c r="C78" s="53">
        <v>44740</v>
      </c>
      <c r="D78" s="54" t="s">
        <v>24</v>
      </c>
      <c r="E78" s="55" t="s">
        <v>189</v>
      </c>
      <c r="F78" s="56"/>
      <c r="G78" s="56"/>
      <c r="H78" s="208">
        <f>IFERROR(INDEX(Tier1[Wt],MATCH(Production[[#This Row],[Type]],Tier1[Ingredient],0))*Production[[#This Row],[Blocks Used]],0)</f>
        <v>0</v>
      </c>
      <c r="I78" s="210" t="str">
        <f>IFERROR(INDEX(Ingredients[TtlWt],MATCH(Production[[#This Row],[Product]],Ingredients[ProdName],0))*Production[[#This Row],[Lots Done]],"")</f>
        <v/>
      </c>
      <c r="J78" s="210" t="str">
        <f>IF(INDEX(Ingredients[Batter],MATCH(Production[[#This Row],[Product]],Ingredients[ProdName],0))*Production[[#This Row],[Batter Used]]&gt;0,INDEX(Ingredients[Batter],MATCH(Production[[#This Row],[Product]],Ingredients[ProdName],0))*Production[[#This Row],[Batter Used]],"")</f>
        <v/>
      </c>
      <c r="K78" s="210" t="str">
        <f>IF(INDEX(Ingredients[Breader],MATCH(Production[[#This Row],[Product]],Ingredients[ProdName],0))*Production[[#This Row],[Breader Used]]&gt;0,INDEX(Ingredients[Breader],MATCH(Production[[#This Row],[Product]],Ingredients[ProdName],0))*Production[[#This Row],[Breader Used]],"")</f>
        <v/>
      </c>
      <c r="L78" s="56"/>
      <c r="M78" s="56"/>
      <c r="N78" s="211" t="str">
        <f>IFERROR(IF(SUM(Production[[#This Row],[Meat Wt]:[BrTtl]])&lt;&gt;0,SUM(Production[[#This Row],[Meat Wt]:[BrTtl]]),""),"")</f>
        <v/>
      </c>
      <c r="O78" s="55">
        <v>52</v>
      </c>
      <c r="P78" s="208">
        <f>INDEX(Ingredients[Case Wt.],MATCH(Production[[#This Row],[Product]],Ingredients[ProdName],0))*Production[[#This Row],[Case Total]]</f>
        <v>260</v>
      </c>
      <c r="Q78" s="211" t="str">
        <f>IFERROR(Production[[#This Row],[SatWt]]-Production[[#This Row],[RawWt]],"")</f>
        <v/>
      </c>
      <c r="R78" s="222" t="str">
        <f>IF(Production[[#This Row],[Species]]&lt;&gt;"",IF(SUM(Production[[#This Row],[BtTtl]:[BrTtl]])/Production[[#This Row],[SatWt]]&lt;&gt;0,SUM(Production[[#This Row],[BtTtl]:[BrTtl]])/Production[[#This Row],[SatWt]],""),"")</f>
        <v/>
      </c>
      <c r="S78" s="223" t="str">
        <f>INDEX(Ingredients[Species],MATCH(Production[[#This Row],[Product]],Ingredients[ProdName],0))</f>
        <v/>
      </c>
    </row>
    <row r="79" spans="1:19" ht="11.1" customHeight="1" x14ac:dyDescent="0.25">
      <c r="A79" s="207" t="str">
        <f>IFERROR(IF(Production[[#This Row],[Date]]&lt;&gt;"",TEXT(Production[[#This Row],[Date]],"yy")&amp;"-"&amp;TEXT(Production[[#This Row],[Date]]-DATE(YEAR(Production[[#This Row],[Date]]),1,0),"000"),""),"")</f>
        <v>22-180</v>
      </c>
      <c r="B79" s="209" t="str">
        <f>IFERROR(IF(INDEX(Ingredients[Ingr1],MATCH(Production[[#This Row],[Product]],Ingredients[ProdName],0))&lt;&gt;"",INDEX(Ingredients[Ingr1],MATCH(Production[[#This Row],[Product]],Ingredients[ProdName],0)),INDEX(Ingredients[Ingr2],MATCH(Production[[#This Row],[Product]],Ingredients[ProdName],0))),"")</f>
        <v>Cornmeal</v>
      </c>
      <c r="C79" s="53">
        <v>44741</v>
      </c>
      <c r="D79" s="54" t="s">
        <v>24</v>
      </c>
      <c r="E79" s="55" t="s">
        <v>190</v>
      </c>
      <c r="F79" s="56"/>
      <c r="G79" s="56"/>
      <c r="H79" s="208">
        <f>IFERROR(INDEX(Tier1[Wt],MATCH(Production[[#This Row],[Type]],Tier1[Ingredient],0))*Production[[#This Row],[Blocks Used]],0)</f>
        <v>0</v>
      </c>
      <c r="I79" s="210" t="str">
        <f>IFERROR(INDEX(Ingredients[TtlWt],MATCH(Production[[#This Row],[Product]],Ingredients[ProdName],0))*Production[[#This Row],[Lots Done]],"")</f>
        <v/>
      </c>
      <c r="J79" s="210" t="str">
        <f>IF(INDEX(Ingredients[Batter],MATCH(Production[[#This Row],[Product]],Ingredients[ProdName],0))*Production[[#This Row],[Batter Used]]&gt;0,INDEX(Ingredients[Batter],MATCH(Production[[#This Row],[Product]],Ingredients[ProdName],0))*Production[[#This Row],[Batter Used]],"")</f>
        <v/>
      </c>
      <c r="K79" s="210" t="str">
        <f>IF(INDEX(Ingredients[Breader],MATCH(Production[[#This Row],[Product]],Ingredients[ProdName],0))*Production[[#This Row],[Breader Used]]&gt;0,INDEX(Ingredients[Breader],MATCH(Production[[#This Row],[Product]],Ingredients[ProdName],0))*Production[[#This Row],[Breader Used]],"")</f>
        <v/>
      </c>
      <c r="L79" s="56"/>
      <c r="M79" s="56"/>
      <c r="N79" s="211" t="str">
        <f>IFERROR(IF(SUM(Production[[#This Row],[Meat Wt]:[BrTtl]])&lt;&gt;0,SUM(Production[[#This Row],[Meat Wt]:[BrTtl]]),""),"")</f>
        <v/>
      </c>
      <c r="O79" s="55">
        <v>50</v>
      </c>
      <c r="P79" s="208">
        <f>INDEX(Ingredients[Case Wt.],MATCH(Production[[#This Row],[Product]],Ingredients[ProdName],0))*Production[[#This Row],[Case Total]]</f>
        <v>250</v>
      </c>
      <c r="Q79" s="211" t="str">
        <f>IFERROR(Production[[#This Row],[SatWt]]-Production[[#This Row],[RawWt]],"")</f>
        <v/>
      </c>
      <c r="R79" s="222" t="str">
        <f>IF(Production[[#This Row],[Species]]&lt;&gt;"",IF(SUM(Production[[#This Row],[BtTtl]:[BrTtl]])/Production[[#This Row],[SatWt]]&lt;&gt;0,SUM(Production[[#This Row],[BtTtl]:[BrTtl]])/Production[[#This Row],[SatWt]],""),"")</f>
        <v/>
      </c>
      <c r="S79" s="223" t="str">
        <f>INDEX(Ingredients[Species],MATCH(Production[[#This Row],[Product]],Ingredients[ProdName],0))</f>
        <v/>
      </c>
    </row>
    <row r="80" spans="1:19" ht="11.1" customHeight="1" x14ac:dyDescent="0.25">
      <c r="A80" s="207" t="str">
        <f>IFERROR(IF(Production[[#This Row],[Date]]&lt;&gt;"",TEXT(Production[[#This Row],[Date]],"yy")&amp;"-"&amp;TEXT(Production[[#This Row],[Date]]-DATE(YEAR(Production[[#This Row],[Date]]),1,0),"000"),""),"")</f>
        <v>22-181</v>
      </c>
      <c r="B80" s="209" t="str">
        <f>IFERROR(IF(INDEX(Ingredients[Ingr1],MATCH(Production[[#This Row],[Product]],Ingredients[ProdName],0))&lt;&gt;"",INDEX(Ingredients[Ingr1],MATCH(Production[[#This Row],[Product]],Ingredients[ProdName],0)),INDEX(Ingredients[Ingr2],MATCH(Production[[#This Row],[Product]],Ingredients[ProdName],0))),"")</f>
        <v>Cornmeal</v>
      </c>
      <c r="C80" s="53">
        <v>44742</v>
      </c>
      <c r="D80" s="54" t="s">
        <v>24</v>
      </c>
      <c r="E80" s="55" t="s">
        <v>191</v>
      </c>
      <c r="F80" s="56"/>
      <c r="G80" s="56"/>
      <c r="H80" s="208">
        <f>IFERROR(INDEX(Tier1[Wt],MATCH(Production[[#This Row],[Type]],Tier1[Ingredient],0))*Production[[#This Row],[Blocks Used]],0)</f>
        <v>0</v>
      </c>
      <c r="I80" s="210" t="str">
        <f>IFERROR(INDEX(Ingredients[TtlWt],MATCH(Production[[#This Row],[Product]],Ingredients[ProdName],0))*Production[[#This Row],[Lots Done]],"")</f>
        <v/>
      </c>
      <c r="J80" s="210" t="str">
        <f>IF(INDEX(Ingredients[Batter],MATCH(Production[[#This Row],[Product]],Ingredients[ProdName],0))*Production[[#This Row],[Batter Used]]&gt;0,INDEX(Ingredients[Batter],MATCH(Production[[#This Row],[Product]],Ingredients[ProdName],0))*Production[[#This Row],[Batter Used]],"")</f>
        <v/>
      </c>
      <c r="K80" s="210" t="str">
        <f>IF(INDEX(Ingredients[Breader],MATCH(Production[[#This Row],[Product]],Ingredients[ProdName],0))*Production[[#This Row],[Breader Used]]&gt;0,INDEX(Ingredients[Breader],MATCH(Production[[#This Row],[Product]],Ingredients[ProdName],0))*Production[[#This Row],[Breader Used]],"")</f>
        <v/>
      </c>
      <c r="L80" s="56"/>
      <c r="M80" s="56"/>
      <c r="N80" s="211" t="str">
        <f>IFERROR(IF(SUM(Production[[#This Row],[Meat Wt]:[BrTtl]])&lt;&gt;0,SUM(Production[[#This Row],[Meat Wt]:[BrTtl]]),""),"")</f>
        <v/>
      </c>
      <c r="O80" s="55">
        <v>32</v>
      </c>
      <c r="P80" s="208">
        <f>INDEX(Ingredients[Case Wt.],MATCH(Production[[#This Row],[Product]],Ingredients[ProdName],0))*Production[[#This Row],[Case Total]]</f>
        <v>160</v>
      </c>
      <c r="Q80" s="211" t="str">
        <f>IFERROR(Production[[#This Row],[SatWt]]-Production[[#This Row],[RawWt]],"")</f>
        <v/>
      </c>
      <c r="R80" s="222" t="str">
        <f>IF(Production[[#This Row],[Species]]&lt;&gt;"",IF(SUM(Production[[#This Row],[BtTtl]:[BrTtl]])/Production[[#This Row],[SatWt]]&lt;&gt;0,SUM(Production[[#This Row],[BtTtl]:[BrTtl]])/Production[[#This Row],[SatWt]],""),"")</f>
        <v/>
      </c>
      <c r="S80" s="223" t="str">
        <f>INDEX(Ingredients[Species],MATCH(Production[[#This Row],[Product]],Ingredients[ProdName],0))</f>
        <v/>
      </c>
    </row>
    <row r="81" spans="1:19" ht="11.1" customHeight="1" x14ac:dyDescent="0.25">
      <c r="A81" s="207" t="str">
        <f>IFERROR(IF(Production[[#This Row],[Date]]&lt;&gt;"",TEXT(Production[[#This Row],[Date]],"yy")&amp;"-"&amp;TEXT(Production[[#This Row],[Date]]-DATE(YEAR(Production[[#This Row],[Date]]),1,0),"000"),""),"")</f>
        <v>22-192</v>
      </c>
      <c r="B81" s="209" t="str">
        <f>IFERROR(IF(INDEX(Ingredients[Ingr1],MATCH(Production[[#This Row],[Product]],Ingredients[ProdName],0))&lt;&gt;"",INDEX(Ingredients[Ingr1],MATCH(Production[[#This Row],[Product]],Ingredients[ProdName],0)),INDEX(Ingredients[Ingr2],MATCH(Production[[#This Row],[Product]],Ingredients[ProdName],0))),"")</f>
        <v>Chicken - Ground</v>
      </c>
      <c r="C81" s="53">
        <v>44753</v>
      </c>
      <c r="D81" s="54" t="s">
        <v>15</v>
      </c>
      <c r="E81" s="55">
        <v>731</v>
      </c>
      <c r="F81" s="56">
        <v>8</v>
      </c>
      <c r="G81" s="56">
        <v>48</v>
      </c>
      <c r="H81" s="208">
        <f>IFERROR(INDEX(Tier1[Wt],MATCH(Production[[#This Row],[Type]],Tier1[Ingredient],0))*Production[[#This Row],[Blocks Used]],0)</f>
        <v>2400</v>
      </c>
      <c r="I81" s="210">
        <f>IFERROR(INDEX(Ingredients[TtlWt],MATCH(Production[[#This Row],[Product]],Ingredients[ProdName],0))*Production[[#This Row],[Lots Done]],"")</f>
        <v>93.2</v>
      </c>
      <c r="J81" s="210" t="str">
        <f>IF(INDEX(Ingredients[Batter],MATCH(Production[[#This Row],[Product]],Ingredients[ProdName],0))*Production[[#This Row],[Batter Used]]&gt;0,INDEX(Ingredients[Batter],MATCH(Production[[#This Row],[Product]],Ingredients[ProdName],0))*Production[[#This Row],[Batter Used]],"")</f>
        <v/>
      </c>
      <c r="K81" s="210" t="str">
        <f>IF(INDEX(Ingredients[Breader],MATCH(Production[[#This Row],[Product]],Ingredients[ProdName],0))*Production[[#This Row],[Breader Used]]&gt;0,INDEX(Ingredients[Breader],MATCH(Production[[#This Row],[Product]],Ingredients[ProdName],0))*Production[[#This Row],[Breader Used]],"")</f>
        <v/>
      </c>
      <c r="L81" s="56"/>
      <c r="M81" s="56"/>
      <c r="N81" s="211">
        <f>IFERROR(IF(SUM(Production[[#This Row],[Meat Wt]:[BrTtl]])&lt;&gt;0,SUM(Production[[#This Row],[Meat Wt]:[BrTtl]]),""),"")</f>
        <v>2493.1999999999998</v>
      </c>
      <c r="O81" s="55">
        <v>106</v>
      </c>
      <c r="P81" s="208">
        <f>INDEX(Ingredients[Case Wt.],MATCH(Production[[#This Row],[Product]],Ingredients[ProdName],0))*Production[[#This Row],[Case Total]]</f>
        <v>3180</v>
      </c>
      <c r="Q81" s="211">
        <f>IFERROR(Production[[#This Row],[SatWt]]-Production[[#This Row],[RawWt]],"")</f>
        <v>686.80000000000018</v>
      </c>
      <c r="R81" s="222" t="str">
        <f>IF(Production[[#This Row],[Species]]&lt;&gt;"",IF(SUM(Production[[#This Row],[BtTtl]:[BrTtl]])/Production[[#This Row],[SatWt]]&lt;&gt;0,SUM(Production[[#This Row],[BtTtl]:[BrTtl]])/Production[[#This Row],[SatWt]],""),"")</f>
        <v/>
      </c>
      <c r="S81" s="223" t="str">
        <f>INDEX(Ingredients[Species],MATCH(Production[[#This Row],[Product]],Ingredients[ProdName],0))</f>
        <v>Poultry</v>
      </c>
    </row>
    <row r="82" spans="1:19" ht="11.1" customHeight="1" x14ac:dyDescent="0.25">
      <c r="A82" s="207" t="str">
        <f>IFERROR(IF(Production[[#This Row],[Date]]&lt;&gt;"",TEXT(Production[[#This Row],[Date]],"yy")&amp;"-"&amp;TEXT(Production[[#This Row],[Date]]-DATE(YEAR(Production[[#This Row],[Date]]),1,0),"000"),""),"")</f>
        <v>22-208</v>
      </c>
      <c r="B82" s="209" t="str">
        <f>IFERROR(IF(INDEX(Ingredients[Ingr1],MATCH(Production[[#This Row],[Product]],Ingredients[ProdName],0))&lt;&gt;"",INDEX(Ingredients[Ingr1],MATCH(Production[[#This Row],[Product]],Ingredients[ProdName],0)),INDEX(Ingredients[Ingr2],MATCH(Production[[#This Row],[Product]],Ingredients[ProdName],0))),"")</f>
        <v>Chicken - Tenders</v>
      </c>
      <c r="C82" s="53">
        <v>44769</v>
      </c>
      <c r="D82" s="54" t="s">
        <v>12</v>
      </c>
      <c r="E82" s="55" t="s">
        <v>181</v>
      </c>
      <c r="F82" s="56">
        <v>5</v>
      </c>
      <c r="G82" s="56">
        <v>35</v>
      </c>
      <c r="H82" s="208">
        <f>IFERROR(INDEX(Tier1[Wt],MATCH(Production[[#This Row],[Type]],Tier1[Ingredient],0))*Production[[#This Row],[Blocks Used]],0)</f>
        <v>1400</v>
      </c>
      <c r="I82" s="210">
        <f>IFERROR(INDEX(Ingredients[TtlWt],MATCH(Production[[#This Row],[Product]],Ingredients[ProdName],0))*Production[[#This Row],[Lots Done]],"")</f>
        <v>299</v>
      </c>
      <c r="J82" s="210">
        <f>IF(INDEX(Ingredients[Batter],MATCH(Production[[#This Row],[Product]],Ingredients[ProdName],0))*Production[[#This Row],[Batter Used]]&gt;0,INDEX(Ingredients[Batter],MATCH(Production[[#This Row],[Product]],Ingredients[ProdName],0))*Production[[#This Row],[Batter Used]],"")</f>
        <v>50</v>
      </c>
      <c r="K82" s="210">
        <f>IF(INDEX(Ingredients[Breader],MATCH(Production[[#This Row],[Product]],Ingredients[ProdName],0))*Production[[#This Row],[Breader Used]]&gt;0,INDEX(Ingredients[Breader],MATCH(Production[[#This Row],[Product]],Ingredients[ProdName],0))*Production[[#This Row],[Breader Used]],"")</f>
        <v>250</v>
      </c>
      <c r="L82" s="56">
        <v>1</v>
      </c>
      <c r="M82" s="56">
        <v>5</v>
      </c>
      <c r="N82" s="211">
        <f>IFERROR(IF(SUM(Production[[#This Row],[Meat Wt]:[BrTtl]])&lt;&gt;0,SUM(Production[[#This Row],[Meat Wt]:[BrTtl]]),""),"")</f>
        <v>1999</v>
      </c>
      <c r="O82" s="55">
        <v>98</v>
      </c>
      <c r="P82" s="208">
        <f>INDEX(Ingredients[Case Wt.],MATCH(Production[[#This Row],[Product]],Ingredients[ProdName],0))*Production[[#This Row],[Case Total]]</f>
        <v>2450</v>
      </c>
      <c r="Q82" s="211">
        <f>IFERROR(Production[[#This Row],[SatWt]]-Production[[#This Row],[RawWt]],"")</f>
        <v>451</v>
      </c>
      <c r="R82" s="222">
        <f>IF(Production[[#This Row],[Species]]&lt;&gt;"",IF(SUM(Production[[#This Row],[BtTtl]:[BrTtl]])/Production[[#This Row],[SatWt]]&lt;&gt;0,SUM(Production[[#This Row],[BtTtl]:[BrTtl]])/Production[[#This Row],[SatWt]],""),"")</f>
        <v>0.12244897959183673</v>
      </c>
      <c r="S82" s="223" t="str">
        <f>INDEX(Ingredients[Species],MATCH(Production[[#This Row],[Product]],Ingredients[ProdName],0))</f>
        <v>Poultry</v>
      </c>
    </row>
    <row r="83" spans="1:19" ht="11.1" customHeight="1" x14ac:dyDescent="0.25">
      <c r="A83" s="207" t="str">
        <f>IFERROR(IF(Production[[#This Row],[Date]]&lt;&gt;"",TEXT(Production[[#This Row],[Date]],"yy")&amp;"-"&amp;TEXT(Production[[#This Row],[Date]]-DATE(YEAR(Production[[#This Row],[Date]]),1,0),"000"),""),"")</f>
        <v>22-208</v>
      </c>
      <c r="B83" s="209" t="str">
        <f>IFERROR(IF(INDEX(Ingredients[Ingr1],MATCH(Production[[#This Row],[Product]],Ingredients[ProdName],0))&lt;&gt;"",INDEX(Ingredients[Ingr1],MATCH(Production[[#This Row],[Product]],Ingredients[ProdName],0)),INDEX(Ingredients[Ingr2],MATCH(Production[[#This Row],[Product]],Ingredients[ProdName],0))),"")</f>
        <v>Chicken - Tenders</v>
      </c>
      <c r="C83" s="53">
        <v>44769</v>
      </c>
      <c r="D83" s="54" t="s">
        <v>12</v>
      </c>
      <c r="E83" s="55" t="s">
        <v>181</v>
      </c>
      <c r="F83" s="56">
        <v>2</v>
      </c>
      <c r="G83" s="56">
        <v>14</v>
      </c>
      <c r="H83" s="208">
        <f>IFERROR(INDEX(Tier1[Wt],MATCH(Production[[#This Row],[Type]],Tier1[Ingredient],0))*Production[[#This Row],[Blocks Used]],0)</f>
        <v>560</v>
      </c>
      <c r="I83" s="210">
        <f>IFERROR(INDEX(Ingredients[TtlWt],MATCH(Production[[#This Row],[Product]],Ingredients[ProdName],0))*Production[[#This Row],[Lots Done]],"")</f>
        <v>119.6</v>
      </c>
      <c r="J83" s="210">
        <f>IF(INDEX(Ingredients[Batter],MATCH(Production[[#This Row],[Product]],Ingredients[ProdName],0))*Production[[#This Row],[Batter Used]]&gt;0,INDEX(Ingredients[Batter],MATCH(Production[[#This Row],[Product]],Ingredients[ProdName],0))*Production[[#This Row],[Batter Used]],"")</f>
        <v>50</v>
      </c>
      <c r="K83" s="210">
        <f>IF(INDEX(Ingredients[Breader],MATCH(Production[[#This Row],[Product]],Ingredients[ProdName],0))*Production[[#This Row],[Breader Used]]&gt;0,INDEX(Ingredients[Breader],MATCH(Production[[#This Row],[Product]],Ingredients[ProdName],0))*Production[[#This Row],[Breader Used]],"")</f>
        <v>100</v>
      </c>
      <c r="L83" s="56">
        <v>1</v>
      </c>
      <c r="M83" s="56">
        <v>2</v>
      </c>
      <c r="N83" s="211">
        <f>IFERROR(IF(SUM(Production[[#This Row],[Meat Wt]:[BrTtl]])&lt;&gt;0,SUM(Production[[#This Row],[Meat Wt]:[BrTtl]]),""),"")</f>
        <v>829.6</v>
      </c>
      <c r="O83" s="55">
        <v>42</v>
      </c>
      <c r="P83" s="208">
        <f>INDEX(Ingredients[Case Wt.],MATCH(Production[[#This Row],[Product]],Ingredients[ProdName],0))*Production[[#This Row],[Case Total]]</f>
        <v>1050</v>
      </c>
      <c r="Q83" s="211">
        <f>IFERROR(Production[[#This Row],[SatWt]]-Production[[#This Row],[RawWt]],"")</f>
        <v>220.39999999999998</v>
      </c>
      <c r="R83" s="222">
        <f>IF(Production[[#This Row],[Species]]&lt;&gt;"",IF(SUM(Production[[#This Row],[BtTtl]:[BrTtl]])/Production[[#This Row],[SatWt]]&lt;&gt;0,SUM(Production[[#This Row],[BtTtl]:[BrTtl]])/Production[[#This Row],[SatWt]],""),"")</f>
        <v>0.14285714285714285</v>
      </c>
      <c r="S83" s="223" t="str">
        <f>INDEX(Ingredients[Species],MATCH(Production[[#This Row],[Product]],Ingredients[ProdName],0))</f>
        <v>Poultry</v>
      </c>
    </row>
    <row r="84" spans="1:19" ht="11.1" customHeight="1" x14ac:dyDescent="0.25">
      <c r="A84" s="207" t="str">
        <f>IFERROR(IF(Production[[#This Row],[Date]]&lt;&gt;"",TEXT(Production[[#This Row],[Date]],"yy")&amp;"-"&amp;TEXT(Production[[#This Row],[Date]]-DATE(YEAR(Production[[#This Row],[Date]]),1,0),"000"),""),"")</f>
        <v>22-209</v>
      </c>
      <c r="B84" s="209" t="str">
        <f>IFERROR(IF(INDEX(Ingredients[Ingr1],MATCH(Production[[#This Row],[Product]],Ingredients[ProdName],0))&lt;&gt;"",INDEX(Ingredients[Ingr1],MATCH(Production[[#This Row],[Product]],Ingredients[ProdName],0)),INDEX(Ingredients[Ingr2],MATCH(Production[[#This Row],[Product]],Ingredients[ProdName],0))),"")</f>
        <v>Chicken - Ground</v>
      </c>
      <c r="C84" s="53">
        <v>44770</v>
      </c>
      <c r="D84" s="54" t="s">
        <v>7</v>
      </c>
      <c r="E84" s="55">
        <v>731</v>
      </c>
      <c r="F84" s="56">
        <v>7</v>
      </c>
      <c r="G84" s="56">
        <v>42</v>
      </c>
      <c r="H84" s="208">
        <f>IFERROR(INDEX(Tier1[Wt],MATCH(Production[[#This Row],[Type]],Tier1[Ingredient],0))*Production[[#This Row],[Blocks Used]],0)</f>
        <v>2100</v>
      </c>
      <c r="I84" s="210">
        <f>IFERROR(INDEX(Ingredients[TtlWt],MATCH(Production[[#This Row],[Product]],Ingredients[ProdName],0))*Production[[#This Row],[Lots Done]],"")</f>
        <v>47.25</v>
      </c>
      <c r="J84" s="210" t="str">
        <f>IF(INDEX(Ingredients[Batter],MATCH(Production[[#This Row],[Product]],Ingredients[ProdName],0))*Production[[#This Row],[Batter Used]]&gt;0,INDEX(Ingredients[Batter],MATCH(Production[[#This Row],[Product]],Ingredients[ProdName],0))*Production[[#This Row],[Batter Used]],"")</f>
        <v/>
      </c>
      <c r="K84" s="210" t="str">
        <f>IF(INDEX(Ingredients[Breader],MATCH(Production[[#This Row],[Product]],Ingredients[ProdName],0))*Production[[#This Row],[Breader Used]]&gt;0,INDEX(Ingredients[Breader],MATCH(Production[[#This Row],[Product]],Ingredients[ProdName],0))*Production[[#This Row],[Breader Used]],"")</f>
        <v/>
      </c>
      <c r="L84" s="56"/>
      <c r="M84" s="56"/>
      <c r="N84" s="211">
        <f>IFERROR(IF(SUM(Production[[#This Row],[Meat Wt]:[BrTtl]])&lt;&gt;0,SUM(Production[[#This Row],[Meat Wt]:[BrTtl]]),""),"")</f>
        <v>2147.25</v>
      </c>
      <c r="O84" s="55">
        <v>111</v>
      </c>
      <c r="P84" s="208">
        <f>INDEX(Ingredients[Case Wt.],MATCH(Production[[#This Row],[Product]],Ingredients[ProdName],0))*Production[[#This Row],[Case Total]]</f>
        <v>2775</v>
      </c>
      <c r="Q84" s="211">
        <f>IFERROR(Production[[#This Row],[SatWt]]-Production[[#This Row],[RawWt]],"")</f>
        <v>627.75</v>
      </c>
      <c r="R84" s="222" t="str">
        <f>IF(Production[[#This Row],[Species]]&lt;&gt;"",IF(SUM(Production[[#This Row],[BtTtl]:[BrTtl]])/Production[[#This Row],[SatWt]]&lt;&gt;0,SUM(Production[[#This Row],[BtTtl]:[BrTtl]])/Production[[#This Row],[SatWt]],""),"")</f>
        <v/>
      </c>
      <c r="S84" s="223" t="str">
        <f>INDEX(Ingredients[Species],MATCH(Production[[#This Row],[Product]],Ingredients[ProdName],0))</f>
        <v>Poultry</v>
      </c>
    </row>
    <row r="85" spans="1:19" ht="11.1" customHeight="1" x14ac:dyDescent="0.25">
      <c r="A85" s="207" t="str">
        <f>IFERROR(IF(Production[[#This Row],[Date]]&lt;&gt;"",TEXT(Production[[#This Row],[Date]],"yy")&amp;"-"&amp;TEXT(Production[[#This Row],[Date]]-DATE(YEAR(Production[[#This Row],[Date]]),1,0),"000"),""),"")</f>
        <v>22-214</v>
      </c>
      <c r="B85" s="209" t="str">
        <f>IFERROR(IF(INDEX(Ingredients[Ingr1],MATCH(Production[[#This Row],[Product]],Ingredients[ProdName],0))&lt;&gt;"",INDEX(Ingredients[Ingr1],MATCH(Production[[#This Row],[Product]],Ingredients[ProdName],0)),INDEX(Ingredients[Ingr2],MATCH(Production[[#This Row],[Product]],Ingredients[ProdName],0))),"")</f>
        <v>Chicken - Ground</v>
      </c>
      <c r="C85" s="53">
        <v>44775</v>
      </c>
      <c r="D85" s="54" t="s">
        <v>15</v>
      </c>
      <c r="E85" s="55">
        <v>731</v>
      </c>
      <c r="F85" s="56">
        <v>7</v>
      </c>
      <c r="G85" s="56">
        <v>42</v>
      </c>
      <c r="H85" s="208">
        <f>IFERROR(INDEX(Tier1[Wt],MATCH(Production[[#This Row],[Type]],Tier1[Ingredient],0))*Production[[#This Row],[Blocks Used]],0)</f>
        <v>2100</v>
      </c>
      <c r="I85" s="210">
        <f>IFERROR(INDEX(Ingredients[TtlWt],MATCH(Production[[#This Row],[Product]],Ingredients[ProdName],0))*Production[[#This Row],[Lots Done]],"")</f>
        <v>81.55</v>
      </c>
      <c r="J85" s="210" t="str">
        <f>IF(INDEX(Ingredients[Batter],MATCH(Production[[#This Row],[Product]],Ingredients[ProdName],0))*Production[[#This Row],[Batter Used]]&gt;0,INDEX(Ingredients[Batter],MATCH(Production[[#This Row],[Product]],Ingredients[ProdName],0))*Production[[#This Row],[Batter Used]],"")</f>
        <v/>
      </c>
      <c r="K85" s="210" t="str">
        <f>IF(INDEX(Ingredients[Breader],MATCH(Production[[#This Row],[Product]],Ingredients[ProdName],0))*Production[[#This Row],[Breader Used]]&gt;0,INDEX(Ingredients[Breader],MATCH(Production[[#This Row],[Product]],Ingredients[ProdName],0))*Production[[#This Row],[Breader Used]],"")</f>
        <v/>
      </c>
      <c r="L85" s="56"/>
      <c r="M85" s="56"/>
      <c r="N85" s="211">
        <f>IFERROR(IF(SUM(Production[[#This Row],[Meat Wt]:[BrTtl]])&lt;&gt;0,SUM(Production[[#This Row],[Meat Wt]:[BrTtl]]),""),"")</f>
        <v>2181.5500000000002</v>
      </c>
      <c r="O85" s="55">
        <v>98</v>
      </c>
      <c r="P85" s="208">
        <f>INDEX(Ingredients[Case Wt.],MATCH(Production[[#This Row],[Product]],Ingredients[ProdName],0))*Production[[#This Row],[Case Total]]</f>
        <v>2940</v>
      </c>
      <c r="Q85" s="211">
        <f>IFERROR(Production[[#This Row],[SatWt]]-Production[[#This Row],[RawWt]],"")</f>
        <v>758.44999999999982</v>
      </c>
      <c r="R85" s="222" t="str">
        <f>IF(Production[[#This Row],[Species]]&lt;&gt;"",IF(SUM(Production[[#This Row],[BtTtl]:[BrTtl]])/Production[[#This Row],[SatWt]]&lt;&gt;0,SUM(Production[[#This Row],[BtTtl]:[BrTtl]])/Production[[#This Row],[SatWt]],""),"")</f>
        <v/>
      </c>
      <c r="S85" s="223" t="str">
        <f>INDEX(Ingredients[Species],MATCH(Production[[#This Row],[Product]],Ingredients[ProdName],0))</f>
        <v>Poultry</v>
      </c>
    </row>
    <row r="86" spans="1:19" ht="11.1" customHeight="1" x14ac:dyDescent="0.25">
      <c r="A86" s="207" t="str">
        <f>IFERROR(IF(Production[[#This Row],[Date]]&lt;&gt;"",TEXT(Production[[#This Row],[Date]],"yy")&amp;"-"&amp;TEXT(Production[[#This Row],[Date]]-DATE(YEAR(Production[[#This Row],[Date]]),1,0),"000"),""),"")</f>
        <v>22-215</v>
      </c>
      <c r="B86" s="209" t="str">
        <f>IFERROR(IF(INDEX(Ingredients[Ingr1],MATCH(Production[[#This Row],[Product]],Ingredients[ProdName],0))&lt;&gt;"",INDEX(Ingredients[Ingr1],MATCH(Production[[#This Row],[Product]],Ingredients[ProdName],0)),INDEX(Ingredients[Ingr2],MATCH(Production[[#This Row],[Product]],Ingredients[ProdName],0))),"")</f>
        <v>Chicken - Ground</v>
      </c>
      <c r="C86" s="53">
        <v>44776</v>
      </c>
      <c r="D86" s="54" t="s">
        <v>9</v>
      </c>
      <c r="E86" s="55">
        <v>3048</v>
      </c>
      <c r="F86" s="56">
        <v>12</v>
      </c>
      <c r="G86" s="56">
        <v>72</v>
      </c>
      <c r="H86" s="208">
        <f>IFERROR(INDEX(Tier1[Wt],MATCH(Production[[#This Row],[Type]],Tier1[Ingredient],0))*Production[[#This Row],[Blocks Used]],0)</f>
        <v>3600</v>
      </c>
      <c r="I86" s="210" t="str">
        <f>IFERROR(INDEX(Ingredients[TtlWt],MATCH(Production[[#This Row],[Product]],Ingredients[ProdName],0))*Production[[#This Row],[Lots Done]],"")</f>
        <v/>
      </c>
      <c r="J86" s="210" t="str">
        <f>IF(INDEX(Ingredients[Batter],MATCH(Production[[#This Row],[Product]],Ingredients[ProdName],0))*Production[[#This Row],[Batter Used]]&gt;0,INDEX(Ingredients[Batter],MATCH(Production[[#This Row],[Product]],Ingredients[ProdName],0))*Production[[#This Row],[Batter Used]],"")</f>
        <v/>
      </c>
      <c r="K86" s="210" t="str">
        <f>IF(INDEX(Ingredients[Breader],MATCH(Production[[#This Row],[Product]],Ingredients[ProdName],0))*Production[[#This Row],[Breader Used]]&gt;0,INDEX(Ingredients[Breader],MATCH(Production[[#This Row],[Product]],Ingredients[ProdName],0))*Production[[#This Row],[Breader Used]],"")</f>
        <v/>
      </c>
      <c r="L86" s="56"/>
      <c r="M86" s="56"/>
      <c r="N86" s="211">
        <f>IFERROR(IF(SUM(Production[[#This Row],[Meat Wt]:[BrTtl]])&lt;&gt;0,SUM(Production[[#This Row],[Meat Wt]:[BrTtl]]),""),"")</f>
        <v>3600</v>
      </c>
      <c r="O86" s="55">
        <v>165</v>
      </c>
      <c r="P86" s="208">
        <f>INDEX(Ingredients[Case Wt.],MATCH(Production[[#This Row],[Product]],Ingredients[ProdName],0))*Production[[#This Row],[Case Total]]</f>
        <v>4950</v>
      </c>
      <c r="Q86" s="211">
        <f>IFERROR(Production[[#This Row],[SatWt]]-Production[[#This Row],[RawWt]],"")</f>
        <v>1350</v>
      </c>
      <c r="R86" s="222" t="str">
        <f>IF(Production[[#This Row],[Species]]&lt;&gt;"",IF(SUM(Production[[#This Row],[BtTtl]:[BrTtl]])/Production[[#This Row],[SatWt]]&lt;&gt;0,SUM(Production[[#This Row],[BtTtl]:[BrTtl]])/Production[[#This Row],[SatWt]],""),"")</f>
        <v/>
      </c>
      <c r="S86" s="223" t="str">
        <f>INDEX(Ingredients[Species],MATCH(Production[[#This Row],[Product]],Ingredients[ProdName],0))</f>
        <v>Poultry</v>
      </c>
    </row>
    <row r="87" spans="1:19" ht="11.1" customHeight="1" x14ac:dyDescent="0.25">
      <c r="A87" s="207" t="str">
        <f>IFERROR(IF(Production[[#This Row],[Date]]&lt;&gt;"",TEXT(Production[[#This Row],[Date]],"yy")&amp;"-"&amp;TEXT(Production[[#This Row],[Date]]-DATE(YEAR(Production[[#This Row],[Date]]),1,0),"000"),""),"")</f>
        <v>22-220</v>
      </c>
      <c r="B87" s="209" t="str">
        <f>IFERROR(IF(INDEX(Ingredients[Ingr1],MATCH(Production[[#This Row],[Product]],Ingredients[ProdName],0))&lt;&gt;"",INDEX(Ingredients[Ingr1],MATCH(Production[[#This Row],[Product]],Ingredients[ProdName],0)),INDEX(Ingredients[Ingr2],MATCH(Production[[#This Row],[Product]],Ingredients[ProdName],0))),"")</f>
        <v>Chicken - Ground</v>
      </c>
      <c r="C87" s="53">
        <v>44781</v>
      </c>
      <c r="D87" s="54" t="s">
        <v>17</v>
      </c>
      <c r="E87" s="55">
        <v>3048</v>
      </c>
      <c r="F87" s="56">
        <v>10</v>
      </c>
      <c r="G87" s="56">
        <v>60</v>
      </c>
      <c r="H87" s="208">
        <f>IFERROR(INDEX(Tier1[Wt],MATCH(Production[[#This Row],[Type]],Tier1[Ingredient],0))*Production[[#This Row],[Blocks Used]],0)</f>
        <v>3000</v>
      </c>
      <c r="I87" s="210">
        <f>IFERROR(INDEX(Ingredients[TtlWt],MATCH(Production[[#This Row],[Product]],Ingredients[ProdName],0))*Production[[#This Row],[Lots Done]],"")</f>
        <v>419.5</v>
      </c>
      <c r="J87" s="210" t="str">
        <f>IF(INDEX(Ingredients[Batter],MATCH(Production[[#This Row],[Product]],Ingredients[ProdName],0))*Production[[#This Row],[Batter Used]]&gt;0,INDEX(Ingredients[Batter],MATCH(Production[[#This Row],[Product]],Ingredients[ProdName],0))*Production[[#This Row],[Batter Used]],"")</f>
        <v/>
      </c>
      <c r="K87" s="210" t="str">
        <f>IF(INDEX(Ingredients[Breader],MATCH(Production[[#This Row],[Product]],Ingredients[ProdName],0))*Production[[#This Row],[Breader Used]]&gt;0,INDEX(Ingredients[Breader],MATCH(Production[[#This Row],[Product]],Ingredients[ProdName],0))*Production[[#This Row],[Breader Used]],"")</f>
        <v/>
      </c>
      <c r="L87" s="56"/>
      <c r="M87" s="56"/>
      <c r="N87" s="211">
        <f>IFERROR(IF(SUM(Production[[#This Row],[Meat Wt]:[BrTtl]])&lt;&gt;0,SUM(Production[[#This Row],[Meat Wt]:[BrTtl]]),""),"")</f>
        <v>3419.5</v>
      </c>
      <c r="O87" s="55">
        <v>182</v>
      </c>
      <c r="P87" s="208">
        <f>INDEX(Ingredients[Case Wt.],MATCH(Production[[#This Row],[Product]],Ingredients[ProdName],0))*Production[[#This Row],[Case Total]]</f>
        <v>4550</v>
      </c>
      <c r="Q87" s="211">
        <f>IFERROR(Production[[#This Row],[SatWt]]-Production[[#This Row],[RawWt]],"")</f>
        <v>1130.5</v>
      </c>
      <c r="R87" s="222" t="str">
        <f>IF(Production[[#This Row],[Species]]&lt;&gt;"",IF(SUM(Production[[#This Row],[BtTtl]:[BrTtl]])/Production[[#This Row],[SatWt]]&lt;&gt;0,SUM(Production[[#This Row],[BtTtl]:[BrTtl]])/Production[[#This Row],[SatWt]],""),"")</f>
        <v/>
      </c>
      <c r="S87" s="223" t="str">
        <f>INDEX(Ingredients[Species],MATCH(Production[[#This Row],[Product]],Ingredients[ProdName],0))</f>
        <v>Poultry</v>
      </c>
    </row>
    <row r="88" spans="1:19" ht="11.1" customHeight="1" x14ac:dyDescent="0.25">
      <c r="A88" s="207" t="str">
        <f>IFERROR(IF(Production[[#This Row],[Date]]&lt;&gt;"",TEXT(Production[[#This Row],[Date]],"yy")&amp;"-"&amp;TEXT(Production[[#This Row],[Date]]-DATE(YEAR(Production[[#This Row],[Date]]),1,0),"000"),""),"")</f>
        <v>22-221</v>
      </c>
      <c r="B88" s="209" t="str">
        <f>IFERROR(IF(INDEX(Ingredients[Ingr1],MATCH(Production[[#This Row],[Product]],Ingredients[ProdName],0))&lt;&gt;"",INDEX(Ingredients[Ingr1],MATCH(Production[[#This Row],[Product]],Ingredients[ProdName],0)),INDEX(Ingredients[Ingr2],MATCH(Production[[#This Row],[Product]],Ingredients[ProdName],0))),"")</f>
        <v>Chicken - Tenders</v>
      </c>
      <c r="C88" s="53">
        <v>44782</v>
      </c>
      <c r="D88" s="54" t="s">
        <v>14</v>
      </c>
      <c r="E88" s="55" t="s">
        <v>181</v>
      </c>
      <c r="F88" s="56">
        <v>10</v>
      </c>
      <c r="G88" s="56">
        <v>70</v>
      </c>
      <c r="H88" s="208">
        <f>IFERROR(INDEX(Tier1[Wt],MATCH(Production[[#This Row],[Type]],Tier1[Ingredient],0))*Production[[#This Row],[Blocks Used]],0)</f>
        <v>2800</v>
      </c>
      <c r="I88" s="210">
        <f>IFERROR(INDEX(Ingredients[TtlWt],MATCH(Production[[#This Row],[Product]],Ingredients[ProdName],0))*Production[[#This Row],[Lots Done]],"")</f>
        <v>621.5</v>
      </c>
      <c r="J88" s="210" t="str">
        <f>IF(INDEX(Ingredients[Batter],MATCH(Production[[#This Row],[Product]],Ingredients[ProdName],0))*Production[[#This Row],[Batter Used]]&gt;0,INDEX(Ingredients[Batter],MATCH(Production[[#This Row],[Product]],Ingredients[ProdName],0))*Production[[#This Row],[Batter Used]],"")</f>
        <v/>
      </c>
      <c r="K88" s="210" t="str">
        <f>IF(INDEX(Ingredients[Breader],MATCH(Production[[#This Row],[Product]],Ingredients[ProdName],0))*Production[[#This Row],[Breader Used]]&gt;0,INDEX(Ingredients[Breader],MATCH(Production[[#This Row],[Product]],Ingredients[ProdName],0))*Production[[#This Row],[Breader Used]],"")</f>
        <v/>
      </c>
      <c r="L88" s="56"/>
      <c r="M88" s="56"/>
      <c r="N88" s="211">
        <f>IFERROR(IF(SUM(Production[[#This Row],[Meat Wt]:[BrTtl]])&lt;&gt;0,SUM(Production[[#This Row],[Meat Wt]:[BrTtl]]),""),"")</f>
        <v>3421.5</v>
      </c>
      <c r="O88" s="55">
        <v>183</v>
      </c>
      <c r="P88" s="208">
        <f>INDEX(Ingredients[Case Wt.],MATCH(Production[[#This Row],[Product]],Ingredients[ProdName],0))*Production[[#This Row],[Case Total]]</f>
        <v>4575</v>
      </c>
      <c r="Q88" s="211">
        <f>IFERROR(Production[[#This Row],[SatWt]]-Production[[#This Row],[RawWt]],"")</f>
        <v>1153.5</v>
      </c>
      <c r="R88" s="222" t="str">
        <f>IF(Production[[#This Row],[Species]]&lt;&gt;"",IF(SUM(Production[[#This Row],[BtTtl]:[BrTtl]])/Production[[#This Row],[SatWt]]&lt;&gt;0,SUM(Production[[#This Row],[BtTtl]:[BrTtl]])/Production[[#This Row],[SatWt]],""),"")</f>
        <v/>
      </c>
      <c r="S88" s="223" t="str">
        <f>INDEX(Ingredients[Species],MATCH(Production[[#This Row],[Product]],Ingredients[ProdName],0))</f>
        <v>Poultry</v>
      </c>
    </row>
    <row r="89" spans="1:19" ht="11.1" customHeight="1" x14ac:dyDescent="0.25">
      <c r="A89" s="207" t="str">
        <f>IFERROR(IF(Production[[#This Row],[Date]]&lt;&gt;"",TEXT(Production[[#This Row],[Date]],"yy")&amp;"-"&amp;TEXT(Production[[#This Row],[Date]]-DATE(YEAR(Production[[#This Row],[Date]]),1,0),"000"),""),"")</f>
        <v>22-229</v>
      </c>
      <c r="B89" s="209" t="str">
        <f>IFERROR(IF(INDEX(Ingredients[Ingr1],MATCH(Production[[#This Row],[Product]],Ingredients[ProdName],0))&lt;&gt;"",INDEX(Ingredients[Ingr1],MATCH(Production[[#This Row],[Product]],Ingredients[ProdName],0)),INDEX(Ingredients[Ingr2],MATCH(Production[[#This Row],[Product]],Ingredients[ProdName],0))),"")</f>
        <v>Chicken - Ground</v>
      </c>
      <c r="C89" s="53">
        <v>44790</v>
      </c>
      <c r="D89" s="54" t="s">
        <v>13</v>
      </c>
      <c r="E89" s="55">
        <v>3048</v>
      </c>
      <c r="F89" s="56">
        <v>12</v>
      </c>
      <c r="G89" s="56">
        <v>72</v>
      </c>
      <c r="H89" s="208">
        <f>IFERROR(INDEX(Tier1[Wt],MATCH(Production[[#This Row],[Type]],Tier1[Ingredient],0))*Production[[#This Row],[Blocks Used]],0)</f>
        <v>3600</v>
      </c>
      <c r="I89" s="210">
        <f>IFERROR(INDEX(Ingredients[TtlWt],MATCH(Production[[#This Row],[Product]],Ingredients[ProdName],0))*Production[[#This Row],[Lots Done]],"")</f>
        <v>570</v>
      </c>
      <c r="J89" s="210" t="str">
        <f>IF(INDEX(Ingredients[Batter],MATCH(Production[[#This Row],[Product]],Ingredients[ProdName],0))*Production[[#This Row],[Batter Used]]&gt;0,INDEX(Ingredients[Batter],MATCH(Production[[#This Row],[Product]],Ingredients[ProdName],0))*Production[[#This Row],[Batter Used]],"")</f>
        <v/>
      </c>
      <c r="K89" s="210" t="str">
        <f>IF(INDEX(Ingredients[Breader],MATCH(Production[[#This Row],[Product]],Ingredients[ProdName],0))*Production[[#This Row],[Breader Used]]&gt;0,INDEX(Ingredients[Breader],MATCH(Production[[#This Row],[Product]],Ingredients[ProdName],0))*Production[[#This Row],[Breader Used]],"")</f>
        <v/>
      </c>
      <c r="L89" s="56"/>
      <c r="M89" s="56"/>
      <c r="N89" s="211">
        <f>IFERROR(IF(SUM(Production[[#This Row],[Meat Wt]:[BrTtl]])&lt;&gt;0,SUM(Production[[#This Row],[Meat Wt]:[BrTtl]]),""),"")</f>
        <v>4170</v>
      </c>
      <c r="O89" s="55">
        <v>171</v>
      </c>
      <c r="P89" s="208">
        <f>INDEX(Ingredients[Case Wt.],MATCH(Production[[#This Row],[Product]],Ingredients[ProdName],0))*Production[[#This Row],[Case Total]]</f>
        <v>5130</v>
      </c>
      <c r="Q89" s="211">
        <f>IFERROR(Production[[#This Row],[SatWt]]-Production[[#This Row],[RawWt]],"")</f>
        <v>960</v>
      </c>
      <c r="R89" s="222" t="str">
        <f>IF(Production[[#This Row],[Species]]&lt;&gt;"",IF(SUM(Production[[#This Row],[BtTtl]:[BrTtl]])/Production[[#This Row],[SatWt]]&lt;&gt;0,SUM(Production[[#This Row],[BtTtl]:[BrTtl]])/Production[[#This Row],[SatWt]],""),"")</f>
        <v/>
      </c>
      <c r="S89" s="223" t="str">
        <f>INDEX(Ingredients[Species],MATCH(Production[[#This Row],[Product]],Ingredients[ProdName],0))</f>
        <v>Poultry</v>
      </c>
    </row>
    <row r="90" spans="1:19" ht="11.1" customHeight="1" x14ac:dyDescent="0.25">
      <c r="A90" s="207" t="str">
        <f>IFERROR(IF(Production[[#This Row],[Date]]&lt;&gt;"",TEXT(Production[[#This Row],[Date]],"yy")&amp;"-"&amp;TEXT(Production[[#This Row],[Date]]-DATE(YEAR(Production[[#This Row],[Date]]),1,0),"000"),""),"")</f>
        <v>22-230</v>
      </c>
      <c r="B90" s="209" t="str">
        <f>IFERROR(IF(INDEX(Ingredients[Ingr1],MATCH(Production[[#This Row],[Product]],Ingredients[ProdName],0))&lt;&gt;"",INDEX(Ingredients[Ingr1],MATCH(Production[[#This Row],[Product]],Ingredients[ProdName],0)),INDEX(Ingredients[Ingr2],MATCH(Production[[#This Row],[Product]],Ingredients[ProdName],0))),"")</f>
        <v>Chicken - Ground</v>
      </c>
      <c r="C90" s="53">
        <v>44791</v>
      </c>
      <c r="D90" s="54" t="s">
        <v>7</v>
      </c>
      <c r="E90" s="55">
        <v>3048</v>
      </c>
      <c r="F90" s="56">
        <v>10</v>
      </c>
      <c r="G90" s="56">
        <v>60</v>
      </c>
      <c r="H90" s="208">
        <f>IFERROR(INDEX(Tier1[Wt],MATCH(Production[[#This Row],[Type]],Tier1[Ingredient],0))*Production[[#This Row],[Blocks Used]],0)</f>
        <v>3000</v>
      </c>
      <c r="I90" s="210">
        <f>IFERROR(INDEX(Ingredients[TtlWt],MATCH(Production[[#This Row],[Product]],Ingredients[ProdName],0))*Production[[#This Row],[Lots Done]],"")</f>
        <v>67.5</v>
      </c>
      <c r="J90" s="210" t="str">
        <f>IF(INDEX(Ingredients[Batter],MATCH(Production[[#This Row],[Product]],Ingredients[ProdName],0))*Production[[#This Row],[Batter Used]]&gt;0,INDEX(Ingredients[Batter],MATCH(Production[[#This Row],[Product]],Ingredients[ProdName],0))*Production[[#This Row],[Batter Used]],"")</f>
        <v/>
      </c>
      <c r="K90" s="210" t="str">
        <f>IF(INDEX(Ingredients[Breader],MATCH(Production[[#This Row],[Product]],Ingredients[ProdName],0))*Production[[#This Row],[Breader Used]]&gt;0,INDEX(Ingredients[Breader],MATCH(Production[[#This Row],[Product]],Ingredients[ProdName],0))*Production[[#This Row],[Breader Used]],"")</f>
        <v/>
      </c>
      <c r="L90" s="56"/>
      <c r="M90" s="56"/>
      <c r="N90" s="211">
        <f>IFERROR(IF(SUM(Production[[#This Row],[Meat Wt]:[BrTtl]])&lt;&gt;0,SUM(Production[[#This Row],[Meat Wt]:[BrTtl]]),""),"")</f>
        <v>3067.5</v>
      </c>
      <c r="O90" s="55">
        <v>173</v>
      </c>
      <c r="P90" s="208">
        <f>INDEX(Ingredients[Case Wt.],MATCH(Production[[#This Row],[Product]],Ingredients[ProdName],0))*Production[[#This Row],[Case Total]]</f>
        <v>4325</v>
      </c>
      <c r="Q90" s="211">
        <f>IFERROR(Production[[#This Row],[SatWt]]-Production[[#This Row],[RawWt]],"")</f>
        <v>1257.5</v>
      </c>
      <c r="R90" s="222" t="str">
        <f>IF(Production[[#This Row],[Species]]&lt;&gt;"",IF(SUM(Production[[#This Row],[BtTtl]:[BrTtl]])/Production[[#This Row],[SatWt]]&lt;&gt;0,SUM(Production[[#This Row],[BtTtl]:[BrTtl]])/Production[[#This Row],[SatWt]],""),"")</f>
        <v/>
      </c>
      <c r="S90" s="223" t="str">
        <f>INDEX(Ingredients[Species],MATCH(Production[[#This Row],[Product]],Ingredients[ProdName],0))</f>
        <v>Poultry</v>
      </c>
    </row>
    <row r="91" spans="1:19" ht="11.1" customHeight="1" x14ac:dyDescent="0.25">
      <c r="A91" s="207" t="str">
        <f>IFERROR(IF(Production[[#This Row],[Date]]&lt;&gt;"",TEXT(Production[[#This Row],[Date]],"yy")&amp;"-"&amp;TEXT(Production[[#This Row],[Date]]-DATE(YEAR(Production[[#This Row],[Date]]),1,0),"000"),""),"")</f>
        <v>22-234</v>
      </c>
      <c r="B91" s="209" t="str">
        <f>IFERROR(IF(INDEX(Ingredients[Ingr1],MATCH(Production[[#This Row],[Product]],Ingredients[ProdName],0))&lt;&gt;"",INDEX(Ingredients[Ingr1],MATCH(Production[[#This Row],[Product]],Ingredients[ProdName],0)),INDEX(Ingredients[Ingr2],MATCH(Production[[#This Row],[Product]],Ingredients[ProdName],0))),"")</f>
        <v>Chicken - Tenders</v>
      </c>
      <c r="C91" s="53">
        <v>44795</v>
      </c>
      <c r="D91" s="54" t="s">
        <v>21</v>
      </c>
      <c r="E91" s="55" t="s">
        <v>181</v>
      </c>
      <c r="F91" s="56">
        <v>10</v>
      </c>
      <c r="G91" s="56">
        <v>70</v>
      </c>
      <c r="H91" s="208">
        <f>IFERROR(INDEX(Tier1[Wt],MATCH(Production[[#This Row],[Type]],Tier1[Ingredient],0))*Production[[#This Row],[Blocks Used]],0)</f>
        <v>2800</v>
      </c>
      <c r="I91" s="210">
        <f>IFERROR(INDEX(Ingredients[TtlWt],MATCH(Production[[#This Row],[Product]],Ingredients[ProdName],0))*Production[[#This Row],[Lots Done]],"")</f>
        <v>540</v>
      </c>
      <c r="J91" s="210">
        <f>IF(INDEX(Ingredients[Batter],MATCH(Production[[#This Row],[Product]],Ingredients[ProdName],0))*Production[[#This Row],[Batter Used]]&gt;0,INDEX(Ingredients[Batter],MATCH(Production[[#This Row],[Product]],Ingredients[ProdName],0))*Production[[#This Row],[Batter Used]],"")</f>
        <v>200</v>
      </c>
      <c r="K91" s="210">
        <f>IF(INDEX(Ingredients[Breader],MATCH(Production[[#This Row],[Product]],Ingredients[ProdName],0))*Production[[#This Row],[Breader Used]]&gt;0,INDEX(Ingredients[Breader],MATCH(Production[[#This Row],[Product]],Ingredients[ProdName],0))*Production[[#This Row],[Breader Used]],"")</f>
        <v>1000</v>
      </c>
      <c r="L91" s="56">
        <v>4</v>
      </c>
      <c r="M91" s="56">
        <v>20</v>
      </c>
      <c r="N91" s="211">
        <f>IFERROR(IF(SUM(Production[[#This Row],[Meat Wt]:[BrTtl]])&lt;&gt;0,SUM(Production[[#This Row],[Meat Wt]:[BrTtl]]),""),"")</f>
        <v>4540</v>
      </c>
      <c r="O91" s="55">
        <v>213</v>
      </c>
      <c r="P91" s="208">
        <f>INDEX(Ingredients[Case Wt.],MATCH(Production[[#This Row],[Product]],Ingredients[ProdName],0))*Production[[#This Row],[Case Total]]</f>
        <v>5325</v>
      </c>
      <c r="Q91" s="211">
        <f>IFERROR(Production[[#This Row],[SatWt]]-Production[[#This Row],[RawWt]],"")</f>
        <v>785</v>
      </c>
      <c r="R91" s="222">
        <f>IF(Production[[#This Row],[Species]]&lt;&gt;"",IF(SUM(Production[[#This Row],[BtTtl]:[BrTtl]])/Production[[#This Row],[SatWt]]&lt;&gt;0,SUM(Production[[#This Row],[BtTtl]:[BrTtl]])/Production[[#This Row],[SatWt]],""),"")</f>
        <v>0.22535211267605634</v>
      </c>
      <c r="S91" s="223" t="str">
        <f>INDEX(Ingredients[Species],MATCH(Production[[#This Row],[Product]],Ingredients[ProdName],0))</f>
        <v>Poultry</v>
      </c>
    </row>
    <row r="92" spans="1:19" ht="11.1" customHeight="1" x14ac:dyDescent="0.25">
      <c r="A92" s="207" t="str">
        <f>IFERROR(IF(Production[[#This Row],[Date]]&lt;&gt;"",TEXT(Production[[#This Row],[Date]],"yy")&amp;"-"&amp;TEXT(Production[[#This Row],[Date]]-DATE(YEAR(Production[[#This Row],[Date]]),1,0),"000"),""),"")</f>
        <v>22-236</v>
      </c>
      <c r="B92" s="209" t="str">
        <f>IFERROR(IF(INDEX(Ingredients[Ingr1],MATCH(Production[[#This Row],[Product]],Ingredients[ProdName],0))&lt;&gt;"",INDEX(Ingredients[Ingr1],MATCH(Production[[#This Row],[Product]],Ingredients[ProdName],0)),INDEX(Ingredients[Ingr2],MATCH(Production[[#This Row],[Product]],Ingredients[ProdName],0))),"")</f>
        <v>Cornmeal</v>
      </c>
      <c r="C92" s="53">
        <v>44797</v>
      </c>
      <c r="D92" s="54" t="s">
        <v>24</v>
      </c>
      <c r="E92" s="55" t="s">
        <v>192</v>
      </c>
      <c r="F92" s="56"/>
      <c r="G92" s="56"/>
      <c r="H92" s="208">
        <f>IFERROR(INDEX(Tier1[Wt],MATCH(Production[[#This Row],[Type]],Tier1[Ingredient],0))*Production[[#This Row],[Blocks Used]],0)</f>
        <v>0</v>
      </c>
      <c r="I92" s="210" t="str">
        <f>IFERROR(INDEX(Ingredients[TtlWt],MATCH(Production[[#This Row],[Product]],Ingredients[ProdName],0))*Production[[#This Row],[Lots Done]],"")</f>
        <v/>
      </c>
      <c r="J92" s="210" t="str">
        <f>IF(INDEX(Ingredients[Batter],MATCH(Production[[#This Row],[Product]],Ingredients[ProdName],0))*Production[[#This Row],[Batter Used]]&gt;0,INDEX(Ingredients[Batter],MATCH(Production[[#This Row],[Product]],Ingredients[ProdName],0))*Production[[#This Row],[Batter Used]],"")</f>
        <v/>
      </c>
      <c r="K92" s="210" t="str">
        <f>IF(INDEX(Ingredients[Breader],MATCH(Production[[#This Row],[Product]],Ingredients[ProdName],0))*Production[[#This Row],[Breader Used]]&gt;0,INDEX(Ingredients[Breader],MATCH(Production[[#This Row],[Product]],Ingredients[ProdName],0))*Production[[#This Row],[Breader Used]],"")</f>
        <v/>
      </c>
      <c r="L92" s="56"/>
      <c r="M92" s="56"/>
      <c r="N92" s="211" t="str">
        <f>IFERROR(IF(SUM(Production[[#This Row],[Meat Wt]:[BrTtl]])&lt;&gt;0,SUM(Production[[#This Row],[Meat Wt]:[BrTtl]]),""),"")</f>
        <v/>
      </c>
      <c r="O92" s="55">
        <v>31</v>
      </c>
      <c r="P92" s="208">
        <f>INDEX(Ingredients[Case Wt.],MATCH(Production[[#This Row],[Product]],Ingredients[ProdName],0))*Production[[#This Row],[Case Total]]</f>
        <v>155</v>
      </c>
      <c r="Q92" s="211" t="str">
        <f>IFERROR(Production[[#This Row],[SatWt]]-Production[[#This Row],[RawWt]],"")</f>
        <v/>
      </c>
      <c r="R92" s="222" t="str">
        <f>IF(Production[[#This Row],[Species]]&lt;&gt;"",IF(SUM(Production[[#This Row],[BtTtl]:[BrTtl]])/Production[[#This Row],[SatWt]]&lt;&gt;0,SUM(Production[[#This Row],[BtTtl]:[BrTtl]])/Production[[#This Row],[SatWt]],""),"")</f>
        <v/>
      </c>
      <c r="S92" s="223" t="str">
        <f>INDEX(Ingredients[Species],MATCH(Production[[#This Row],[Product]],Ingredients[ProdName],0))</f>
        <v/>
      </c>
    </row>
    <row r="93" spans="1:19" ht="11.1" customHeight="1" x14ac:dyDescent="0.25">
      <c r="A93" s="207" t="str">
        <f>IFERROR(IF(Production[[#This Row],[Date]]&lt;&gt;"",TEXT(Production[[#This Row],[Date]],"yy")&amp;"-"&amp;TEXT(Production[[#This Row],[Date]]-DATE(YEAR(Production[[#This Row],[Date]]),1,0),"000"),""),"")</f>
        <v>22-244</v>
      </c>
      <c r="B93" s="209" t="str">
        <f>IFERROR(IF(INDEX(Ingredients[Ingr1],MATCH(Production[[#This Row],[Product]],Ingredients[ProdName],0))&lt;&gt;"",INDEX(Ingredients[Ingr1],MATCH(Production[[#This Row],[Product]],Ingredients[ProdName],0)),INDEX(Ingredients[Ingr2],MATCH(Production[[#This Row],[Product]],Ingredients[ProdName],0))),"")</f>
        <v>Cornmeal</v>
      </c>
      <c r="C93" s="53">
        <v>44805</v>
      </c>
      <c r="D93" s="54" t="s">
        <v>24</v>
      </c>
      <c r="E93" s="55" t="s">
        <v>193</v>
      </c>
      <c r="F93" s="56"/>
      <c r="G93" s="56"/>
      <c r="H93" s="208">
        <f>IFERROR(INDEX(Tier1[Wt],MATCH(Production[[#This Row],[Type]],Tier1[Ingredient],0))*Production[[#This Row],[Blocks Used]],0)</f>
        <v>0</v>
      </c>
      <c r="I93" s="210" t="str">
        <f>IFERROR(INDEX(Ingredients[TtlWt],MATCH(Production[[#This Row],[Product]],Ingredients[ProdName],0))*Production[[#This Row],[Lots Done]],"")</f>
        <v/>
      </c>
      <c r="J93" s="210" t="str">
        <f>IF(INDEX(Ingredients[Batter],MATCH(Production[[#This Row],[Product]],Ingredients[ProdName],0))*Production[[#This Row],[Batter Used]]&gt;0,INDEX(Ingredients[Batter],MATCH(Production[[#This Row],[Product]],Ingredients[ProdName],0))*Production[[#This Row],[Batter Used]],"")</f>
        <v/>
      </c>
      <c r="K93" s="210" t="str">
        <f>IF(INDEX(Ingredients[Breader],MATCH(Production[[#This Row],[Product]],Ingredients[ProdName],0))*Production[[#This Row],[Breader Used]]&gt;0,INDEX(Ingredients[Breader],MATCH(Production[[#This Row],[Product]],Ingredients[ProdName],0))*Production[[#This Row],[Breader Used]],"")</f>
        <v/>
      </c>
      <c r="L93" s="56"/>
      <c r="M93" s="56"/>
      <c r="N93" s="211" t="str">
        <f>IFERROR(IF(SUM(Production[[#This Row],[Meat Wt]:[BrTtl]])&lt;&gt;0,SUM(Production[[#This Row],[Meat Wt]:[BrTtl]]),""),"")</f>
        <v/>
      </c>
      <c r="O93" s="55">
        <v>47</v>
      </c>
      <c r="P93" s="208">
        <f>INDEX(Ingredients[Case Wt.],MATCH(Production[[#This Row],[Product]],Ingredients[ProdName],0))*Production[[#This Row],[Case Total]]</f>
        <v>235</v>
      </c>
      <c r="Q93" s="211" t="str">
        <f>IFERROR(Production[[#This Row],[SatWt]]-Production[[#This Row],[RawWt]],"")</f>
        <v/>
      </c>
      <c r="R93" s="222" t="str">
        <f>IF(Production[[#This Row],[Species]]&lt;&gt;"",IF(SUM(Production[[#This Row],[BtTtl]:[BrTtl]])/Production[[#This Row],[SatWt]]&lt;&gt;0,SUM(Production[[#This Row],[BtTtl]:[BrTtl]])/Production[[#This Row],[SatWt]],""),"")</f>
        <v/>
      </c>
      <c r="S93" s="223" t="str">
        <f>INDEX(Ingredients[Species],MATCH(Production[[#This Row],[Product]],Ingredients[ProdName],0))</f>
        <v/>
      </c>
    </row>
    <row r="94" spans="1:19" ht="11.1" customHeight="1" x14ac:dyDescent="0.25">
      <c r="A94" s="207" t="str">
        <f>IFERROR(IF(Production[[#This Row],[Date]]&lt;&gt;"",TEXT(Production[[#This Row],[Date]],"yy")&amp;"-"&amp;TEXT(Production[[#This Row],[Date]]-DATE(YEAR(Production[[#This Row],[Date]]),1,0),"000"),""),"")</f>
        <v>22-249</v>
      </c>
      <c r="B94" s="209" t="str">
        <f>IFERROR(IF(INDEX(Ingredients[Ingr1],MATCH(Production[[#This Row],[Product]],Ingredients[ProdName],0))&lt;&gt;"",INDEX(Ingredients[Ingr1],MATCH(Production[[#This Row],[Product]],Ingredients[ProdName],0)),INDEX(Ingredients[Ingr2],MATCH(Production[[#This Row],[Product]],Ingredients[ProdName],0))),"")</f>
        <v>Chicken - Tenders</v>
      </c>
      <c r="C94" s="53">
        <v>44810</v>
      </c>
      <c r="D94" s="54" t="s">
        <v>14</v>
      </c>
      <c r="E94" s="55" t="s">
        <v>181</v>
      </c>
      <c r="F94" s="56">
        <v>7</v>
      </c>
      <c r="G94" s="56">
        <v>49</v>
      </c>
      <c r="H94" s="208">
        <f>IFERROR(INDEX(Tier1[Wt],MATCH(Production[[#This Row],[Type]],Tier1[Ingredient],0))*Production[[#This Row],[Blocks Used]],0)</f>
        <v>1960</v>
      </c>
      <c r="I94" s="210">
        <f>IFERROR(INDEX(Ingredients[TtlWt],MATCH(Production[[#This Row],[Product]],Ingredients[ProdName],0))*Production[[#This Row],[Lots Done]],"")</f>
        <v>435.05</v>
      </c>
      <c r="J94" s="210" t="str">
        <f>IF(INDEX(Ingredients[Batter],MATCH(Production[[#This Row],[Product]],Ingredients[ProdName],0))*Production[[#This Row],[Batter Used]]&gt;0,INDEX(Ingredients[Batter],MATCH(Production[[#This Row],[Product]],Ingredients[ProdName],0))*Production[[#This Row],[Batter Used]],"")</f>
        <v/>
      </c>
      <c r="K94" s="210" t="str">
        <f>IF(INDEX(Ingredients[Breader],MATCH(Production[[#This Row],[Product]],Ingredients[ProdName],0))*Production[[#This Row],[Breader Used]]&gt;0,INDEX(Ingredients[Breader],MATCH(Production[[#This Row],[Product]],Ingredients[ProdName],0))*Production[[#This Row],[Breader Used]],"")</f>
        <v/>
      </c>
      <c r="L94" s="56"/>
      <c r="M94" s="56"/>
      <c r="N94" s="211">
        <f>IFERROR(IF(SUM(Production[[#This Row],[Meat Wt]:[BrTtl]])&lt;&gt;0,SUM(Production[[#This Row],[Meat Wt]:[BrTtl]]),""),"")</f>
        <v>2395.0500000000002</v>
      </c>
      <c r="O94" s="55">
        <v>136</v>
      </c>
      <c r="P94" s="208">
        <f>INDEX(Ingredients[Case Wt.],MATCH(Production[[#This Row],[Product]],Ingredients[ProdName],0))*Production[[#This Row],[Case Total]]</f>
        <v>3400</v>
      </c>
      <c r="Q94" s="211">
        <f>IFERROR(Production[[#This Row],[SatWt]]-Production[[#This Row],[RawWt]],"")</f>
        <v>1004.9499999999998</v>
      </c>
      <c r="R94" s="222" t="str">
        <f>IF(Production[[#This Row],[Species]]&lt;&gt;"",IF(SUM(Production[[#This Row],[BtTtl]:[BrTtl]])/Production[[#This Row],[SatWt]]&lt;&gt;0,SUM(Production[[#This Row],[BtTtl]:[BrTtl]])/Production[[#This Row],[SatWt]],""),"")</f>
        <v/>
      </c>
      <c r="S94" s="223" t="str">
        <f>INDEX(Ingredients[Species],MATCH(Production[[#This Row],[Product]],Ingredients[ProdName],0))</f>
        <v>Poultry</v>
      </c>
    </row>
    <row r="95" spans="1:19" ht="11.1" customHeight="1" x14ac:dyDescent="0.25">
      <c r="A95" s="207" t="str">
        <f>IFERROR(IF(Production[[#This Row],[Date]]&lt;&gt;"",TEXT(Production[[#This Row],[Date]],"yy")&amp;"-"&amp;TEXT(Production[[#This Row],[Date]]-DATE(YEAR(Production[[#This Row],[Date]]),1,0),"000"),""),"")</f>
        <v>22-250</v>
      </c>
      <c r="B95" s="209" t="str">
        <f>IFERROR(IF(INDEX(Ingredients[Ingr1],MATCH(Production[[#This Row],[Product]],Ingredients[ProdName],0))&lt;&gt;"",INDEX(Ingredients[Ingr1],MATCH(Production[[#This Row],[Product]],Ingredients[ProdName],0)),INDEX(Ingredients[Ingr2],MATCH(Production[[#This Row],[Product]],Ingredients[ProdName],0))),"")</f>
        <v>Chicken - Ground</v>
      </c>
      <c r="C95" s="53">
        <v>44811</v>
      </c>
      <c r="D95" s="54" t="s">
        <v>15</v>
      </c>
      <c r="E95" s="55">
        <v>3048</v>
      </c>
      <c r="F95" s="56">
        <v>7</v>
      </c>
      <c r="G95" s="56">
        <v>42</v>
      </c>
      <c r="H95" s="208">
        <f>IFERROR(INDEX(Tier1[Wt],MATCH(Production[[#This Row],[Type]],Tier1[Ingredient],0))*Production[[#This Row],[Blocks Used]],0)</f>
        <v>2100</v>
      </c>
      <c r="I95" s="210">
        <f>IFERROR(INDEX(Ingredients[TtlWt],MATCH(Production[[#This Row],[Product]],Ingredients[ProdName],0))*Production[[#This Row],[Lots Done]],"")</f>
        <v>81.55</v>
      </c>
      <c r="J95" s="210" t="str">
        <f>IF(INDEX(Ingredients[Batter],MATCH(Production[[#This Row],[Product]],Ingredients[ProdName],0))*Production[[#This Row],[Batter Used]]&gt;0,INDEX(Ingredients[Batter],MATCH(Production[[#This Row],[Product]],Ingredients[ProdName],0))*Production[[#This Row],[Batter Used]],"")</f>
        <v/>
      </c>
      <c r="K95" s="210" t="str">
        <f>IF(INDEX(Ingredients[Breader],MATCH(Production[[#This Row],[Product]],Ingredients[ProdName],0))*Production[[#This Row],[Breader Used]]&gt;0,INDEX(Ingredients[Breader],MATCH(Production[[#This Row],[Product]],Ingredients[ProdName],0))*Production[[#This Row],[Breader Used]],"")</f>
        <v/>
      </c>
      <c r="L95" s="56"/>
      <c r="M95" s="56"/>
      <c r="N95" s="211">
        <f>IFERROR(IF(SUM(Production[[#This Row],[Meat Wt]:[BrTtl]])&lt;&gt;0,SUM(Production[[#This Row],[Meat Wt]:[BrTtl]]),""),"")</f>
        <v>2181.5500000000002</v>
      </c>
      <c r="O95" s="55">
        <v>99</v>
      </c>
      <c r="P95" s="208">
        <f>INDEX(Ingredients[Case Wt.],MATCH(Production[[#This Row],[Product]],Ingredients[ProdName],0))*Production[[#This Row],[Case Total]]</f>
        <v>2970</v>
      </c>
      <c r="Q95" s="211">
        <f>IFERROR(Production[[#This Row],[SatWt]]-Production[[#This Row],[RawWt]],"")</f>
        <v>788.44999999999982</v>
      </c>
      <c r="R95" s="222" t="str">
        <f>IF(Production[[#This Row],[Species]]&lt;&gt;"",IF(SUM(Production[[#This Row],[BtTtl]:[BrTtl]])/Production[[#This Row],[SatWt]]&lt;&gt;0,SUM(Production[[#This Row],[BtTtl]:[BrTtl]])/Production[[#This Row],[SatWt]],""),"")</f>
        <v/>
      </c>
      <c r="S95" s="223" t="str">
        <f>INDEX(Ingredients[Species],MATCH(Production[[#This Row],[Product]],Ingredients[ProdName],0))</f>
        <v>Poultry</v>
      </c>
    </row>
    <row r="96" spans="1:19" ht="11.1" customHeight="1" x14ac:dyDescent="0.25">
      <c r="A96" s="207" t="str">
        <f>IFERROR(IF(Production[[#This Row],[Date]]&lt;&gt;"",TEXT(Production[[#This Row],[Date]],"yy")&amp;"-"&amp;TEXT(Production[[#This Row],[Date]]-DATE(YEAR(Production[[#This Row],[Date]]),1,0),"000"),""),"")</f>
        <v>22-251</v>
      </c>
      <c r="B96" s="209" t="str">
        <f>IFERROR(IF(INDEX(Ingredients[Ingr1],MATCH(Production[[#This Row],[Product]],Ingredients[ProdName],0))&lt;&gt;"",INDEX(Ingredients[Ingr1],MATCH(Production[[#This Row],[Product]],Ingredients[ProdName],0)),INDEX(Ingredients[Ingr2],MATCH(Production[[#This Row],[Product]],Ingredients[ProdName],0))),"")</f>
        <v>Chicken - Ground</v>
      </c>
      <c r="C96" s="53">
        <v>44812</v>
      </c>
      <c r="D96" s="54" t="s">
        <v>15</v>
      </c>
      <c r="E96" s="55">
        <v>3048</v>
      </c>
      <c r="F96" s="56">
        <v>8</v>
      </c>
      <c r="G96" s="56">
        <v>48</v>
      </c>
      <c r="H96" s="208">
        <f>IFERROR(INDEX(Tier1[Wt],MATCH(Production[[#This Row],[Type]],Tier1[Ingredient],0))*Production[[#This Row],[Blocks Used]],0)</f>
        <v>2400</v>
      </c>
      <c r="I96" s="210">
        <f>IFERROR(INDEX(Ingredients[TtlWt],MATCH(Production[[#This Row],[Product]],Ingredients[ProdName],0))*Production[[#This Row],[Lots Done]],"")</f>
        <v>93.2</v>
      </c>
      <c r="J96" s="210" t="str">
        <f>IF(INDEX(Ingredients[Batter],MATCH(Production[[#This Row],[Product]],Ingredients[ProdName],0))*Production[[#This Row],[Batter Used]]&gt;0,INDEX(Ingredients[Batter],MATCH(Production[[#This Row],[Product]],Ingredients[ProdName],0))*Production[[#This Row],[Batter Used]],"")</f>
        <v/>
      </c>
      <c r="K96" s="210" t="str">
        <f>IF(INDEX(Ingredients[Breader],MATCH(Production[[#This Row],[Product]],Ingredients[ProdName],0))*Production[[#This Row],[Breader Used]]&gt;0,INDEX(Ingredients[Breader],MATCH(Production[[#This Row],[Product]],Ingredients[ProdName],0))*Production[[#This Row],[Breader Used]],"")</f>
        <v/>
      </c>
      <c r="L96" s="56"/>
      <c r="M96" s="56"/>
      <c r="N96" s="211">
        <f>IFERROR(IF(SUM(Production[[#This Row],[Meat Wt]:[BrTtl]])&lt;&gt;0,SUM(Production[[#This Row],[Meat Wt]:[BrTtl]]),""),"")</f>
        <v>2493.1999999999998</v>
      </c>
      <c r="O96" s="55">
        <v>112</v>
      </c>
      <c r="P96" s="208">
        <f>INDEX(Ingredients[Case Wt.],MATCH(Production[[#This Row],[Product]],Ingredients[ProdName],0))*Production[[#This Row],[Case Total]]</f>
        <v>3360</v>
      </c>
      <c r="Q96" s="211">
        <f>IFERROR(Production[[#This Row],[SatWt]]-Production[[#This Row],[RawWt]],"")</f>
        <v>866.80000000000018</v>
      </c>
      <c r="R96" s="222" t="str">
        <f>IF(Production[[#This Row],[Species]]&lt;&gt;"",IF(SUM(Production[[#This Row],[BtTtl]:[BrTtl]])/Production[[#This Row],[SatWt]]&lt;&gt;0,SUM(Production[[#This Row],[BtTtl]:[BrTtl]])/Production[[#This Row],[SatWt]],""),"")</f>
        <v/>
      </c>
      <c r="S96" s="223" t="str">
        <f>INDEX(Ingredients[Species],MATCH(Production[[#This Row],[Product]],Ingredients[ProdName],0))</f>
        <v>Poultry</v>
      </c>
    </row>
    <row r="97" spans="1:19" ht="11.1" customHeight="1" x14ac:dyDescent="0.25">
      <c r="A97" s="207" t="str">
        <f>IFERROR(IF(Production[[#This Row],[Date]]&lt;&gt;"",TEXT(Production[[#This Row],[Date]],"yy")&amp;"-"&amp;TEXT(Production[[#This Row],[Date]]-DATE(YEAR(Production[[#This Row],[Date]]),1,0),"000"),""),"")</f>
        <v>22-255</v>
      </c>
      <c r="B97" s="209" t="str">
        <f>IFERROR(IF(INDEX(Ingredients[Ingr1],MATCH(Production[[#This Row],[Product]],Ingredients[ProdName],0))&lt;&gt;"",INDEX(Ingredients[Ingr1],MATCH(Production[[#This Row],[Product]],Ingredients[ProdName],0)),INDEX(Ingredients[Ingr2],MATCH(Production[[#This Row],[Product]],Ingredients[ProdName],0))),"")</f>
        <v>Chicken - Ground</v>
      </c>
      <c r="C97" s="53">
        <v>44816</v>
      </c>
      <c r="D97" s="54" t="s">
        <v>15</v>
      </c>
      <c r="E97" s="55">
        <v>3048</v>
      </c>
      <c r="F97" s="56">
        <v>9</v>
      </c>
      <c r="G97" s="56">
        <v>54</v>
      </c>
      <c r="H97" s="208">
        <f>IFERROR(INDEX(Tier1[Wt],MATCH(Production[[#This Row],[Type]],Tier1[Ingredient],0))*Production[[#This Row],[Blocks Used]],0)</f>
        <v>2700</v>
      </c>
      <c r="I97" s="210">
        <f>IFERROR(INDEX(Ingredients[TtlWt],MATCH(Production[[#This Row],[Product]],Ingredients[ProdName],0))*Production[[#This Row],[Lots Done]],"")</f>
        <v>104.85000000000001</v>
      </c>
      <c r="J97" s="210" t="str">
        <f>IF(INDEX(Ingredients[Batter],MATCH(Production[[#This Row],[Product]],Ingredients[ProdName],0))*Production[[#This Row],[Batter Used]]&gt;0,INDEX(Ingredients[Batter],MATCH(Production[[#This Row],[Product]],Ingredients[ProdName],0))*Production[[#This Row],[Batter Used]],"")</f>
        <v/>
      </c>
      <c r="K97" s="210" t="str">
        <f>IF(INDEX(Ingredients[Breader],MATCH(Production[[#This Row],[Product]],Ingredients[ProdName],0))*Production[[#This Row],[Breader Used]]&gt;0,INDEX(Ingredients[Breader],MATCH(Production[[#This Row],[Product]],Ingredients[ProdName],0))*Production[[#This Row],[Breader Used]],"")</f>
        <v/>
      </c>
      <c r="L97" s="56"/>
      <c r="M97" s="56"/>
      <c r="N97" s="211">
        <f>IFERROR(IF(SUM(Production[[#This Row],[Meat Wt]:[BrTtl]])&lt;&gt;0,SUM(Production[[#This Row],[Meat Wt]:[BrTtl]]),""),"")</f>
        <v>2804.85</v>
      </c>
      <c r="O97" s="55">
        <v>125</v>
      </c>
      <c r="P97" s="208">
        <f>INDEX(Ingredients[Case Wt.],MATCH(Production[[#This Row],[Product]],Ingredients[ProdName],0))*Production[[#This Row],[Case Total]]</f>
        <v>3750</v>
      </c>
      <c r="Q97" s="211">
        <f>IFERROR(Production[[#This Row],[SatWt]]-Production[[#This Row],[RawWt]],"")</f>
        <v>945.15000000000009</v>
      </c>
      <c r="R97" s="222" t="str">
        <f>IF(Production[[#This Row],[Species]]&lt;&gt;"",IF(SUM(Production[[#This Row],[BtTtl]:[BrTtl]])/Production[[#This Row],[SatWt]]&lt;&gt;0,SUM(Production[[#This Row],[BtTtl]:[BrTtl]])/Production[[#This Row],[SatWt]],""),"")</f>
        <v/>
      </c>
      <c r="S97" s="223" t="str">
        <f>INDEX(Ingredients[Species],MATCH(Production[[#This Row],[Product]],Ingredients[ProdName],0))</f>
        <v>Poultry</v>
      </c>
    </row>
    <row r="98" spans="1:19" ht="11.1" customHeight="1" x14ac:dyDescent="0.25">
      <c r="A98" s="207" t="str">
        <f>IFERROR(IF(Production[[#This Row],[Date]]&lt;&gt;"",TEXT(Production[[#This Row],[Date]],"yy")&amp;"-"&amp;TEXT(Production[[#This Row],[Date]]-DATE(YEAR(Production[[#This Row],[Date]]),1,0),"000"),""),"")</f>
        <v>22-256</v>
      </c>
      <c r="B98" s="209" t="str">
        <f>IFERROR(IF(INDEX(Ingredients[Ingr1],MATCH(Production[[#This Row],[Product]],Ingredients[ProdName],0))&lt;&gt;"",INDEX(Ingredients[Ingr1],MATCH(Production[[#This Row],[Product]],Ingredients[ProdName],0)),INDEX(Ingredients[Ingr2],MATCH(Production[[#This Row],[Product]],Ingredients[ProdName],0))),"")</f>
        <v>Chicken - Ground</v>
      </c>
      <c r="C98" s="53">
        <v>44817</v>
      </c>
      <c r="D98" s="54" t="s">
        <v>9</v>
      </c>
      <c r="E98" s="55">
        <v>3048</v>
      </c>
      <c r="F98" s="56">
        <v>10</v>
      </c>
      <c r="G98" s="56">
        <v>60</v>
      </c>
      <c r="H98" s="208">
        <f>IFERROR(INDEX(Tier1[Wt],MATCH(Production[[#This Row],[Type]],Tier1[Ingredient],0))*Production[[#This Row],[Blocks Used]],0)</f>
        <v>3000</v>
      </c>
      <c r="I98" s="210" t="str">
        <f>IFERROR(INDEX(Ingredients[TtlWt],MATCH(Production[[#This Row],[Product]],Ingredients[ProdName],0))*Production[[#This Row],[Lots Done]],"")</f>
        <v/>
      </c>
      <c r="J98" s="210" t="str">
        <f>IF(INDEX(Ingredients[Batter],MATCH(Production[[#This Row],[Product]],Ingredients[ProdName],0))*Production[[#This Row],[Batter Used]]&gt;0,INDEX(Ingredients[Batter],MATCH(Production[[#This Row],[Product]],Ingredients[ProdName],0))*Production[[#This Row],[Batter Used]],"")</f>
        <v/>
      </c>
      <c r="K98" s="210" t="str">
        <f>IF(INDEX(Ingredients[Breader],MATCH(Production[[#This Row],[Product]],Ingredients[ProdName],0))*Production[[#This Row],[Breader Used]]&gt;0,INDEX(Ingredients[Breader],MATCH(Production[[#This Row],[Product]],Ingredients[ProdName],0))*Production[[#This Row],[Breader Used]],"")</f>
        <v/>
      </c>
      <c r="L98" s="56"/>
      <c r="M98" s="56"/>
      <c r="N98" s="211">
        <f>IFERROR(IF(SUM(Production[[#This Row],[Meat Wt]:[BrTtl]])&lt;&gt;0,SUM(Production[[#This Row],[Meat Wt]:[BrTtl]]),""),"")</f>
        <v>3000</v>
      </c>
      <c r="O98" s="55">
        <v>129</v>
      </c>
      <c r="P98" s="208">
        <f>INDEX(Ingredients[Case Wt.],MATCH(Production[[#This Row],[Product]],Ingredients[ProdName],0))*Production[[#This Row],[Case Total]]</f>
        <v>3870</v>
      </c>
      <c r="Q98" s="211">
        <f>IFERROR(Production[[#This Row],[SatWt]]-Production[[#This Row],[RawWt]],"")</f>
        <v>870</v>
      </c>
      <c r="R98" s="222" t="str">
        <f>IF(Production[[#This Row],[Species]]&lt;&gt;"",IF(SUM(Production[[#This Row],[BtTtl]:[BrTtl]])/Production[[#This Row],[SatWt]]&lt;&gt;0,SUM(Production[[#This Row],[BtTtl]:[BrTtl]])/Production[[#This Row],[SatWt]],""),"")</f>
        <v/>
      </c>
      <c r="S98" s="223" t="str">
        <f>INDEX(Ingredients[Species],MATCH(Production[[#This Row],[Product]],Ingredients[ProdName],0))</f>
        <v>Poultry</v>
      </c>
    </row>
    <row r="99" spans="1:19" ht="11.1" customHeight="1" x14ac:dyDescent="0.25">
      <c r="A99" s="207" t="str">
        <f>IFERROR(IF(Production[[#This Row],[Date]]&lt;&gt;"",TEXT(Production[[#This Row],[Date]],"yy")&amp;"-"&amp;TEXT(Production[[#This Row],[Date]]-DATE(YEAR(Production[[#This Row],[Date]]),1,0),"000"),""),"")</f>
        <v>22-262</v>
      </c>
      <c r="B99" s="209" t="str">
        <f>IFERROR(IF(INDEX(Ingredients[Ingr1],MATCH(Production[[#This Row],[Product]],Ingredients[ProdName],0))&lt;&gt;"",INDEX(Ingredients[Ingr1],MATCH(Production[[#This Row],[Product]],Ingredients[ProdName],0)),INDEX(Ingredients[Ingr2],MATCH(Production[[#This Row],[Product]],Ingredients[ProdName],0))),"")</f>
        <v>Chicken - Tenders</v>
      </c>
      <c r="C99" s="53">
        <v>44823</v>
      </c>
      <c r="D99" s="54" t="s">
        <v>21</v>
      </c>
      <c r="E99" s="55" t="s">
        <v>181</v>
      </c>
      <c r="F99" s="56">
        <v>15</v>
      </c>
      <c r="G99" s="56">
        <v>105</v>
      </c>
      <c r="H99" s="208">
        <f>IFERROR(INDEX(Tier1[Wt],MATCH(Production[[#This Row],[Type]],Tier1[Ingredient],0))*Production[[#This Row],[Blocks Used]],0)</f>
        <v>4200</v>
      </c>
      <c r="I99" s="210">
        <f>IFERROR(INDEX(Ingredients[TtlWt],MATCH(Production[[#This Row],[Product]],Ingredients[ProdName],0))*Production[[#This Row],[Lots Done]],"")</f>
        <v>810</v>
      </c>
      <c r="J99" s="210">
        <f>IF(INDEX(Ingredients[Batter],MATCH(Production[[#This Row],[Product]],Ingredients[ProdName],0))*Production[[#This Row],[Batter Used]]&gt;0,INDEX(Ingredients[Batter],MATCH(Production[[#This Row],[Product]],Ingredients[ProdName],0))*Production[[#This Row],[Batter Used]],"")</f>
        <v>150</v>
      </c>
      <c r="K99" s="210">
        <f>IF(INDEX(Ingredients[Breader],MATCH(Production[[#This Row],[Product]],Ingredients[ProdName],0))*Production[[#This Row],[Breader Used]]&gt;0,INDEX(Ingredients[Breader],MATCH(Production[[#This Row],[Product]],Ingredients[ProdName],0))*Production[[#This Row],[Breader Used]],"")</f>
        <v>1250</v>
      </c>
      <c r="L99" s="56">
        <v>3</v>
      </c>
      <c r="M99" s="56">
        <v>25</v>
      </c>
      <c r="N99" s="211">
        <f>IFERROR(IF(SUM(Production[[#This Row],[Meat Wt]:[BrTtl]])&lt;&gt;0,SUM(Production[[#This Row],[Meat Wt]:[BrTtl]]),""),"")</f>
        <v>6410</v>
      </c>
      <c r="O99" s="55">
        <v>317</v>
      </c>
      <c r="P99" s="208">
        <f>INDEX(Ingredients[Case Wt.],MATCH(Production[[#This Row],[Product]],Ingredients[ProdName],0))*Production[[#This Row],[Case Total]]</f>
        <v>7925</v>
      </c>
      <c r="Q99" s="211">
        <f>IFERROR(Production[[#This Row],[SatWt]]-Production[[#This Row],[RawWt]],"")</f>
        <v>1515</v>
      </c>
      <c r="R99" s="222">
        <f>IF(Production[[#This Row],[Species]]&lt;&gt;"",IF(SUM(Production[[#This Row],[BtTtl]:[BrTtl]])/Production[[#This Row],[SatWt]]&lt;&gt;0,SUM(Production[[#This Row],[BtTtl]:[BrTtl]])/Production[[#This Row],[SatWt]],""),"")</f>
        <v>0.17665615141955837</v>
      </c>
      <c r="S99" s="223" t="str">
        <f>INDEX(Ingredients[Species],MATCH(Production[[#This Row],[Product]],Ingredients[ProdName],0))</f>
        <v>Poultry</v>
      </c>
    </row>
    <row r="100" spans="1:19" ht="11.1" customHeight="1" x14ac:dyDescent="0.25">
      <c r="A100" s="207" t="str">
        <f>IFERROR(IF(Production[[#This Row],[Date]]&lt;&gt;"",TEXT(Production[[#This Row],[Date]],"yy")&amp;"-"&amp;TEXT(Production[[#This Row],[Date]]-DATE(YEAR(Production[[#This Row],[Date]]),1,0),"000"),""),"")</f>
        <v>22-262</v>
      </c>
      <c r="B100" s="209" t="str">
        <f>IFERROR(IF(INDEX(Ingredients[Ingr1],MATCH(Production[[#This Row],[Product]],Ingredients[ProdName],0))&lt;&gt;"",INDEX(Ingredients[Ingr1],MATCH(Production[[#This Row],[Product]],Ingredients[ProdName],0)),INDEX(Ingredients[Ingr2],MATCH(Production[[#This Row],[Product]],Ingredients[ProdName],0))),"")</f>
        <v>Chicken - Tenders</v>
      </c>
      <c r="C100" s="53">
        <v>44823</v>
      </c>
      <c r="D100" s="54" t="s">
        <v>21</v>
      </c>
      <c r="E100" s="55" t="s">
        <v>181</v>
      </c>
      <c r="F100" s="56">
        <v>17</v>
      </c>
      <c r="G100" s="56">
        <v>119</v>
      </c>
      <c r="H100" s="208">
        <f>IFERROR(INDEX(Tier1[Wt],MATCH(Production[[#This Row],[Type]],Tier1[Ingredient],0))*Production[[#This Row],[Blocks Used]],0)</f>
        <v>4760</v>
      </c>
      <c r="I100" s="210">
        <f>IFERROR(INDEX(Ingredients[TtlWt],MATCH(Production[[#This Row],[Product]],Ingredients[ProdName],0))*Production[[#This Row],[Lots Done]],"")</f>
        <v>918</v>
      </c>
      <c r="J100" s="210">
        <f>IF(INDEX(Ingredients[Batter],MATCH(Production[[#This Row],[Product]],Ingredients[ProdName],0))*Production[[#This Row],[Batter Used]]&gt;0,INDEX(Ingredients[Batter],MATCH(Production[[#This Row],[Product]],Ingredients[ProdName],0))*Production[[#This Row],[Batter Used]],"")</f>
        <v>200</v>
      </c>
      <c r="K100" s="210">
        <f>IF(INDEX(Ingredients[Breader],MATCH(Production[[#This Row],[Product]],Ingredients[ProdName],0))*Production[[#This Row],[Breader Used]]&gt;0,INDEX(Ingredients[Breader],MATCH(Production[[#This Row],[Product]],Ingredients[ProdName],0))*Production[[#This Row],[Breader Used]],"")</f>
        <v>1300</v>
      </c>
      <c r="L100" s="56">
        <v>4</v>
      </c>
      <c r="M100" s="56">
        <v>26</v>
      </c>
      <c r="N100" s="211">
        <f>IFERROR(IF(SUM(Production[[#This Row],[Meat Wt]:[BrTtl]])&lt;&gt;0,SUM(Production[[#This Row],[Meat Wt]:[BrTtl]]),""),"")</f>
        <v>7178</v>
      </c>
      <c r="O100" s="55">
        <v>356</v>
      </c>
      <c r="P100" s="208">
        <f>INDEX(Ingredients[Case Wt.],MATCH(Production[[#This Row],[Product]],Ingredients[ProdName],0))*Production[[#This Row],[Case Total]]</f>
        <v>8900</v>
      </c>
      <c r="Q100" s="211">
        <f>IFERROR(Production[[#This Row],[SatWt]]-Production[[#This Row],[RawWt]],"")</f>
        <v>1722</v>
      </c>
      <c r="R100" s="222">
        <f>IF(Production[[#This Row],[Species]]&lt;&gt;"",IF(SUM(Production[[#This Row],[BtTtl]:[BrTtl]])/Production[[#This Row],[SatWt]]&lt;&gt;0,SUM(Production[[#This Row],[BtTtl]:[BrTtl]])/Production[[#This Row],[SatWt]],""),"")</f>
        <v>0.16853932584269662</v>
      </c>
      <c r="S100" s="223" t="str">
        <f>INDEX(Ingredients[Species],MATCH(Production[[#This Row],[Product]],Ingredients[ProdName],0))</f>
        <v>Poultry</v>
      </c>
    </row>
    <row r="101" spans="1:19" ht="11.1" customHeight="1" x14ac:dyDescent="0.25">
      <c r="A101" s="207" t="str">
        <f>IFERROR(IF(Production[[#This Row],[Date]]&lt;&gt;"",TEXT(Production[[#This Row],[Date]],"yy")&amp;"-"&amp;TEXT(Production[[#This Row],[Date]]-DATE(YEAR(Production[[#This Row],[Date]]),1,0),"000"),""),"")</f>
        <v>22-269</v>
      </c>
      <c r="B101" s="209" t="str">
        <f>IFERROR(IF(INDEX(Ingredients[Ingr1],MATCH(Production[[#This Row],[Product]],Ingredients[ProdName],0))&lt;&gt;"",INDEX(Ingredients[Ingr1],MATCH(Production[[#This Row],[Product]],Ingredients[ProdName],0)),INDEX(Ingredients[Ingr2],MATCH(Production[[#This Row],[Product]],Ingredients[ProdName],0))),"")</f>
        <v>Chicken - Ground</v>
      </c>
      <c r="C101" s="53">
        <v>44830</v>
      </c>
      <c r="D101" s="54" t="s">
        <v>7</v>
      </c>
      <c r="E101" s="55">
        <v>3048</v>
      </c>
      <c r="F101" s="56">
        <v>10</v>
      </c>
      <c r="G101" s="56">
        <v>60</v>
      </c>
      <c r="H101" s="208">
        <f>IFERROR(INDEX(Tier1[Wt],MATCH(Production[[#This Row],[Type]],Tier1[Ingredient],0))*Production[[#This Row],[Blocks Used]],0)</f>
        <v>3000</v>
      </c>
      <c r="I101" s="210">
        <f>IFERROR(INDEX(Ingredients[TtlWt],MATCH(Production[[#This Row],[Product]],Ingredients[ProdName],0))*Production[[#This Row],[Lots Done]],"")</f>
        <v>67.5</v>
      </c>
      <c r="J101" s="210" t="str">
        <f>IF(INDEX(Ingredients[Batter],MATCH(Production[[#This Row],[Product]],Ingredients[ProdName],0))*Production[[#This Row],[Batter Used]]&gt;0,INDEX(Ingredients[Batter],MATCH(Production[[#This Row],[Product]],Ingredients[ProdName],0))*Production[[#This Row],[Batter Used]],"")</f>
        <v/>
      </c>
      <c r="K101" s="210" t="str">
        <f>IF(INDEX(Ingredients[Breader],MATCH(Production[[#This Row],[Product]],Ingredients[ProdName],0))*Production[[#This Row],[Breader Used]]&gt;0,INDEX(Ingredients[Breader],MATCH(Production[[#This Row],[Product]],Ingredients[ProdName],0))*Production[[#This Row],[Breader Used]],"")</f>
        <v/>
      </c>
      <c r="L101" s="56"/>
      <c r="M101" s="56"/>
      <c r="N101" s="211">
        <f>IFERROR(IF(SUM(Production[[#This Row],[Meat Wt]:[BrTtl]])&lt;&gt;0,SUM(Production[[#This Row],[Meat Wt]:[BrTtl]]),""),"")</f>
        <v>3067.5</v>
      </c>
      <c r="O101" s="55">
        <v>170</v>
      </c>
      <c r="P101" s="208">
        <f>INDEX(Ingredients[Case Wt.],MATCH(Production[[#This Row],[Product]],Ingredients[ProdName],0))*Production[[#This Row],[Case Total]]</f>
        <v>4250</v>
      </c>
      <c r="Q101" s="211">
        <f>IFERROR(Production[[#This Row],[SatWt]]-Production[[#This Row],[RawWt]],"")</f>
        <v>1182.5</v>
      </c>
      <c r="R101" s="222" t="str">
        <f>IF(Production[[#This Row],[Species]]&lt;&gt;"",IF(SUM(Production[[#This Row],[BtTtl]:[BrTtl]])/Production[[#This Row],[SatWt]]&lt;&gt;0,SUM(Production[[#This Row],[BtTtl]:[BrTtl]])/Production[[#This Row],[SatWt]],""),"")</f>
        <v/>
      </c>
      <c r="S101" s="223" t="str">
        <f>INDEX(Ingredients[Species],MATCH(Production[[#This Row],[Product]],Ingredients[ProdName],0))</f>
        <v>Poultry</v>
      </c>
    </row>
    <row r="102" spans="1:19" ht="11.1" customHeight="1" x14ac:dyDescent="0.25">
      <c r="A102" s="207" t="str">
        <f>IFERROR(IF(Production[[#This Row],[Date]]&lt;&gt;"",TEXT(Production[[#This Row],[Date]],"yy")&amp;"-"&amp;TEXT(Production[[#This Row],[Date]]-DATE(YEAR(Production[[#This Row],[Date]]),1,0),"000"),""),"")</f>
        <v>22-270</v>
      </c>
      <c r="B102" s="209" t="str">
        <f>IFERROR(IF(INDEX(Ingredients[Ingr1],MATCH(Production[[#This Row],[Product]],Ingredients[ProdName],0))&lt;&gt;"",INDEX(Ingredients[Ingr1],MATCH(Production[[#This Row],[Product]],Ingredients[ProdName],0)),INDEX(Ingredients[Ingr2],MATCH(Production[[#This Row],[Product]],Ingredients[ProdName],0))),"")</f>
        <v>Chicken - Tenders</v>
      </c>
      <c r="C102" s="53">
        <v>44831</v>
      </c>
      <c r="D102" s="54" t="s">
        <v>12</v>
      </c>
      <c r="E102" s="55" t="s">
        <v>181</v>
      </c>
      <c r="F102" s="56">
        <v>17</v>
      </c>
      <c r="G102" s="56">
        <v>119</v>
      </c>
      <c r="H102" s="208">
        <f>IFERROR(INDEX(Tier1[Wt],MATCH(Production[[#This Row],[Type]],Tier1[Ingredient],0))*Production[[#This Row],[Blocks Used]],0)</f>
        <v>4760</v>
      </c>
      <c r="I102" s="210">
        <f>IFERROR(INDEX(Ingredients[TtlWt],MATCH(Production[[#This Row],[Product]],Ingredients[ProdName],0))*Production[[#This Row],[Lots Done]],"")</f>
        <v>1016.5999999999999</v>
      </c>
      <c r="J102" s="210">
        <f>IF(INDEX(Ingredients[Batter],MATCH(Production[[#This Row],[Product]],Ingredients[ProdName],0))*Production[[#This Row],[Batter Used]]&gt;0,INDEX(Ingredients[Batter],MATCH(Production[[#This Row],[Product]],Ingredients[ProdName],0))*Production[[#This Row],[Batter Used]],"")</f>
        <v>250</v>
      </c>
      <c r="K102" s="210">
        <f>IF(INDEX(Ingredients[Breader],MATCH(Production[[#This Row],[Product]],Ingredients[ProdName],0))*Production[[#This Row],[Breader Used]]&gt;0,INDEX(Ingredients[Breader],MATCH(Production[[#This Row],[Product]],Ingredients[ProdName],0))*Production[[#This Row],[Breader Used]],"")</f>
        <v>1550</v>
      </c>
      <c r="L102" s="56">
        <v>5</v>
      </c>
      <c r="M102" s="56">
        <v>31</v>
      </c>
      <c r="N102" s="211">
        <f>IFERROR(IF(SUM(Production[[#This Row],[Meat Wt]:[BrTtl]])&lt;&gt;0,SUM(Production[[#This Row],[Meat Wt]:[BrTtl]]),""),"")</f>
        <v>7576.6</v>
      </c>
      <c r="O102" s="55">
        <v>370</v>
      </c>
      <c r="P102" s="208">
        <f>INDEX(Ingredients[Case Wt.],MATCH(Production[[#This Row],[Product]],Ingredients[ProdName],0))*Production[[#This Row],[Case Total]]</f>
        <v>9250</v>
      </c>
      <c r="Q102" s="211">
        <f>IFERROR(Production[[#This Row],[SatWt]]-Production[[#This Row],[RawWt]],"")</f>
        <v>1673.3999999999996</v>
      </c>
      <c r="R102" s="222">
        <f>IF(Production[[#This Row],[Species]]&lt;&gt;"",IF(SUM(Production[[#This Row],[BtTtl]:[BrTtl]])/Production[[#This Row],[SatWt]]&lt;&gt;0,SUM(Production[[#This Row],[BtTtl]:[BrTtl]])/Production[[#This Row],[SatWt]],""),"")</f>
        <v>0.19459459459459461</v>
      </c>
      <c r="S102" s="223" t="str">
        <f>INDEX(Ingredients[Species],MATCH(Production[[#This Row],[Product]],Ingredients[ProdName],0))</f>
        <v>Poultry</v>
      </c>
    </row>
    <row r="103" spans="1:19" ht="11.1" customHeight="1" x14ac:dyDescent="0.25">
      <c r="A103" s="207" t="str">
        <f>IFERROR(IF(Production[[#This Row],[Date]]&lt;&gt;"",TEXT(Production[[#This Row],[Date]],"yy")&amp;"-"&amp;TEXT(Production[[#This Row],[Date]]-DATE(YEAR(Production[[#This Row],[Date]]),1,0),"000"),""),"")</f>
        <v>22-271</v>
      </c>
      <c r="B103" s="209" t="str">
        <f>IFERROR(IF(INDEX(Ingredients[Ingr1],MATCH(Production[[#This Row],[Product]],Ingredients[ProdName],0))&lt;&gt;"",INDEX(Ingredients[Ingr1],MATCH(Production[[#This Row],[Product]],Ingredients[ProdName],0)),INDEX(Ingredients[Ingr2],MATCH(Production[[#This Row],[Product]],Ingredients[ProdName],0))),"")</f>
        <v>Chicken - Tenders</v>
      </c>
      <c r="C103" s="53">
        <v>44832</v>
      </c>
      <c r="D103" s="54" t="s">
        <v>12</v>
      </c>
      <c r="E103" s="55" t="s">
        <v>181</v>
      </c>
      <c r="F103" s="56">
        <v>12</v>
      </c>
      <c r="G103" s="56">
        <v>84</v>
      </c>
      <c r="H103" s="208">
        <f>IFERROR(INDEX(Tier1[Wt],MATCH(Production[[#This Row],[Type]],Tier1[Ingredient],0))*Production[[#This Row],[Blocks Used]],0)</f>
        <v>3360</v>
      </c>
      <c r="I103" s="210">
        <f>IFERROR(INDEX(Ingredients[TtlWt],MATCH(Production[[#This Row],[Product]],Ingredients[ProdName],0))*Production[[#This Row],[Lots Done]],"")</f>
        <v>717.59999999999991</v>
      </c>
      <c r="J103" s="210">
        <f>IF(INDEX(Ingredients[Batter],MATCH(Production[[#This Row],[Product]],Ingredients[ProdName],0))*Production[[#This Row],[Batter Used]]&gt;0,INDEX(Ingredients[Batter],MATCH(Production[[#This Row],[Product]],Ingredients[ProdName],0))*Production[[#This Row],[Batter Used]],"")</f>
        <v>100</v>
      </c>
      <c r="K103" s="210">
        <f>IF(INDEX(Ingredients[Breader],MATCH(Production[[#This Row],[Product]],Ingredients[ProdName],0))*Production[[#This Row],[Breader Used]]&gt;0,INDEX(Ingredients[Breader],MATCH(Production[[#This Row],[Product]],Ingredients[ProdName],0))*Production[[#This Row],[Breader Used]],"")</f>
        <v>1300</v>
      </c>
      <c r="L103" s="56">
        <v>2</v>
      </c>
      <c r="M103" s="56">
        <v>26</v>
      </c>
      <c r="N103" s="211">
        <f>IFERROR(IF(SUM(Production[[#This Row],[Meat Wt]:[BrTtl]])&lt;&gt;0,SUM(Production[[#This Row],[Meat Wt]:[BrTtl]]),""),"")</f>
        <v>5477.6</v>
      </c>
      <c r="O103" s="55">
        <v>263</v>
      </c>
      <c r="P103" s="208">
        <f>INDEX(Ingredients[Case Wt.],MATCH(Production[[#This Row],[Product]],Ingredients[ProdName],0))*Production[[#This Row],[Case Total]]</f>
        <v>6575</v>
      </c>
      <c r="Q103" s="211">
        <f>IFERROR(Production[[#This Row],[SatWt]]-Production[[#This Row],[RawWt]],"")</f>
        <v>1097.3999999999996</v>
      </c>
      <c r="R103" s="222">
        <f>IF(Production[[#This Row],[Species]]&lt;&gt;"",IF(SUM(Production[[#This Row],[BtTtl]:[BrTtl]])/Production[[#This Row],[SatWt]]&lt;&gt;0,SUM(Production[[#This Row],[BtTtl]:[BrTtl]])/Production[[#This Row],[SatWt]],""),"")</f>
        <v>0.21292775665399238</v>
      </c>
      <c r="S103" s="223" t="str">
        <f>INDEX(Ingredients[Species],MATCH(Production[[#This Row],[Product]],Ingredients[ProdName],0))</f>
        <v>Poultry</v>
      </c>
    </row>
    <row r="104" spans="1:19" ht="11.1" customHeight="1" x14ac:dyDescent="0.25">
      <c r="A104" s="207" t="str">
        <f>IFERROR(IF(Production[[#This Row],[Date]]&lt;&gt;"",TEXT(Production[[#This Row],[Date]],"yy")&amp;"-"&amp;TEXT(Production[[#This Row],[Date]]-DATE(YEAR(Production[[#This Row],[Date]]),1,0),"000"),""),"")</f>
        <v>22-276</v>
      </c>
      <c r="B104" s="209" t="str">
        <f>IFERROR(IF(INDEX(Ingredients[Ingr1],MATCH(Production[[#This Row],[Product]],Ingredients[ProdName],0))&lt;&gt;"",INDEX(Ingredients[Ingr1],MATCH(Production[[#This Row],[Product]],Ingredients[ProdName],0)),INDEX(Ingredients[Ingr2],MATCH(Production[[#This Row],[Product]],Ingredients[ProdName],0))),"")</f>
        <v>Chicken - Tenders</v>
      </c>
      <c r="C104" s="53">
        <v>44837</v>
      </c>
      <c r="D104" s="54" t="s">
        <v>14</v>
      </c>
      <c r="E104" s="55" t="s">
        <v>181</v>
      </c>
      <c r="F104" s="56">
        <v>10</v>
      </c>
      <c r="G104" s="56">
        <v>70</v>
      </c>
      <c r="H104" s="208">
        <f>IFERROR(INDEX(Tier1[Wt],MATCH(Production[[#This Row],[Type]],Tier1[Ingredient],0))*Production[[#This Row],[Blocks Used]],0)</f>
        <v>2800</v>
      </c>
      <c r="I104" s="210">
        <f>IFERROR(INDEX(Ingredients[TtlWt],MATCH(Production[[#This Row],[Product]],Ingredients[ProdName],0))*Production[[#This Row],[Lots Done]],"")</f>
        <v>621.5</v>
      </c>
      <c r="J104" s="210" t="str">
        <f>IF(INDEX(Ingredients[Batter],MATCH(Production[[#This Row],[Product]],Ingredients[ProdName],0))*Production[[#This Row],[Batter Used]]&gt;0,INDEX(Ingredients[Batter],MATCH(Production[[#This Row],[Product]],Ingredients[ProdName],0))*Production[[#This Row],[Batter Used]],"")</f>
        <v/>
      </c>
      <c r="K104" s="210" t="str">
        <f>IF(INDEX(Ingredients[Breader],MATCH(Production[[#This Row],[Product]],Ingredients[ProdName],0))*Production[[#This Row],[Breader Used]]&gt;0,INDEX(Ingredients[Breader],MATCH(Production[[#This Row],[Product]],Ingredients[ProdName],0))*Production[[#This Row],[Breader Used]],"")</f>
        <v/>
      </c>
      <c r="L104" s="56"/>
      <c r="M104" s="56"/>
      <c r="N104" s="211">
        <f>IFERROR(IF(SUM(Production[[#This Row],[Meat Wt]:[BrTtl]])&lt;&gt;0,SUM(Production[[#This Row],[Meat Wt]:[BrTtl]]),""),"")</f>
        <v>3421.5</v>
      </c>
      <c r="O104" s="55">
        <v>148</v>
      </c>
      <c r="P104" s="208">
        <f>INDEX(Ingredients[Case Wt.],MATCH(Production[[#This Row],[Product]],Ingredients[ProdName],0))*Production[[#This Row],[Case Total]]</f>
        <v>3700</v>
      </c>
      <c r="Q104" s="211">
        <f>IFERROR(Production[[#This Row],[SatWt]]-Production[[#This Row],[RawWt]],"")</f>
        <v>278.5</v>
      </c>
      <c r="R104" s="222" t="str">
        <f>IF(Production[[#This Row],[Species]]&lt;&gt;"",IF(SUM(Production[[#This Row],[BtTtl]:[BrTtl]])/Production[[#This Row],[SatWt]]&lt;&gt;0,SUM(Production[[#This Row],[BtTtl]:[BrTtl]])/Production[[#This Row],[SatWt]],""),"")</f>
        <v/>
      </c>
      <c r="S104" s="223" t="str">
        <f>INDEX(Ingredients[Species],MATCH(Production[[#This Row],[Product]],Ingredients[ProdName],0))</f>
        <v>Poultry</v>
      </c>
    </row>
    <row r="105" spans="1:19" ht="11.1" customHeight="1" x14ac:dyDescent="0.25">
      <c r="A105" s="207" t="str">
        <f>IFERROR(IF(Production[[#This Row],[Date]]&lt;&gt;"",TEXT(Production[[#This Row],[Date]],"yy")&amp;"-"&amp;TEXT(Production[[#This Row],[Date]]-DATE(YEAR(Production[[#This Row],[Date]]),1,0),"000"),""),"")</f>
        <v>22-277</v>
      </c>
      <c r="B105" s="209" t="str">
        <f>IFERROR(IF(INDEX(Ingredients[Ingr1],MATCH(Production[[#This Row],[Product]],Ingredients[ProdName],0))&lt;&gt;"",INDEX(Ingredients[Ingr1],MATCH(Production[[#This Row],[Product]],Ingredients[ProdName],0)),INDEX(Ingredients[Ingr2],MATCH(Production[[#This Row],[Product]],Ingredients[ProdName],0))),"")</f>
        <v>Chicken - Ground</v>
      </c>
      <c r="C105" s="53">
        <v>44838</v>
      </c>
      <c r="D105" s="54" t="s">
        <v>9</v>
      </c>
      <c r="E105" s="55">
        <v>3048</v>
      </c>
      <c r="F105" s="56">
        <v>10</v>
      </c>
      <c r="G105" s="56">
        <v>60</v>
      </c>
      <c r="H105" s="208">
        <f>IFERROR(INDEX(Tier1[Wt],MATCH(Production[[#This Row],[Type]],Tier1[Ingredient],0))*Production[[#This Row],[Blocks Used]],0)</f>
        <v>3000</v>
      </c>
      <c r="I105" s="210" t="str">
        <f>IFERROR(INDEX(Ingredients[TtlWt],MATCH(Production[[#This Row],[Product]],Ingredients[ProdName],0))*Production[[#This Row],[Lots Done]],"")</f>
        <v/>
      </c>
      <c r="J105" s="210" t="str">
        <f>IF(INDEX(Ingredients[Batter],MATCH(Production[[#This Row],[Product]],Ingredients[ProdName],0))*Production[[#This Row],[Batter Used]]&gt;0,INDEX(Ingredients[Batter],MATCH(Production[[#This Row],[Product]],Ingredients[ProdName],0))*Production[[#This Row],[Batter Used]],"")</f>
        <v/>
      </c>
      <c r="K105" s="210" t="str">
        <f>IF(INDEX(Ingredients[Breader],MATCH(Production[[#This Row],[Product]],Ingredients[ProdName],0))*Production[[#This Row],[Breader Used]]&gt;0,INDEX(Ingredients[Breader],MATCH(Production[[#This Row],[Product]],Ingredients[ProdName],0))*Production[[#This Row],[Breader Used]],"")</f>
        <v/>
      </c>
      <c r="L105" s="56"/>
      <c r="M105" s="56"/>
      <c r="N105" s="211">
        <f>IFERROR(IF(SUM(Production[[#This Row],[Meat Wt]:[BrTtl]])&lt;&gt;0,SUM(Production[[#This Row],[Meat Wt]:[BrTtl]]),""),"")</f>
        <v>3000</v>
      </c>
      <c r="O105" s="55">
        <v>118</v>
      </c>
      <c r="P105" s="208">
        <f>INDEX(Ingredients[Case Wt.],MATCH(Production[[#This Row],[Product]],Ingredients[ProdName],0))*Production[[#This Row],[Case Total]]</f>
        <v>3540</v>
      </c>
      <c r="Q105" s="211">
        <f>IFERROR(Production[[#This Row],[SatWt]]-Production[[#This Row],[RawWt]],"")</f>
        <v>540</v>
      </c>
      <c r="R105" s="222" t="str">
        <f>IF(Production[[#This Row],[Species]]&lt;&gt;"",IF(SUM(Production[[#This Row],[BtTtl]:[BrTtl]])/Production[[#This Row],[SatWt]]&lt;&gt;0,SUM(Production[[#This Row],[BtTtl]:[BrTtl]])/Production[[#This Row],[SatWt]],""),"")</f>
        <v/>
      </c>
      <c r="S105" s="223" t="str">
        <f>INDEX(Ingredients[Species],MATCH(Production[[#This Row],[Product]],Ingredients[ProdName],0))</f>
        <v>Poultry</v>
      </c>
    </row>
    <row r="106" spans="1:19" ht="11.1" customHeight="1" x14ac:dyDescent="0.25">
      <c r="A106" s="207" t="str">
        <f>IFERROR(IF(Production[[#This Row],[Date]]&lt;&gt;"",TEXT(Production[[#This Row],[Date]],"yy")&amp;"-"&amp;TEXT(Production[[#This Row],[Date]]-DATE(YEAR(Production[[#This Row],[Date]]),1,0),"000"),""),"")</f>
        <v>22-279</v>
      </c>
      <c r="B106" s="209" t="str">
        <f>IFERROR(IF(INDEX(Ingredients[Ingr1],MATCH(Production[[#This Row],[Product]],Ingredients[ProdName],0))&lt;&gt;"",INDEX(Ingredients[Ingr1],MATCH(Production[[#This Row],[Product]],Ingredients[ProdName],0)),INDEX(Ingredients[Ingr2],MATCH(Production[[#This Row],[Product]],Ingredients[ProdName],0))),"")</f>
        <v>Chicken - Tenders</v>
      </c>
      <c r="C106" s="53">
        <v>44840</v>
      </c>
      <c r="D106" s="54" t="s">
        <v>14</v>
      </c>
      <c r="E106" s="55" t="s">
        <v>181</v>
      </c>
      <c r="F106" s="56">
        <v>8</v>
      </c>
      <c r="G106" s="56">
        <v>56</v>
      </c>
      <c r="H106" s="208">
        <f>IFERROR(INDEX(Tier1[Wt],MATCH(Production[[#This Row],[Type]],Tier1[Ingredient],0))*Production[[#This Row],[Blocks Used]],0)</f>
        <v>2240</v>
      </c>
      <c r="I106" s="210">
        <f>IFERROR(INDEX(Ingredients[TtlWt],MATCH(Production[[#This Row],[Product]],Ingredients[ProdName],0))*Production[[#This Row],[Lots Done]],"")</f>
        <v>497.2</v>
      </c>
      <c r="J106" s="210" t="str">
        <f>IF(INDEX(Ingredients[Batter],MATCH(Production[[#This Row],[Product]],Ingredients[ProdName],0))*Production[[#This Row],[Batter Used]]&gt;0,INDEX(Ingredients[Batter],MATCH(Production[[#This Row],[Product]],Ingredients[ProdName],0))*Production[[#This Row],[Batter Used]],"")</f>
        <v/>
      </c>
      <c r="K106" s="210" t="str">
        <f>IF(INDEX(Ingredients[Breader],MATCH(Production[[#This Row],[Product]],Ingredients[ProdName],0))*Production[[#This Row],[Breader Used]]&gt;0,INDEX(Ingredients[Breader],MATCH(Production[[#This Row],[Product]],Ingredients[ProdName],0))*Production[[#This Row],[Breader Used]],"")</f>
        <v/>
      </c>
      <c r="L106" s="56"/>
      <c r="M106" s="56"/>
      <c r="N106" s="211">
        <f>IFERROR(IF(SUM(Production[[#This Row],[Meat Wt]:[BrTtl]])&lt;&gt;0,SUM(Production[[#This Row],[Meat Wt]:[BrTtl]]),""),"")</f>
        <v>2737.2</v>
      </c>
      <c r="O106" s="55">
        <v>116</v>
      </c>
      <c r="P106" s="208">
        <f>INDEX(Ingredients[Case Wt.],MATCH(Production[[#This Row],[Product]],Ingredients[ProdName],0))*Production[[#This Row],[Case Total]]</f>
        <v>2900</v>
      </c>
      <c r="Q106" s="211">
        <f>IFERROR(Production[[#This Row],[SatWt]]-Production[[#This Row],[RawWt]],"")</f>
        <v>162.80000000000018</v>
      </c>
      <c r="R106" s="222" t="str">
        <f>IF(Production[[#This Row],[Species]]&lt;&gt;"",IF(SUM(Production[[#This Row],[BtTtl]:[BrTtl]])/Production[[#This Row],[SatWt]]&lt;&gt;0,SUM(Production[[#This Row],[BtTtl]:[BrTtl]])/Production[[#This Row],[SatWt]],""),"")</f>
        <v/>
      </c>
      <c r="S106" s="223" t="str">
        <f>INDEX(Ingredients[Species],MATCH(Production[[#This Row],[Product]],Ingredients[ProdName],0))</f>
        <v>Poultry</v>
      </c>
    </row>
    <row r="107" spans="1:19" ht="11.1" customHeight="1" x14ac:dyDescent="0.25">
      <c r="A107" s="207" t="str">
        <f>IFERROR(IF(Production[[#This Row],[Date]]&lt;&gt;"",TEXT(Production[[#This Row],[Date]],"yy")&amp;"-"&amp;TEXT(Production[[#This Row],[Date]]-DATE(YEAR(Production[[#This Row],[Date]]),1,0),"000"),""),"")</f>
        <v>22-285</v>
      </c>
      <c r="B107" s="209" t="str">
        <f>IFERROR(IF(INDEX(Ingredients[Ingr1],MATCH(Production[[#This Row],[Product]],Ingredients[ProdName],0))&lt;&gt;"",INDEX(Ingredients[Ingr1],MATCH(Production[[#This Row],[Product]],Ingredients[ProdName],0)),INDEX(Ingredients[Ingr2],MATCH(Production[[#This Row],[Product]],Ingredients[ProdName],0))),"")</f>
        <v>Chicken - Ground</v>
      </c>
      <c r="C107" s="53">
        <v>44846</v>
      </c>
      <c r="D107" s="54" t="s">
        <v>7</v>
      </c>
      <c r="E107" s="55">
        <v>3048</v>
      </c>
      <c r="F107" s="56">
        <v>10</v>
      </c>
      <c r="G107" s="56">
        <v>60</v>
      </c>
      <c r="H107" s="208">
        <f>IFERROR(INDEX(Tier1[Wt],MATCH(Production[[#This Row],[Type]],Tier1[Ingredient],0))*Production[[#This Row],[Blocks Used]],0)</f>
        <v>3000</v>
      </c>
      <c r="I107" s="210">
        <f>IFERROR(INDEX(Ingredients[TtlWt],MATCH(Production[[#This Row],[Product]],Ingredients[ProdName],0))*Production[[#This Row],[Lots Done]],"")</f>
        <v>67.5</v>
      </c>
      <c r="J107" s="210" t="str">
        <f>IF(INDEX(Ingredients[Batter],MATCH(Production[[#This Row],[Product]],Ingredients[ProdName],0))*Production[[#This Row],[Batter Used]]&gt;0,INDEX(Ingredients[Batter],MATCH(Production[[#This Row],[Product]],Ingredients[ProdName],0))*Production[[#This Row],[Batter Used]],"")</f>
        <v/>
      </c>
      <c r="K107" s="210" t="str">
        <f>IF(INDEX(Ingredients[Breader],MATCH(Production[[#This Row],[Product]],Ingredients[ProdName],0))*Production[[#This Row],[Breader Used]]&gt;0,INDEX(Ingredients[Breader],MATCH(Production[[#This Row],[Product]],Ingredients[ProdName],0))*Production[[#This Row],[Breader Used]],"")</f>
        <v/>
      </c>
      <c r="L107" s="56"/>
      <c r="M107" s="56"/>
      <c r="N107" s="211">
        <f>IFERROR(IF(SUM(Production[[#This Row],[Meat Wt]:[BrTtl]])&lt;&gt;0,SUM(Production[[#This Row],[Meat Wt]:[BrTtl]]),""),"")</f>
        <v>3067.5</v>
      </c>
      <c r="O107" s="55">
        <v>166</v>
      </c>
      <c r="P107" s="208">
        <f>INDEX(Ingredients[Case Wt.],MATCH(Production[[#This Row],[Product]],Ingredients[ProdName],0))*Production[[#This Row],[Case Total]]</f>
        <v>4150</v>
      </c>
      <c r="Q107" s="211">
        <f>IFERROR(Production[[#This Row],[SatWt]]-Production[[#This Row],[RawWt]],"")</f>
        <v>1082.5</v>
      </c>
      <c r="R107" s="222" t="str">
        <f>IF(Production[[#This Row],[Species]]&lt;&gt;"",IF(SUM(Production[[#This Row],[BtTtl]:[BrTtl]])/Production[[#This Row],[SatWt]]&lt;&gt;0,SUM(Production[[#This Row],[BtTtl]:[BrTtl]])/Production[[#This Row],[SatWt]],""),"")</f>
        <v/>
      </c>
      <c r="S107" s="223" t="str">
        <f>INDEX(Ingredients[Species],MATCH(Production[[#This Row],[Product]],Ingredients[ProdName],0))</f>
        <v>Poultry</v>
      </c>
    </row>
    <row r="108" spans="1:19" ht="11.1" customHeight="1" x14ac:dyDescent="0.25">
      <c r="A108" s="207" t="str">
        <f>IFERROR(IF(Production[[#This Row],[Date]]&lt;&gt;"",TEXT(Production[[#This Row],[Date]],"yy")&amp;"-"&amp;TEXT(Production[[#This Row],[Date]]-DATE(YEAR(Production[[#This Row],[Date]]),1,0),"000"),""),"")</f>
        <v>22-286</v>
      </c>
      <c r="B108" s="209" t="str">
        <f>IFERROR(IF(INDEX(Ingredients[Ingr1],MATCH(Production[[#This Row],[Product]],Ingredients[ProdName],0))&lt;&gt;"",INDEX(Ingredients[Ingr1],MATCH(Production[[#This Row],[Product]],Ingredients[ProdName],0)),INDEX(Ingredients[Ingr2],MATCH(Production[[#This Row],[Product]],Ingredients[ProdName],0))),"")</f>
        <v>Pork - Trim</v>
      </c>
      <c r="C108" s="53">
        <v>44847</v>
      </c>
      <c r="D108" s="54" t="s">
        <v>22</v>
      </c>
      <c r="E108" s="55">
        <v>4204</v>
      </c>
      <c r="F108" s="56">
        <v>14</v>
      </c>
      <c r="G108" s="56">
        <v>70</v>
      </c>
      <c r="H108" s="208">
        <f>IFERROR(INDEX(Tier1[Wt],MATCH(Production[[#This Row],[Type]],Tier1[Ingredient],0))*Production[[#This Row],[Blocks Used]],0)</f>
        <v>4200</v>
      </c>
      <c r="I108" s="210">
        <f>IFERROR(INDEX(Ingredients[TtlWt],MATCH(Production[[#This Row],[Product]],Ingredients[ProdName],0))*Production[[#This Row],[Lots Done]],"")</f>
        <v>571.19999999999993</v>
      </c>
      <c r="J108" s="210">
        <f>IF(INDEX(Ingredients[Batter],MATCH(Production[[#This Row],[Product]],Ingredients[ProdName],0))*Production[[#This Row],[Batter Used]]&gt;0,INDEX(Ingredients[Batter],MATCH(Production[[#This Row],[Product]],Ingredients[ProdName],0))*Production[[#This Row],[Batter Used]],"")</f>
        <v>200</v>
      </c>
      <c r="K108" s="210">
        <f>IF(INDEX(Ingredients[Breader],MATCH(Production[[#This Row],[Product]],Ingredients[ProdName],0))*Production[[#This Row],[Breader Used]]&gt;0,INDEX(Ingredients[Breader],MATCH(Production[[#This Row],[Product]],Ingredients[ProdName],0))*Production[[#This Row],[Breader Used]],"")</f>
        <v>650</v>
      </c>
      <c r="L108" s="56">
        <v>4</v>
      </c>
      <c r="M108" s="56">
        <v>26</v>
      </c>
      <c r="N108" s="211">
        <f>IFERROR(IF(SUM(Production[[#This Row],[Meat Wt]:[BrTtl]])&lt;&gt;0,SUM(Production[[#This Row],[Meat Wt]:[BrTtl]]),""),"")</f>
        <v>5621.2</v>
      </c>
      <c r="O108" s="55">
        <v>277</v>
      </c>
      <c r="P108" s="208">
        <f>INDEX(Ingredients[Case Wt.],MATCH(Production[[#This Row],[Product]],Ingredients[ProdName],0))*Production[[#This Row],[Case Total]]</f>
        <v>6925</v>
      </c>
      <c r="Q108" s="211">
        <f>IFERROR(Production[[#This Row],[SatWt]]-Production[[#This Row],[RawWt]],"")</f>
        <v>1303.8000000000002</v>
      </c>
      <c r="R108" s="222">
        <f>IF(Production[[#This Row],[Species]]&lt;&gt;"",IF(SUM(Production[[#This Row],[BtTtl]:[BrTtl]])/Production[[#This Row],[SatWt]]&lt;&gt;0,SUM(Production[[#This Row],[BtTtl]:[BrTtl]])/Production[[#This Row],[SatWt]],""),"")</f>
        <v>0.12274368231046931</v>
      </c>
      <c r="S108" s="223" t="str">
        <f>INDEX(Ingredients[Species],MATCH(Production[[#This Row],[Product]],Ingredients[ProdName],0))</f>
        <v>Meat</v>
      </c>
    </row>
    <row r="109" spans="1:19" ht="11.1" customHeight="1" x14ac:dyDescent="0.25">
      <c r="A109" s="207" t="str">
        <f>IFERROR(IF(Production[[#This Row],[Date]]&lt;&gt;"",TEXT(Production[[#This Row],[Date]],"yy")&amp;"-"&amp;TEXT(Production[[#This Row],[Date]]-DATE(YEAR(Production[[#This Row],[Date]]),1,0),"000"),""),"")</f>
        <v>22-291</v>
      </c>
      <c r="B109" s="209" t="str">
        <f>IFERROR(IF(INDEX(Ingredients[Ingr1],MATCH(Production[[#This Row],[Product]],Ingredients[ProdName],0))&lt;&gt;"",INDEX(Ingredients[Ingr1],MATCH(Production[[#This Row],[Product]],Ingredients[ProdName],0)),INDEX(Ingredients[Ingr2],MATCH(Production[[#This Row],[Product]],Ingredients[ProdName],0))),"")</f>
        <v>Chicken - Tenders</v>
      </c>
      <c r="C109" s="53">
        <v>44852</v>
      </c>
      <c r="D109" s="54" t="s">
        <v>21</v>
      </c>
      <c r="E109" s="55" t="s">
        <v>181</v>
      </c>
      <c r="F109" s="56">
        <v>9</v>
      </c>
      <c r="G109" s="56">
        <v>63</v>
      </c>
      <c r="H109" s="208">
        <f>IFERROR(INDEX(Tier1[Wt],MATCH(Production[[#This Row],[Type]],Tier1[Ingredient],0))*Production[[#This Row],[Blocks Used]],0)</f>
        <v>2520</v>
      </c>
      <c r="I109" s="210">
        <f>IFERROR(INDEX(Ingredients[TtlWt],MATCH(Production[[#This Row],[Product]],Ingredients[ProdName],0))*Production[[#This Row],[Lots Done]],"")</f>
        <v>486</v>
      </c>
      <c r="J109" s="210">
        <f>IF(INDEX(Ingredients[Batter],MATCH(Production[[#This Row],[Product]],Ingredients[ProdName],0))*Production[[#This Row],[Batter Used]]&gt;0,INDEX(Ingredients[Batter],MATCH(Production[[#This Row],[Product]],Ingredients[ProdName],0))*Production[[#This Row],[Batter Used]],"")</f>
        <v>150</v>
      </c>
      <c r="K109" s="210">
        <f>IF(INDEX(Ingredients[Breader],MATCH(Production[[#This Row],[Product]],Ingredients[ProdName],0))*Production[[#This Row],[Breader Used]]&gt;0,INDEX(Ingredients[Breader],MATCH(Production[[#This Row],[Product]],Ingredients[ProdName],0))*Production[[#This Row],[Breader Used]],"")</f>
        <v>750</v>
      </c>
      <c r="L109" s="56">
        <v>3</v>
      </c>
      <c r="M109" s="56">
        <v>15</v>
      </c>
      <c r="N109" s="211">
        <f>IFERROR(IF(SUM(Production[[#This Row],[Meat Wt]:[BrTtl]])&lt;&gt;0,SUM(Production[[#This Row],[Meat Wt]:[BrTtl]]),""),"")</f>
        <v>3906</v>
      </c>
      <c r="O109" s="55">
        <v>161</v>
      </c>
      <c r="P109" s="208">
        <f>INDEX(Ingredients[Case Wt.],MATCH(Production[[#This Row],[Product]],Ingredients[ProdName],0))*Production[[#This Row],[Case Total]]</f>
        <v>4025</v>
      </c>
      <c r="Q109" s="211">
        <f>IFERROR(Production[[#This Row],[SatWt]]-Production[[#This Row],[RawWt]],"")</f>
        <v>119</v>
      </c>
      <c r="R109" s="222">
        <f>IF(Production[[#This Row],[Species]]&lt;&gt;"",IF(SUM(Production[[#This Row],[BtTtl]:[BrTtl]])/Production[[#This Row],[SatWt]]&lt;&gt;0,SUM(Production[[#This Row],[BtTtl]:[BrTtl]])/Production[[#This Row],[SatWt]],""),"")</f>
        <v>0.2236024844720497</v>
      </c>
      <c r="S109" s="223" t="str">
        <f>INDEX(Ingredients[Species],MATCH(Production[[#This Row],[Product]],Ingredients[ProdName],0))</f>
        <v>Poultry</v>
      </c>
    </row>
    <row r="110" spans="1:19" ht="11.1" customHeight="1" x14ac:dyDescent="0.25">
      <c r="A110" s="207" t="str">
        <f>IFERROR(IF(Production[[#This Row],[Date]]&lt;&gt;"",TEXT(Production[[#This Row],[Date]],"yy")&amp;"-"&amp;TEXT(Production[[#This Row],[Date]]-DATE(YEAR(Production[[#This Row],[Date]]),1,0),"000"),""),"")</f>
        <v>22-298</v>
      </c>
      <c r="B110" s="209" t="str">
        <f>IFERROR(IF(INDEX(Ingredients[Ingr1],MATCH(Production[[#This Row],[Product]],Ingredients[ProdName],0))&lt;&gt;"",INDEX(Ingredients[Ingr1],MATCH(Production[[#This Row],[Product]],Ingredients[ProdName],0)),INDEX(Ingredients[Ingr2],MATCH(Production[[#This Row],[Product]],Ingredients[ProdName],0))),"")</f>
        <v>Chicken - Tenders</v>
      </c>
      <c r="C110" s="53">
        <v>44859</v>
      </c>
      <c r="D110" s="54" t="s">
        <v>21</v>
      </c>
      <c r="E110" s="55" t="s">
        <v>181</v>
      </c>
      <c r="F110" s="56">
        <v>4</v>
      </c>
      <c r="G110" s="56">
        <v>28</v>
      </c>
      <c r="H110" s="208">
        <f>IFERROR(INDEX(Tier1[Wt],MATCH(Production[[#This Row],[Type]],Tier1[Ingredient],0))*Production[[#This Row],[Blocks Used]],0)</f>
        <v>1120</v>
      </c>
      <c r="I110" s="210">
        <f>IFERROR(INDEX(Ingredients[TtlWt],MATCH(Production[[#This Row],[Product]],Ingredients[ProdName],0))*Production[[#This Row],[Lots Done]],"")</f>
        <v>216</v>
      </c>
      <c r="J110" s="210">
        <f>IF(INDEX(Ingredients[Batter],MATCH(Production[[#This Row],[Product]],Ingredients[ProdName],0))*Production[[#This Row],[Batter Used]]&gt;0,INDEX(Ingredients[Batter],MATCH(Production[[#This Row],[Product]],Ingredients[ProdName],0))*Production[[#This Row],[Batter Used]],"")</f>
        <v>50</v>
      </c>
      <c r="K110" s="210">
        <f>IF(INDEX(Ingredients[Breader],MATCH(Production[[#This Row],[Product]],Ingredients[ProdName],0))*Production[[#This Row],[Breader Used]]&gt;0,INDEX(Ingredients[Breader],MATCH(Production[[#This Row],[Product]],Ingredients[ProdName],0))*Production[[#This Row],[Breader Used]],"")</f>
        <v>350</v>
      </c>
      <c r="L110" s="56">
        <v>1</v>
      </c>
      <c r="M110" s="56">
        <v>7</v>
      </c>
      <c r="N110" s="211">
        <f>IFERROR(IF(SUM(Production[[#This Row],[Meat Wt]:[BrTtl]])&lt;&gt;0,SUM(Production[[#This Row],[Meat Wt]:[BrTtl]]),""),"")</f>
        <v>1736</v>
      </c>
      <c r="O110" s="55">
        <v>90</v>
      </c>
      <c r="P110" s="208">
        <f>INDEX(Ingredients[Case Wt.],MATCH(Production[[#This Row],[Product]],Ingredients[ProdName],0))*Production[[#This Row],[Case Total]]</f>
        <v>2250</v>
      </c>
      <c r="Q110" s="211">
        <f>IFERROR(Production[[#This Row],[SatWt]]-Production[[#This Row],[RawWt]],"")</f>
        <v>514</v>
      </c>
      <c r="R110" s="222">
        <f>IF(Production[[#This Row],[Species]]&lt;&gt;"",IF(SUM(Production[[#This Row],[BtTtl]:[BrTtl]])/Production[[#This Row],[SatWt]]&lt;&gt;0,SUM(Production[[#This Row],[BtTtl]:[BrTtl]])/Production[[#This Row],[SatWt]],""),"")</f>
        <v>0.17777777777777778</v>
      </c>
      <c r="S110" s="223" t="str">
        <f>INDEX(Ingredients[Species],MATCH(Production[[#This Row],[Product]],Ingredients[ProdName],0))</f>
        <v>Poultry</v>
      </c>
    </row>
    <row r="111" spans="1:19" ht="11.1" customHeight="1" x14ac:dyDescent="0.25">
      <c r="A111" s="207" t="str">
        <f>IFERROR(IF(Production[[#This Row],[Date]]&lt;&gt;"",TEXT(Production[[#This Row],[Date]],"yy")&amp;"-"&amp;TEXT(Production[[#This Row],[Date]]-DATE(YEAR(Production[[#This Row],[Date]]),1,0),"000"),""),"")</f>
        <v>22-299</v>
      </c>
      <c r="B111" s="209" t="str">
        <f>IFERROR(IF(INDEX(Ingredients[Ingr1],MATCH(Production[[#This Row],[Product]],Ingredients[ProdName],0))&lt;&gt;"",INDEX(Ingredients[Ingr1],MATCH(Production[[#This Row],[Product]],Ingredients[ProdName],0)),INDEX(Ingredients[Ingr2],MATCH(Production[[#This Row],[Product]],Ingredients[ProdName],0))),"")</f>
        <v>Chicken - Tenders</v>
      </c>
      <c r="C111" s="53">
        <v>44860</v>
      </c>
      <c r="D111" s="54" t="s">
        <v>14</v>
      </c>
      <c r="E111" s="55" t="s">
        <v>181</v>
      </c>
      <c r="F111" s="56">
        <v>5</v>
      </c>
      <c r="G111" s="56">
        <v>35</v>
      </c>
      <c r="H111" s="208">
        <f>IFERROR(INDEX(Tier1[Wt],MATCH(Production[[#This Row],[Type]],Tier1[Ingredient],0))*Production[[#This Row],[Blocks Used]],0)</f>
        <v>1400</v>
      </c>
      <c r="I111" s="210">
        <f>IFERROR(INDEX(Ingredients[TtlWt],MATCH(Production[[#This Row],[Product]],Ingredients[ProdName],0))*Production[[#This Row],[Lots Done]],"")</f>
        <v>310.75</v>
      </c>
      <c r="J111" s="210" t="str">
        <f>IF(INDEX(Ingredients[Batter],MATCH(Production[[#This Row],[Product]],Ingredients[ProdName],0))*Production[[#This Row],[Batter Used]]&gt;0,INDEX(Ingredients[Batter],MATCH(Production[[#This Row],[Product]],Ingredients[ProdName],0))*Production[[#This Row],[Batter Used]],"")</f>
        <v/>
      </c>
      <c r="K111" s="210" t="str">
        <f>IF(INDEX(Ingredients[Breader],MATCH(Production[[#This Row],[Product]],Ingredients[ProdName],0))*Production[[#This Row],[Breader Used]]&gt;0,INDEX(Ingredients[Breader],MATCH(Production[[#This Row],[Product]],Ingredients[ProdName],0))*Production[[#This Row],[Breader Used]],"")</f>
        <v/>
      </c>
      <c r="L111" s="56"/>
      <c r="M111" s="56"/>
      <c r="N111" s="211">
        <f>IFERROR(IF(SUM(Production[[#This Row],[Meat Wt]:[BrTtl]])&lt;&gt;0,SUM(Production[[#This Row],[Meat Wt]:[BrTtl]]),""),"")</f>
        <v>1710.75</v>
      </c>
      <c r="O111" s="55">
        <v>98</v>
      </c>
      <c r="P111" s="208">
        <f>INDEX(Ingredients[Case Wt.],MATCH(Production[[#This Row],[Product]],Ingredients[ProdName],0))*Production[[#This Row],[Case Total]]</f>
        <v>2450</v>
      </c>
      <c r="Q111" s="211">
        <f>IFERROR(Production[[#This Row],[SatWt]]-Production[[#This Row],[RawWt]],"")</f>
        <v>739.25</v>
      </c>
      <c r="R111" s="222" t="str">
        <f>IF(Production[[#This Row],[Species]]&lt;&gt;"",IF(SUM(Production[[#This Row],[BtTtl]:[BrTtl]])/Production[[#This Row],[SatWt]]&lt;&gt;0,SUM(Production[[#This Row],[BtTtl]:[BrTtl]])/Production[[#This Row],[SatWt]],""),"")</f>
        <v/>
      </c>
      <c r="S111" s="223" t="str">
        <f>INDEX(Ingredients[Species],MATCH(Production[[#This Row],[Product]],Ingredients[ProdName],0))</f>
        <v>Poultry</v>
      </c>
    </row>
    <row r="112" spans="1:19" ht="11.1" customHeight="1" x14ac:dyDescent="0.25">
      <c r="A112" s="207" t="str">
        <f>IFERROR(IF(Production[[#This Row],[Date]]&lt;&gt;"",TEXT(Production[[#This Row],[Date]],"yy")&amp;"-"&amp;TEXT(Production[[#This Row],[Date]]-DATE(YEAR(Production[[#This Row],[Date]]),1,0),"000"),""),"")</f>
        <v>22-299</v>
      </c>
      <c r="B112" s="209" t="str">
        <f>IFERROR(IF(INDEX(Ingredients[Ingr1],MATCH(Production[[#This Row],[Product]],Ingredients[ProdName],0))&lt;&gt;"",INDEX(Ingredients[Ingr1],MATCH(Production[[#This Row],[Product]],Ingredients[ProdName],0)),INDEX(Ingredients[Ingr2],MATCH(Production[[#This Row],[Product]],Ingredients[ProdName],0))),"")</f>
        <v>Chicken - Tenders</v>
      </c>
      <c r="C112" s="53">
        <v>44860</v>
      </c>
      <c r="D112" s="54" t="s">
        <v>14</v>
      </c>
      <c r="E112" s="55" t="s">
        <v>181</v>
      </c>
      <c r="F112" s="56">
        <v>7</v>
      </c>
      <c r="G112" s="56">
        <v>49</v>
      </c>
      <c r="H112" s="208">
        <f>IFERROR(INDEX(Tier1[Wt],MATCH(Production[[#This Row],[Type]],Tier1[Ingredient],0))*Production[[#This Row],[Blocks Used]],0)</f>
        <v>1960</v>
      </c>
      <c r="I112" s="210">
        <f>IFERROR(INDEX(Ingredients[TtlWt],MATCH(Production[[#This Row],[Product]],Ingredients[ProdName],0))*Production[[#This Row],[Lots Done]],"")</f>
        <v>435.05</v>
      </c>
      <c r="J112" s="210" t="str">
        <f>IF(INDEX(Ingredients[Batter],MATCH(Production[[#This Row],[Product]],Ingredients[ProdName],0))*Production[[#This Row],[Batter Used]]&gt;0,INDEX(Ingredients[Batter],MATCH(Production[[#This Row],[Product]],Ingredients[ProdName],0))*Production[[#This Row],[Batter Used]],"")</f>
        <v/>
      </c>
      <c r="K112" s="210" t="str">
        <f>IF(INDEX(Ingredients[Breader],MATCH(Production[[#This Row],[Product]],Ingredients[ProdName],0))*Production[[#This Row],[Breader Used]]&gt;0,INDEX(Ingredients[Breader],MATCH(Production[[#This Row],[Product]],Ingredients[ProdName],0))*Production[[#This Row],[Breader Used]],"")</f>
        <v/>
      </c>
      <c r="L112" s="56"/>
      <c r="M112" s="56"/>
      <c r="N112" s="211">
        <f>IFERROR(IF(SUM(Production[[#This Row],[Meat Wt]:[BrTtl]])&lt;&gt;0,SUM(Production[[#This Row],[Meat Wt]:[BrTtl]]),""),"")</f>
        <v>2395.0500000000002</v>
      </c>
      <c r="O112" s="55">
        <v>106</v>
      </c>
      <c r="P112" s="208">
        <f>INDEX(Ingredients[Case Wt.],MATCH(Production[[#This Row],[Product]],Ingredients[ProdName],0))*Production[[#This Row],[Case Total]]</f>
        <v>2650</v>
      </c>
      <c r="Q112" s="211">
        <f>IFERROR(Production[[#This Row],[SatWt]]-Production[[#This Row],[RawWt]],"")</f>
        <v>254.94999999999982</v>
      </c>
      <c r="R112" s="222" t="str">
        <f>IF(Production[[#This Row],[Species]]&lt;&gt;"",IF(SUM(Production[[#This Row],[BtTtl]:[BrTtl]])/Production[[#This Row],[SatWt]]&lt;&gt;0,SUM(Production[[#This Row],[BtTtl]:[BrTtl]])/Production[[#This Row],[SatWt]],""),"")</f>
        <v/>
      </c>
      <c r="S112" s="223" t="str">
        <f>INDEX(Ingredients[Species],MATCH(Production[[#This Row],[Product]],Ingredients[ProdName],0))</f>
        <v>Poultry</v>
      </c>
    </row>
    <row r="113" spans="1:19" ht="11.1" customHeight="1" x14ac:dyDescent="0.25">
      <c r="A113" s="207" t="str">
        <f>IFERROR(IF(Production[[#This Row],[Date]]&lt;&gt;"",TEXT(Production[[#This Row],[Date]],"yy")&amp;"-"&amp;TEXT(Production[[#This Row],[Date]]-DATE(YEAR(Production[[#This Row],[Date]]),1,0),"000"),""),"")</f>
        <v>22-300</v>
      </c>
      <c r="B113" s="209" t="str">
        <f>IFERROR(IF(INDEX(Ingredients[Ingr1],MATCH(Production[[#This Row],[Product]],Ingredients[ProdName],0))&lt;&gt;"",INDEX(Ingredients[Ingr1],MATCH(Production[[#This Row],[Product]],Ingredients[ProdName],0)),INDEX(Ingredients[Ingr2],MATCH(Production[[#This Row],[Product]],Ingredients[ProdName],0))),"")</f>
        <v>Chicken - Ground</v>
      </c>
      <c r="C113" s="53">
        <v>44861</v>
      </c>
      <c r="D113" s="54" t="s">
        <v>15</v>
      </c>
      <c r="E113" s="55">
        <v>3048</v>
      </c>
      <c r="F113" s="56">
        <v>5</v>
      </c>
      <c r="G113" s="56">
        <v>30</v>
      </c>
      <c r="H113" s="208">
        <f>IFERROR(INDEX(Tier1[Wt],MATCH(Production[[#This Row],[Type]],Tier1[Ingredient],0))*Production[[#This Row],[Blocks Used]],0)</f>
        <v>1500</v>
      </c>
      <c r="I113" s="210">
        <f>IFERROR(INDEX(Ingredients[TtlWt],MATCH(Production[[#This Row],[Product]],Ingredients[ProdName],0))*Production[[#This Row],[Lots Done]],"")</f>
        <v>58.25</v>
      </c>
      <c r="J113" s="210" t="str">
        <f>IF(INDEX(Ingredients[Batter],MATCH(Production[[#This Row],[Product]],Ingredients[ProdName],0))*Production[[#This Row],[Batter Used]]&gt;0,INDEX(Ingredients[Batter],MATCH(Production[[#This Row],[Product]],Ingredients[ProdName],0))*Production[[#This Row],[Batter Used]],"")</f>
        <v/>
      </c>
      <c r="K113" s="210" t="str">
        <f>IF(INDEX(Ingredients[Breader],MATCH(Production[[#This Row],[Product]],Ingredients[ProdName],0))*Production[[#This Row],[Breader Used]]&gt;0,INDEX(Ingredients[Breader],MATCH(Production[[#This Row],[Product]],Ingredients[ProdName],0))*Production[[#This Row],[Breader Used]],"")</f>
        <v/>
      </c>
      <c r="L113" s="56"/>
      <c r="M113" s="56"/>
      <c r="N113" s="211">
        <f>IFERROR(IF(SUM(Production[[#This Row],[Meat Wt]:[BrTtl]])&lt;&gt;0,SUM(Production[[#This Row],[Meat Wt]:[BrTtl]]),""),"")</f>
        <v>1558.25</v>
      </c>
      <c r="O113" s="55">
        <v>85</v>
      </c>
      <c r="P113" s="208">
        <f>INDEX(Ingredients[Case Wt.],MATCH(Production[[#This Row],[Product]],Ingredients[ProdName],0))*Production[[#This Row],[Case Total]]</f>
        <v>2550</v>
      </c>
      <c r="Q113" s="211">
        <f>IFERROR(Production[[#This Row],[SatWt]]-Production[[#This Row],[RawWt]],"")</f>
        <v>991.75</v>
      </c>
      <c r="R113" s="222" t="str">
        <f>IF(Production[[#This Row],[Species]]&lt;&gt;"",IF(SUM(Production[[#This Row],[BtTtl]:[BrTtl]])/Production[[#This Row],[SatWt]]&lt;&gt;0,SUM(Production[[#This Row],[BtTtl]:[BrTtl]])/Production[[#This Row],[SatWt]],""),"")</f>
        <v/>
      </c>
      <c r="S113" s="223" t="str">
        <f>INDEX(Ingredients[Species],MATCH(Production[[#This Row],[Product]],Ingredients[ProdName],0))</f>
        <v>Poultry</v>
      </c>
    </row>
    <row r="114" spans="1:19" ht="11.1" customHeight="1" x14ac:dyDescent="0.25">
      <c r="A114" s="207" t="str">
        <f>IFERROR(IF(Production[[#This Row],[Date]]&lt;&gt;"",TEXT(Production[[#This Row],[Date]],"yy")&amp;"-"&amp;TEXT(Production[[#This Row],[Date]]-DATE(YEAR(Production[[#This Row],[Date]]),1,0),"000"),""),"")</f>
        <v>22-300</v>
      </c>
      <c r="B114" s="209" t="str">
        <f>IFERROR(IF(INDEX(Ingredients[Ingr1],MATCH(Production[[#This Row],[Product]],Ingredients[ProdName],0))&lt;&gt;"",INDEX(Ingredients[Ingr1],MATCH(Production[[#This Row],[Product]],Ingredients[ProdName],0)),INDEX(Ingredients[Ingr2],MATCH(Production[[#This Row],[Product]],Ingredients[ProdName],0))),"")</f>
        <v>Chicken - Ground</v>
      </c>
      <c r="C114" s="53">
        <v>44861</v>
      </c>
      <c r="D114" s="54" t="s">
        <v>15</v>
      </c>
      <c r="E114" s="55">
        <v>3048</v>
      </c>
      <c r="F114" s="56">
        <v>5</v>
      </c>
      <c r="G114" s="56">
        <v>30</v>
      </c>
      <c r="H114" s="208">
        <f>IFERROR(INDEX(Tier1[Wt],MATCH(Production[[#This Row],[Type]],Tier1[Ingredient],0))*Production[[#This Row],[Blocks Used]],0)</f>
        <v>1500</v>
      </c>
      <c r="I114" s="210">
        <f>IFERROR(INDEX(Ingredients[TtlWt],MATCH(Production[[#This Row],[Product]],Ingredients[ProdName],0))*Production[[#This Row],[Lots Done]],"")</f>
        <v>58.25</v>
      </c>
      <c r="J114" s="210" t="str">
        <f>IF(INDEX(Ingredients[Batter],MATCH(Production[[#This Row],[Product]],Ingredients[ProdName],0))*Production[[#This Row],[Batter Used]]&gt;0,INDEX(Ingredients[Batter],MATCH(Production[[#This Row],[Product]],Ingredients[ProdName],0))*Production[[#This Row],[Batter Used]],"")</f>
        <v/>
      </c>
      <c r="K114" s="210" t="str">
        <f>IF(INDEX(Ingredients[Breader],MATCH(Production[[#This Row],[Product]],Ingredients[ProdName],0))*Production[[#This Row],[Breader Used]]&gt;0,INDEX(Ingredients[Breader],MATCH(Production[[#This Row],[Product]],Ingredients[ProdName],0))*Production[[#This Row],[Breader Used]],"")</f>
        <v/>
      </c>
      <c r="L114" s="56"/>
      <c r="M114" s="56"/>
      <c r="N114" s="211">
        <f>IFERROR(IF(SUM(Production[[#This Row],[Meat Wt]:[BrTtl]])&lt;&gt;0,SUM(Production[[#This Row],[Meat Wt]:[BrTtl]]),""),"")</f>
        <v>1558.25</v>
      </c>
      <c r="O114" s="55">
        <v>50</v>
      </c>
      <c r="P114" s="208">
        <f>INDEX(Ingredients[Case Wt.],MATCH(Production[[#This Row],[Product]],Ingredients[ProdName],0))*Production[[#This Row],[Case Total]]</f>
        <v>1500</v>
      </c>
      <c r="Q114" s="211">
        <f>IFERROR(Production[[#This Row],[SatWt]]-Production[[#This Row],[RawWt]],"")</f>
        <v>-58.25</v>
      </c>
      <c r="R114" s="222" t="str">
        <f>IF(Production[[#This Row],[Species]]&lt;&gt;"",IF(SUM(Production[[#This Row],[BtTtl]:[BrTtl]])/Production[[#This Row],[SatWt]]&lt;&gt;0,SUM(Production[[#This Row],[BtTtl]:[BrTtl]])/Production[[#This Row],[SatWt]],""),"")</f>
        <v/>
      </c>
      <c r="S114" s="223" t="str">
        <f>INDEX(Ingredients[Species],MATCH(Production[[#This Row],[Product]],Ingredients[ProdName],0))</f>
        <v>Poultry</v>
      </c>
    </row>
    <row r="115" spans="1:19" ht="11.1" customHeight="1" x14ac:dyDescent="0.25">
      <c r="A115" s="207" t="str">
        <f>IFERROR(IF(Production[[#This Row],[Date]]&lt;&gt;"",TEXT(Production[[#This Row],[Date]],"yy")&amp;"-"&amp;TEXT(Production[[#This Row],[Date]]-DATE(YEAR(Production[[#This Row],[Date]]),1,0),"000"),""),"")</f>
        <v>22-304</v>
      </c>
      <c r="B115" s="209" t="str">
        <f>IFERROR(IF(INDEX(Ingredients[Ingr1],MATCH(Production[[#This Row],[Product]],Ingredients[ProdName],0))&lt;&gt;"",INDEX(Ingredients[Ingr1],MATCH(Production[[#This Row],[Product]],Ingredients[ProdName],0)),INDEX(Ingredients[Ingr2],MATCH(Production[[#This Row],[Product]],Ingredients[ProdName],0))),"")</f>
        <v>Chicken - Ground</v>
      </c>
      <c r="C115" s="53">
        <v>44865</v>
      </c>
      <c r="D115" s="54" t="s">
        <v>20</v>
      </c>
      <c r="E115" s="55">
        <v>3048</v>
      </c>
      <c r="F115" s="56">
        <v>7</v>
      </c>
      <c r="G115" s="56">
        <v>42</v>
      </c>
      <c r="H115" s="208">
        <f>IFERROR(INDEX(Tier1[Wt],MATCH(Production[[#This Row],[Type]],Tier1[Ingredient],0))*Production[[#This Row],[Blocks Used]],0)</f>
        <v>2100</v>
      </c>
      <c r="I115" s="210">
        <f>IFERROR(INDEX(Ingredients[TtlWt],MATCH(Production[[#This Row],[Product]],Ingredients[ProdName],0))*Production[[#This Row],[Lots Done]],"")</f>
        <v>142.79999999999998</v>
      </c>
      <c r="J115" s="210" t="str">
        <f>IF(INDEX(Ingredients[Batter],MATCH(Production[[#This Row],[Product]],Ingredients[ProdName],0))*Production[[#This Row],[Batter Used]]&gt;0,INDEX(Ingredients[Batter],MATCH(Production[[#This Row],[Product]],Ingredients[ProdName],0))*Production[[#This Row],[Batter Used]],"")</f>
        <v/>
      </c>
      <c r="K115" s="210" t="str">
        <f>IF(INDEX(Ingredients[Breader],MATCH(Production[[#This Row],[Product]],Ingredients[ProdName],0))*Production[[#This Row],[Breader Used]]&gt;0,INDEX(Ingredients[Breader],MATCH(Production[[#This Row],[Product]],Ingredients[ProdName],0))*Production[[#This Row],[Breader Used]],"")</f>
        <v/>
      </c>
      <c r="L115" s="56"/>
      <c r="M115" s="56"/>
      <c r="N115" s="211">
        <f>IFERROR(IF(SUM(Production[[#This Row],[Meat Wt]:[BrTtl]])&lt;&gt;0,SUM(Production[[#This Row],[Meat Wt]:[BrTtl]]),""),"")</f>
        <v>2242.8000000000002</v>
      </c>
      <c r="O115" s="55">
        <v>145</v>
      </c>
      <c r="P115" s="208">
        <f>INDEX(Ingredients[Case Wt.],MATCH(Production[[#This Row],[Product]],Ingredients[ProdName],0))*Production[[#This Row],[Case Total]]</f>
        <v>3625</v>
      </c>
      <c r="Q115" s="211">
        <f>IFERROR(Production[[#This Row],[SatWt]]-Production[[#This Row],[RawWt]],"")</f>
        <v>1382.1999999999998</v>
      </c>
      <c r="R115" s="222" t="str">
        <f>IF(Production[[#This Row],[Species]]&lt;&gt;"",IF(SUM(Production[[#This Row],[BtTtl]:[BrTtl]])/Production[[#This Row],[SatWt]]&lt;&gt;0,SUM(Production[[#This Row],[BtTtl]:[BrTtl]])/Production[[#This Row],[SatWt]],""),"")</f>
        <v/>
      </c>
      <c r="S115" s="223" t="str">
        <f>INDEX(Ingredients[Species],MATCH(Production[[#This Row],[Product]],Ingredients[ProdName],0))</f>
        <v>Poultry</v>
      </c>
    </row>
    <row r="116" spans="1:19" ht="11.1" customHeight="1" x14ac:dyDescent="0.25">
      <c r="A116" s="207" t="str">
        <f>IFERROR(IF(Production[[#This Row],[Date]]&lt;&gt;"",TEXT(Production[[#This Row],[Date]],"yy")&amp;"-"&amp;TEXT(Production[[#This Row],[Date]]-DATE(YEAR(Production[[#This Row],[Date]]),1,0),"000"),""),"")</f>
        <v>22-304</v>
      </c>
      <c r="B116" s="209" t="str">
        <f>IFERROR(IF(INDEX(Ingredients[Ingr1],MATCH(Production[[#This Row],[Product]],Ingredients[ProdName],0))&lt;&gt;"",INDEX(Ingredients[Ingr1],MATCH(Production[[#This Row],[Product]],Ingredients[ProdName],0)),INDEX(Ingredients[Ingr2],MATCH(Production[[#This Row],[Product]],Ingredients[ProdName],0))),"")</f>
        <v>Chicken - Ground</v>
      </c>
      <c r="C116" s="53">
        <v>44865</v>
      </c>
      <c r="D116" s="54" t="s">
        <v>20</v>
      </c>
      <c r="E116" s="55">
        <v>3048</v>
      </c>
      <c r="F116" s="56">
        <v>3</v>
      </c>
      <c r="G116" s="56">
        <v>18</v>
      </c>
      <c r="H116" s="208">
        <f>IFERROR(INDEX(Tier1[Wt],MATCH(Production[[#This Row],[Type]],Tier1[Ingredient],0))*Production[[#This Row],[Blocks Used]],0)</f>
        <v>900</v>
      </c>
      <c r="I116" s="210">
        <f>IFERROR(INDEX(Ingredients[TtlWt],MATCH(Production[[#This Row],[Product]],Ingredients[ProdName],0))*Production[[#This Row],[Lots Done]],"")</f>
        <v>61.199999999999996</v>
      </c>
      <c r="J116" s="210" t="str">
        <f>IF(INDEX(Ingredients[Batter],MATCH(Production[[#This Row],[Product]],Ingredients[ProdName],0))*Production[[#This Row],[Batter Used]]&gt;0,INDEX(Ingredients[Batter],MATCH(Production[[#This Row],[Product]],Ingredients[ProdName],0))*Production[[#This Row],[Batter Used]],"")</f>
        <v/>
      </c>
      <c r="K116" s="210" t="str">
        <f>IF(INDEX(Ingredients[Breader],MATCH(Production[[#This Row],[Product]],Ingredients[ProdName],0))*Production[[#This Row],[Breader Used]]&gt;0,INDEX(Ingredients[Breader],MATCH(Production[[#This Row],[Product]],Ingredients[ProdName],0))*Production[[#This Row],[Breader Used]],"")</f>
        <v/>
      </c>
      <c r="L116" s="56"/>
      <c r="M116" s="56"/>
      <c r="N116" s="211">
        <f>IFERROR(IF(SUM(Production[[#This Row],[Meat Wt]:[BrTtl]])&lt;&gt;0,SUM(Production[[#This Row],[Meat Wt]:[BrTtl]]),""),"")</f>
        <v>961.2</v>
      </c>
      <c r="O116" s="55">
        <v>81</v>
      </c>
      <c r="P116" s="208">
        <f>INDEX(Ingredients[Case Wt.],MATCH(Production[[#This Row],[Product]],Ingredients[ProdName],0))*Production[[#This Row],[Case Total]]</f>
        <v>2025</v>
      </c>
      <c r="Q116" s="211">
        <f>IFERROR(Production[[#This Row],[SatWt]]-Production[[#This Row],[RawWt]],"")</f>
        <v>1063.8</v>
      </c>
      <c r="R116" s="222" t="str">
        <f>IF(Production[[#This Row],[Species]]&lt;&gt;"",IF(SUM(Production[[#This Row],[BtTtl]:[BrTtl]])/Production[[#This Row],[SatWt]]&lt;&gt;0,SUM(Production[[#This Row],[BtTtl]:[BrTtl]])/Production[[#This Row],[SatWt]],""),"")</f>
        <v/>
      </c>
      <c r="S116" s="223" t="str">
        <f>INDEX(Ingredients[Species],MATCH(Production[[#This Row],[Product]],Ingredients[ProdName],0))</f>
        <v>Poultry</v>
      </c>
    </row>
    <row r="117" spans="1:19" ht="11.1" customHeight="1" x14ac:dyDescent="0.25">
      <c r="A117" s="207" t="str">
        <f>IFERROR(IF(Production[[#This Row],[Date]]&lt;&gt;"",TEXT(Production[[#This Row],[Date]],"yy")&amp;"-"&amp;TEXT(Production[[#This Row],[Date]]-DATE(YEAR(Production[[#This Row],[Date]]),1,0),"000"),""),"")</f>
        <v>22-305</v>
      </c>
      <c r="B117" s="209" t="str">
        <f>IFERROR(IF(INDEX(Ingredients[Ingr1],MATCH(Production[[#This Row],[Product]],Ingredients[ProdName],0))&lt;&gt;"",INDEX(Ingredients[Ingr1],MATCH(Production[[#This Row],[Product]],Ingredients[ProdName],0)),INDEX(Ingredients[Ingr2],MATCH(Production[[#This Row],[Product]],Ingredients[ProdName],0))),"")</f>
        <v>Chicken - Ground</v>
      </c>
      <c r="C117" s="53">
        <v>44866</v>
      </c>
      <c r="D117" s="54" t="s">
        <v>17</v>
      </c>
      <c r="E117" s="55">
        <v>3048</v>
      </c>
      <c r="F117" s="56">
        <v>10</v>
      </c>
      <c r="G117" s="56">
        <v>60</v>
      </c>
      <c r="H117" s="208">
        <f>IFERROR(INDEX(Tier1[Wt],MATCH(Production[[#This Row],[Type]],Tier1[Ingredient],0))*Production[[#This Row],[Blocks Used]],0)</f>
        <v>3000</v>
      </c>
      <c r="I117" s="210">
        <f>IFERROR(INDEX(Ingredients[TtlWt],MATCH(Production[[#This Row],[Product]],Ingredients[ProdName],0))*Production[[#This Row],[Lots Done]],"")</f>
        <v>419.5</v>
      </c>
      <c r="J117" s="210" t="str">
        <f>IF(INDEX(Ingredients[Batter],MATCH(Production[[#This Row],[Product]],Ingredients[ProdName],0))*Production[[#This Row],[Batter Used]]&gt;0,INDEX(Ingredients[Batter],MATCH(Production[[#This Row],[Product]],Ingredients[ProdName],0))*Production[[#This Row],[Batter Used]],"")</f>
        <v/>
      </c>
      <c r="K117" s="210" t="str">
        <f>IF(INDEX(Ingredients[Breader],MATCH(Production[[#This Row],[Product]],Ingredients[ProdName],0))*Production[[#This Row],[Breader Used]]&gt;0,INDEX(Ingredients[Breader],MATCH(Production[[#This Row],[Product]],Ingredients[ProdName],0))*Production[[#This Row],[Breader Used]],"")</f>
        <v/>
      </c>
      <c r="L117" s="56"/>
      <c r="M117" s="56"/>
      <c r="N117" s="211">
        <f>IFERROR(IF(SUM(Production[[#This Row],[Meat Wt]:[BrTtl]])&lt;&gt;0,SUM(Production[[#This Row],[Meat Wt]:[BrTtl]]),""),"")</f>
        <v>3419.5</v>
      </c>
      <c r="O117" s="55">
        <v>179</v>
      </c>
      <c r="P117" s="208">
        <f>INDEX(Ingredients[Case Wt.],MATCH(Production[[#This Row],[Product]],Ingredients[ProdName],0))*Production[[#This Row],[Case Total]]</f>
        <v>4475</v>
      </c>
      <c r="Q117" s="211">
        <f>IFERROR(Production[[#This Row],[SatWt]]-Production[[#This Row],[RawWt]],"")</f>
        <v>1055.5</v>
      </c>
      <c r="R117" s="222" t="str">
        <f>IF(Production[[#This Row],[Species]]&lt;&gt;"",IF(SUM(Production[[#This Row],[BtTtl]:[BrTtl]])/Production[[#This Row],[SatWt]]&lt;&gt;0,SUM(Production[[#This Row],[BtTtl]:[BrTtl]])/Production[[#This Row],[SatWt]],""),"")</f>
        <v/>
      </c>
      <c r="S117" s="223" t="str">
        <f>INDEX(Ingredients[Species],MATCH(Production[[#This Row],[Product]],Ingredients[ProdName],0))</f>
        <v>Poultry</v>
      </c>
    </row>
    <row r="118" spans="1:19" ht="11.1" customHeight="1" x14ac:dyDescent="0.25">
      <c r="A118" s="207" t="str">
        <f>IFERROR(IF(Production[[#This Row],[Date]]&lt;&gt;"",TEXT(Production[[#This Row],[Date]],"yy")&amp;"-"&amp;TEXT(Production[[#This Row],[Date]]-DATE(YEAR(Production[[#This Row],[Date]]),1,0),"000"),""),"")</f>
        <v>22-306</v>
      </c>
      <c r="B118" s="209" t="str">
        <f>IFERROR(IF(INDEX(Ingredients[Ingr1],MATCH(Production[[#This Row],[Product]],Ingredients[ProdName],0))&lt;&gt;"",INDEX(Ingredients[Ingr1],MATCH(Production[[#This Row],[Product]],Ingredients[ProdName],0)),INDEX(Ingredients[Ingr2],MATCH(Production[[#This Row],[Product]],Ingredients[ProdName],0))),"")</f>
        <v>Chicken - Ground</v>
      </c>
      <c r="C118" s="53">
        <v>44867</v>
      </c>
      <c r="D118" s="54" t="s">
        <v>7</v>
      </c>
      <c r="E118" s="55">
        <v>3048</v>
      </c>
      <c r="F118" s="56">
        <v>10</v>
      </c>
      <c r="G118" s="56">
        <v>60</v>
      </c>
      <c r="H118" s="208">
        <f>IFERROR(INDEX(Tier1[Wt],MATCH(Production[[#This Row],[Type]],Tier1[Ingredient],0))*Production[[#This Row],[Blocks Used]],0)</f>
        <v>3000</v>
      </c>
      <c r="I118" s="210">
        <f>IFERROR(INDEX(Ingredients[TtlWt],MATCH(Production[[#This Row],[Product]],Ingredients[ProdName],0))*Production[[#This Row],[Lots Done]],"")</f>
        <v>67.5</v>
      </c>
      <c r="J118" s="210" t="str">
        <f>IF(INDEX(Ingredients[Batter],MATCH(Production[[#This Row],[Product]],Ingredients[ProdName],0))*Production[[#This Row],[Batter Used]]&gt;0,INDEX(Ingredients[Batter],MATCH(Production[[#This Row],[Product]],Ingredients[ProdName],0))*Production[[#This Row],[Batter Used]],"")</f>
        <v/>
      </c>
      <c r="K118" s="210" t="str">
        <f>IF(INDEX(Ingredients[Breader],MATCH(Production[[#This Row],[Product]],Ingredients[ProdName],0))*Production[[#This Row],[Breader Used]]&gt;0,INDEX(Ingredients[Breader],MATCH(Production[[#This Row],[Product]],Ingredients[ProdName],0))*Production[[#This Row],[Breader Used]],"")</f>
        <v/>
      </c>
      <c r="L118" s="56"/>
      <c r="M118" s="56"/>
      <c r="N118" s="211">
        <f>IFERROR(IF(SUM(Production[[#This Row],[Meat Wt]:[BrTtl]])&lt;&gt;0,SUM(Production[[#This Row],[Meat Wt]:[BrTtl]]),""),"")</f>
        <v>3067.5</v>
      </c>
      <c r="O118" s="55">
        <v>170</v>
      </c>
      <c r="P118" s="208">
        <f>INDEX(Ingredients[Case Wt.],MATCH(Production[[#This Row],[Product]],Ingredients[ProdName],0))*Production[[#This Row],[Case Total]]</f>
        <v>4250</v>
      </c>
      <c r="Q118" s="211">
        <f>IFERROR(Production[[#This Row],[SatWt]]-Production[[#This Row],[RawWt]],"")</f>
        <v>1182.5</v>
      </c>
      <c r="R118" s="222" t="str">
        <f>IF(Production[[#This Row],[Species]]&lt;&gt;"",IF(SUM(Production[[#This Row],[BtTtl]:[BrTtl]])/Production[[#This Row],[SatWt]]&lt;&gt;0,SUM(Production[[#This Row],[BtTtl]:[BrTtl]])/Production[[#This Row],[SatWt]],""),"")</f>
        <v/>
      </c>
      <c r="S118" s="223" t="str">
        <f>INDEX(Ingredients[Species],MATCH(Production[[#This Row],[Product]],Ingredients[ProdName],0))</f>
        <v>Poultry</v>
      </c>
    </row>
    <row r="119" spans="1:19" ht="11.1" customHeight="1" x14ac:dyDescent="0.25">
      <c r="A119" s="207" t="str">
        <f>IFERROR(IF(Production[[#This Row],[Date]]&lt;&gt;"",TEXT(Production[[#This Row],[Date]],"yy")&amp;"-"&amp;TEXT(Production[[#This Row],[Date]]-DATE(YEAR(Production[[#This Row],[Date]]),1,0),"000"),""),"")</f>
        <v>22-307</v>
      </c>
      <c r="B119" s="209" t="str">
        <f>IFERROR(IF(INDEX(Ingredients[Ingr1],MATCH(Production[[#This Row],[Product]],Ingredients[ProdName],0))&lt;&gt;"",INDEX(Ingredients[Ingr1],MATCH(Production[[#This Row],[Product]],Ingredients[ProdName],0)),INDEX(Ingredients[Ingr2],MATCH(Production[[#This Row],[Product]],Ingredients[ProdName],0))),"")</f>
        <v>Pork - Trim</v>
      </c>
      <c r="C119" s="53">
        <v>44868</v>
      </c>
      <c r="D119" s="54" t="s">
        <v>11</v>
      </c>
      <c r="E119" s="55">
        <v>4204</v>
      </c>
      <c r="F119" s="56">
        <v>10</v>
      </c>
      <c r="G119" s="56">
        <v>50</v>
      </c>
      <c r="H119" s="211">
        <f>IFERROR(INDEX(Tier1[Wt],MATCH(Production[[#This Row],[Type]],Tier1[Ingredient],0))*Production[[#This Row],[Blocks Used]],0)</f>
        <v>3000</v>
      </c>
      <c r="I119" s="210">
        <f>IFERROR(INDEX(Ingredients[TtlWt],MATCH(Production[[#This Row],[Product]],Ingredients[ProdName],0))*Production[[#This Row],[Lots Done]],"")</f>
        <v>408</v>
      </c>
      <c r="J119" s="210" t="str">
        <f>IF(INDEX(Ingredients[Batter],MATCH(Production[[#This Row],[Product]],Ingredients[ProdName],0))*Production[[#This Row],[Batter Used]]&gt;0,INDEX(Ingredients[Batter],MATCH(Production[[#This Row],[Product]],Ingredients[ProdName],0))*Production[[#This Row],[Batter Used]],"")</f>
        <v/>
      </c>
      <c r="K119" s="210" t="str">
        <f>IF(INDEX(Ingredients[Breader],MATCH(Production[[#This Row],[Product]],Ingredients[ProdName],0))*Production[[#This Row],[Breader Used]]&gt;0,INDEX(Ingredients[Breader],MATCH(Production[[#This Row],[Product]],Ingredients[ProdName],0))*Production[[#This Row],[Breader Used]],"")</f>
        <v/>
      </c>
      <c r="L119" s="56"/>
      <c r="M119" s="56"/>
      <c r="N119" s="211">
        <f>IFERROR(IF(SUM(Production[[#This Row],[Meat Wt]:[BrTtl]])&lt;&gt;0,SUM(Production[[#This Row],[Meat Wt]:[BrTtl]]),""),"")</f>
        <v>3408</v>
      </c>
      <c r="O119" s="55">
        <v>172</v>
      </c>
      <c r="P119" s="208">
        <f>INDEX(Ingredients[Case Wt.],MATCH(Production[[#This Row],[Product]],Ingredients[ProdName],0))*Production[[#This Row],[Case Total]]</f>
        <v>4300</v>
      </c>
      <c r="Q119" s="211">
        <f>IFERROR(Production[[#This Row],[SatWt]]-Production[[#This Row],[RawWt]],"")</f>
        <v>892</v>
      </c>
      <c r="R119" s="222" t="str">
        <f>IF(Production[[#This Row],[Species]]&lt;&gt;"",IF(SUM(Production[[#This Row],[BtTtl]:[BrTtl]])/Production[[#This Row],[SatWt]]&lt;&gt;0,SUM(Production[[#This Row],[BtTtl]:[BrTtl]])/Production[[#This Row],[SatWt]],""),"")</f>
        <v/>
      </c>
      <c r="S119" s="223" t="str">
        <f>INDEX(Ingredients[Species],MATCH(Production[[#This Row],[Product]],Ingredients[ProdName],0))</f>
        <v>Meat</v>
      </c>
    </row>
    <row r="120" spans="1:19" ht="11.1" customHeight="1" x14ac:dyDescent="0.25">
      <c r="A120" s="207" t="str">
        <f>IFERROR(IF(Production[[#This Row],[Date]]&lt;&gt;"",TEXT(Production[[#This Row],[Date]],"yy")&amp;"-"&amp;TEXT(Production[[#This Row],[Date]]-DATE(YEAR(Production[[#This Row],[Date]]),1,0),"000"),""),"")</f>
        <v>22-319</v>
      </c>
      <c r="B120" s="209" t="str">
        <f>IFERROR(IF(INDEX(Ingredients[Ingr1],MATCH(Production[[#This Row],[Product]],Ingredients[ProdName],0))&lt;&gt;"",INDEX(Ingredients[Ingr1],MATCH(Production[[#This Row],[Product]],Ingredients[ProdName],0)),INDEX(Ingredients[Ingr2],MATCH(Production[[#This Row],[Product]],Ingredients[ProdName],0))),"")</f>
        <v>Chicken - Ground</v>
      </c>
      <c r="C120" s="53">
        <v>44880</v>
      </c>
      <c r="D120" s="54" t="s">
        <v>15</v>
      </c>
      <c r="E120" s="55">
        <v>3048</v>
      </c>
      <c r="F120" s="56">
        <v>10</v>
      </c>
      <c r="G120" s="56">
        <v>60</v>
      </c>
      <c r="H120" s="208">
        <f>IFERROR(INDEX(Tier1[Wt],MATCH(Production[[#This Row],[Type]],Tier1[Ingredient],0))*Production[[#This Row],[Blocks Used]],0)</f>
        <v>3000</v>
      </c>
      <c r="I120" s="210">
        <f>IFERROR(INDEX(Ingredients[TtlWt],MATCH(Production[[#This Row],[Product]],Ingredients[ProdName],0))*Production[[#This Row],[Lots Done]],"")</f>
        <v>116.5</v>
      </c>
      <c r="J120" s="210" t="str">
        <f>IF(INDEX(Ingredients[Batter],MATCH(Production[[#This Row],[Product]],Ingredients[ProdName],0))*Production[[#This Row],[Batter Used]]&gt;0,INDEX(Ingredients[Batter],MATCH(Production[[#This Row],[Product]],Ingredients[ProdName],0))*Production[[#This Row],[Batter Used]],"")</f>
        <v/>
      </c>
      <c r="K120" s="210" t="str">
        <f>IF(INDEX(Ingredients[Breader],MATCH(Production[[#This Row],[Product]],Ingredients[ProdName],0))*Production[[#This Row],[Breader Used]]&gt;0,INDEX(Ingredients[Breader],MATCH(Production[[#This Row],[Product]],Ingredients[ProdName],0))*Production[[#This Row],[Breader Used]],"")</f>
        <v/>
      </c>
      <c r="L120" s="56"/>
      <c r="M120" s="56"/>
      <c r="N120" s="211">
        <f>IFERROR(IF(SUM(Production[[#This Row],[Meat Wt]:[BrTtl]])&lt;&gt;0,SUM(Production[[#This Row],[Meat Wt]:[BrTtl]]),""),"")</f>
        <v>3116.5</v>
      </c>
      <c r="O120" s="55">
        <v>147</v>
      </c>
      <c r="P120" s="208">
        <f>INDEX(Ingredients[Case Wt.],MATCH(Production[[#This Row],[Product]],Ingredients[ProdName],0))*Production[[#This Row],[Case Total]]</f>
        <v>4410</v>
      </c>
      <c r="Q120" s="211">
        <f>IFERROR(Production[[#This Row],[SatWt]]-Production[[#This Row],[RawWt]],"")</f>
        <v>1293.5</v>
      </c>
      <c r="R120" s="222" t="str">
        <f>IF(Production[[#This Row],[Species]]&lt;&gt;"",IF(SUM(Production[[#This Row],[BtTtl]:[BrTtl]])/Production[[#This Row],[SatWt]]&lt;&gt;0,SUM(Production[[#This Row],[BtTtl]:[BrTtl]])/Production[[#This Row],[SatWt]],""),"")</f>
        <v/>
      </c>
      <c r="S120" s="223" t="str">
        <f>INDEX(Ingredients[Species],MATCH(Production[[#This Row],[Product]],Ingredients[ProdName],0))</f>
        <v>Poultry</v>
      </c>
    </row>
    <row r="121" spans="1:19" ht="11.1" customHeight="1" x14ac:dyDescent="0.25">
      <c r="A121" s="207" t="str">
        <f>IFERROR(IF(Production[[#This Row],[Date]]&lt;&gt;"",TEXT(Production[[#This Row],[Date]],"yy")&amp;"-"&amp;TEXT(Production[[#This Row],[Date]]-DATE(YEAR(Production[[#This Row],[Date]]),1,0),"000"),""),"")</f>
        <v>22-320</v>
      </c>
      <c r="B121" s="209" t="str">
        <f>IFERROR(IF(INDEX(Ingredients[Ingr1],MATCH(Production[[#This Row],[Product]],Ingredients[ProdName],0))&lt;&gt;"",INDEX(Ingredients[Ingr1],MATCH(Production[[#This Row],[Product]],Ingredients[ProdName],0)),INDEX(Ingredients[Ingr2],MATCH(Production[[#This Row],[Product]],Ingredients[ProdName],0))),"")</f>
        <v>Chicken - Ground</v>
      </c>
      <c r="C121" s="53">
        <v>44881</v>
      </c>
      <c r="D121" s="54" t="s">
        <v>23</v>
      </c>
      <c r="E121" s="55">
        <v>3048</v>
      </c>
      <c r="F121" s="56">
        <v>8</v>
      </c>
      <c r="G121" s="56">
        <v>48</v>
      </c>
      <c r="H121" s="208">
        <f>IFERROR(INDEX(Tier1[Wt],MATCH(Production[[#This Row],[Type]],Tier1[Ingredient],0))*Production[[#This Row],[Blocks Used]],0)</f>
        <v>2400</v>
      </c>
      <c r="I121" s="210">
        <f>IFERROR(INDEX(Ingredients[TtlWt],MATCH(Production[[#This Row],[Product]],Ingredients[ProdName],0))*Production[[#This Row],[Lots Done]],"")</f>
        <v>93.2</v>
      </c>
      <c r="J121" s="210" t="str">
        <f>IF(INDEX(Ingredients[Batter],MATCH(Production[[#This Row],[Product]],Ingredients[ProdName],0))*Production[[#This Row],[Batter Used]]&gt;0,INDEX(Ingredients[Batter],MATCH(Production[[#This Row],[Product]],Ingredients[ProdName],0))*Production[[#This Row],[Batter Used]],"")</f>
        <v/>
      </c>
      <c r="K121" s="210" t="str">
        <f>IF(INDEX(Ingredients[Breader],MATCH(Production[[#This Row],[Product]],Ingredients[ProdName],0))*Production[[#This Row],[Breader Used]]&gt;0,INDEX(Ingredients[Breader],MATCH(Production[[#This Row],[Product]],Ingredients[ProdName],0))*Production[[#This Row],[Breader Used]],"")</f>
        <v/>
      </c>
      <c r="L121" s="56"/>
      <c r="M121" s="56"/>
      <c r="N121" s="211">
        <f>IFERROR(IF(SUM(Production[[#This Row],[Meat Wt]:[BrTtl]])&lt;&gt;0,SUM(Production[[#This Row],[Meat Wt]:[BrTtl]]),""),"")</f>
        <v>2493.1999999999998</v>
      </c>
      <c r="O121" s="55">
        <v>137</v>
      </c>
      <c r="P121" s="208">
        <f>INDEX(Ingredients[Case Wt.],MATCH(Production[[#This Row],[Product]],Ingredients[ProdName],0))*Production[[#This Row],[Case Total]]</f>
        <v>4110</v>
      </c>
      <c r="Q121" s="211">
        <f>IFERROR(Production[[#This Row],[SatWt]]-Production[[#This Row],[RawWt]],"")</f>
        <v>1616.8000000000002</v>
      </c>
      <c r="R121" s="222" t="str">
        <f>IF(Production[[#This Row],[Species]]&lt;&gt;"",IF(SUM(Production[[#This Row],[BtTtl]:[BrTtl]])/Production[[#This Row],[SatWt]]&lt;&gt;0,SUM(Production[[#This Row],[BtTtl]:[BrTtl]])/Production[[#This Row],[SatWt]],""),"")</f>
        <v/>
      </c>
      <c r="S121" s="223" t="str">
        <f>INDEX(Ingredients[Species],MATCH(Production[[#This Row],[Product]],Ingredients[ProdName],0))</f>
        <v>Poultry</v>
      </c>
    </row>
    <row r="122" spans="1:19" ht="11.1" customHeight="1" x14ac:dyDescent="0.25">
      <c r="A122" s="207" t="str">
        <f>IFERROR(IF(Production[[#This Row],[Date]]&lt;&gt;"",TEXT(Production[[#This Row],[Date]],"yy")&amp;"-"&amp;TEXT(Production[[#This Row],[Date]]-DATE(YEAR(Production[[#This Row],[Date]]),1,0),"000"),""),"")</f>
        <v>22-320</v>
      </c>
      <c r="B122" s="209" t="str">
        <f>IFERROR(IF(INDEX(Ingredients[Ingr1],MATCH(Production[[#This Row],[Product]],Ingredients[ProdName],0))&lt;&gt;"",INDEX(Ingredients[Ingr1],MATCH(Production[[#This Row],[Product]],Ingredients[ProdName],0)),INDEX(Ingredients[Ingr2],MATCH(Production[[#This Row],[Product]],Ingredients[ProdName],0))),"")</f>
        <v>Chicken - Ground</v>
      </c>
      <c r="C122" s="53">
        <v>44881</v>
      </c>
      <c r="D122" s="54" t="s">
        <v>9</v>
      </c>
      <c r="E122" s="55">
        <v>3048</v>
      </c>
      <c r="F122" s="56">
        <v>10</v>
      </c>
      <c r="G122" s="56">
        <v>60</v>
      </c>
      <c r="H122" s="208">
        <f>IFERROR(INDEX(Tier1[Wt],MATCH(Production[[#This Row],[Type]],Tier1[Ingredient],0))*Production[[#This Row],[Blocks Used]],0)</f>
        <v>3000</v>
      </c>
      <c r="I122" s="210" t="str">
        <f>IFERROR(INDEX(Ingredients[TtlWt],MATCH(Production[[#This Row],[Product]],Ingredients[ProdName],0))*Production[[#This Row],[Lots Done]],"")</f>
        <v/>
      </c>
      <c r="J122" s="210" t="str">
        <f>IF(INDEX(Ingredients[Batter],MATCH(Production[[#This Row],[Product]],Ingredients[ProdName],0))*Production[[#This Row],[Batter Used]]&gt;0,INDEX(Ingredients[Batter],MATCH(Production[[#This Row],[Product]],Ingredients[ProdName],0))*Production[[#This Row],[Batter Used]],"")</f>
        <v/>
      </c>
      <c r="K122" s="210" t="str">
        <f>IF(INDEX(Ingredients[Breader],MATCH(Production[[#This Row],[Product]],Ingredients[ProdName],0))*Production[[#This Row],[Breader Used]]&gt;0,INDEX(Ingredients[Breader],MATCH(Production[[#This Row],[Product]],Ingredients[ProdName],0))*Production[[#This Row],[Breader Used]],"")</f>
        <v/>
      </c>
      <c r="L122" s="56"/>
      <c r="M122" s="56"/>
      <c r="N122" s="211">
        <f>IFERROR(IF(SUM(Production[[#This Row],[Meat Wt]:[BrTtl]])&lt;&gt;0,SUM(Production[[#This Row],[Meat Wt]:[BrTtl]]),""),"")</f>
        <v>3000</v>
      </c>
      <c r="O122" s="55">
        <v>125</v>
      </c>
      <c r="P122" s="208">
        <f>INDEX(Ingredients[Case Wt.],MATCH(Production[[#This Row],[Product]],Ingredients[ProdName],0))*Production[[#This Row],[Case Total]]</f>
        <v>3750</v>
      </c>
      <c r="Q122" s="211">
        <f>IFERROR(Production[[#This Row],[SatWt]]-Production[[#This Row],[RawWt]],"")</f>
        <v>750</v>
      </c>
      <c r="R122" s="222" t="str">
        <f>IF(Production[[#This Row],[Species]]&lt;&gt;"",IF(SUM(Production[[#This Row],[BtTtl]:[BrTtl]])/Production[[#This Row],[SatWt]]&lt;&gt;0,SUM(Production[[#This Row],[BtTtl]:[BrTtl]])/Production[[#This Row],[SatWt]],""),"")</f>
        <v/>
      </c>
      <c r="S122" s="223" t="str">
        <f>INDEX(Ingredients[Species],MATCH(Production[[#This Row],[Product]],Ingredients[ProdName],0))</f>
        <v>Poultry</v>
      </c>
    </row>
    <row r="123" spans="1:19" ht="11.1" customHeight="1" x14ac:dyDescent="0.25">
      <c r="A123" s="207" t="str">
        <f>IFERROR(IF(Production[[#This Row],[Date]]&lt;&gt;"",TEXT(Production[[#This Row],[Date]],"yy")&amp;"-"&amp;TEXT(Production[[#This Row],[Date]]-DATE(YEAR(Production[[#This Row],[Date]]),1,0),"000"),""),"")</f>
        <v>22-325</v>
      </c>
      <c r="B123" s="209" t="str">
        <f>IFERROR(IF(INDEX(Ingredients[Ingr1],MATCH(Production[[#This Row],[Product]],Ingredients[ProdName],0))&lt;&gt;"",INDEX(Ingredients[Ingr1],MATCH(Production[[#This Row],[Product]],Ingredients[ProdName],0)),INDEX(Ingredients[Ingr2],MATCH(Production[[#This Row],[Product]],Ingredients[ProdName],0))),"")</f>
        <v>Chicken - Ground</v>
      </c>
      <c r="C123" s="53">
        <v>44886</v>
      </c>
      <c r="D123" s="54" t="s">
        <v>15</v>
      </c>
      <c r="E123" s="55">
        <v>3048</v>
      </c>
      <c r="F123" s="56">
        <v>10</v>
      </c>
      <c r="G123" s="56">
        <v>60</v>
      </c>
      <c r="H123" s="208">
        <f>IFERROR(INDEX(Tier1[Wt],MATCH(Production[[#This Row],[Type]],Tier1[Ingredient],0))*Production[[#This Row],[Blocks Used]],0)</f>
        <v>3000</v>
      </c>
      <c r="I123" s="210">
        <f>IFERROR(INDEX(Ingredients[TtlWt],MATCH(Production[[#This Row],[Product]],Ingredients[ProdName],0))*Production[[#This Row],[Lots Done]],"")</f>
        <v>116.5</v>
      </c>
      <c r="J123" s="210" t="str">
        <f>IF(INDEX(Ingredients[Batter],MATCH(Production[[#This Row],[Product]],Ingredients[ProdName],0))*Production[[#This Row],[Batter Used]]&gt;0,INDEX(Ingredients[Batter],MATCH(Production[[#This Row],[Product]],Ingredients[ProdName],0))*Production[[#This Row],[Batter Used]],"")</f>
        <v/>
      </c>
      <c r="K123" s="210" t="str">
        <f>IF(INDEX(Ingredients[Breader],MATCH(Production[[#This Row],[Product]],Ingredients[ProdName],0))*Production[[#This Row],[Breader Used]]&gt;0,INDEX(Ingredients[Breader],MATCH(Production[[#This Row],[Product]],Ingredients[ProdName],0))*Production[[#This Row],[Breader Used]],"")</f>
        <v/>
      </c>
      <c r="L123" s="56"/>
      <c r="M123" s="56"/>
      <c r="N123" s="211">
        <f>IFERROR(IF(SUM(Production[[#This Row],[Meat Wt]:[BrTtl]])&lt;&gt;0,SUM(Production[[#This Row],[Meat Wt]:[BrTtl]]),""),"")</f>
        <v>3116.5</v>
      </c>
      <c r="O123" s="55">
        <v>143</v>
      </c>
      <c r="P123" s="208">
        <f>INDEX(Ingredients[Case Wt.],MATCH(Production[[#This Row],[Product]],Ingredients[ProdName],0))*Production[[#This Row],[Case Total]]</f>
        <v>4290</v>
      </c>
      <c r="Q123" s="211">
        <f>IFERROR(Production[[#This Row],[SatWt]]-Production[[#This Row],[RawWt]],"")</f>
        <v>1173.5</v>
      </c>
      <c r="R123" s="222" t="str">
        <f>IF(Production[[#This Row],[Species]]&lt;&gt;"",IF(SUM(Production[[#This Row],[BtTtl]:[BrTtl]])/Production[[#This Row],[SatWt]]&lt;&gt;0,SUM(Production[[#This Row],[BtTtl]:[BrTtl]])/Production[[#This Row],[SatWt]],""),"")</f>
        <v/>
      </c>
      <c r="S123" s="223" t="str">
        <f>INDEX(Ingredients[Species],MATCH(Production[[#This Row],[Product]],Ingredients[ProdName],0))</f>
        <v>Poultry</v>
      </c>
    </row>
    <row r="124" spans="1:19" ht="11.1" customHeight="1" x14ac:dyDescent="0.25">
      <c r="A124" s="207" t="str">
        <f>IFERROR(IF(Production[[#This Row],[Date]]&lt;&gt;"",TEXT(Production[[#This Row],[Date]],"yy")&amp;"-"&amp;TEXT(Production[[#This Row],[Date]]-DATE(YEAR(Production[[#This Row],[Date]]),1,0),"000"),""),"")</f>
        <v>22-332</v>
      </c>
      <c r="B124" s="209" t="str">
        <f>IFERROR(IF(INDEX(Ingredients[Ingr1],MATCH(Production[[#This Row],[Product]],Ingredients[ProdName],0))&lt;&gt;"",INDEX(Ingredients[Ingr1],MATCH(Production[[#This Row],[Product]],Ingredients[ProdName],0)),INDEX(Ingredients[Ingr2],MATCH(Production[[#This Row],[Product]],Ingredients[ProdName],0))),"")</f>
        <v>Chicken - Ground</v>
      </c>
      <c r="C124" s="53">
        <v>44893</v>
      </c>
      <c r="D124" s="54" t="s">
        <v>15</v>
      </c>
      <c r="E124" s="55">
        <v>3048</v>
      </c>
      <c r="F124" s="56">
        <v>10</v>
      </c>
      <c r="G124" s="56">
        <v>60</v>
      </c>
      <c r="H124" s="208">
        <f>IFERROR(INDEX(Tier1[Wt],MATCH(Production[[#This Row],[Type]],Tier1[Ingredient],0))*Production[[#This Row],[Blocks Used]],0)</f>
        <v>3000</v>
      </c>
      <c r="I124" s="210">
        <f>IFERROR(INDEX(Ingredients[TtlWt],MATCH(Production[[#This Row],[Product]],Ingredients[ProdName],0))*Production[[#This Row],[Lots Done]],"")</f>
        <v>116.5</v>
      </c>
      <c r="J124" s="210" t="str">
        <f>IF(INDEX(Ingredients[Batter],MATCH(Production[[#This Row],[Product]],Ingredients[ProdName],0))*Production[[#This Row],[Batter Used]]&gt;0,INDEX(Ingredients[Batter],MATCH(Production[[#This Row],[Product]],Ingredients[ProdName],0))*Production[[#This Row],[Batter Used]],"")</f>
        <v/>
      </c>
      <c r="K124" s="210" t="str">
        <f>IF(INDEX(Ingredients[Breader],MATCH(Production[[#This Row],[Product]],Ingredients[ProdName],0))*Production[[#This Row],[Breader Used]]&gt;0,INDEX(Ingredients[Breader],MATCH(Production[[#This Row],[Product]],Ingredients[ProdName],0))*Production[[#This Row],[Breader Used]],"")</f>
        <v/>
      </c>
      <c r="L124" s="56"/>
      <c r="M124" s="56"/>
      <c r="N124" s="211">
        <f>IFERROR(IF(SUM(Production[[#This Row],[Meat Wt]:[BrTtl]])&lt;&gt;0,SUM(Production[[#This Row],[Meat Wt]:[BrTtl]]),""),"")</f>
        <v>3116.5</v>
      </c>
      <c r="O124" s="55">
        <v>144</v>
      </c>
      <c r="P124" s="208">
        <f>INDEX(Ingredients[Case Wt.],MATCH(Production[[#This Row],[Product]],Ingredients[ProdName],0))*Production[[#This Row],[Case Total]]</f>
        <v>4320</v>
      </c>
      <c r="Q124" s="211">
        <f>IFERROR(Production[[#This Row],[SatWt]]-Production[[#This Row],[RawWt]],"")</f>
        <v>1203.5</v>
      </c>
      <c r="R124" s="222" t="str">
        <f>IF(Production[[#This Row],[Species]]&lt;&gt;"",IF(SUM(Production[[#This Row],[BtTtl]:[BrTtl]])/Production[[#This Row],[SatWt]]&lt;&gt;0,SUM(Production[[#This Row],[BtTtl]:[BrTtl]])/Production[[#This Row],[SatWt]],""),"")</f>
        <v/>
      </c>
      <c r="S124" s="223" t="str">
        <f>INDEX(Ingredients[Species],MATCH(Production[[#This Row],[Product]],Ingredients[ProdName],0))</f>
        <v>Poultry</v>
      </c>
    </row>
    <row r="125" spans="1:19" ht="11.1" customHeight="1" x14ac:dyDescent="0.25">
      <c r="A125" s="207" t="str">
        <f>IFERROR(IF(Production[[#This Row],[Date]]&lt;&gt;"",TEXT(Production[[#This Row],[Date]],"yy")&amp;"-"&amp;TEXT(Production[[#This Row],[Date]]-DATE(YEAR(Production[[#This Row],[Date]]),1,0),"000"),""),"")</f>
        <v>22-333</v>
      </c>
      <c r="B125" s="209" t="str">
        <f>IFERROR(IF(INDEX(Ingredients[Ingr1],MATCH(Production[[#This Row],[Product]],Ingredients[ProdName],0))&lt;&gt;"",INDEX(Ingredients[Ingr1],MATCH(Production[[#This Row],[Product]],Ingredients[ProdName],0)),INDEX(Ingredients[Ingr2],MATCH(Production[[#This Row],[Product]],Ingredients[ProdName],0))),"")</f>
        <v>Chicken - Ground</v>
      </c>
      <c r="C125" s="53">
        <v>44894</v>
      </c>
      <c r="D125" s="54" t="s">
        <v>20</v>
      </c>
      <c r="E125" s="55">
        <v>3048</v>
      </c>
      <c r="F125" s="56">
        <v>10</v>
      </c>
      <c r="G125" s="56">
        <v>60</v>
      </c>
      <c r="H125" s="208">
        <f>IFERROR(INDEX(Tier1[Wt],MATCH(Production[[#This Row],[Type]],Tier1[Ingredient],0))*Production[[#This Row],[Blocks Used]],0)</f>
        <v>3000</v>
      </c>
      <c r="I125" s="210">
        <f>IFERROR(INDEX(Ingredients[TtlWt],MATCH(Production[[#This Row],[Product]],Ingredients[ProdName],0))*Production[[#This Row],[Lots Done]],"")</f>
        <v>204</v>
      </c>
      <c r="J125" s="210" t="str">
        <f>IF(INDEX(Ingredients[Batter],MATCH(Production[[#This Row],[Product]],Ingredients[ProdName],0))*Production[[#This Row],[Batter Used]]&gt;0,INDEX(Ingredients[Batter],MATCH(Production[[#This Row],[Product]],Ingredients[ProdName],0))*Production[[#This Row],[Batter Used]],"")</f>
        <v/>
      </c>
      <c r="K125" s="210" t="str">
        <f>IF(INDEX(Ingredients[Breader],MATCH(Production[[#This Row],[Product]],Ingredients[ProdName],0))*Production[[#This Row],[Breader Used]]&gt;0,INDEX(Ingredients[Breader],MATCH(Production[[#This Row],[Product]],Ingredients[ProdName],0))*Production[[#This Row],[Breader Used]],"")</f>
        <v/>
      </c>
      <c r="L125" s="56"/>
      <c r="M125" s="56"/>
      <c r="N125" s="211">
        <f>IFERROR(IF(SUM(Production[[#This Row],[Meat Wt]:[BrTtl]])&lt;&gt;0,SUM(Production[[#This Row],[Meat Wt]:[BrTtl]]),""),"")</f>
        <v>3204</v>
      </c>
      <c r="O125" s="55">
        <v>186</v>
      </c>
      <c r="P125" s="208">
        <f>INDEX(Ingredients[Case Wt.],MATCH(Production[[#This Row],[Product]],Ingredients[ProdName],0))*Production[[#This Row],[Case Total]]</f>
        <v>4650</v>
      </c>
      <c r="Q125" s="211">
        <f>IFERROR(Production[[#This Row],[SatWt]]-Production[[#This Row],[RawWt]],"")</f>
        <v>1446</v>
      </c>
      <c r="R125" s="222" t="str">
        <f>IF(Production[[#This Row],[Species]]&lt;&gt;"",IF(SUM(Production[[#This Row],[BtTtl]:[BrTtl]])/Production[[#This Row],[SatWt]]&lt;&gt;0,SUM(Production[[#This Row],[BtTtl]:[BrTtl]])/Production[[#This Row],[SatWt]],""),"")</f>
        <v/>
      </c>
      <c r="S125" s="223" t="str">
        <f>INDEX(Ingredients[Species],MATCH(Production[[#This Row],[Product]],Ingredients[ProdName],0))</f>
        <v>Poultry</v>
      </c>
    </row>
    <row r="126" spans="1:19" ht="11.1" customHeight="1" x14ac:dyDescent="0.25">
      <c r="A126" s="207" t="str">
        <f>IFERROR(IF(Production[[#This Row],[Date]]&lt;&gt;"",TEXT(Production[[#This Row],[Date]],"yy")&amp;"-"&amp;TEXT(Production[[#This Row],[Date]]-DATE(YEAR(Production[[#This Row],[Date]]),1,0),"000"),""),"")</f>
        <v>22-334</v>
      </c>
      <c r="B126" s="209" t="str">
        <f>IFERROR(IF(INDEX(Ingredients[Ingr1],MATCH(Production[[#This Row],[Product]],Ingredients[ProdName],0))&lt;&gt;"",INDEX(Ingredients[Ingr1],MATCH(Production[[#This Row],[Product]],Ingredients[ProdName],0)),INDEX(Ingredients[Ingr2],MATCH(Production[[#This Row],[Product]],Ingredients[ProdName],0))),"")</f>
        <v>Chicken - Ground</v>
      </c>
      <c r="C126" s="53">
        <v>44895</v>
      </c>
      <c r="D126" s="54" t="s">
        <v>20</v>
      </c>
      <c r="E126" s="55">
        <v>3048</v>
      </c>
      <c r="F126" s="56">
        <v>12</v>
      </c>
      <c r="G126" s="56">
        <v>72</v>
      </c>
      <c r="H126" s="208">
        <f>IFERROR(INDEX(Tier1[Wt],MATCH(Production[[#This Row],[Type]],Tier1[Ingredient],0))*Production[[#This Row],[Blocks Used]],0)</f>
        <v>3600</v>
      </c>
      <c r="I126" s="210">
        <f>IFERROR(INDEX(Ingredients[TtlWt],MATCH(Production[[#This Row],[Product]],Ingredients[ProdName],0))*Production[[#This Row],[Lots Done]],"")</f>
        <v>244.79999999999998</v>
      </c>
      <c r="J126" s="210" t="str">
        <f>IF(INDEX(Ingredients[Batter],MATCH(Production[[#This Row],[Product]],Ingredients[ProdName],0))*Production[[#This Row],[Batter Used]]&gt;0,INDEX(Ingredients[Batter],MATCH(Production[[#This Row],[Product]],Ingredients[ProdName],0))*Production[[#This Row],[Batter Used]],"")</f>
        <v/>
      </c>
      <c r="K126" s="210" t="str">
        <f>IF(INDEX(Ingredients[Breader],MATCH(Production[[#This Row],[Product]],Ingredients[ProdName],0))*Production[[#This Row],[Breader Used]]&gt;0,INDEX(Ingredients[Breader],MATCH(Production[[#This Row],[Product]],Ingredients[ProdName],0))*Production[[#This Row],[Breader Used]],"")</f>
        <v/>
      </c>
      <c r="L126" s="56"/>
      <c r="M126" s="56"/>
      <c r="N126" s="211">
        <f>IFERROR(IF(SUM(Production[[#This Row],[Meat Wt]:[BrTtl]])&lt;&gt;0,SUM(Production[[#This Row],[Meat Wt]:[BrTtl]]),""),"")</f>
        <v>3844.8</v>
      </c>
      <c r="O126" s="55">
        <v>239</v>
      </c>
      <c r="P126" s="208">
        <f>INDEX(Ingredients[Case Wt.],MATCH(Production[[#This Row],[Product]],Ingredients[ProdName],0))*Production[[#This Row],[Case Total]]</f>
        <v>5975</v>
      </c>
      <c r="Q126" s="211">
        <f>IFERROR(Production[[#This Row],[SatWt]]-Production[[#This Row],[RawWt]],"")</f>
        <v>2130.1999999999998</v>
      </c>
      <c r="R126" s="222" t="str">
        <f>IF(Production[[#This Row],[Species]]&lt;&gt;"",IF(SUM(Production[[#This Row],[BtTtl]:[BrTtl]])/Production[[#This Row],[SatWt]]&lt;&gt;0,SUM(Production[[#This Row],[BtTtl]:[BrTtl]])/Production[[#This Row],[SatWt]],""),"")</f>
        <v/>
      </c>
      <c r="S126" s="223" t="str">
        <f>INDEX(Ingredients[Species],MATCH(Production[[#This Row],[Product]],Ingredients[ProdName],0))</f>
        <v>Poultry</v>
      </c>
    </row>
    <row r="127" spans="1:19" ht="11.1" customHeight="1" x14ac:dyDescent="0.25">
      <c r="A127" s="207" t="str">
        <f>IFERROR(IF(Production[[#This Row],[Date]]&lt;&gt;"",TEXT(Production[[#This Row],[Date]],"yy")&amp;"-"&amp;TEXT(Production[[#This Row],[Date]]-DATE(YEAR(Production[[#This Row],[Date]]),1,0),"000"),""),"")</f>
        <v>22-335</v>
      </c>
      <c r="B127" s="209" t="str">
        <f>IFERROR(IF(INDEX(Ingredients[Ingr1],MATCH(Production[[#This Row],[Product]],Ingredients[ProdName],0))&lt;&gt;"",INDEX(Ingredients[Ingr1],MATCH(Production[[#This Row],[Product]],Ingredients[ProdName],0)),INDEX(Ingredients[Ingr2],MATCH(Production[[#This Row],[Product]],Ingredients[ProdName],0))),"")</f>
        <v>Chicken - Ground</v>
      </c>
      <c r="C127" s="53">
        <v>44896</v>
      </c>
      <c r="D127" s="54" t="s">
        <v>7</v>
      </c>
      <c r="E127" s="55">
        <v>3048</v>
      </c>
      <c r="F127" s="56">
        <v>8</v>
      </c>
      <c r="G127" s="56">
        <v>48</v>
      </c>
      <c r="H127" s="208">
        <f>IFERROR(INDEX(Tier1[Wt],MATCH(Production[[#This Row],[Type]],Tier1[Ingredient],0))*Production[[#This Row],[Blocks Used]],0)</f>
        <v>2400</v>
      </c>
      <c r="I127" s="210">
        <f>IFERROR(INDEX(Ingredients[TtlWt],MATCH(Production[[#This Row],[Product]],Ingredients[ProdName],0))*Production[[#This Row],[Lots Done]],"")</f>
        <v>54</v>
      </c>
      <c r="J127" s="210" t="str">
        <f>IF(INDEX(Ingredients[Batter],MATCH(Production[[#This Row],[Product]],Ingredients[ProdName],0))*Production[[#This Row],[Batter Used]]&gt;0,INDEX(Ingredients[Batter],MATCH(Production[[#This Row],[Product]],Ingredients[ProdName],0))*Production[[#This Row],[Batter Used]],"")</f>
        <v/>
      </c>
      <c r="K127" s="210" t="str">
        <f>IF(INDEX(Ingredients[Breader],MATCH(Production[[#This Row],[Product]],Ingredients[ProdName],0))*Production[[#This Row],[Breader Used]]&gt;0,INDEX(Ingredients[Breader],MATCH(Production[[#This Row],[Product]],Ingredients[ProdName],0))*Production[[#This Row],[Breader Used]],"")</f>
        <v/>
      </c>
      <c r="L127" s="56"/>
      <c r="M127" s="56"/>
      <c r="N127" s="211">
        <f>IFERROR(IF(SUM(Production[[#This Row],[Meat Wt]:[BrTtl]])&lt;&gt;0,SUM(Production[[#This Row],[Meat Wt]:[BrTtl]]),""),"")</f>
        <v>2454</v>
      </c>
      <c r="O127" s="55">
        <v>150</v>
      </c>
      <c r="P127" s="208">
        <f>INDEX(Ingredients[Case Wt.],MATCH(Production[[#This Row],[Product]],Ingredients[ProdName],0))*Production[[#This Row],[Case Total]]</f>
        <v>3750</v>
      </c>
      <c r="Q127" s="211">
        <f>IFERROR(Production[[#This Row],[SatWt]]-Production[[#This Row],[RawWt]],"")</f>
        <v>1296</v>
      </c>
      <c r="R127" s="222" t="str">
        <f>IF(Production[[#This Row],[Species]]&lt;&gt;"",IF(SUM(Production[[#This Row],[BtTtl]:[BrTtl]])/Production[[#This Row],[SatWt]]&lt;&gt;0,SUM(Production[[#This Row],[BtTtl]:[BrTtl]])/Production[[#This Row],[SatWt]],""),"")</f>
        <v/>
      </c>
      <c r="S127" s="223" t="str">
        <f>INDEX(Ingredients[Species],MATCH(Production[[#This Row],[Product]],Ingredients[ProdName],0))</f>
        <v>Poultry</v>
      </c>
    </row>
    <row r="128" spans="1:19" ht="11.1" customHeight="1" x14ac:dyDescent="0.25">
      <c r="A128" s="207" t="str">
        <f>IFERROR(IF(Production[[#This Row],[Date]]&lt;&gt;"",TEXT(Production[[#This Row],[Date]],"yy")&amp;"-"&amp;TEXT(Production[[#This Row],[Date]]-DATE(YEAR(Production[[#This Row],[Date]]),1,0),"000"),""),"")</f>
        <v>22-335</v>
      </c>
      <c r="B128" s="209" t="str">
        <f>IFERROR(IF(INDEX(Ingredients[Ingr1],MATCH(Production[[#This Row],[Product]],Ingredients[ProdName],0))&lt;&gt;"",INDEX(Ingredients[Ingr1],MATCH(Production[[#This Row],[Product]],Ingredients[ProdName],0)),INDEX(Ingredients[Ingr2],MATCH(Production[[#This Row],[Product]],Ingredients[ProdName],0))),"")</f>
        <v>Chicken - Ground</v>
      </c>
      <c r="C128" s="53">
        <v>44896</v>
      </c>
      <c r="D128" s="54" t="s">
        <v>13</v>
      </c>
      <c r="E128" s="55">
        <v>3048</v>
      </c>
      <c r="F128" s="56">
        <v>6</v>
      </c>
      <c r="G128" s="56">
        <v>36</v>
      </c>
      <c r="H128" s="208">
        <f>IFERROR(INDEX(Tier1[Wt],MATCH(Production[[#This Row],[Type]],Tier1[Ingredient],0))*Production[[#This Row],[Blocks Used]],0)</f>
        <v>1800</v>
      </c>
      <c r="I128" s="210">
        <f>IFERROR(INDEX(Ingredients[TtlWt],MATCH(Production[[#This Row],[Product]],Ingredients[ProdName],0))*Production[[#This Row],[Lots Done]],"")</f>
        <v>285</v>
      </c>
      <c r="J128" s="210" t="str">
        <f>IF(INDEX(Ingredients[Batter],MATCH(Production[[#This Row],[Product]],Ingredients[ProdName],0))*Production[[#This Row],[Batter Used]]&gt;0,INDEX(Ingredients[Batter],MATCH(Production[[#This Row],[Product]],Ingredients[ProdName],0))*Production[[#This Row],[Batter Used]],"")</f>
        <v/>
      </c>
      <c r="K128" s="210" t="str">
        <f>IF(INDEX(Ingredients[Breader],MATCH(Production[[#This Row],[Product]],Ingredients[ProdName],0))*Production[[#This Row],[Breader Used]]&gt;0,INDEX(Ingredients[Breader],MATCH(Production[[#This Row],[Product]],Ingredients[ProdName],0))*Production[[#This Row],[Breader Used]],"")</f>
        <v/>
      </c>
      <c r="L128" s="56"/>
      <c r="M128" s="56"/>
      <c r="N128" s="211">
        <f>IFERROR(IF(SUM(Production[[#This Row],[Meat Wt]:[BrTtl]])&lt;&gt;0,SUM(Production[[#This Row],[Meat Wt]:[BrTtl]]),""),"")</f>
        <v>2085</v>
      </c>
      <c r="O128" s="55">
        <v>82</v>
      </c>
      <c r="P128" s="208">
        <f>INDEX(Ingredients[Case Wt.],MATCH(Production[[#This Row],[Product]],Ingredients[ProdName],0))*Production[[#This Row],[Case Total]]</f>
        <v>2460</v>
      </c>
      <c r="Q128" s="211">
        <f>IFERROR(Production[[#This Row],[SatWt]]-Production[[#This Row],[RawWt]],"")</f>
        <v>375</v>
      </c>
      <c r="R128" s="222" t="str">
        <f>IF(Production[[#This Row],[Species]]&lt;&gt;"",IF(SUM(Production[[#This Row],[BtTtl]:[BrTtl]])/Production[[#This Row],[SatWt]]&lt;&gt;0,SUM(Production[[#This Row],[BtTtl]:[BrTtl]])/Production[[#This Row],[SatWt]],""),"")</f>
        <v/>
      </c>
      <c r="S128" s="223" t="str">
        <f>INDEX(Ingredients[Species],MATCH(Production[[#This Row],[Product]],Ingredients[ProdName],0))</f>
        <v>Poultry</v>
      </c>
    </row>
    <row r="129" spans="1:19" ht="11.1" customHeight="1" x14ac:dyDescent="0.25">
      <c r="A129" s="207" t="str">
        <f>IFERROR(IF(Production[[#This Row],[Date]]&lt;&gt;"",TEXT(Production[[#This Row],[Date]],"yy")&amp;"-"&amp;TEXT(Production[[#This Row],[Date]]-DATE(YEAR(Production[[#This Row],[Date]]),1,0),"000"),""),"")</f>
        <v>22-339</v>
      </c>
      <c r="B129" s="209" t="str">
        <f>IFERROR(IF(INDEX(Ingredients[Ingr1],MATCH(Production[[#This Row],[Product]],Ingredients[ProdName],0))&lt;&gt;"",INDEX(Ingredients[Ingr1],MATCH(Production[[#This Row],[Product]],Ingredients[ProdName],0)),INDEX(Ingredients[Ingr2],MATCH(Production[[#This Row],[Product]],Ingredients[ProdName],0))),"")</f>
        <v>Chicken - Tenders</v>
      </c>
      <c r="C129" s="53">
        <v>44900</v>
      </c>
      <c r="D129" s="54" t="s">
        <v>21</v>
      </c>
      <c r="E129" s="55" t="s">
        <v>181</v>
      </c>
      <c r="F129" s="56">
        <v>10</v>
      </c>
      <c r="G129" s="56">
        <v>70</v>
      </c>
      <c r="H129" s="208">
        <f>IFERROR(INDEX(Tier1[Wt],MATCH(Production[[#This Row],[Type]],Tier1[Ingredient],0))*Production[[#This Row],[Blocks Used]],0)</f>
        <v>2800</v>
      </c>
      <c r="I129" s="210">
        <f>IFERROR(INDEX(Ingredients[TtlWt],MATCH(Production[[#This Row],[Product]],Ingredients[ProdName],0))*Production[[#This Row],[Lots Done]],"")</f>
        <v>540</v>
      </c>
      <c r="J129" s="210">
        <f>IF(INDEX(Ingredients[Batter],MATCH(Production[[#This Row],[Product]],Ingredients[ProdName],0))*Production[[#This Row],[Batter Used]]&gt;0,INDEX(Ingredients[Batter],MATCH(Production[[#This Row],[Product]],Ingredients[ProdName],0))*Production[[#This Row],[Batter Used]],"")</f>
        <v>200</v>
      </c>
      <c r="K129" s="210">
        <f>IF(INDEX(Ingredients[Breader],MATCH(Production[[#This Row],[Product]],Ingredients[ProdName],0))*Production[[#This Row],[Breader Used]]&gt;0,INDEX(Ingredients[Breader],MATCH(Production[[#This Row],[Product]],Ingredients[ProdName],0))*Production[[#This Row],[Breader Used]],"")</f>
        <v>900</v>
      </c>
      <c r="L129" s="56">
        <v>4</v>
      </c>
      <c r="M129" s="56">
        <v>18</v>
      </c>
      <c r="N129" s="211">
        <f>IFERROR(IF(SUM(Production[[#This Row],[Meat Wt]:[BrTtl]])&lt;&gt;0,SUM(Production[[#This Row],[Meat Wt]:[BrTtl]]),""),"")</f>
        <v>4440</v>
      </c>
      <c r="O129" s="55">
        <v>214</v>
      </c>
      <c r="P129" s="208">
        <f>INDEX(Ingredients[Case Wt.],MATCH(Production[[#This Row],[Product]],Ingredients[ProdName],0))*Production[[#This Row],[Case Total]]</f>
        <v>5350</v>
      </c>
      <c r="Q129" s="211">
        <f>IFERROR(Production[[#This Row],[SatWt]]-Production[[#This Row],[RawWt]],"")</f>
        <v>910</v>
      </c>
      <c r="R129" s="222">
        <f>IF(Production[[#This Row],[Species]]&lt;&gt;"",IF(SUM(Production[[#This Row],[BtTtl]:[BrTtl]])/Production[[#This Row],[SatWt]]&lt;&gt;0,SUM(Production[[#This Row],[BtTtl]:[BrTtl]])/Production[[#This Row],[SatWt]],""),"")</f>
        <v>0.20560747663551401</v>
      </c>
      <c r="S129" s="223" t="str">
        <f>INDEX(Ingredients[Species],MATCH(Production[[#This Row],[Product]],Ingredients[ProdName],0))</f>
        <v>Poultry</v>
      </c>
    </row>
    <row r="130" spans="1:19" ht="11.1" customHeight="1" x14ac:dyDescent="0.25">
      <c r="A130" s="207" t="str">
        <f>IFERROR(IF(Production[[#This Row],[Date]]&lt;&gt;"",TEXT(Production[[#This Row],[Date]],"yy")&amp;"-"&amp;TEXT(Production[[#This Row],[Date]]-DATE(YEAR(Production[[#This Row],[Date]]),1,0),"000"),""),"")</f>
        <v>22-340</v>
      </c>
      <c r="B130" s="209" t="str">
        <f>IFERROR(IF(INDEX(Ingredients[Ingr1],MATCH(Production[[#This Row],[Product]],Ingredients[ProdName],0))&lt;&gt;"",INDEX(Ingredients[Ingr1],MATCH(Production[[#This Row],[Product]],Ingredients[ProdName],0)),INDEX(Ingredients[Ingr2],MATCH(Production[[#This Row],[Product]],Ingredients[ProdName],0))),"")</f>
        <v>Chicken - Tenders</v>
      </c>
      <c r="C130" s="53">
        <v>44901</v>
      </c>
      <c r="D130" s="54" t="s">
        <v>12</v>
      </c>
      <c r="E130" s="55" t="s">
        <v>181</v>
      </c>
      <c r="F130" s="56">
        <v>4</v>
      </c>
      <c r="G130" s="56">
        <v>28</v>
      </c>
      <c r="H130" s="208">
        <f>IFERROR(INDEX(Tier1[Wt],MATCH(Production[[#This Row],[Type]],Tier1[Ingredient],0))*Production[[#This Row],[Blocks Used]],0)</f>
        <v>1120</v>
      </c>
      <c r="I130" s="210">
        <f>IFERROR(INDEX(Ingredients[TtlWt],MATCH(Production[[#This Row],[Product]],Ingredients[ProdName],0))*Production[[#This Row],[Lots Done]],"")</f>
        <v>239.2</v>
      </c>
      <c r="J130" s="210">
        <f>IF(INDEX(Ingredients[Batter],MATCH(Production[[#This Row],[Product]],Ingredients[ProdName],0))*Production[[#This Row],[Batter Used]]&gt;0,INDEX(Ingredients[Batter],MATCH(Production[[#This Row],[Product]],Ingredients[ProdName],0))*Production[[#This Row],[Batter Used]],"")</f>
        <v>50</v>
      </c>
      <c r="K130" s="210">
        <f>IF(INDEX(Ingredients[Breader],MATCH(Production[[#This Row],[Product]],Ingredients[ProdName],0))*Production[[#This Row],[Breader Used]]&gt;0,INDEX(Ingredients[Breader],MATCH(Production[[#This Row],[Product]],Ingredients[ProdName],0))*Production[[#This Row],[Breader Used]],"")</f>
        <v>200</v>
      </c>
      <c r="L130" s="56">
        <v>1</v>
      </c>
      <c r="M130" s="56">
        <v>4</v>
      </c>
      <c r="N130" s="211">
        <f>IFERROR(IF(SUM(Production[[#This Row],[Meat Wt]:[BrTtl]])&lt;&gt;0,SUM(Production[[#This Row],[Meat Wt]:[BrTtl]]),""),"")</f>
        <v>1609.2</v>
      </c>
      <c r="O130" s="55">
        <v>91</v>
      </c>
      <c r="P130" s="208">
        <f>INDEX(Ingredients[Case Wt.],MATCH(Production[[#This Row],[Product]],Ingredients[ProdName],0))*Production[[#This Row],[Case Total]]</f>
        <v>2275</v>
      </c>
      <c r="Q130" s="211">
        <f>IFERROR(Production[[#This Row],[SatWt]]-Production[[#This Row],[RawWt]],"")</f>
        <v>665.8</v>
      </c>
      <c r="R130" s="222">
        <f>IF(Production[[#This Row],[Species]]&lt;&gt;"",IF(SUM(Production[[#This Row],[BtTtl]:[BrTtl]])/Production[[#This Row],[SatWt]]&lt;&gt;0,SUM(Production[[#This Row],[BtTtl]:[BrTtl]])/Production[[#This Row],[SatWt]],""),"")</f>
        <v>0.10989010989010989</v>
      </c>
      <c r="S130" s="223" t="str">
        <f>INDEX(Ingredients[Species],MATCH(Production[[#This Row],[Product]],Ingredients[ProdName],0))</f>
        <v>Poultry</v>
      </c>
    </row>
    <row r="131" spans="1:19" ht="11.1" customHeight="1" x14ac:dyDescent="0.25">
      <c r="A131" s="207" t="str">
        <f>IFERROR(IF(Production[[#This Row],[Date]]&lt;&gt;"",TEXT(Production[[#This Row],[Date]],"yy")&amp;"-"&amp;TEXT(Production[[#This Row],[Date]]-DATE(YEAR(Production[[#This Row],[Date]]),1,0),"000"),""),"")</f>
        <v>22-341</v>
      </c>
      <c r="B131" s="209" t="str">
        <f>IFERROR(IF(INDEX(Ingredients[Ingr1],MATCH(Production[[#This Row],[Product]],Ingredients[ProdName],0))&lt;&gt;"",INDEX(Ingredients[Ingr1],MATCH(Production[[#This Row],[Product]],Ingredients[ProdName],0)),INDEX(Ingredients[Ingr2],MATCH(Production[[#This Row],[Product]],Ingredients[ProdName],0))),"")</f>
        <v>Chicken - Tenders</v>
      </c>
      <c r="C131" s="53">
        <v>44902</v>
      </c>
      <c r="D131" s="54" t="s">
        <v>14</v>
      </c>
      <c r="E131" s="55" t="s">
        <v>181</v>
      </c>
      <c r="F131" s="56">
        <v>9</v>
      </c>
      <c r="G131" s="56">
        <v>63</v>
      </c>
      <c r="H131" s="208">
        <f>IFERROR(INDEX(Tier1[Wt],MATCH(Production[[#This Row],[Type]],Tier1[Ingredient],0))*Production[[#This Row],[Blocks Used]],0)</f>
        <v>2520</v>
      </c>
      <c r="I131" s="210">
        <f>IFERROR(INDEX(Ingredients[TtlWt],MATCH(Production[[#This Row],[Product]],Ingredients[ProdName],0))*Production[[#This Row],[Lots Done]],"")</f>
        <v>559.35</v>
      </c>
      <c r="J131" s="210" t="str">
        <f>IF(INDEX(Ingredients[Batter],MATCH(Production[[#This Row],[Product]],Ingredients[ProdName],0))*Production[[#This Row],[Batter Used]]&gt;0,INDEX(Ingredients[Batter],MATCH(Production[[#This Row],[Product]],Ingredients[ProdName],0))*Production[[#This Row],[Batter Used]],"")</f>
        <v/>
      </c>
      <c r="K131" s="210" t="str">
        <f>IF(INDEX(Ingredients[Breader],MATCH(Production[[#This Row],[Product]],Ingredients[ProdName],0))*Production[[#This Row],[Breader Used]]&gt;0,INDEX(Ingredients[Breader],MATCH(Production[[#This Row],[Product]],Ingredients[ProdName],0))*Production[[#This Row],[Breader Used]],"")</f>
        <v/>
      </c>
      <c r="L131" s="56"/>
      <c r="M131" s="56"/>
      <c r="N131" s="211">
        <f>IFERROR(IF(SUM(Production[[#This Row],[Meat Wt]:[BrTtl]])&lt;&gt;0,SUM(Production[[#This Row],[Meat Wt]:[BrTtl]]),""),"")</f>
        <v>3079.35</v>
      </c>
      <c r="O131" s="55">
        <v>156</v>
      </c>
      <c r="P131" s="208">
        <f>INDEX(Ingredients[Case Wt.],MATCH(Production[[#This Row],[Product]],Ingredients[ProdName],0))*Production[[#This Row],[Case Total]]</f>
        <v>3900</v>
      </c>
      <c r="Q131" s="211">
        <f>IFERROR(Production[[#This Row],[SatWt]]-Production[[#This Row],[RawWt]],"")</f>
        <v>820.65000000000009</v>
      </c>
      <c r="R131" s="222" t="str">
        <f>IF(Production[[#This Row],[Species]]&lt;&gt;"",IF(SUM(Production[[#This Row],[BtTtl]:[BrTtl]])/Production[[#This Row],[SatWt]]&lt;&gt;0,SUM(Production[[#This Row],[BtTtl]:[BrTtl]])/Production[[#This Row],[SatWt]],""),"")</f>
        <v/>
      </c>
      <c r="S131" s="223" t="str">
        <f>INDEX(Ingredients[Species],MATCH(Production[[#This Row],[Product]],Ingredients[ProdName],0))</f>
        <v>Poultry</v>
      </c>
    </row>
    <row r="132" spans="1:19" ht="11.1" customHeight="1" x14ac:dyDescent="0.25">
      <c r="A132" s="207" t="str">
        <f>IFERROR(IF(Production[[#This Row],[Date]]&lt;&gt;"",TEXT(Production[[#This Row],[Date]],"yy")&amp;"-"&amp;TEXT(Production[[#This Row],[Date]]-DATE(YEAR(Production[[#This Row],[Date]]),1,0),"000"),""),"")</f>
        <v>22-342</v>
      </c>
      <c r="B132" s="209" t="str">
        <f>IFERROR(IF(INDEX(Ingredients[Ingr1],MATCH(Production[[#This Row],[Product]],Ingredients[ProdName],0))&lt;&gt;"",INDEX(Ingredients[Ingr1],MATCH(Production[[#This Row],[Product]],Ingredients[ProdName],0)),INDEX(Ingredients[Ingr2],MATCH(Production[[#This Row],[Product]],Ingredients[ProdName],0))),"")</f>
        <v>Chicken - Tenders</v>
      </c>
      <c r="C132" s="53">
        <v>44903</v>
      </c>
      <c r="D132" s="54" t="s">
        <v>12</v>
      </c>
      <c r="E132" s="55" t="s">
        <v>181</v>
      </c>
      <c r="F132" s="56">
        <v>10</v>
      </c>
      <c r="G132" s="56">
        <v>70</v>
      </c>
      <c r="H132" s="208">
        <f>IFERROR(INDEX(Tier1[Wt],MATCH(Production[[#This Row],[Type]],Tier1[Ingredient],0))*Production[[#This Row],[Blocks Used]],0)</f>
        <v>2800</v>
      </c>
      <c r="I132" s="210">
        <f>IFERROR(INDEX(Ingredients[TtlWt],MATCH(Production[[#This Row],[Product]],Ingredients[ProdName],0))*Production[[#This Row],[Lots Done]],"")</f>
        <v>598</v>
      </c>
      <c r="J132" s="210">
        <f>IF(INDEX(Ingredients[Batter],MATCH(Production[[#This Row],[Product]],Ingredients[ProdName],0))*Production[[#This Row],[Batter Used]]&gt;0,INDEX(Ingredients[Batter],MATCH(Production[[#This Row],[Product]],Ingredients[ProdName],0))*Production[[#This Row],[Batter Used]],"")</f>
        <v>150</v>
      </c>
      <c r="K132" s="210">
        <f>IF(INDEX(Ingredients[Breader],MATCH(Production[[#This Row],[Product]],Ingredients[ProdName],0))*Production[[#This Row],[Breader Used]]&gt;0,INDEX(Ingredients[Breader],MATCH(Production[[#This Row],[Product]],Ingredients[ProdName],0))*Production[[#This Row],[Breader Used]],"")</f>
        <v>700</v>
      </c>
      <c r="L132" s="56">
        <v>3</v>
      </c>
      <c r="M132" s="56">
        <v>14</v>
      </c>
      <c r="N132" s="211">
        <f>IFERROR(IF(SUM(Production[[#This Row],[Meat Wt]:[BrTtl]])&lt;&gt;0,SUM(Production[[#This Row],[Meat Wt]:[BrTtl]]),""),"")</f>
        <v>4248</v>
      </c>
      <c r="O132" s="55">
        <v>212</v>
      </c>
      <c r="P132" s="208">
        <f>INDEX(Ingredients[Case Wt.],MATCH(Production[[#This Row],[Product]],Ingredients[ProdName],0))*Production[[#This Row],[Case Total]]</f>
        <v>5300</v>
      </c>
      <c r="Q132" s="211">
        <f>IFERROR(Production[[#This Row],[SatWt]]-Production[[#This Row],[RawWt]],"")</f>
        <v>1052</v>
      </c>
      <c r="R132" s="222">
        <f>IF(Production[[#This Row],[Species]]&lt;&gt;"",IF(SUM(Production[[#This Row],[BtTtl]:[BrTtl]])/Production[[#This Row],[SatWt]]&lt;&gt;0,SUM(Production[[#This Row],[BtTtl]:[BrTtl]])/Production[[#This Row],[SatWt]],""),"")</f>
        <v>0.16037735849056603</v>
      </c>
      <c r="S132" s="223" t="str">
        <f>INDEX(Ingredients[Species],MATCH(Production[[#This Row],[Product]],Ingredients[ProdName],0))</f>
        <v>Poultry</v>
      </c>
    </row>
    <row r="133" spans="1:19" ht="11.1" customHeight="1" x14ac:dyDescent="0.25">
      <c r="A133" s="207" t="str">
        <f>IFERROR(IF(Production[[#This Row],[Date]]&lt;&gt;"",TEXT(Production[[#This Row],[Date]],"yy")&amp;"-"&amp;TEXT(Production[[#This Row],[Date]]-DATE(YEAR(Production[[#This Row],[Date]]),1,0),"000"),""),"")</f>
        <v>22-346</v>
      </c>
      <c r="B133" s="209" t="str">
        <f>IFERROR(IF(INDEX(Ingredients[Ingr1],MATCH(Production[[#This Row],[Product]],Ingredients[ProdName],0))&lt;&gt;"",INDEX(Ingredients[Ingr1],MATCH(Production[[#This Row],[Product]],Ingredients[ProdName],0)),INDEX(Ingredients[Ingr2],MATCH(Production[[#This Row],[Product]],Ingredients[ProdName],0))),"")</f>
        <v>Fish - Imitation Crab</v>
      </c>
      <c r="C133" s="53">
        <v>44907</v>
      </c>
      <c r="D133" s="54" t="s">
        <v>47</v>
      </c>
      <c r="E133" s="55">
        <v>2023</v>
      </c>
      <c r="F133" s="56">
        <v>6</v>
      </c>
      <c r="G133" s="56">
        <v>360</v>
      </c>
      <c r="H133" s="208">
        <f>IFERROR(INDEX(Tier1[Wt],MATCH(Production[[#This Row],[Type]],Tier1[Ingredient],0))*Production[[#This Row],[Blocks Used]],0)</f>
        <v>10800</v>
      </c>
      <c r="I133" s="210">
        <f>IFERROR(INDEX(Ingredients[TtlWt],MATCH(Production[[#This Row],[Product]],Ingredients[ProdName],0))*Production[[#This Row],[Lots Done]],"")</f>
        <v>180</v>
      </c>
      <c r="J133" s="210">
        <f>IF(INDEX(Ingredients[Batter],MATCH(Production[[#This Row],[Product]],Ingredients[ProdName],0))*Production[[#This Row],[Batter Used]]&gt;0,INDEX(Ingredients[Batter],MATCH(Production[[#This Row],[Product]],Ingredients[ProdName],0))*Production[[#This Row],[Batter Used]],"")</f>
        <v>150</v>
      </c>
      <c r="K133" s="210">
        <f>IF(INDEX(Ingredients[Breader],MATCH(Production[[#This Row],[Product]],Ingredients[ProdName],0))*Production[[#This Row],[Breader Used]]&gt;0,INDEX(Ingredients[Breader],MATCH(Production[[#This Row],[Product]],Ingredients[ProdName],0))*Production[[#This Row],[Breader Used]],"")</f>
        <v>550</v>
      </c>
      <c r="L133" s="56">
        <v>3</v>
      </c>
      <c r="M133" s="56">
        <v>11</v>
      </c>
      <c r="N133" s="211">
        <f>IFERROR(IF(SUM(Production[[#This Row],[Meat Wt]:[BrTtl]])&lt;&gt;0,SUM(Production[[#This Row],[Meat Wt]:[BrTtl]]),""),"")</f>
        <v>11680</v>
      </c>
      <c r="O133" s="55">
        <v>133</v>
      </c>
      <c r="P133" s="208">
        <f>INDEX(Ingredients[Case Wt.],MATCH(Production[[#This Row],[Product]],Ingredients[ProdName],0))*Production[[#This Row],[Case Total]]</f>
        <v>3325</v>
      </c>
      <c r="Q133" s="211">
        <f>IFERROR(Production[[#This Row],[SatWt]]-Production[[#This Row],[RawWt]],"")</f>
        <v>-8355</v>
      </c>
      <c r="R133" s="222" t="str">
        <f>IF(Production[[#This Row],[Species]]&lt;&gt;"",IF(SUM(Production[[#This Row],[BtTtl]:[BrTtl]])/Production[[#This Row],[SatWt]]&lt;&gt;0,SUM(Production[[#This Row],[BtTtl]:[BrTtl]])/Production[[#This Row],[SatWt]],""),"")</f>
        <v/>
      </c>
      <c r="S133" s="223" t="str">
        <f>INDEX(Ingredients[Species],MATCH(Production[[#This Row],[Product]],Ingredients[ProdName],0))</f>
        <v/>
      </c>
    </row>
    <row r="134" spans="1:19" ht="11.1" customHeight="1" x14ac:dyDescent="0.25">
      <c r="A134" s="207" t="str">
        <f>IFERROR(IF(Production[[#This Row],[Date]]&lt;&gt;"",TEXT(Production[[#This Row],[Date]],"yy")&amp;"-"&amp;TEXT(Production[[#This Row],[Date]]-DATE(YEAR(Production[[#This Row],[Date]]),1,0),"000"),""),"")</f>
        <v>22-347</v>
      </c>
      <c r="B134" s="209" t="str">
        <f>IFERROR(IF(INDEX(Ingredients[Ingr1],MATCH(Production[[#This Row],[Product]],Ingredients[ProdName],0))&lt;&gt;"",INDEX(Ingredients[Ingr1],MATCH(Production[[#This Row],[Product]],Ingredients[ProdName],0)),INDEX(Ingredients[Ingr2],MATCH(Production[[#This Row],[Product]],Ingredients[ProdName],0))),"")</f>
        <v>Fish - Imitation Crab</v>
      </c>
      <c r="C134" s="53">
        <v>44908</v>
      </c>
      <c r="D134" s="54" t="s">
        <v>47</v>
      </c>
      <c r="E134" s="55">
        <v>2023</v>
      </c>
      <c r="F134" s="56">
        <v>6</v>
      </c>
      <c r="G134" s="56">
        <v>360</v>
      </c>
      <c r="H134" s="208">
        <f>IFERROR(INDEX(Tier1[Wt],MATCH(Production[[#This Row],[Type]],Tier1[Ingredient],0))*Production[[#This Row],[Blocks Used]],0)</f>
        <v>10800</v>
      </c>
      <c r="I134" s="210">
        <f>IFERROR(INDEX(Ingredients[TtlWt],MATCH(Production[[#This Row],[Product]],Ingredients[ProdName],0))*Production[[#This Row],[Lots Done]],"")</f>
        <v>180</v>
      </c>
      <c r="J134" s="210">
        <f>IF(INDEX(Ingredients[Batter],MATCH(Production[[#This Row],[Product]],Ingredients[ProdName],0))*Production[[#This Row],[Batter Used]]&gt;0,INDEX(Ingredients[Batter],MATCH(Production[[#This Row],[Product]],Ingredients[ProdName],0))*Production[[#This Row],[Batter Used]],"")</f>
        <v>300</v>
      </c>
      <c r="K134" s="210">
        <f>IF(INDEX(Ingredients[Breader],MATCH(Production[[#This Row],[Product]],Ingredients[ProdName],0))*Production[[#This Row],[Breader Used]]&gt;0,INDEX(Ingredients[Breader],MATCH(Production[[#This Row],[Product]],Ingredients[ProdName],0))*Production[[#This Row],[Breader Used]],"")</f>
        <v>650</v>
      </c>
      <c r="L134" s="56">
        <v>6</v>
      </c>
      <c r="M134" s="56">
        <v>13</v>
      </c>
      <c r="N134" s="211">
        <f>IFERROR(IF(SUM(Production[[#This Row],[Meat Wt]:[BrTtl]])&lt;&gt;0,SUM(Production[[#This Row],[Meat Wt]:[BrTtl]]),""),"")</f>
        <v>11930</v>
      </c>
      <c r="O134" s="55">
        <v>129</v>
      </c>
      <c r="P134" s="208">
        <f>INDEX(Ingredients[Case Wt.],MATCH(Production[[#This Row],[Product]],Ingredients[ProdName],0))*Production[[#This Row],[Case Total]]</f>
        <v>3225</v>
      </c>
      <c r="Q134" s="211">
        <f>IFERROR(Production[[#This Row],[SatWt]]-Production[[#This Row],[RawWt]],"")</f>
        <v>-8705</v>
      </c>
      <c r="R134" s="222" t="str">
        <f>IF(Production[[#This Row],[Species]]&lt;&gt;"",IF(SUM(Production[[#This Row],[BtTtl]:[BrTtl]])/Production[[#This Row],[SatWt]]&lt;&gt;0,SUM(Production[[#This Row],[BtTtl]:[BrTtl]])/Production[[#This Row],[SatWt]],""),"")</f>
        <v/>
      </c>
      <c r="S134" s="223" t="str">
        <f>INDEX(Ingredients[Species],MATCH(Production[[#This Row],[Product]],Ingredients[ProdName],0))</f>
        <v/>
      </c>
    </row>
    <row r="135" spans="1:19" ht="11.1" customHeight="1" x14ac:dyDescent="0.25">
      <c r="A135" s="207" t="str">
        <f>IFERROR(IF(Production[[#This Row],[Date]]&lt;&gt;"",TEXT(Production[[#This Row],[Date]],"yy")&amp;"-"&amp;TEXT(Production[[#This Row],[Date]]-DATE(YEAR(Production[[#This Row],[Date]]),1,0),"000"),""),"")</f>
        <v>22-348</v>
      </c>
      <c r="B135" s="209" t="str">
        <f>IFERROR(IF(INDEX(Ingredients[Ingr1],MATCH(Production[[#This Row],[Product]],Ingredients[ProdName],0))&lt;&gt;"",INDEX(Ingredients[Ingr1],MATCH(Production[[#This Row],[Product]],Ingredients[ProdName],0)),INDEX(Ingredients[Ingr2],MATCH(Production[[#This Row],[Product]],Ingredients[ProdName],0))),"")</f>
        <v>Chicken - Tenders</v>
      </c>
      <c r="C135" s="53">
        <v>44909</v>
      </c>
      <c r="D135" s="54" t="s">
        <v>21</v>
      </c>
      <c r="E135" s="55" t="s">
        <v>181</v>
      </c>
      <c r="F135" s="56">
        <v>12</v>
      </c>
      <c r="G135" s="56">
        <v>84</v>
      </c>
      <c r="H135" s="208">
        <f>IFERROR(INDEX(Tier1[Wt],MATCH(Production[[#This Row],[Type]],Tier1[Ingredient],0))*Production[[#This Row],[Blocks Used]],0)</f>
        <v>3360</v>
      </c>
      <c r="I135" s="210">
        <f>IFERROR(INDEX(Ingredients[TtlWt],MATCH(Production[[#This Row],[Product]],Ingredients[ProdName],0))*Production[[#This Row],[Lots Done]],"")</f>
        <v>648</v>
      </c>
      <c r="J135" s="210">
        <f>IF(INDEX(Ingredients[Batter],MATCH(Production[[#This Row],[Product]],Ingredients[ProdName],0))*Production[[#This Row],[Batter Used]]&gt;0,INDEX(Ingredients[Batter],MATCH(Production[[#This Row],[Product]],Ingredients[ProdName],0))*Production[[#This Row],[Batter Used]],"")</f>
        <v>200</v>
      </c>
      <c r="K135" s="210">
        <f>IF(INDEX(Ingredients[Breader],MATCH(Production[[#This Row],[Product]],Ingredients[ProdName],0))*Production[[#This Row],[Breader Used]]&gt;0,INDEX(Ingredients[Breader],MATCH(Production[[#This Row],[Product]],Ingredients[ProdName],0))*Production[[#This Row],[Breader Used]],"")</f>
        <v>1050</v>
      </c>
      <c r="L135" s="56">
        <v>4</v>
      </c>
      <c r="M135" s="56">
        <v>21</v>
      </c>
      <c r="N135" s="211">
        <f>IFERROR(IF(SUM(Production[[#This Row],[Meat Wt]:[BrTtl]])&lt;&gt;0,SUM(Production[[#This Row],[Meat Wt]:[BrTtl]]),""),"")</f>
        <v>5258</v>
      </c>
      <c r="O135" s="55">
        <v>262</v>
      </c>
      <c r="P135" s="208">
        <f>INDEX(Ingredients[Case Wt.],MATCH(Production[[#This Row],[Product]],Ingredients[ProdName],0))*Production[[#This Row],[Case Total]]</f>
        <v>6550</v>
      </c>
      <c r="Q135" s="211">
        <f>IFERROR(Production[[#This Row],[SatWt]]-Production[[#This Row],[RawWt]],"")</f>
        <v>1292</v>
      </c>
      <c r="R135" s="222">
        <f>IF(Production[[#This Row],[Species]]&lt;&gt;"",IF(SUM(Production[[#This Row],[BtTtl]:[BrTtl]])/Production[[#This Row],[SatWt]]&lt;&gt;0,SUM(Production[[#This Row],[BtTtl]:[BrTtl]])/Production[[#This Row],[SatWt]],""),"")</f>
        <v>0.19083969465648856</v>
      </c>
      <c r="S135" s="223" t="str">
        <f>INDEX(Ingredients[Species],MATCH(Production[[#This Row],[Product]],Ingredients[ProdName],0))</f>
        <v>Poultry</v>
      </c>
    </row>
    <row r="136" spans="1:19" ht="11.1" customHeight="1" x14ac:dyDescent="0.25">
      <c r="A136" s="207" t="str">
        <f>IFERROR(IF(Production[[#This Row],[Date]]&lt;&gt;"",TEXT(Production[[#This Row],[Date]],"yy")&amp;"-"&amp;TEXT(Production[[#This Row],[Date]]-DATE(YEAR(Production[[#This Row],[Date]]),1,0),"000"),""),"")</f>
        <v>22-349</v>
      </c>
      <c r="B136" s="209" t="str">
        <f>IFERROR(IF(INDEX(Ingredients[Ingr1],MATCH(Production[[#This Row],[Product]],Ingredients[ProdName],0))&lt;&gt;"",INDEX(Ingredients[Ingr1],MATCH(Production[[#This Row],[Product]],Ingredients[ProdName],0)),INDEX(Ingredients[Ingr2],MATCH(Production[[#This Row],[Product]],Ingredients[ProdName],0))),"")</f>
        <v>Chicken - Ground</v>
      </c>
      <c r="C136" s="53">
        <v>44910</v>
      </c>
      <c r="D136" s="54" t="s">
        <v>17</v>
      </c>
      <c r="E136" s="55">
        <v>3048</v>
      </c>
      <c r="F136" s="56">
        <v>6</v>
      </c>
      <c r="G136" s="56">
        <v>36</v>
      </c>
      <c r="H136" s="208">
        <f>IFERROR(INDEX(Tier1[Wt],MATCH(Production[[#This Row],[Type]],Tier1[Ingredient],0))*Production[[#This Row],[Blocks Used]],0)</f>
        <v>1800</v>
      </c>
      <c r="I136" s="210">
        <f>IFERROR(INDEX(Ingredients[TtlWt],MATCH(Production[[#This Row],[Product]],Ingredients[ProdName],0))*Production[[#This Row],[Lots Done]],"")</f>
        <v>251.70000000000002</v>
      </c>
      <c r="J136" s="210" t="str">
        <f>IF(INDEX(Ingredients[Batter],MATCH(Production[[#This Row],[Product]],Ingredients[ProdName],0))*Production[[#This Row],[Batter Used]]&gt;0,INDEX(Ingredients[Batter],MATCH(Production[[#This Row],[Product]],Ingredients[ProdName],0))*Production[[#This Row],[Batter Used]],"")</f>
        <v/>
      </c>
      <c r="K136" s="210" t="str">
        <f>IF(INDEX(Ingredients[Breader],MATCH(Production[[#This Row],[Product]],Ingredients[ProdName],0))*Production[[#This Row],[Breader Used]]&gt;0,INDEX(Ingredients[Breader],MATCH(Production[[#This Row],[Product]],Ingredients[ProdName],0))*Production[[#This Row],[Breader Used]],"")</f>
        <v/>
      </c>
      <c r="L136" s="56"/>
      <c r="M136" s="56"/>
      <c r="N136" s="211">
        <f>IFERROR(IF(SUM(Production[[#This Row],[Meat Wt]:[BrTtl]])&lt;&gt;0,SUM(Production[[#This Row],[Meat Wt]:[BrTtl]]),""),"")</f>
        <v>2051.6999999999998</v>
      </c>
      <c r="O136" s="55">
        <v>99</v>
      </c>
      <c r="P136" s="208">
        <f>INDEX(Ingredients[Case Wt.],MATCH(Production[[#This Row],[Product]],Ingredients[ProdName],0))*Production[[#This Row],[Case Total]]</f>
        <v>2475</v>
      </c>
      <c r="Q136" s="211">
        <f>IFERROR(Production[[#This Row],[SatWt]]-Production[[#This Row],[RawWt]],"")</f>
        <v>423.30000000000018</v>
      </c>
      <c r="R136" s="222" t="str">
        <f>IF(Production[[#This Row],[Species]]&lt;&gt;"",IF(SUM(Production[[#This Row],[BtTtl]:[BrTtl]])/Production[[#This Row],[SatWt]]&lt;&gt;0,SUM(Production[[#This Row],[BtTtl]:[BrTtl]])/Production[[#This Row],[SatWt]],""),"")</f>
        <v/>
      </c>
      <c r="S136" s="223" t="str">
        <f>INDEX(Ingredients[Species],MATCH(Production[[#This Row],[Product]],Ingredients[ProdName],0))</f>
        <v>Poultry</v>
      </c>
    </row>
    <row r="137" spans="1:19" ht="11.1" customHeight="1" x14ac:dyDescent="0.25">
      <c r="A137" s="207" t="str">
        <f>IFERROR(IF(Production[[#This Row],[Date]]&lt;&gt;"",TEXT(Production[[#This Row],[Date]],"yy")&amp;"-"&amp;TEXT(Production[[#This Row],[Date]]-DATE(YEAR(Production[[#This Row],[Date]]),1,0),"000"),""),"")</f>
        <v>22-349</v>
      </c>
      <c r="B137" s="209" t="str">
        <f>IFERROR(IF(INDEX(Ingredients[Ingr1],MATCH(Production[[#This Row],[Product]],Ingredients[ProdName],0))&lt;&gt;"",INDEX(Ingredients[Ingr1],MATCH(Production[[#This Row],[Product]],Ingredients[ProdName],0)),INDEX(Ingredients[Ingr2],MATCH(Production[[#This Row],[Product]],Ingredients[ProdName],0))),"")</f>
        <v>Chicken - Ground</v>
      </c>
      <c r="C137" s="53">
        <v>44910</v>
      </c>
      <c r="D137" s="54" t="s">
        <v>8</v>
      </c>
      <c r="E137" s="55">
        <v>3048</v>
      </c>
      <c r="F137" s="56">
        <v>6</v>
      </c>
      <c r="G137" s="56">
        <v>36</v>
      </c>
      <c r="H137" s="208">
        <f>IFERROR(INDEX(Tier1[Wt],MATCH(Production[[#This Row],[Type]],Tier1[Ingredient],0))*Production[[#This Row],[Blocks Used]],0)</f>
        <v>1800</v>
      </c>
      <c r="I137" s="210">
        <f>IFERROR(INDEX(Ingredients[TtlWt],MATCH(Production[[#This Row],[Product]],Ingredients[ProdName],0))*Production[[#This Row],[Lots Done]],"")</f>
        <v>391.20000000000005</v>
      </c>
      <c r="J137" s="210" t="str">
        <f>IF(INDEX(Ingredients[Batter],MATCH(Production[[#This Row],[Product]],Ingredients[ProdName],0))*Production[[#This Row],[Batter Used]]&gt;0,INDEX(Ingredients[Batter],MATCH(Production[[#This Row],[Product]],Ingredients[ProdName],0))*Production[[#This Row],[Batter Used]],"")</f>
        <v/>
      </c>
      <c r="K137" s="210" t="str">
        <f>IF(INDEX(Ingredients[Breader],MATCH(Production[[#This Row],[Product]],Ingredients[ProdName],0))*Production[[#This Row],[Breader Used]]&gt;0,INDEX(Ingredients[Breader],MATCH(Production[[#This Row],[Product]],Ingredients[ProdName],0))*Production[[#This Row],[Breader Used]],"")</f>
        <v/>
      </c>
      <c r="L137" s="56"/>
      <c r="M137" s="56"/>
      <c r="N137" s="211">
        <f>IFERROR(IF(SUM(Production[[#This Row],[Meat Wt]:[BrTtl]])&lt;&gt;0,SUM(Production[[#This Row],[Meat Wt]:[BrTtl]]),""),"")</f>
        <v>2191.1999999999998</v>
      </c>
      <c r="O137" s="55">
        <v>118</v>
      </c>
      <c r="P137" s="208">
        <f>INDEX(Ingredients[Case Wt.],MATCH(Production[[#This Row],[Product]],Ingredients[ProdName],0))*Production[[#This Row],[Case Total]]</f>
        <v>2950</v>
      </c>
      <c r="Q137" s="211">
        <f>IFERROR(Production[[#This Row],[SatWt]]-Production[[#This Row],[RawWt]],"")</f>
        <v>758.80000000000018</v>
      </c>
      <c r="R137" s="222" t="str">
        <f>IF(Production[[#This Row],[Species]]&lt;&gt;"",IF(SUM(Production[[#This Row],[BtTtl]:[BrTtl]])/Production[[#This Row],[SatWt]]&lt;&gt;0,SUM(Production[[#This Row],[BtTtl]:[BrTtl]])/Production[[#This Row],[SatWt]],""),"")</f>
        <v/>
      </c>
      <c r="S137" s="223" t="str">
        <f>INDEX(Ingredients[Species],MATCH(Production[[#This Row],[Product]],Ingredients[ProdName],0))</f>
        <v>Poultry</v>
      </c>
    </row>
    <row r="138" spans="1:19" ht="11.1" customHeight="1" x14ac:dyDescent="0.25">
      <c r="A138" s="207" t="str">
        <f>IFERROR(IF(Production[[#This Row],[Date]]&lt;&gt;"",TEXT(Production[[#This Row],[Date]],"yy")&amp;"-"&amp;TEXT(Production[[#This Row],[Date]]-DATE(YEAR(Production[[#This Row],[Date]]),1,0),"000"),""),"")</f>
        <v>22-353</v>
      </c>
      <c r="B138" s="209" t="str">
        <f>IFERROR(IF(INDEX(Ingredients[Ingr1],MATCH(Production[[#This Row],[Product]],Ingredients[ProdName],0))&lt;&gt;"",INDEX(Ingredients[Ingr1],MATCH(Production[[#This Row],[Product]],Ingredients[ProdName],0)),INDEX(Ingredients[Ingr2],MATCH(Production[[#This Row],[Product]],Ingredients[ProdName],0))),"")</f>
        <v>Chicken - Ground</v>
      </c>
      <c r="C138" s="53">
        <v>44914</v>
      </c>
      <c r="D138" s="54" t="s">
        <v>19</v>
      </c>
      <c r="E138" s="55">
        <v>3048</v>
      </c>
      <c r="F138" s="56">
        <v>10</v>
      </c>
      <c r="G138" s="56">
        <v>60</v>
      </c>
      <c r="H138" s="208">
        <f>IFERROR(INDEX(Tier1[Wt],MATCH(Production[[#This Row],[Type]],Tier1[Ingredient],0))*Production[[#This Row],[Blocks Used]],0)</f>
        <v>3000</v>
      </c>
      <c r="I138" s="210">
        <f>IFERROR(INDEX(Ingredients[TtlWt],MATCH(Production[[#This Row],[Product]],Ingredients[ProdName],0))*Production[[#This Row],[Lots Done]],"")</f>
        <v>116.5</v>
      </c>
      <c r="J138" s="210" t="str">
        <f>IF(INDEX(Ingredients[Batter],MATCH(Production[[#This Row],[Product]],Ingredients[ProdName],0))*Production[[#This Row],[Batter Used]]&gt;0,INDEX(Ingredients[Batter],MATCH(Production[[#This Row],[Product]],Ingredients[ProdName],0))*Production[[#This Row],[Batter Used]],"")</f>
        <v/>
      </c>
      <c r="K138" s="210" t="str">
        <f>IF(INDEX(Ingredients[Breader],MATCH(Production[[#This Row],[Product]],Ingredients[ProdName],0))*Production[[#This Row],[Breader Used]]&gt;0,INDEX(Ingredients[Breader],MATCH(Production[[#This Row],[Product]],Ingredients[ProdName],0))*Production[[#This Row],[Breader Used]],"")</f>
        <v/>
      </c>
      <c r="L138" s="56"/>
      <c r="M138" s="56"/>
      <c r="N138" s="211">
        <f>IFERROR(IF(SUM(Production[[#This Row],[Meat Wt]:[BrTtl]])&lt;&gt;0,SUM(Production[[#This Row],[Meat Wt]:[BrTtl]]),""),"")</f>
        <v>3116.5</v>
      </c>
      <c r="O138" s="55">
        <v>175</v>
      </c>
      <c r="P138" s="208">
        <f>INDEX(Ingredients[Case Wt.],MATCH(Production[[#This Row],[Product]],Ingredients[ProdName],0))*Production[[#This Row],[Case Total]]</f>
        <v>4375</v>
      </c>
      <c r="Q138" s="211">
        <f>IFERROR(Production[[#This Row],[SatWt]]-Production[[#This Row],[RawWt]],"")</f>
        <v>1258.5</v>
      </c>
      <c r="R138" s="222" t="str">
        <f>IF(Production[[#This Row],[Species]]&lt;&gt;"",IF(SUM(Production[[#This Row],[BtTtl]:[BrTtl]])/Production[[#This Row],[SatWt]]&lt;&gt;0,SUM(Production[[#This Row],[BtTtl]:[BrTtl]])/Production[[#This Row],[SatWt]],""),"")</f>
        <v/>
      </c>
      <c r="S138" s="223" t="str">
        <f>INDEX(Ingredients[Species],MATCH(Production[[#This Row],[Product]],Ingredients[ProdName],0))</f>
        <v>Poultry</v>
      </c>
    </row>
    <row r="139" spans="1:19" ht="11.1" customHeight="1" x14ac:dyDescent="0.25">
      <c r="A139" s="207" t="str">
        <f>IFERROR(IF(Production[[#This Row],[Date]]&lt;&gt;"",TEXT(Production[[#This Row],[Date]],"yy")&amp;"-"&amp;TEXT(Production[[#This Row],[Date]]-DATE(YEAR(Production[[#This Row],[Date]]),1,0),"000"),""),"")</f>
        <v>22-355</v>
      </c>
      <c r="B139" s="209" t="str">
        <f>IFERROR(IF(INDEX(Ingredients[Ingr1],MATCH(Production[[#This Row],[Product]],Ingredients[ProdName],0))&lt;&gt;"",INDEX(Ingredients[Ingr1],MATCH(Production[[#This Row],[Product]],Ingredients[ProdName],0)),INDEX(Ingredients[Ingr2],MATCH(Production[[#This Row],[Product]],Ingredients[ProdName],0))),"")</f>
        <v>Chicken - Ground</v>
      </c>
      <c r="C139" s="53">
        <v>44916</v>
      </c>
      <c r="D139" s="54" t="s">
        <v>16</v>
      </c>
      <c r="E139" s="55">
        <v>3048</v>
      </c>
      <c r="F139" s="56">
        <v>5</v>
      </c>
      <c r="G139" s="56">
        <v>30</v>
      </c>
      <c r="H139" s="208">
        <f>IFERROR(INDEX(Tier1[Wt],MATCH(Production[[#This Row],[Type]],Tier1[Ingredient],0))*Production[[#This Row],[Blocks Used]],0)</f>
        <v>1500</v>
      </c>
      <c r="I139" s="210">
        <f>IFERROR(INDEX(Ingredients[TtlWt],MATCH(Production[[#This Row],[Product]],Ingredients[ProdName],0))*Production[[#This Row],[Lots Done]],"")</f>
        <v>102</v>
      </c>
      <c r="J139" s="210" t="str">
        <f>IF(INDEX(Ingredients[Batter],MATCH(Production[[#This Row],[Product]],Ingredients[ProdName],0))*Production[[#This Row],[Batter Used]]&gt;0,INDEX(Ingredients[Batter],MATCH(Production[[#This Row],[Product]],Ingredients[ProdName],0))*Production[[#This Row],[Batter Used]],"")</f>
        <v/>
      </c>
      <c r="K139" s="210" t="str">
        <f>IF(INDEX(Ingredients[Breader],MATCH(Production[[#This Row],[Product]],Ingredients[ProdName],0))*Production[[#This Row],[Breader Used]]&gt;0,INDEX(Ingredients[Breader],MATCH(Production[[#This Row],[Product]],Ingredients[ProdName],0))*Production[[#This Row],[Breader Used]],"")</f>
        <v/>
      </c>
      <c r="L139" s="56"/>
      <c r="M139" s="56"/>
      <c r="N139" s="211">
        <f>IFERROR(IF(SUM(Production[[#This Row],[Meat Wt]:[BrTtl]])&lt;&gt;0,SUM(Production[[#This Row],[Meat Wt]:[BrTtl]]),""),"")</f>
        <v>1602</v>
      </c>
      <c r="O139" s="55">
        <v>75</v>
      </c>
      <c r="P139" s="208">
        <f>INDEX(Ingredients[Case Wt.],MATCH(Production[[#This Row],[Product]],Ingredients[ProdName],0))*Production[[#This Row],[Case Total]]</f>
        <v>2250</v>
      </c>
      <c r="Q139" s="211">
        <f>IFERROR(Production[[#This Row],[SatWt]]-Production[[#This Row],[RawWt]],"")</f>
        <v>648</v>
      </c>
      <c r="R139" s="222" t="str">
        <f>IF(Production[[#This Row],[Species]]&lt;&gt;"",IF(SUM(Production[[#This Row],[BtTtl]:[BrTtl]])/Production[[#This Row],[SatWt]]&lt;&gt;0,SUM(Production[[#This Row],[BtTtl]:[BrTtl]])/Production[[#This Row],[SatWt]],""),"")</f>
        <v/>
      </c>
      <c r="S139" s="223" t="str">
        <f>INDEX(Ingredients[Species],MATCH(Production[[#This Row],[Product]],Ingredients[ProdName],0))</f>
        <v>Poultry</v>
      </c>
    </row>
    <row r="140" spans="1:19" ht="11.1" customHeight="1" x14ac:dyDescent="0.25">
      <c r="A140" s="207" t="str">
        <f>IFERROR(IF(Production[[#This Row],[Date]]&lt;&gt;"",TEXT(Production[[#This Row],[Date]],"yy")&amp;"-"&amp;TEXT(Production[[#This Row],[Date]]-DATE(YEAR(Production[[#This Row],[Date]]),1,0),"000"),""),"")</f>
        <v>22-355</v>
      </c>
      <c r="B140" s="209" t="str">
        <f>IFERROR(IF(INDEX(Ingredients[Ingr1],MATCH(Production[[#This Row],[Product]],Ingredients[ProdName],0))&lt;&gt;"",INDEX(Ingredients[Ingr1],MATCH(Production[[#This Row],[Product]],Ingredients[ProdName],0)),INDEX(Ingredients[Ingr2],MATCH(Production[[#This Row],[Product]],Ingredients[ProdName],0))),"")</f>
        <v>Chicken - Ground</v>
      </c>
      <c r="C140" s="53">
        <v>44916</v>
      </c>
      <c r="D140" s="54" t="s">
        <v>15</v>
      </c>
      <c r="E140" s="55">
        <v>3048</v>
      </c>
      <c r="F140" s="56">
        <v>4</v>
      </c>
      <c r="G140" s="56">
        <v>24</v>
      </c>
      <c r="H140" s="208">
        <f>IFERROR(INDEX(Tier1[Wt],MATCH(Production[[#This Row],[Type]],Tier1[Ingredient],0))*Production[[#This Row],[Blocks Used]],0)</f>
        <v>1200</v>
      </c>
      <c r="I140" s="210">
        <f>IFERROR(INDEX(Ingredients[TtlWt],MATCH(Production[[#This Row],[Product]],Ingredients[ProdName],0))*Production[[#This Row],[Lots Done]],"")</f>
        <v>46.6</v>
      </c>
      <c r="J140" s="210" t="str">
        <f>IF(INDEX(Ingredients[Batter],MATCH(Production[[#This Row],[Product]],Ingredients[ProdName],0))*Production[[#This Row],[Batter Used]]&gt;0,INDEX(Ingredients[Batter],MATCH(Production[[#This Row],[Product]],Ingredients[ProdName],0))*Production[[#This Row],[Batter Used]],"")</f>
        <v/>
      </c>
      <c r="K140" s="210" t="str">
        <f>IF(INDEX(Ingredients[Breader],MATCH(Production[[#This Row],[Product]],Ingredients[ProdName],0))*Production[[#This Row],[Breader Used]]&gt;0,INDEX(Ingredients[Breader],MATCH(Production[[#This Row],[Product]],Ingredients[ProdName],0))*Production[[#This Row],[Breader Used]],"")</f>
        <v/>
      </c>
      <c r="L140" s="56"/>
      <c r="M140" s="56"/>
      <c r="N140" s="211">
        <f>IFERROR(IF(SUM(Production[[#This Row],[Meat Wt]:[BrTtl]])&lt;&gt;0,SUM(Production[[#This Row],[Meat Wt]:[BrTtl]]),""),"")</f>
        <v>1246.5999999999999</v>
      </c>
      <c r="O140" s="55">
        <v>59</v>
      </c>
      <c r="P140" s="208">
        <f>INDEX(Ingredients[Case Wt.],MATCH(Production[[#This Row],[Product]],Ingredients[ProdName],0))*Production[[#This Row],[Case Total]]</f>
        <v>1770</v>
      </c>
      <c r="Q140" s="211">
        <f>IFERROR(Production[[#This Row],[SatWt]]-Production[[#This Row],[RawWt]],"")</f>
        <v>523.40000000000009</v>
      </c>
      <c r="R140" s="222" t="str">
        <f>IF(Production[[#This Row],[Species]]&lt;&gt;"",IF(SUM(Production[[#This Row],[BtTtl]:[BrTtl]])/Production[[#This Row],[SatWt]]&lt;&gt;0,SUM(Production[[#This Row],[BtTtl]:[BrTtl]])/Production[[#This Row],[SatWt]],""),"")</f>
        <v/>
      </c>
      <c r="S140" s="223" t="str">
        <f>INDEX(Ingredients[Species],MATCH(Production[[#This Row],[Product]],Ingredients[ProdName],0))</f>
        <v>Poultry</v>
      </c>
    </row>
    <row r="141" spans="1:19" ht="11.1" customHeight="1" x14ac:dyDescent="0.25">
      <c r="A141" s="207" t="str">
        <f>IFERROR(IF(Production[[#This Row],[Date]]&lt;&gt;"",TEXT(Production[[#This Row],[Date]],"yy")&amp;"-"&amp;TEXT(Production[[#This Row],[Date]]-DATE(YEAR(Production[[#This Row],[Date]]),1,0),"000"),""),"")</f>
        <v>22-361</v>
      </c>
      <c r="B141" s="209" t="str">
        <f>IFERROR(IF(INDEX(Ingredients[Ingr1],MATCH(Production[[#This Row],[Product]],Ingredients[ProdName],0))&lt;&gt;"",INDEX(Ingredients[Ingr1],MATCH(Production[[#This Row],[Product]],Ingredients[ProdName],0)),INDEX(Ingredients[Ingr2],MATCH(Production[[#This Row],[Product]],Ingredients[ProdName],0))),"")</f>
        <v>Chicken - Ground</v>
      </c>
      <c r="C141" s="53">
        <v>44922</v>
      </c>
      <c r="D141" s="54" t="s">
        <v>7</v>
      </c>
      <c r="E141" s="55">
        <v>3048</v>
      </c>
      <c r="F141" s="56">
        <v>10</v>
      </c>
      <c r="G141" s="56">
        <v>60</v>
      </c>
      <c r="H141" s="208">
        <f>IFERROR(INDEX(Tier1[Wt],MATCH(Production[[#This Row],[Type]],Tier1[Ingredient],0))*Production[[#This Row],[Blocks Used]],0)</f>
        <v>3000</v>
      </c>
      <c r="I141" s="210">
        <f>IFERROR(INDEX(Ingredients[TtlWt],MATCH(Production[[#This Row],[Product]],Ingredients[ProdName],0))*Production[[#This Row],[Lots Done]],"")</f>
        <v>67.5</v>
      </c>
      <c r="J141" s="210" t="str">
        <f>IF(INDEX(Ingredients[Batter],MATCH(Production[[#This Row],[Product]],Ingredients[ProdName],0))*Production[[#This Row],[Batter Used]]&gt;0,INDEX(Ingredients[Batter],MATCH(Production[[#This Row],[Product]],Ingredients[ProdName],0))*Production[[#This Row],[Batter Used]],"")</f>
        <v/>
      </c>
      <c r="K141" s="210" t="str">
        <f>IF(INDEX(Ingredients[Breader],MATCH(Production[[#This Row],[Product]],Ingredients[ProdName],0))*Production[[#This Row],[Breader Used]]&gt;0,INDEX(Ingredients[Breader],MATCH(Production[[#This Row],[Product]],Ingredients[ProdName],0))*Production[[#This Row],[Breader Used]],"")</f>
        <v/>
      </c>
      <c r="L141" s="56"/>
      <c r="M141" s="56"/>
      <c r="N141" s="211">
        <f>IFERROR(IF(SUM(Production[[#This Row],[Meat Wt]:[BrTtl]])&lt;&gt;0,SUM(Production[[#This Row],[Meat Wt]:[BrTtl]]),""),"")</f>
        <v>3067.5</v>
      </c>
      <c r="O141" s="55">
        <v>171</v>
      </c>
      <c r="P141" s="208">
        <f>INDEX(Ingredients[Case Wt.],MATCH(Production[[#This Row],[Product]],Ingredients[ProdName],0))*Production[[#This Row],[Case Total]]</f>
        <v>4275</v>
      </c>
      <c r="Q141" s="211">
        <f>IFERROR(Production[[#This Row],[SatWt]]-Production[[#This Row],[RawWt]],"")</f>
        <v>1207.5</v>
      </c>
      <c r="R141" s="222" t="str">
        <f>IF(Production[[#This Row],[Species]]&lt;&gt;"",IF(SUM(Production[[#This Row],[BtTtl]:[BrTtl]])/Production[[#This Row],[SatWt]]&lt;&gt;0,SUM(Production[[#This Row],[BtTtl]:[BrTtl]])/Production[[#This Row],[SatWt]],""),"")</f>
        <v/>
      </c>
      <c r="S141" s="223" t="str">
        <f>INDEX(Ingredients[Species],MATCH(Production[[#This Row],[Product]],Ingredients[ProdName],0))</f>
        <v>Poultry</v>
      </c>
    </row>
    <row r="142" spans="1:19" ht="11.1" customHeight="1" x14ac:dyDescent="0.25">
      <c r="A142" s="207" t="str">
        <f>IFERROR(IF(Production[[#This Row],[Date]]&lt;&gt;"",TEXT(Production[[#This Row],[Date]],"yy")&amp;"-"&amp;TEXT(Production[[#This Row],[Date]]-DATE(YEAR(Production[[#This Row],[Date]]),1,0),"000"),""),"")</f>
        <v>22-362</v>
      </c>
      <c r="B142" s="209" t="str">
        <f>IFERROR(IF(INDEX(Ingredients[Ingr1],MATCH(Production[[#This Row],[Product]],Ingredients[ProdName],0))&lt;&gt;"",INDEX(Ingredients[Ingr1],MATCH(Production[[#This Row],[Product]],Ingredients[ProdName],0)),INDEX(Ingredients[Ingr2],MATCH(Production[[#This Row],[Product]],Ingredients[ProdName],0))),"")</f>
        <v>Chicken - Tenders</v>
      </c>
      <c r="C142" s="53">
        <v>44923</v>
      </c>
      <c r="D142" s="54" t="s">
        <v>14</v>
      </c>
      <c r="E142" s="55" t="s">
        <v>181</v>
      </c>
      <c r="F142" s="56">
        <v>11</v>
      </c>
      <c r="G142" s="56">
        <v>77</v>
      </c>
      <c r="H142" s="208">
        <f>IFERROR(INDEX(Tier1[Wt],MATCH(Production[[#This Row],[Type]],Tier1[Ingredient],0))*Production[[#This Row],[Blocks Used]],0)</f>
        <v>3080</v>
      </c>
      <c r="I142" s="210">
        <f>IFERROR(INDEX(Ingredients[TtlWt],MATCH(Production[[#This Row],[Product]],Ingredients[ProdName],0))*Production[[#This Row],[Lots Done]],"")</f>
        <v>683.65</v>
      </c>
      <c r="J142" s="210" t="str">
        <f>IF(INDEX(Ingredients[Batter],MATCH(Production[[#This Row],[Product]],Ingredients[ProdName],0))*Production[[#This Row],[Batter Used]]&gt;0,INDEX(Ingredients[Batter],MATCH(Production[[#This Row],[Product]],Ingredients[ProdName],0))*Production[[#This Row],[Batter Used]],"")</f>
        <v/>
      </c>
      <c r="K142" s="210" t="str">
        <f>IF(INDEX(Ingredients[Breader],MATCH(Production[[#This Row],[Product]],Ingredients[ProdName],0))*Production[[#This Row],[Breader Used]]&gt;0,INDEX(Ingredients[Breader],MATCH(Production[[#This Row],[Product]],Ingredients[ProdName],0))*Production[[#This Row],[Breader Used]],"")</f>
        <v/>
      </c>
      <c r="L142" s="56"/>
      <c r="M142" s="56"/>
      <c r="N142" s="211">
        <f>IFERROR(IF(SUM(Production[[#This Row],[Meat Wt]:[BrTtl]])&lt;&gt;0,SUM(Production[[#This Row],[Meat Wt]:[BrTtl]]),""),"")</f>
        <v>3763.65</v>
      </c>
      <c r="O142" s="55">
        <v>194</v>
      </c>
      <c r="P142" s="208">
        <f>INDEX(Ingredients[Case Wt.],MATCH(Production[[#This Row],[Product]],Ingredients[ProdName],0))*Production[[#This Row],[Case Total]]</f>
        <v>4850</v>
      </c>
      <c r="Q142" s="211">
        <f>IFERROR(Production[[#This Row],[SatWt]]-Production[[#This Row],[RawWt]],"")</f>
        <v>1086.3499999999999</v>
      </c>
      <c r="R142" s="222" t="str">
        <f>IF(Production[[#This Row],[Species]]&lt;&gt;"",IF(SUM(Production[[#This Row],[BtTtl]:[BrTtl]])/Production[[#This Row],[SatWt]]&lt;&gt;0,SUM(Production[[#This Row],[BtTtl]:[BrTtl]])/Production[[#This Row],[SatWt]],""),"")</f>
        <v/>
      </c>
      <c r="S142" s="223" t="str">
        <f>INDEX(Ingredients[Species],MATCH(Production[[#This Row],[Product]],Ingredients[ProdName],0))</f>
        <v>Poultry</v>
      </c>
    </row>
    <row r="143" spans="1:19" ht="11.1" customHeight="1" x14ac:dyDescent="0.25">
      <c r="A143" s="207" t="str">
        <f>IFERROR(IF(Production[[#This Row],[Date]]&lt;&gt;"",TEXT(Production[[#This Row],[Date]],"yy")&amp;"-"&amp;TEXT(Production[[#This Row],[Date]]-DATE(YEAR(Production[[#This Row],[Date]]),1,0),"000"),""),"")</f>
        <v>22-363</v>
      </c>
      <c r="B143" s="209" t="str">
        <f>IFERROR(IF(INDEX(Ingredients[Ingr1],MATCH(Production[[#This Row],[Product]],Ingredients[ProdName],0))&lt;&gt;"",INDEX(Ingredients[Ingr1],MATCH(Production[[#This Row],[Product]],Ingredients[ProdName],0)),INDEX(Ingredients[Ingr2],MATCH(Production[[#This Row],[Product]],Ingredients[ProdName],0))),"")</f>
        <v>Chicken - Ground</v>
      </c>
      <c r="C143" s="53">
        <v>44924</v>
      </c>
      <c r="D143" s="54" t="s">
        <v>9</v>
      </c>
      <c r="E143" s="55">
        <v>3048</v>
      </c>
      <c r="F143" s="56">
        <v>20</v>
      </c>
      <c r="G143" s="56">
        <v>120</v>
      </c>
      <c r="H143" s="208">
        <f>IFERROR(INDEX(Tier1[Wt],MATCH(Production[[#This Row],[Type]],Tier1[Ingredient],0))*Production[[#This Row],[Blocks Used]],0)</f>
        <v>6000</v>
      </c>
      <c r="I143" s="210" t="str">
        <f>IFERROR(INDEX(Ingredients[TtlWt],MATCH(Production[[#This Row],[Product]],Ingredients[ProdName],0))*Production[[#This Row],[Lots Done]],"")</f>
        <v/>
      </c>
      <c r="J143" s="210" t="str">
        <f>IF(INDEX(Ingredients[Batter],MATCH(Production[[#This Row],[Product]],Ingredients[ProdName],0))*Production[[#This Row],[Batter Used]]&gt;0,INDEX(Ingredients[Batter],MATCH(Production[[#This Row],[Product]],Ingredients[ProdName],0))*Production[[#This Row],[Batter Used]],"")</f>
        <v/>
      </c>
      <c r="K143" s="210" t="str">
        <f>IF(INDEX(Ingredients[Breader],MATCH(Production[[#This Row],[Product]],Ingredients[ProdName],0))*Production[[#This Row],[Breader Used]]&gt;0,INDEX(Ingredients[Breader],MATCH(Production[[#This Row],[Product]],Ingredients[ProdName],0))*Production[[#This Row],[Breader Used]],"")</f>
        <v/>
      </c>
      <c r="L143" s="56"/>
      <c r="M143" s="56"/>
      <c r="N143" s="211">
        <f>IFERROR(IF(SUM(Production[[#This Row],[Meat Wt]:[BrTtl]])&lt;&gt;0,SUM(Production[[#This Row],[Meat Wt]:[BrTtl]]),""),"")</f>
        <v>6000</v>
      </c>
      <c r="O143" s="55">
        <v>286</v>
      </c>
      <c r="P143" s="208">
        <f>INDEX(Ingredients[Case Wt.],MATCH(Production[[#This Row],[Product]],Ingredients[ProdName],0))*Production[[#This Row],[Case Total]]</f>
        <v>8580</v>
      </c>
      <c r="Q143" s="211">
        <f>IFERROR(Production[[#This Row],[SatWt]]-Production[[#This Row],[RawWt]],"")</f>
        <v>2580</v>
      </c>
      <c r="R143" s="222" t="str">
        <f>IF(Production[[#This Row],[Species]]&lt;&gt;"",IF(SUM(Production[[#This Row],[BtTtl]:[BrTtl]])/Production[[#This Row],[SatWt]]&lt;&gt;0,SUM(Production[[#This Row],[BtTtl]:[BrTtl]])/Production[[#This Row],[SatWt]],""),"")</f>
        <v/>
      </c>
      <c r="S143" s="223" t="str">
        <f>INDEX(Ingredients[Species],MATCH(Production[[#This Row],[Product]],Ingredients[ProdName],0))</f>
        <v>Poultry</v>
      </c>
    </row>
    <row r="144" spans="1:19" ht="11.1" customHeight="1" x14ac:dyDescent="0.25">
      <c r="A144" s="207" t="str">
        <f>IFERROR(IF(Production[[#This Row],[Date]]&lt;&gt;"",TEXT(Production[[#This Row],[Date]],"yy")&amp;"-"&amp;TEXT(Production[[#This Row],[Date]]-DATE(YEAR(Production[[#This Row],[Date]]),1,0),"000"),""),"")</f>
        <v>23-003</v>
      </c>
      <c r="B144" s="209" t="str">
        <f>IFERROR(IF(INDEX(Ingredients[Ingr1],MATCH(Production[[#This Row],[Product]],Ingredients[ProdName],0))&lt;&gt;"",INDEX(Ingredients[Ingr1],MATCH(Production[[#This Row],[Product]],Ingredients[ProdName],0)),INDEX(Ingredients[Ingr2],MATCH(Production[[#This Row],[Product]],Ingredients[ProdName],0))),"")</f>
        <v>Chicken - Ground</v>
      </c>
      <c r="C144" s="53">
        <v>44929</v>
      </c>
      <c r="D144" s="54" t="s">
        <v>15</v>
      </c>
      <c r="E144" s="55">
        <v>1130</v>
      </c>
      <c r="F144" s="56">
        <v>10</v>
      </c>
      <c r="G144" s="56">
        <v>60</v>
      </c>
      <c r="H144" s="208">
        <f>IFERROR(INDEX(Tier1[Wt],MATCH(Production[[#This Row],[Type]],Tier1[Ingredient],0))*Production[[#This Row],[Blocks Used]],0)</f>
        <v>3000</v>
      </c>
      <c r="I144" s="210">
        <f>IFERROR(INDEX(Ingredients[TtlWt],MATCH(Production[[#This Row],[Product]],Ingredients[ProdName],0))*Production[[#This Row],[Lots Done]],"")</f>
        <v>116.5</v>
      </c>
      <c r="J144" s="210" t="str">
        <f>IF(INDEX(Ingredients[Batter],MATCH(Production[[#This Row],[Product]],Ingredients[ProdName],0))*Production[[#This Row],[Batter Used]]&gt;0,INDEX(Ingredients[Batter],MATCH(Production[[#This Row],[Product]],Ingredients[ProdName],0))*Production[[#This Row],[Batter Used]],"")</f>
        <v/>
      </c>
      <c r="K144" s="210" t="str">
        <f>IF(INDEX(Ingredients[Breader],MATCH(Production[[#This Row],[Product]],Ingredients[ProdName],0))*Production[[#This Row],[Breader Used]]&gt;0,INDEX(Ingredients[Breader],MATCH(Production[[#This Row],[Product]],Ingredients[ProdName],0))*Production[[#This Row],[Breader Used]],"")</f>
        <v/>
      </c>
      <c r="L144" s="56"/>
      <c r="M144" s="56"/>
      <c r="N144" s="211">
        <f>IFERROR(IF(SUM(Production[[#This Row],[Meat Wt]:[BrTtl]])&lt;&gt;0,SUM(Production[[#This Row],[Meat Wt]:[BrTtl]]),""),"")</f>
        <v>3116.5</v>
      </c>
      <c r="O144" s="55">
        <v>147</v>
      </c>
      <c r="P144" s="208">
        <f>INDEX(Ingredients[Case Wt.],MATCH(Production[[#This Row],[Product]],Ingredients[ProdName],0))*Production[[#This Row],[Case Total]]</f>
        <v>4410</v>
      </c>
      <c r="Q144" s="211">
        <f>IFERROR(Production[[#This Row],[SatWt]]-Production[[#This Row],[RawWt]],"")</f>
        <v>1293.5</v>
      </c>
      <c r="R144" s="222" t="str">
        <f>IF(Production[[#This Row],[Species]]&lt;&gt;"",IF(SUM(Production[[#This Row],[BtTtl]:[BrTtl]])/Production[[#This Row],[SatWt]]&lt;&gt;0,SUM(Production[[#This Row],[BtTtl]:[BrTtl]])/Production[[#This Row],[SatWt]],""),"")</f>
        <v/>
      </c>
      <c r="S144" s="223" t="str">
        <f>INDEX(Ingredients[Species],MATCH(Production[[#This Row],[Product]],Ingredients[ProdName],0))</f>
        <v>Poultry</v>
      </c>
    </row>
    <row r="145" spans="1:19" ht="11.1" customHeight="1" x14ac:dyDescent="0.25">
      <c r="A145" s="207" t="str">
        <f>IFERROR(IF(Production[[#This Row],[Date]]&lt;&gt;"",TEXT(Production[[#This Row],[Date]],"yy")&amp;"-"&amp;TEXT(Production[[#This Row],[Date]]-DATE(YEAR(Production[[#This Row],[Date]]),1,0),"000"),""),"")</f>
        <v>23-004</v>
      </c>
      <c r="B145" s="209" t="str">
        <f>IFERROR(IF(INDEX(Ingredients[Ingr1],MATCH(Production[[#This Row],[Product]],Ingredients[ProdName],0))&lt;&gt;"",INDEX(Ingredients[Ingr1],MATCH(Production[[#This Row],[Product]],Ingredients[ProdName],0)),INDEX(Ingredients[Ingr2],MATCH(Production[[#This Row],[Product]],Ingredients[ProdName],0))),"")</f>
        <v>Chicken - Tenders</v>
      </c>
      <c r="C145" s="53">
        <v>44930</v>
      </c>
      <c r="D145" s="54" t="s">
        <v>21</v>
      </c>
      <c r="E145" s="55" t="s">
        <v>171</v>
      </c>
      <c r="F145" s="56">
        <v>14</v>
      </c>
      <c r="G145" s="56">
        <v>98</v>
      </c>
      <c r="H145" s="208">
        <f>IFERROR(INDEX(Tier1[Wt],MATCH(Production[[#This Row],[Type]],Tier1[Ingredient],0))*Production[[#This Row],[Blocks Used]],0)</f>
        <v>3920</v>
      </c>
      <c r="I145" s="210">
        <f>IFERROR(INDEX(Ingredients[TtlWt],MATCH(Production[[#This Row],[Product]],Ingredients[ProdName],0))*Production[[#This Row],[Lots Done]],"")</f>
        <v>756</v>
      </c>
      <c r="J145" s="210">
        <f>IF(INDEX(Ingredients[Batter],MATCH(Production[[#This Row],[Product]],Ingredients[ProdName],0))*Production[[#This Row],[Batter Used]]&gt;0,INDEX(Ingredients[Batter],MATCH(Production[[#This Row],[Product]],Ingredients[ProdName],0))*Production[[#This Row],[Batter Used]],"")</f>
        <v>250</v>
      </c>
      <c r="K145" s="210">
        <f>IF(INDEX(Ingredients[Breader],MATCH(Production[[#This Row],[Product]],Ingredients[ProdName],0))*Production[[#This Row],[Breader Used]]&gt;0,INDEX(Ingredients[Breader],MATCH(Production[[#This Row],[Product]],Ingredients[ProdName],0))*Production[[#This Row],[Breader Used]],"")</f>
        <v>1100</v>
      </c>
      <c r="L145" s="56">
        <v>5</v>
      </c>
      <c r="M145" s="56">
        <v>22</v>
      </c>
      <c r="N145" s="211">
        <f>IFERROR(IF(SUM(Production[[#This Row],[Meat Wt]:[BrTtl]])&lt;&gt;0,SUM(Production[[#This Row],[Meat Wt]:[BrTtl]]),""),"")</f>
        <v>6026</v>
      </c>
      <c r="O145" s="55">
        <v>306</v>
      </c>
      <c r="P145" s="208">
        <f>INDEX(Ingredients[Case Wt.],MATCH(Production[[#This Row],[Product]],Ingredients[ProdName],0))*Production[[#This Row],[Case Total]]</f>
        <v>7650</v>
      </c>
      <c r="Q145" s="211">
        <f>IFERROR(Production[[#This Row],[SatWt]]-Production[[#This Row],[RawWt]],"")</f>
        <v>1624</v>
      </c>
      <c r="R145" s="222">
        <f>IF(Production[[#This Row],[Species]]&lt;&gt;"",IF(SUM(Production[[#This Row],[BtTtl]:[BrTtl]])/Production[[#This Row],[SatWt]]&lt;&gt;0,SUM(Production[[#This Row],[BtTtl]:[BrTtl]])/Production[[#This Row],[SatWt]],""),"")</f>
        <v>0.17647058823529413</v>
      </c>
      <c r="S145" s="223" t="str">
        <f>INDEX(Ingredients[Species],MATCH(Production[[#This Row],[Product]],Ingredients[ProdName],0))</f>
        <v>Poultry</v>
      </c>
    </row>
    <row r="146" spans="1:19" ht="11.1" customHeight="1" x14ac:dyDescent="0.25">
      <c r="A146" s="207" t="str">
        <f>IFERROR(IF(Production[[#This Row],[Date]]&lt;&gt;"",TEXT(Production[[#This Row],[Date]],"yy")&amp;"-"&amp;TEXT(Production[[#This Row],[Date]]-DATE(YEAR(Production[[#This Row],[Date]]),1,0),"000"),""),"")</f>
        <v>23-005</v>
      </c>
      <c r="B146" s="209" t="str">
        <f>IFERROR(IF(INDEX(Ingredients[Ingr1],MATCH(Production[[#This Row],[Product]],Ingredients[ProdName],0))&lt;&gt;"",INDEX(Ingredients[Ingr1],MATCH(Production[[#This Row],[Product]],Ingredients[ProdName],0)),INDEX(Ingredients[Ingr2],MATCH(Production[[#This Row],[Product]],Ingredients[ProdName],0))),"")</f>
        <v>Chicken - Tenders</v>
      </c>
      <c r="C146" s="53">
        <v>44931</v>
      </c>
      <c r="D146" s="54" t="s">
        <v>21</v>
      </c>
      <c r="E146" s="55" t="s">
        <v>171</v>
      </c>
      <c r="F146" s="56">
        <v>14</v>
      </c>
      <c r="G146" s="56">
        <v>98</v>
      </c>
      <c r="H146" s="208">
        <f>IFERROR(INDEX(Tier1[Wt],MATCH(Production[[#This Row],[Type]],Tier1[Ingredient],0))*Production[[#This Row],[Blocks Used]],0)</f>
        <v>3920</v>
      </c>
      <c r="I146" s="210">
        <f>IFERROR(INDEX(Ingredients[TtlWt],MATCH(Production[[#This Row],[Product]],Ingredients[ProdName],0))*Production[[#This Row],[Lots Done]],"")</f>
        <v>756</v>
      </c>
      <c r="J146" s="210">
        <f>IF(INDEX(Ingredients[Batter],MATCH(Production[[#This Row],[Product]],Ingredients[ProdName],0))*Production[[#This Row],[Batter Used]]&gt;0,INDEX(Ingredients[Batter],MATCH(Production[[#This Row],[Product]],Ingredients[ProdName],0))*Production[[#This Row],[Batter Used]],"")</f>
        <v>250</v>
      </c>
      <c r="K146" s="210">
        <f>IF(INDEX(Ingredients[Breader],MATCH(Production[[#This Row],[Product]],Ingredients[ProdName],0))*Production[[#This Row],[Breader Used]]&gt;0,INDEX(Ingredients[Breader],MATCH(Production[[#This Row],[Product]],Ingredients[ProdName],0))*Production[[#This Row],[Breader Used]],"")</f>
        <v>1100</v>
      </c>
      <c r="L146" s="56">
        <v>5</v>
      </c>
      <c r="M146" s="56">
        <v>22</v>
      </c>
      <c r="N146" s="211">
        <f>IFERROR(IF(SUM(Production[[#This Row],[Meat Wt]:[BrTtl]])&lt;&gt;0,SUM(Production[[#This Row],[Meat Wt]:[BrTtl]]),""),"")</f>
        <v>6026</v>
      </c>
      <c r="O146" s="55">
        <v>303</v>
      </c>
      <c r="P146" s="208">
        <f>INDEX(Ingredients[Case Wt.],MATCH(Production[[#This Row],[Product]],Ingredients[ProdName],0))*Production[[#This Row],[Case Total]]</f>
        <v>7575</v>
      </c>
      <c r="Q146" s="211">
        <f>IFERROR(Production[[#This Row],[SatWt]]-Production[[#This Row],[RawWt]],"")</f>
        <v>1549</v>
      </c>
      <c r="R146" s="222">
        <f>IF(Production[[#This Row],[Species]]&lt;&gt;"",IF(SUM(Production[[#This Row],[BtTtl]:[BrTtl]])/Production[[#This Row],[SatWt]]&lt;&gt;0,SUM(Production[[#This Row],[BtTtl]:[BrTtl]])/Production[[#This Row],[SatWt]],""),"")</f>
        <v>0.17821782178217821</v>
      </c>
      <c r="S146" s="223" t="str">
        <f>INDEX(Ingredients[Species],MATCH(Production[[#This Row],[Product]],Ingredients[ProdName],0))</f>
        <v>Poultry</v>
      </c>
    </row>
    <row r="147" spans="1:19" ht="11.1" customHeight="1" x14ac:dyDescent="0.25">
      <c r="A147" s="207" t="str">
        <f>IFERROR(IF(Production[[#This Row],[Date]]&lt;&gt;"",TEXT(Production[[#This Row],[Date]],"yy")&amp;"-"&amp;TEXT(Production[[#This Row],[Date]]-DATE(YEAR(Production[[#This Row],[Date]]),1,0),"000"),""),"")</f>
        <v>23-009</v>
      </c>
      <c r="B147" s="209" t="str">
        <f>IFERROR(IF(INDEX(Ingredients[Ingr1],MATCH(Production[[#This Row],[Product]],Ingredients[ProdName],0))&lt;&gt;"",INDEX(Ingredients[Ingr1],MATCH(Production[[#This Row],[Product]],Ingredients[ProdName],0)),INDEX(Ingredients[Ingr2],MATCH(Production[[#This Row],[Product]],Ingredients[ProdName],0))),"")</f>
        <v>Chicken - Ground</v>
      </c>
      <c r="C147" s="53">
        <v>44935</v>
      </c>
      <c r="D147" s="54" t="s">
        <v>13</v>
      </c>
      <c r="E147" s="55">
        <v>1130</v>
      </c>
      <c r="F147" s="56">
        <v>15</v>
      </c>
      <c r="G147" s="56">
        <v>90</v>
      </c>
      <c r="H147" s="208">
        <f>IFERROR(INDEX(Tier1[Wt],MATCH(Production[[#This Row],[Type]],Tier1[Ingredient],0))*Production[[#This Row],[Blocks Used]],0)</f>
        <v>4500</v>
      </c>
      <c r="I147" s="210">
        <f>IFERROR(INDEX(Ingredients[TtlWt],MATCH(Production[[#This Row],[Product]],Ingredients[ProdName],0))*Production[[#This Row],[Lots Done]],"")</f>
        <v>712.5</v>
      </c>
      <c r="J147" s="210" t="str">
        <f>IF(INDEX(Ingredients[Batter],MATCH(Production[[#This Row],[Product]],Ingredients[ProdName],0))*Production[[#This Row],[Batter Used]]&gt;0,INDEX(Ingredients[Batter],MATCH(Production[[#This Row],[Product]],Ingredients[ProdName],0))*Production[[#This Row],[Batter Used]],"")</f>
        <v/>
      </c>
      <c r="K147" s="210" t="str">
        <f>IF(INDEX(Ingredients[Breader],MATCH(Production[[#This Row],[Product]],Ingredients[ProdName],0))*Production[[#This Row],[Breader Used]]&gt;0,INDEX(Ingredients[Breader],MATCH(Production[[#This Row],[Product]],Ingredients[ProdName],0))*Production[[#This Row],[Breader Used]],"")</f>
        <v/>
      </c>
      <c r="L147" s="56"/>
      <c r="M147" s="56"/>
      <c r="N147" s="211">
        <f>IFERROR(IF(SUM(Production[[#This Row],[Meat Wt]:[BrTtl]])&lt;&gt;0,SUM(Production[[#This Row],[Meat Wt]:[BrTtl]]),""),"")</f>
        <v>5212.5</v>
      </c>
      <c r="O147" s="55">
        <v>230</v>
      </c>
      <c r="P147" s="208">
        <f>INDEX(Ingredients[Case Wt.],MATCH(Production[[#This Row],[Product]],Ingredients[ProdName],0))*Production[[#This Row],[Case Total]]</f>
        <v>6900</v>
      </c>
      <c r="Q147" s="211">
        <f>IFERROR(Production[[#This Row],[SatWt]]-Production[[#This Row],[RawWt]],"")</f>
        <v>1687.5</v>
      </c>
      <c r="R147" s="222" t="str">
        <f>IF(Production[[#This Row],[Species]]&lt;&gt;"",IF(SUM(Production[[#This Row],[BtTtl]:[BrTtl]])/Production[[#This Row],[SatWt]]&lt;&gt;0,SUM(Production[[#This Row],[BtTtl]:[BrTtl]])/Production[[#This Row],[SatWt]],""),"")</f>
        <v/>
      </c>
      <c r="S147" s="223" t="str">
        <f>INDEX(Ingredients[Species],MATCH(Production[[#This Row],[Product]],Ingredients[ProdName],0))</f>
        <v>Poultry</v>
      </c>
    </row>
    <row r="148" spans="1:19" ht="11.1" customHeight="1" x14ac:dyDescent="0.25">
      <c r="A148" s="207" t="str">
        <f>IFERROR(IF(Production[[#This Row],[Date]]&lt;&gt;"",TEXT(Production[[#This Row],[Date]],"yy")&amp;"-"&amp;TEXT(Production[[#This Row],[Date]]-DATE(YEAR(Production[[#This Row],[Date]]),1,0),"000"),""),"")</f>
        <v>23-010</v>
      </c>
      <c r="B148" s="209" t="str">
        <f>IFERROR(IF(INDEX(Ingredients[Ingr1],MATCH(Production[[#This Row],[Product]],Ingredients[ProdName],0))&lt;&gt;"",INDEX(Ingredients[Ingr1],MATCH(Production[[#This Row],[Product]],Ingredients[ProdName],0)),INDEX(Ingredients[Ingr2],MATCH(Production[[#This Row],[Product]],Ingredients[ProdName],0))),"")</f>
        <v>Chicken - Ground</v>
      </c>
      <c r="C148" s="53">
        <v>44936</v>
      </c>
      <c r="D148" s="54" t="s">
        <v>16</v>
      </c>
      <c r="E148" s="55">
        <v>1130</v>
      </c>
      <c r="F148" s="56">
        <v>5</v>
      </c>
      <c r="G148" s="56">
        <v>30</v>
      </c>
      <c r="H148" s="208">
        <f>IFERROR(INDEX(Tier1[Wt],MATCH(Production[[#This Row],[Type]],Tier1[Ingredient],0))*Production[[#This Row],[Blocks Used]],0)</f>
        <v>1500</v>
      </c>
      <c r="I148" s="210">
        <f>IFERROR(INDEX(Ingredients[TtlWt],MATCH(Production[[#This Row],[Product]],Ingredients[ProdName],0))*Production[[#This Row],[Lots Done]],"")</f>
        <v>102</v>
      </c>
      <c r="J148" s="210" t="str">
        <f>IF(INDEX(Ingredients[Batter],MATCH(Production[[#This Row],[Product]],Ingredients[ProdName],0))*Production[[#This Row],[Batter Used]]&gt;0,INDEX(Ingredients[Batter],MATCH(Production[[#This Row],[Product]],Ingredients[ProdName],0))*Production[[#This Row],[Batter Used]],"")</f>
        <v/>
      </c>
      <c r="K148" s="210" t="str">
        <f>IF(INDEX(Ingredients[Breader],MATCH(Production[[#This Row],[Product]],Ingredients[ProdName],0))*Production[[#This Row],[Breader Used]]&gt;0,INDEX(Ingredients[Breader],MATCH(Production[[#This Row],[Product]],Ingredients[ProdName],0))*Production[[#This Row],[Breader Used]],"")</f>
        <v/>
      </c>
      <c r="L148" s="56"/>
      <c r="M148" s="56"/>
      <c r="N148" s="211">
        <f>IFERROR(IF(SUM(Production[[#This Row],[Meat Wt]:[BrTtl]])&lt;&gt;0,SUM(Production[[#This Row],[Meat Wt]:[BrTtl]]),""),"")</f>
        <v>1602</v>
      </c>
      <c r="O148" s="55">
        <v>72</v>
      </c>
      <c r="P148" s="208">
        <f>INDEX(Ingredients[Case Wt.],MATCH(Production[[#This Row],[Product]],Ingredients[ProdName],0))*Production[[#This Row],[Case Total]]</f>
        <v>2160</v>
      </c>
      <c r="Q148" s="211">
        <f>IFERROR(Production[[#This Row],[SatWt]]-Production[[#This Row],[RawWt]],"")</f>
        <v>558</v>
      </c>
      <c r="R148" s="222" t="str">
        <f>IF(Production[[#This Row],[Species]]&lt;&gt;"",IF(SUM(Production[[#This Row],[BtTtl]:[BrTtl]])/Production[[#This Row],[SatWt]]&lt;&gt;0,SUM(Production[[#This Row],[BtTtl]:[BrTtl]])/Production[[#This Row],[SatWt]],""),"")</f>
        <v/>
      </c>
      <c r="S148" s="223" t="str">
        <f>INDEX(Ingredients[Species],MATCH(Production[[#This Row],[Product]],Ingredients[ProdName],0))</f>
        <v>Poultry</v>
      </c>
    </row>
    <row r="149" spans="1:19" ht="11.1" customHeight="1" x14ac:dyDescent="0.25">
      <c r="A149" s="207" t="str">
        <f>IFERROR(IF(Production[[#This Row],[Date]]&lt;&gt;"",TEXT(Production[[#This Row],[Date]],"yy")&amp;"-"&amp;TEXT(Production[[#This Row],[Date]]-DATE(YEAR(Production[[#This Row],[Date]]),1,0),"000"),""),"")</f>
        <v>23-011</v>
      </c>
      <c r="B149" s="209" t="str">
        <f>IFERROR(IF(INDEX(Ingredients[Ingr1],MATCH(Production[[#This Row],[Product]],Ingredients[ProdName],0))&lt;&gt;"",INDEX(Ingredients[Ingr1],MATCH(Production[[#This Row],[Product]],Ingredients[ProdName],0)),INDEX(Ingredients[Ingr2],MATCH(Production[[#This Row],[Product]],Ingredients[ProdName],0))),"")</f>
        <v>Chicken - Ground</v>
      </c>
      <c r="C149" s="53">
        <v>44937</v>
      </c>
      <c r="D149" s="54" t="s">
        <v>20</v>
      </c>
      <c r="E149" s="55">
        <v>1130</v>
      </c>
      <c r="F149" s="56">
        <v>10</v>
      </c>
      <c r="G149" s="56">
        <v>60</v>
      </c>
      <c r="H149" s="208">
        <f>IFERROR(INDEX(Tier1[Wt],MATCH(Production[[#This Row],[Type]],Tier1[Ingredient],0))*Production[[#This Row],[Blocks Used]],0)</f>
        <v>3000</v>
      </c>
      <c r="I149" s="210">
        <f>IFERROR(INDEX(Ingredients[TtlWt],MATCH(Production[[#This Row],[Product]],Ingredients[ProdName],0))*Production[[#This Row],[Lots Done]],"")</f>
        <v>204</v>
      </c>
      <c r="J149" s="210" t="str">
        <f>IF(INDEX(Ingredients[Batter],MATCH(Production[[#This Row],[Product]],Ingredients[ProdName],0))*Production[[#This Row],[Batter Used]]&gt;0,INDEX(Ingredients[Batter],MATCH(Production[[#This Row],[Product]],Ingredients[ProdName],0))*Production[[#This Row],[Batter Used]],"")</f>
        <v/>
      </c>
      <c r="K149" s="210" t="str">
        <f>IF(INDEX(Ingredients[Breader],MATCH(Production[[#This Row],[Product]],Ingredients[ProdName],0))*Production[[#This Row],[Breader Used]]&gt;0,INDEX(Ingredients[Breader],MATCH(Production[[#This Row],[Product]],Ingredients[ProdName],0))*Production[[#This Row],[Breader Used]],"")</f>
        <v/>
      </c>
      <c r="L149" s="56"/>
      <c r="M149" s="56"/>
      <c r="N149" s="211">
        <f>IFERROR(IF(SUM(Production[[#This Row],[Meat Wt]:[BrTtl]])&lt;&gt;0,SUM(Production[[#This Row],[Meat Wt]:[BrTtl]]),""),"")</f>
        <v>3204</v>
      </c>
      <c r="O149" s="55">
        <v>181</v>
      </c>
      <c r="P149" s="208">
        <f>INDEX(Ingredients[Case Wt.],MATCH(Production[[#This Row],[Product]],Ingredients[ProdName],0))*Production[[#This Row],[Case Total]]</f>
        <v>4525</v>
      </c>
      <c r="Q149" s="211">
        <f>IFERROR(Production[[#This Row],[SatWt]]-Production[[#This Row],[RawWt]],"")</f>
        <v>1321</v>
      </c>
      <c r="R149" s="222" t="str">
        <f>IF(Production[[#This Row],[Species]]&lt;&gt;"",IF(SUM(Production[[#This Row],[BtTtl]:[BrTtl]])/Production[[#This Row],[SatWt]]&lt;&gt;0,SUM(Production[[#This Row],[BtTtl]:[BrTtl]])/Production[[#This Row],[SatWt]],""),"")</f>
        <v/>
      </c>
      <c r="S149" s="223" t="str">
        <f>INDEX(Ingredients[Species],MATCH(Production[[#This Row],[Product]],Ingredients[ProdName],0))</f>
        <v>Poultry</v>
      </c>
    </row>
    <row r="150" spans="1:19" ht="11.1" customHeight="1" x14ac:dyDescent="0.25">
      <c r="A150" s="207" t="str">
        <f>IFERROR(IF(Production[[#This Row],[Date]]&lt;&gt;"",TEXT(Production[[#This Row],[Date]],"yy")&amp;"-"&amp;TEXT(Production[[#This Row],[Date]]-DATE(YEAR(Production[[#This Row],[Date]]),1,0),"000"),""),"")</f>
        <v>23-012</v>
      </c>
      <c r="B150" s="209" t="str">
        <f>IFERROR(IF(INDEX(Ingredients[Ingr1],MATCH(Production[[#This Row],[Product]],Ingredients[ProdName],0))&lt;&gt;"",INDEX(Ingredients[Ingr1],MATCH(Production[[#This Row],[Product]],Ingredients[ProdName],0)),INDEX(Ingredients[Ingr2],MATCH(Production[[#This Row],[Product]],Ingredients[ProdName],0))),"")</f>
        <v>Chicken - Ground</v>
      </c>
      <c r="C150" s="53">
        <v>44938</v>
      </c>
      <c r="D150" s="54" t="s">
        <v>20</v>
      </c>
      <c r="E150" s="55">
        <v>1130</v>
      </c>
      <c r="F150" s="56">
        <v>12</v>
      </c>
      <c r="G150" s="56">
        <v>72</v>
      </c>
      <c r="H150" s="208">
        <f>IFERROR(INDEX(Tier1[Wt],MATCH(Production[[#This Row],[Type]],Tier1[Ingredient],0))*Production[[#This Row],[Blocks Used]],0)</f>
        <v>3600</v>
      </c>
      <c r="I150" s="210">
        <f>IFERROR(INDEX(Ingredients[TtlWt],MATCH(Production[[#This Row],[Product]],Ingredients[ProdName],0))*Production[[#This Row],[Lots Done]],"")</f>
        <v>244.79999999999998</v>
      </c>
      <c r="J150" s="210" t="str">
        <f>IF(INDEX(Ingredients[Batter],MATCH(Production[[#This Row],[Product]],Ingredients[ProdName],0))*Production[[#This Row],[Batter Used]]&gt;0,INDEX(Ingredients[Batter],MATCH(Production[[#This Row],[Product]],Ingredients[ProdName],0))*Production[[#This Row],[Batter Used]],"")</f>
        <v/>
      </c>
      <c r="K150" s="210" t="str">
        <f>IF(INDEX(Ingredients[Breader],MATCH(Production[[#This Row],[Product]],Ingredients[ProdName],0))*Production[[#This Row],[Breader Used]]&gt;0,INDEX(Ingredients[Breader],MATCH(Production[[#This Row],[Product]],Ingredients[ProdName],0))*Production[[#This Row],[Breader Used]],"")</f>
        <v/>
      </c>
      <c r="L150" s="56"/>
      <c r="M150" s="56"/>
      <c r="N150" s="211">
        <f>IFERROR(IF(SUM(Production[[#This Row],[Meat Wt]:[BrTtl]])&lt;&gt;0,SUM(Production[[#This Row],[Meat Wt]:[BrTtl]]),""),"")</f>
        <v>3844.8</v>
      </c>
      <c r="O150" s="55">
        <v>219</v>
      </c>
      <c r="P150" s="208">
        <f>INDEX(Ingredients[Case Wt.],MATCH(Production[[#This Row],[Product]],Ingredients[ProdName],0))*Production[[#This Row],[Case Total]]</f>
        <v>5475</v>
      </c>
      <c r="Q150" s="211">
        <f>IFERROR(Production[[#This Row],[SatWt]]-Production[[#This Row],[RawWt]],"")</f>
        <v>1630.1999999999998</v>
      </c>
      <c r="R150" s="222" t="str">
        <f>IF(Production[[#This Row],[Species]]&lt;&gt;"",IF(SUM(Production[[#This Row],[BtTtl]:[BrTtl]])/Production[[#This Row],[SatWt]]&lt;&gt;0,SUM(Production[[#This Row],[BtTtl]:[BrTtl]])/Production[[#This Row],[SatWt]],""),"")</f>
        <v/>
      </c>
      <c r="S150" s="223" t="str">
        <f>INDEX(Ingredients[Species],MATCH(Production[[#This Row],[Product]],Ingredients[ProdName],0))</f>
        <v>Poultry</v>
      </c>
    </row>
    <row r="151" spans="1:19" ht="11.1" customHeight="1" x14ac:dyDescent="0.25">
      <c r="A151" s="207" t="str">
        <f>IFERROR(IF(Production[[#This Row],[Date]]&lt;&gt;"",TEXT(Production[[#This Row],[Date]],"yy")&amp;"-"&amp;TEXT(Production[[#This Row],[Date]]-DATE(YEAR(Production[[#This Row],[Date]]),1,0),"000"),""),"")</f>
        <v>23-017</v>
      </c>
      <c r="B151" s="209" t="str">
        <f>IFERROR(IF(INDEX(Ingredients[Ingr1],MATCH(Production[[#This Row],[Product]],Ingredients[ProdName],0))&lt;&gt;"",INDEX(Ingredients[Ingr1],MATCH(Production[[#This Row],[Product]],Ingredients[ProdName],0)),INDEX(Ingredients[Ingr2],MATCH(Production[[#This Row],[Product]],Ingredients[ProdName],0))),"")</f>
        <v>Chicken - Ground</v>
      </c>
      <c r="C151" s="53">
        <v>44943</v>
      </c>
      <c r="D151" s="54" t="s">
        <v>20</v>
      </c>
      <c r="E151" s="55">
        <v>1130</v>
      </c>
      <c r="F151" s="56">
        <v>10</v>
      </c>
      <c r="G151" s="56">
        <v>60</v>
      </c>
      <c r="H151" s="208">
        <f>IFERROR(INDEX(Tier1[Wt],MATCH(Production[[#This Row],[Type]],Tier1[Ingredient],0))*Production[[#This Row],[Blocks Used]],0)</f>
        <v>3000</v>
      </c>
      <c r="I151" s="210">
        <f>IFERROR(INDEX(Ingredients[TtlWt],MATCH(Production[[#This Row],[Product]],Ingredients[ProdName],0))*Production[[#This Row],[Lots Done]],"")</f>
        <v>204</v>
      </c>
      <c r="J151" s="210" t="str">
        <f>IF(INDEX(Ingredients[Batter],MATCH(Production[[#This Row],[Product]],Ingredients[ProdName],0))*Production[[#This Row],[Batter Used]]&gt;0,INDEX(Ingredients[Batter],MATCH(Production[[#This Row],[Product]],Ingredients[ProdName],0))*Production[[#This Row],[Batter Used]],"")</f>
        <v/>
      </c>
      <c r="K151" s="210" t="str">
        <f>IF(INDEX(Ingredients[Breader],MATCH(Production[[#This Row],[Product]],Ingredients[ProdName],0))*Production[[#This Row],[Breader Used]]&gt;0,INDEX(Ingredients[Breader],MATCH(Production[[#This Row],[Product]],Ingredients[ProdName],0))*Production[[#This Row],[Breader Used]],"")</f>
        <v/>
      </c>
      <c r="L151" s="56"/>
      <c r="M151" s="56"/>
      <c r="N151" s="211">
        <f>IFERROR(IF(SUM(Production[[#This Row],[Meat Wt]:[BrTtl]])&lt;&gt;0,SUM(Production[[#This Row],[Meat Wt]:[BrTtl]]),""),"")</f>
        <v>3204</v>
      </c>
      <c r="O151" s="55">
        <v>186</v>
      </c>
      <c r="P151" s="208">
        <f>INDEX(Ingredients[Case Wt.],MATCH(Production[[#This Row],[Product]],Ingredients[ProdName],0))*Production[[#This Row],[Case Total]]</f>
        <v>4650</v>
      </c>
      <c r="Q151" s="211">
        <f>IFERROR(Production[[#This Row],[SatWt]]-Production[[#This Row],[RawWt]],"")</f>
        <v>1446</v>
      </c>
      <c r="R151" s="222" t="str">
        <f>IF(Production[[#This Row],[Species]]&lt;&gt;"",IF(SUM(Production[[#This Row],[BtTtl]:[BrTtl]])/Production[[#This Row],[SatWt]]&lt;&gt;0,SUM(Production[[#This Row],[BtTtl]:[BrTtl]])/Production[[#This Row],[SatWt]],""),"")</f>
        <v/>
      </c>
      <c r="S151" s="223" t="str">
        <f>INDEX(Ingredients[Species],MATCH(Production[[#This Row],[Product]],Ingredients[ProdName],0))</f>
        <v>Poultry</v>
      </c>
    </row>
    <row r="152" spans="1:19" ht="11.1" customHeight="1" x14ac:dyDescent="0.25">
      <c r="A152" s="207" t="str">
        <f>IFERROR(IF(Production[[#This Row],[Date]]&lt;&gt;"",TEXT(Production[[#This Row],[Date]],"yy")&amp;"-"&amp;TEXT(Production[[#This Row],[Date]]-DATE(YEAR(Production[[#This Row],[Date]]),1,0),"000"),""),"")</f>
        <v>23-018</v>
      </c>
      <c r="B152" s="209" t="str">
        <f>IFERROR(IF(INDEX(Ingredients[Ingr1],MATCH(Production[[#This Row],[Product]],Ingredients[ProdName],0))&lt;&gt;"",INDEX(Ingredients[Ingr1],MATCH(Production[[#This Row],[Product]],Ingredients[ProdName],0)),INDEX(Ingredients[Ingr2],MATCH(Production[[#This Row],[Product]],Ingredients[ProdName],0))),"")</f>
        <v>Chicken - Ground</v>
      </c>
      <c r="C152" s="53">
        <v>44944</v>
      </c>
      <c r="D152" s="54" t="s">
        <v>19</v>
      </c>
      <c r="E152" s="55">
        <v>1130</v>
      </c>
      <c r="F152" s="56">
        <v>12</v>
      </c>
      <c r="G152" s="56">
        <v>72</v>
      </c>
      <c r="H152" s="208">
        <f>IFERROR(INDEX(Tier1[Wt],MATCH(Production[[#This Row],[Type]],Tier1[Ingredient],0))*Production[[#This Row],[Blocks Used]],0)</f>
        <v>3600</v>
      </c>
      <c r="I152" s="210">
        <f>IFERROR(INDEX(Ingredients[TtlWt],MATCH(Production[[#This Row],[Product]],Ingredients[ProdName],0))*Production[[#This Row],[Lots Done]],"")</f>
        <v>139.80000000000001</v>
      </c>
      <c r="J152" s="210" t="str">
        <f>IF(INDEX(Ingredients[Batter],MATCH(Production[[#This Row],[Product]],Ingredients[ProdName],0))*Production[[#This Row],[Batter Used]]&gt;0,INDEX(Ingredients[Batter],MATCH(Production[[#This Row],[Product]],Ingredients[ProdName],0))*Production[[#This Row],[Batter Used]],"")</f>
        <v/>
      </c>
      <c r="K152" s="210" t="str">
        <f>IF(INDEX(Ingredients[Breader],MATCH(Production[[#This Row],[Product]],Ingredients[ProdName],0))*Production[[#This Row],[Breader Used]]&gt;0,INDEX(Ingredients[Breader],MATCH(Production[[#This Row],[Product]],Ingredients[ProdName],0))*Production[[#This Row],[Breader Used]],"")</f>
        <v/>
      </c>
      <c r="L152" s="56"/>
      <c r="M152" s="56"/>
      <c r="N152" s="211">
        <f>IFERROR(IF(SUM(Production[[#This Row],[Meat Wt]:[BrTtl]])&lt;&gt;0,SUM(Production[[#This Row],[Meat Wt]:[BrTtl]]),""),"")</f>
        <v>3739.8</v>
      </c>
      <c r="O152" s="55">
        <v>220</v>
      </c>
      <c r="P152" s="208">
        <f>INDEX(Ingredients[Case Wt.],MATCH(Production[[#This Row],[Product]],Ingredients[ProdName],0))*Production[[#This Row],[Case Total]]</f>
        <v>5500</v>
      </c>
      <c r="Q152" s="211">
        <f>IFERROR(Production[[#This Row],[SatWt]]-Production[[#This Row],[RawWt]],"")</f>
        <v>1760.1999999999998</v>
      </c>
      <c r="R152" s="222" t="str">
        <f>IF(Production[[#This Row],[Species]]&lt;&gt;"",IF(SUM(Production[[#This Row],[BtTtl]:[BrTtl]])/Production[[#This Row],[SatWt]]&lt;&gt;0,SUM(Production[[#This Row],[BtTtl]:[BrTtl]])/Production[[#This Row],[SatWt]],""),"")</f>
        <v/>
      </c>
      <c r="S152" s="223" t="str">
        <f>INDEX(Ingredients[Species],MATCH(Production[[#This Row],[Product]],Ingredients[ProdName],0))</f>
        <v>Poultry</v>
      </c>
    </row>
    <row r="153" spans="1:19" ht="11.1" customHeight="1" x14ac:dyDescent="0.25">
      <c r="A153" s="207" t="str">
        <f>IFERROR(IF(Production[[#This Row],[Date]]&lt;&gt;"",TEXT(Production[[#This Row],[Date]],"yy")&amp;"-"&amp;TEXT(Production[[#This Row],[Date]]-DATE(YEAR(Production[[#This Row],[Date]]),1,0),"000"),""),"")</f>
        <v>23-019</v>
      </c>
      <c r="B153" s="209" t="str">
        <f>IFERROR(IF(INDEX(Ingredients[Ingr1],MATCH(Production[[#This Row],[Product]],Ingredients[ProdName],0))&lt;&gt;"",INDEX(Ingredients[Ingr1],MATCH(Production[[#This Row],[Product]],Ingredients[ProdName],0)),INDEX(Ingredients[Ingr2],MATCH(Production[[#This Row],[Product]],Ingredients[ProdName],0))),"")</f>
        <v>Chicken - Ground</v>
      </c>
      <c r="C153" s="53">
        <v>44945</v>
      </c>
      <c r="D153" s="54" t="s">
        <v>15</v>
      </c>
      <c r="E153" s="55">
        <v>1130</v>
      </c>
      <c r="F153" s="56">
        <v>2</v>
      </c>
      <c r="G153" s="56">
        <v>12</v>
      </c>
      <c r="H153" s="208">
        <f>IFERROR(INDEX(Tier1[Wt],MATCH(Production[[#This Row],[Type]],Tier1[Ingredient],0))*Production[[#This Row],[Blocks Used]],0)</f>
        <v>600</v>
      </c>
      <c r="I153" s="210">
        <f>IFERROR(INDEX(Ingredients[TtlWt],MATCH(Production[[#This Row],[Product]],Ingredients[ProdName],0))*Production[[#This Row],[Lots Done]],"")</f>
        <v>23.3</v>
      </c>
      <c r="J153" s="210" t="str">
        <f>IF(INDEX(Ingredients[Batter],MATCH(Production[[#This Row],[Product]],Ingredients[ProdName],0))*Production[[#This Row],[Batter Used]]&gt;0,INDEX(Ingredients[Batter],MATCH(Production[[#This Row],[Product]],Ingredients[ProdName],0))*Production[[#This Row],[Batter Used]],"")</f>
        <v/>
      </c>
      <c r="K153" s="210" t="str">
        <f>IF(INDEX(Ingredients[Breader],MATCH(Production[[#This Row],[Product]],Ingredients[ProdName],0))*Production[[#This Row],[Breader Used]]&gt;0,INDEX(Ingredients[Breader],MATCH(Production[[#This Row],[Product]],Ingredients[ProdName],0))*Production[[#This Row],[Breader Used]],"")</f>
        <v/>
      </c>
      <c r="L153" s="56"/>
      <c r="M153" s="56"/>
      <c r="N153" s="211">
        <f>IFERROR(IF(SUM(Production[[#This Row],[Meat Wt]:[BrTtl]])&lt;&gt;0,SUM(Production[[#This Row],[Meat Wt]:[BrTtl]]),""),"")</f>
        <v>623.29999999999995</v>
      </c>
      <c r="O153" s="55">
        <v>32</v>
      </c>
      <c r="P153" s="208">
        <f>INDEX(Ingredients[Case Wt.],MATCH(Production[[#This Row],[Product]],Ingredients[ProdName],0))*Production[[#This Row],[Case Total]]</f>
        <v>960</v>
      </c>
      <c r="Q153" s="211">
        <f>IFERROR(Production[[#This Row],[SatWt]]-Production[[#This Row],[RawWt]],"")</f>
        <v>336.70000000000005</v>
      </c>
      <c r="R153" s="222" t="str">
        <f>IF(Production[[#This Row],[Species]]&lt;&gt;"",IF(SUM(Production[[#This Row],[BtTtl]:[BrTtl]])/Production[[#This Row],[SatWt]]&lt;&gt;0,SUM(Production[[#This Row],[BtTtl]:[BrTtl]])/Production[[#This Row],[SatWt]],""),"")</f>
        <v/>
      </c>
      <c r="S153" s="223" t="str">
        <f>INDEX(Ingredients[Species],MATCH(Production[[#This Row],[Product]],Ingredients[ProdName],0))</f>
        <v>Poultry</v>
      </c>
    </row>
    <row r="154" spans="1:19" ht="11.1" customHeight="1" x14ac:dyDescent="0.25">
      <c r="A154" s="207" t="str">
        <f>IFERROR(IF(Production[[#This Row],[Date]]&lt;&gt;"",TEXT(Production[[#This Row],[Date]],"yy")&amp;"-"&amp;TEXT(Production[[#This Row],[Date]]-DATE(YEAR(Production[[#This Row],[Date]]),1,0),"000"),""),"")</f>
        <v>23-019</v>
      </c>
      <c r="B154" s="209" t="str">
        <f>IFERROR(IF(INDEX(Ingredients[Ingr1],MATCH(Production[[#This Row],[Product]],Ingredients[ProdName],0))&lt;&gt;"",INDEX(Ingredients[Ingr1],MATCH(Production[[#This Row],[Product]],Ingredients[ProdName],0)),INDEX(Ingredients[Ingr2],MATCH(Production[[#This Row],[Product]],Ingredients[ProdName],0))),"")</f>
        <v>Chicken - Ground</v>
      </c>
      <c r="C154" s="53">
        <v>44945</v>
      </c>
      <c r="D154" s="54" t="s">
        <v>15</v>
      </c>
      <c r="E154" s="55">
        <v>1130</v>
      </c>
      <c r="F154" s="56">
        <v>10</v>
      </c>
      <c r="G154" s="56">
        <v>60</v>
      </c>
      <c r="H154" s="208">
        <f>IFERROR(INDEX(Tier1[Wt],MATCH(Production[[#This Row],[Type]],Tier1[Ingredient],0))*Production[[#This Row],[Blocks Used]],0)</f>
        <v>3000</v>
      </c>
      <c r="I154" s="210">
        <f>IFERROR(INDEX(Ingredients[TtlWt],MATCH(Production[[#This Row],[Product]],Ingredients[ProdName],0))*Production[[#This Row],[Lots Done]],"")</f>
        <v>116.5</v>
      </c>
      <c r="J154" s="210" t="str">
        <f>IF(INDEX(Ingredients[Batter],MATCH(Production[[#This Row],[Product]],Ingredients[ProdName],0))*Production[[#This Row],[Batter Used]]&gt;0,INDEX(Ingredients[Batter],MATCH(Production[[#This Row],[Product]],Ingredients[ProdName],0))*Production[[#This Row],[Batter Used]],"")</f>
        <v/>
      </c>
      <c r="K154" s="210" t="str">
        <f>IF(INDEX(Ingredients[Breader],MATCH(Production[[#This Row],[Product]],Ingredients[ProdName],0))*Production[[#This Row],[Breader Used]]&gt;0,INDEX(Ingredients[Breader],MATCH(Production[[#This Row],[Product]],Ingredients[ProdName],0))*Production[[#This Row],[Breader Used]],"")</f>
        <v/>
      </c>
      <c r="L154" s="56"/>
      <c r="M154" s="56"/>
      <c r="N154" s="211">
        <f>IFERROR(IF(SUM(Production[[#This Row],[Meat Wt]:[BrTtl]])&lt;&gt;0,SUM(Production[[#This Row],[Meat Wt]:[BrTtl]]),""),"")</f>
        <v>3116.5</v>
      </c>
      <c r="O154" s="55">
        <v>110</v>
      </c>
      <c r="P154" s="208">
        <f>INDEX(Ingredients[Case Wt.],MATCH(Production[[#This Row],[Product]],Ingredients[ProdName],0))*Production[[#This Row],[Case Total]]</f>
        <v>3300</v>
      </c>
      <c r="Q154" s="211">
        <f>IFERROR(Production[[#This Row],[SatWt]]-Production[[#This Row],[RawWt]],"")</f>
        <v>183.5</v>
      </c>
      <c r="R154" s="222" t="str">
        <f>IF(Production[[#This Row],[Species]]&lt;&gt;"",IF(SUM(Production[[#This Row],[BtTtl]:[BrTtl]])/Production[[#This Row],[SatWt]]&lt;&gt;0,SUM(Production[[#This Row],[BtTtl]:[BrTtl]])/Production[[#This Row],[SatWt]],""),"")</f>
        <v/>
      </c>
      <c r="S154" s="223" t="str">
        <f>INDEX(Ingredients[Species],MATCH(Production[[#This Row],[Product]],Ingredients[ProdName],0))</f>
        <v>Poultry</v>
      </c>
    </row>
    <row r="155" spans="1:19" ht="11.1" customHeight="1" x14ac:dyDescent="0.25">
      <c r="A155" s="207" t="str">
        <f>IFERROR(IF(Production[[#This Row],[Date]]&lt;&gt;"",TEXT(Production[[#This Row],[Date]],"yy")&amp;"-"&amp;TEXT(Production[[#This Row],[Date]]-DATE(YEAR(Production[[#This Row],[Date]]),1,0),"000"),""),"")</f>
        <v>23-023</v>
      </c>
      <c r="B155" s="209" t="str">
        <f>IFERROR(IF(INDEX(Ingredients[Ingr1],MATCH(Production[[#This Row],[Product]],Ingredients[ProdName],0))&lt;&gt;"",INDEX(Ingredients[Ingr1],MATCH(Production[[#This Row],[Product]],Ingredients[ProdName],0)),INDEX(Ingredients[Ingr2],MATCH(Production[[#This Row],[Product]],Ingredients[ProdName],0))),"")</f>
        <v>Chicken - Ground</v>
      </c>
      <c r="C155" s="53">
        <v>44949</v>
      </c>
      <c r="D155" s="54" t="s">
        <v>23</v>
      </c>
      <c r="E155" s="55">
        <v>1130</v>
      </c>
      <c r="F155" s="56">
        <v>5</v>
      </c>
      <c r="G155" s="56">
        <v>75</v>
      </c>
      <c r="H155" s="208">
        <f>IFERROR(INDEX(Tier1[Wt],MATCH(Production[[#This Row],[Type]],Tier1[Ingredient],0))*Production[[#This Row],[Blocks Used]],0)</f>
        <v>3750</v>
      </c>
      <c r="I155" s="210">
        <f>IFERROR(INDEX(Ingredients[TtlWt],MATCH(Production[[#This Row],[Product]],Ingredients[ProdName],0))*Production[[#This Row],[Lots Done]],"")</f>
        <v>58.25</v>
      </c>
      <c r="J155" s="210" t="str">
        <f>IF(INDEX(Ingredients[Batter],MATCH(Production[[#This Row],[Product]],Ingredients[ProdName],0))*Production[[#This Row],[Batter Used]]&gt;0,INDEX(Ingredients[Batter],MATCH(Production[[#This Row],[Product]],Ingredients[ProdName],0))*Production[[#This Row],[Batter Used]],"")</f>
        <v/>
      </c>
      <c r="K155" s="210" t="str">
        <f>IF(INDEX(Ingredients[Breader],MATCH(Production[[#This Row],[Product]],Ingredients[ProdName],0))*Production[[#This Row],[Breader Used]]&gt;0,INDEX(Ingredients[Breader],MATCH(Production[[#This Row],[Product]],Ingredients[ProdName],0))*Production[[#This Row],[Breader Used]],"")</f>
        <v/>
      </c>
      <c r="L155" s="56"/>
      <c r="M155" s="56"/>
      <c r="N155" s="211">
        <f>IFERROR(IF(SUM(Production[[#This Row],[Meat Wt]:[BrTtl]])&lt;&gt;0,SUM(Production[[#This Row],[Meat Wt]:[BrTtl]]),""),"")</f>
        <v>3808.25</v>
      </c>
      <c r="O155" s="55">
        <v>77</v>
      </c>
      <c r="P155" s="208">
        <f>INDEX(Ingredients[Case Wt.],MATCH(Production[[#This Row],[Product]],Ingredients[ProdName],0))*Production[[#This Row],[Case Total]]</f>
        <v>2310</v>
      </c>
      <c r="Q155" s="211">
        <f>IFERROR(Production[[#This Row],[SatWt]]-Production[[#This Row],[RawWt]],"")</f>
        <v>-1498.25</v>
      </c>
      <c r="R155" s="222" t="str">
        <f>IF(Production[[#This Row],[Species]]&lt;&gt;"",IF(SUM(Production[[#This Row],[BtTtl]:[BrTtl]])/Production[[#This Row],[SatWt]]&lt;&gt;0,SUM(Production[[#This Row],[BtTtl]:[BrTtl]])/Production[[#This Row],[SatWt]],""),"")</f>
        <v/>
      </c>
      <c r="S155" s="223" t="str">
        <f>INDEX(Ingredients[Species],MATCH(Production[[#This Row],[Product]],Ingredients[ProdName],0))</f>
        <v>Poultry</v>
      </c>
    </row>
    <row r="156" spans="1:19" ht="11.1" customHeight="1" x14ac:dyDescent="0.25">
      <c r="A156" s="207" t="str">
        <f>IFERROR(IF(Production[[#This Row],[Date]]&lt;&gt;"",TEXT(Production[[#This Row],[Date]],"yy")&amp;"-"&amp;TEXT(Production[[#This Row],[Date]]-DATE(YEAR(Production[[#This Row],[Date]]),1,0),"000"),""),"")</f>
        <v>23-023</v>
      </c>
      <c r="B156" s="209" t="str">
        <f>IFERROR(IF(INDEX(Ingredients[Ingr1],MATCH(Production[[#This Row],[Product]],Ingredients[ProdName],0))&lt;&gt;"",INDEX(Ingredients[Ingr1],MATCH(Production[[#This Row],[Product]],Ingredients[ProdName],0)),INDEX(Ingredients[Ingr2],MATCH(Production[[#This Row],[Product]],Ingredients[ProdName],0))),"")</f>
        <v>Chicken - Ground</v>
      </c>
      <c r="C156" s="53">
        <v>44949</v>
      </c>
      <c r="D156" s="54" t="s">
        <v>9</v>
      </c>
      <c r="E156" s="55">
        <v>1130</v>
      </c>
      <c r="F156" s="56">
        <v>15</v>
      </c>
      <c r="G156" s="56">
        <v>90</v>
      </c>
      <c r="H156" s="208">
        <f>IFERROR(INDEX(Tier1[Wt],MATCH(Production[[#This Row],[Type]],Tier1[Ingredient],0))*Production[[#This Row],[Blocks Used]],0)</f>
        <v>4500</v>
      </c>
      <c r="I156" s="210" t="str">
        <f>IFERROR(INDEX(Ingredients[TtlWt],MATCH(Production[[#This Row],[Product]],Ingredients[ProdName],0))*Production[[#This Row],[Lots Done]],"")</f>
        <v/>
      </c>
      <c r="J156" s="210" t="str">
        <f>IF(INDEX(Ingredients[Batter],MATCH(Production[[#This Row],[Product]],Ingredients[ProdName],0))*Production[[#This Row],[Batter Used]]&gt;0,INDEX(Ingredients[Batter],MATCH(Production[[#This Row],[Product]],Ingredients[ProdName],0))*Production[[#This Row],[Batter Used]],"")</f>
        <v/>
      </c>
      <c r="K156" s="210" t="str">
        <f>IF(INDEX(Ingredients[Breader],MATCH(Production[[#This Row],[Product]],Ingredients[ProdName],0))*Production[[#This Row],[Breader Used]]&gt;0,INDEX(Ingredients[Breader],MATCH(Production[[#This Row],[Product]],Ingredients[ProdName],0))*Production[[#This Row],[Breader Used]],"")</f>
        <v/>
      </c>
      <c r="L156" s="56"/>
      <c r="M156" s="56"/>
      <c r="N156" s="211">
        <f>IFERROR(IF(SUM(Production[[#This Row],[Meat Wt]:[BrTtl]])&lt;&gt;0,SUM(Production[[#This Row],[Meat Wt]:[BrTtl]]),""),"")</f>
        <v>4500</v>
      </c>
      <c r="O156" s="55">
        <v>200</v>
      </c>
      <c r="P156" s="208">
        <f>INDEX(Ingredients[Case Wt.],MATCH(Production[[#This Row],[Product]],Ingredients[ProdName],0))*Production[[#This Row],[Case Total]]</f>
        <v>6000</v>
      </c>
      <c r="Q156" s="211">
        <f>IFERROR(Production[[#This Row],[SatWt]]-Production[[#This Row],[RawWt]],"")</f>
        <v>1500</v>
      </c>
      <c r="R156" s="222" t="str">
        <f>IF(Production[[#This Row],[Species]]&lt;&gt;"",IF(SUM(Production[[#This Row],[BtTtl]:[BrTtl]])/Production[[#This Row],[SatWt]]&lt;&gt;0,SUM(Production[[#This Row],[BtTtl]:[BrTtl]])/Production[[#This Row],[SatWt]],""),"")</f>
        <v/>
      </c>
      <c r="S156" s="223" t="str">
        <f>INDEX(Ingredients[Species],MATCH(Production[[#This Row],[Product]],Ingredients[ProdName],0))</f>
        <v>Poultry</v>
      </c>
    </row>
    <row r="157" spans="1:19" ht="11.1" customHeight="1" x14ac:dyDescent="0.25">
      <c r="A157" s="207" t="str">
        <f>IFERROR(IF(Production[[#This Row],[Date]]&lt;&gt;"",TEXT(Production[[#This Row],[Date]],"yy")&amp;"-"&amp;TEXT(Production[[#This Row],[Date]]-DATE(YEAR(Production[[#This Row],[Date]]),1,0),"000"),""),"")</f>
        <v>23-025</v>
      </c>
      <c r="B157" s="209" t="str">
        <f>IFERROR(IF(INDEX(Ingredients[Ingr1],MATCH(Production[[#This Row],[Product]],Ingredients[ProdName],0))&lt;&gt;"",INDEX(Ingredients[Ingr1],MATCH(Production[[#This Row],[Product]],Ingredients[ProdName],0)),INDEX(Ingredients[Ingr2],MATCH(Production[[#This Row],[Product]],Ingredients[ProdName],0))),"")</f>
        <v>Chicken - Ground</v>
      </c>
      <c r="C157" s="53">
        <v>44951</v>
      </c>
      <c r="D157" s="54" t="s">
        <v>15</v>
      </c>
      <c r="E157" s="55">
        <v>1130</v>
      </c>
      <c r="F157" s="56">
        <v>8</v>
      </c>
      <c r="G157" s="56">
        <v>48</v>
      </c>
      <c r="H157" s="208">
        <f>IFERROR(INDEX(Tier1[Wt],MATCH(Production[[#This Row],[Type]],Tier1[Ingredient],0))*Production[[#This Row],[Blocks Used]],0)</f>
        <v>2400</v>
      </c>
      <c r="I157" s="210">
        <f>IFERROR(INDEX(Ingredients[TtlWt],MATCH(Production[[#This Row],[Product]],Ingredients[ProdName],0))*Production[[#This Row],[Lots Done]],"")</f>
        <v>93.2</v>
      </c>
      <c r="J157" s="210" t="str">
        <f>IF(INDEX(Ingredients[Batter],MATCH(Production[[#This Row],[Product]],Ingredients[ProdName],0))*Production[[#This Row],[Batter Used]]&gt;0,INDEX(Ingredients[Batter],MATCH(Production[[#This Row],[Product]],Ingredients[ProdName],0))*Production[[#This Row],[Batter Used]],"")</f>
        <v/>
      </c>
      <c r="K157" s="210" t="str">
        <f>IF(INDEX(Ingredients[Breader],MATCH(Production[[#This Row],[Product]],Ingredients[ProdName],0))*Production[[#This Row],[Breader Used]]&gt;0,INDEX(Ingredients[Breader],MATCH(Production[[#This Row],[Product]],Ingredients[ProdName],0))*Production[[#This Row],[Breader Used]],"")</f>
        <v/>
      </c>
      <c r="L157" s="56"/>
      <c r="M157" s="56"/>
      <c r="N157" s="211">
        <f>IFERROR(IF(SUM(Production[[#This Row],[Meat Wt]:[BrTtl]])&lt;&gt;0,SUM(Production[[#This Row],[Meat Wt]:[BrTtl]]),""),"")</f>
        <v>2493.1999999999998</v>
      </c>
      <c r="O157" s="55">
        <v>122</v>
      </c>
      <c r="P157" s="208">
        <f>INDEX(Ingredients[Case Wt.],MATCH(Production[[#This Row],[Product]],Ingredients[ProdName],0))*Production[[#This Row],[Case Total]]</f>
        <v>3660</v>
      </c>
      <c r="Q157" s="211">
        <f>IFERROR(Production[[#This Row],[SatWt]]-Production[[#This Row],[RawWt]],"")</f>
        <v>1166.8000000000002</v>
      </c>
      <c r="R157" s="222" t="str">
        <f>IF(Production[[#This Row],[Species]]&lt;&gt;"",IF(SUM(Production[[#This Row],[BtTtl]:[BrTtl]])/Production[[#This Row],[SatWt]]&lt;&gt;0,SUM(Production[[#This Row],[BtTtl]:[BrTtl]])/Production[[#This Row],[SatWt]],""),"")</f>
        <v/>
      </c>
      <c r="S157" s="223" t="str">
        <f>INDEX(Ingredients[Species],MATCH(Production[[#This Row],[Product]],Ingredients[ProdName],0))</f>
        <v>Poultry</v>
      </c>
    </row>
    <row r="158" spans="1:19" ht="11.1" customHeight="1" x14ac:dyDescent="0.25">
      <c r="A158" s="207" t="str">
        <f>IFERROR(IF(Production[[#This Row],[Date]]&lt;&gt;"",TEXT(Production[[#This Row],[Date]],"yy")&amp;"-"&amp;TEXT(Production[[#This Row],[Date]]-DATE(YEAR(Production[[#This Row],[Date]]),1,0),"000"),""),"")</f>
        <v>23-025</v>
      </c>
      <c r="B158" s="209" t="str">
        <f>IFERROR(IF(INDEX(Ingredients[Ingr1],MATCH(Production[[#This Row],[Product]],Ingredients[ProdName],0))&lt;&gt;"",INDEX(Ingredients[Ingr1],MATCH(Production[[#This Row],[Product]],Ingredients[ProdName],0)),INDEX(Ingredients[Ingr2],MATCH(Production[[#This Row],[Product]],Ingredients[ProdName],0))),"")</f>
        <v>Chicken - Ground</v>
      </c>
      <c r="C158" s="53">
        <v>44951</v>
      </c>
      <c r="D158" s="54" t="s">
        <v>15</v>
      </c>
      <c r="E158" s="55">
        <v>1130</v>
      </c>
      <c r="F158" s="56">
        <v>3</v>
      </c>
      <c r="G158" s="56">
        <v>18</v>
      </c>
      <c r="H158" s="208">
        <f>IFERROR(INDEX(Tier1[Wt],MATCH(Production[[#This Row],[Type]],Tier1[Ingredient],0))*Production[[#This Row],[Blocks Used]],0)</f>
        <v>900</v>
      </c>
      <c r="I158" s="210">
        <f>IFERROR(INDEX(Ingredients[TtlWt],MATCH(Production[[#This Row],[Product]],Ingredients[ProdName],0))*Production[[#This Row],[Lots Done]],"")</f>
        <v>34.950000000000003</v>
      </c>
      <c r="J158" s="210" t="str">
        <f>IF(INDEX(Ingredients[Batter],MATCH(Production[[#This Row],[Product]],Ingredients[ProdName],0))*Production[[#This Row],[Batter Used]]&gt;0,INDEX(Ingredients[Batter],MATCH(Production[[#This Row],[Product]],Ingredients[ProdName],0))*Production[[#This Row],[Batter Used]],"")</f>
        <v/>
      </c>
      <c r="K158" s="210" t="str">
        <f>IF(INDEX(Ingredients[Breader],MATCH(Production[[#This Row],[Product]],Ingredients[ProdName],0))*Production[[#This Row],[Breader Used]]&gt;0,INDEX(Ingredients[Breader],MATCH(Production[[#This Row],[Product]],Ingredients[ProdName],0))*Production[[#This Row],[Breader Used]],"")</f>
        <v/>
      </c>
      <c r="L158" s="56"/>
      <c r="M158" s="56"/>
      <c r="N158" s="211">
        <f>IFERROR(IF(SUM(Production[[#This Row],[Meat Wt]:[BrTtl]])&lt;&gt;0,SUM(Production[[#This Row],[Meat Wt]:[BrTtl]]),""),"")</f>
        <v>934.95</v>
      </c>
      <c r="O158" s="55">
        <v>37</v>
      </c>
      <c r="P158" s="208">
        <f>INDEX(Ingredients[Case Wt.],MATCH(Production[[#This Row],[Product]],Ingredients[ProdName],0))*Production[[#This Row],[Case Total]]</f>
        <v>1110</v>
      </c>
      <c r="Q158" s="211">
        <f>IFERROR(Production[[#This Row],[SatWt]]-Production[[#This Row],[RawWt]],"")</f>
        <v>175.04999999999995</v>
      </c>
      <c r="R158" s="222" t="str">
        <f>IF(Production[[#This Row],[Species]]&lt;&gt;"",IF(SUM(Production[[#This Row],[BtTtl]:[BrTtl]])/Production[[#This Row],[SatWt]]&lt;&gt;0,SUM(Production[[#This Row],[BtTtl]:[BrTtl]])/Production[[#This Row],[SatWt]],""),"")</f>
        <v/>
      </c>
      <c r="S158" s="223" t="str">
        <f>INDEX(Ingredients[Species],MATCH(Production[[#This Row],[Product]],Ingredients[ProdName],0))</f>
        <v>Poultry</v>
      </c>
    </row>
    <row r="159" spans="1:19" ht="11.1" customHeight="1" x14ac:dyDescent="0.25">
      <c r="A159" s="207" t="str">
        <f>IFERROR(IF(Production[[#This Row],[Date]]&lt;&gt;"",TEXT(Production[[#This Row],[Date]],"yy")&amp;"-"&amp;TEXT(Production[[#This Row],[Date]]-DATE(YEAR(Production[[#This Row],[Date]]),1,0),"000"),""),"")</f>
        <v>23-026</v>
      </c>
      <c r="B159" s="209" t="str">
        <f>IFERROR(IF(INDEX(Ingredients[Ingr1],MATCH(Production[[#This Row],[Product]],Ingredients[ProdName],0))&lt;&gt;"",INDEX(Ingredients[Ingr1],MATCH(Production[[#This Row],[Product]],Ingredients[ProdName],0)),INDEX(Ingredients[Ingr2],MATCH(Production[[#This Row],[Product]],Ingredients[ProdName],0))),"")</f>
        <v>Chicken - Ground</v>
      </c>
      <c r="C159" s="53">
        <v>44952</v>
      </c>
      <c r="D159" s="54" t="s">
        <v>15</v>
      </c>
      <c r="E159" s="55">
        <v>1130</v>
      </c>
      <c r="F159" s="56">
        <v>10</v>
      </c>
      <c r="G159" s="56">
        <v>60</v>
      </c>
      <c r="H159" s="208">
        <f>IFERROR(INDEX(Tier1[Wt],MATCH(Production[[#This Row],[Type]],Tier1[Ingredient],0))*Production[[#This Row],[Blocks Used]],0)</f>
        <v>3000</v>
      </c>
      <c r="I159" s="210">
        <f>IFERROR(INDEX(Ingredients[TtlWt],MATCH(Production[[#This Row],[Product]],Ingredients[ProdName],0))*Production[[#This Row],[Lots Done]],"")</f>
        <v>116.5</v>
      </c>
      <c r="J159" s="210" t="str">
        <f>IF(INDEX(Ingredients[Batter],MATCH(Production[[#This Row],[Product]],Ingredients[ProdName],0))*Production[[#This Row],[Batter Used]]&gt;0,INDEX(Ingredients[Batter],MATCH(Production[[#This Row],[Product]],Ingredients[ProdName],0))*Production[[#This Row],[Batter Used]],"")</f>
        <v/>
      </c>
      <c r="K159" s="210" t="str">
        <f>IF(INDEX(Ingredients[Breader],MATCH(Production[[#This Row],[Product]],Ingredients[ProdName],0))*Production[[#This Row],[Breader Used]]&gt;0,INDEX(Ingredients[Breader],MATCH(Production[[#This Row],[Product]],Ingredients[ProdName],0))*Production[[#This Row],[Breader Used]],"")</f>
        <v/>
      </c>
      <c r="L159" s="56"/>
      <c r="M159" s="56"/>
      <c r="N159" s="211">
        <f>IFERROR(IF(SUM(Production[[#This Row],[Meat Wt]:[BrTtl]])&lt;&gt;0,SUM(Production[[#This Row],[Meat Wt]:[BrTtl]]),""),"")</f>
        <v>3116.5</v>
      </c>
      <c r="O159" s="55">
        <v>193</v>
      </c>
      <c r="P159" s="208">
        <f>INDEX(Ingredients[Case Wt.],MATCH(Production[[#This Row],[Product]],Ingredients[ProdName],0))*Production[[#This Row],[Case Total]]</f>
        <v>5790</v>
      </c>
      <c r="Q159" s="211">
        <f>IFERROR(Production[[#This Row],[SatWt]]-Production[[#This Row],[RawWt]],"")</f>
        <v>2673.5</v>
      </c>
      <c r="R159" s="222" t="str">
        <f>IF(Production[[#This Row],[Species]]&lt;&gt;"",IF(SUM(Production[[#This Row],[BtTtl]:[BrTtl]])/Production[[#This Row],[SatWt]]&lt;&gt;0,SUM(Production[[#This Row],[BtTtl]:[BrTtl]])/Production[[#This Row],[SatWt]],""),"")</f>
        <v/>
      </c>
      <c r="S159" s="223" t="str">
        <f>INDEX(Ingredients[Species],MATCH(Production[[#This Row],[Product]],Ingredients[ProdName],0))</f>
        <v>Poultry</v>
      </c>
    </row>
    <row r="160" spans="1:19" ht="11.1" customHeight="1" x14ac:dyDescent="0.25">
      <c r="A160" s="207" t="str">
        <f>IFERROR(IF(Production[[#This Row],[Date]]&lt;&gt;"",TEXT(Production[[#This Row],[Date]],"yy")&amp;"-"&amp;TEXT(Production[[#This Row],[Date]]-DATE(YEAR(Production[[#This Row],[Date]]),1,0),"000"),""),"")</f>
        <v>23-030</v>
      </c>
      <c r="B160" s="209" t="str">
        <f>IFERROR(IF(INDEX(Ingredients[Ingr1],MATCH(Production[[#This Row],[Product]],Ingredients[ProdName],0))&lt;&gt;"",INDEX(Ingredients[Ingr1],MATCH(Production[[#This Row],[Product]],Ingredients[ProdName],0)),INDEX(Ingredients[Ingr2],MATCH(Production[[#This Row],[Product]],Ingredients[ProdName],0))),"")</f>
        <v>Chicken - Ground</v>
      </c>
      <c r="C160" s="53">
        <v>44956</v>
      </c>
      <c r="D160" s="54" t="s">
        <v>7</v>
      </c>
      <c r="E160" s="55">
        <v>811</v>
      </c>
      <c r="F160" s="56">
        <v>16</v>
      </c>
      <c r="G160" s="56">
        <v>96</v>
      </c>
      <c r="H160" s="208">
        <f>IFERROR(INDEX(Tier1[Wt],MATCH(Production[[#This Row],[Type]],Tier1[Ingredient],0))*Production[[#This Row],[Blocks Used]],0)</f>
        <v>4800</v>
      </c>
      <c r="I160" s="210">
        <f>IFERROR(INDEX(Ingredients[TtlWt],MATCH(Production[[#This Row],[Product]],Ingredients[ProdName],0))*Production[[#This Row],[Lots Done]],"")</f>
        <v>108</v>
      </c>
      <c r="J160" s="210" t="str">
        <f>IF(INDEX(Ingredients[Batter],MATCH(Production[[#This Row],[Product]],Ingredients[ProdName],0))*Production[[#This Row],[Batter Used]]&gt;0,INDEX(Ingredients[Batter],MATCH(Production[[#This Row],[Product]],Ingredients[ProdName],0))*Production[[#This Row],[Batter Used]],"")</f>
        <v/>
      </c>
      <c r="K160" s="210" t="str">
        <f>IF(INDEX(Ingredients[Breader],MATCH(Production[[#This Row],[Product]],Ingredients[ProdName],0))*Production[[#This Row],[Breader Used]]&gt;0,INDEX(Ingredients[Breader],MATCH(Production[[#This Row],[Product]],Ingredients[ProdName],0))*Production[[#This Row],[Breader Used]],"")</f>
        <v/>
      </c>
      <c r="L160" s="56"/>
      <c r="M160" s="56"/>
      <c r="N160" s="211">
        <f>IFERROR(IF(SUM(Production[[#This Row],[Meat Wt]:[BrTtl]])&lt;&gt;0,SUM(Production[[#This Row],[Meat Wt]:[BrTtl]]),""),"")</f>
        <v>4908</v>
      </c>
      <c r="O160" s="55">
        <v>259</v>
      </c>
      <c r="P160" s="208">
        <f>INDEX(Ingredients[Case Wt.],MATCH(Production[[#This Row],[Product]],Ingredients[ProdName],0))*Production[[#This Row],[Case Total]]</f>
        <v>6475</v>
      </c>
      <c r="Q160" s="211">
        <f>IFERROR(Production[[#This Row],[SatWt]]-Production[[#This Row],[RawWt]],"")</f>
        <v>1567</v>
      </c>
      <c r="R160" s="222" t="str">
        <f>IF(Production[[#This Row],[Species]]&lt;&gt;"",IF(SUM(Production[[#This Row],[BtTtl]:[BrTtl]])/Production[[#This Row],[SatWt]]&lt;&gt;0,SUM(Production[[#This Row],[BtTtl]:[BrTtl]])/Production[[#This Row],[SatWt]],""),"")</f>
        <v/>
      </c>
      <c r="S160" s="223" t="str">
        <f>INDEX(Ingredients[Species],MATCH(Production[[#This Row],[Product]],Ingredients[ProdName],0))</f>
        <v>Poultry</v>
      </c>
    </row>
    <row r="161" spans="1:19" ht="11.1" customHeight="1" x14ac:dyDescent="0.25">
      <c r="A161" s="207" t="str">
        <f>IFERROR(IF(Production[[#This Row],[Date]]&lt;&gt;"",TEXT(Production[[#This Row],[Date]],"yy")&amp;"-"&amp;TEXT(Production[[#This Row],[Date]]-DATE(YEAR(Production[[#This Row],[Date]]),1,0),"000"),""),"")</f>
        <v>23-031</v>
      </c>
      <c r="B161" s="209" t="str">
        <f>IFERROR(IF(INDEX(Ingredients[Ingr1],MATCH(Production[[#This Row],[Product]],Ingredients[ProdName],0))&lt;&gt;"",INDEX(Ingredients[Ingr1],MATCH(Production[[#This Row],[Product]],Ingredients[ProdName],0)),INDEX(Ingredients[Ingr2],MATCH(Production[[#This Row],[Product]],Ingredients[ProdName],0))),"")</f>
        <v>Chicken - Ground</v>
      </c>
      <c r="C161" s="53">
        <v>44957</v>
      </c>
      <c r="D161" s="54" t="s">
        <v>16</v>
      </c>
      <c r="E161" s="55">
        <v>811</v>
      </c>
      <c r="F161" s="56">
        <v>10</v>
      </c>
      <c r="G161" s="56">
        <v>70</v>
      </c>
      <c r="H161" s="208">
        <f>IFERROR(INDEX(Tier1[Wt],MATCH(Production[[#This Row],[Type]],Tier1[Ingredient],0))*Production[[#This Row],[Blocks Used]],0)</f>
        <v>3500</v>
      </c>
      <c r="I161" s="210">
        <f>IFERROR(INDEX(Ingredients[TtlWt],MATCH(Production[[#This Row],[Product]],Ingredients[ProdName],0))*Production[[#This Row],[Lots Done]],"")</f>
        <v>204</v>
      </c>
      <c r="J161" s="210" t="str">
        <f>IF(INDEX(Ingredients[Batter],MATCH(Production[[#This Row],[Product]],Ingredients[ProdName],0))*Production[[#This Row],[Batter Used]]&gt;0,INDEX(Ingredients[Batter],MATCH(Production[[#This Row],[Product]],Ingredients[ProdName],0))*Production[[#This Row],[Batter Used]],"")</f>
        <v/>
      </c>
      <c r="K161" s="210" t="str">
        <f>IF(INDEX(Ingredients[Breader],MATCH(Production[[#This Row],[Product]],Ingredients[ProdName],0))*Production[[#This Row],[Breader Used]]&gt;0,INDEX(Ingredients[Breader],MATCH(Production[[#This Row],[Product]],Ingredients[ProdName],0))*Production[[#This Row],[Breader Used]],"")</f>
        <v/>
      </c>
      <c r="L161" s="56"/>
      <c r="M161" s="56"/>
      <c r="N161" s="211">
        <f>IFERROR(IF(SUM(Production[[#This Row],[Meat Wt]:[BrTtl]])&lt;&gt;0,SUM(Production[[#This Row],[Meat Wt]:[BrTtl]]),""),"")</f>
        <v>3704</v>
      </c>
      <c r="O161" s="55">
        <v>142</v>
      </c>
      <c r="P161" s="208">
        <f>INDEX(Ingredients[Case Wt.],MATCH(Production[[#This Row],[Product]],Ingredients[ProdName],0))*Production[[#This Row],[Case Total]]</f>
        <v>4260</v>
      </c>
      <c r="Q161" s="211">
        <f>IFERROR(Production[[#This Row],[SatWt]]-Production[[#This Row],[RawWt]],"")</f>
        <v>556</v>
      </c>
      <c r="R161" s="222" t="str">
        <f>IF(Production[[#This Row],[Species]]&lt;&gt;"",IF(SUM(Production[[#This Row],[BtTtl]:[BrTtl]])/Production[[#This Row],[SatWt]]&lt;&gt;0,SUM(Production[[#This Row],[BtTtl]:[BrTtl]])/Production[[#This Row],[SatWt]],""),"")</f>
        <v/>
      </c>
      <c r="S161" s="223" t="str">
        <f>INDEX(Ingredients[Species],MATCH(Production[[#This Row],[Product]],Ingredients[ProdName],0))</f>
        <v>Poultry</v>
      </c>
    </row>
    <row r="162" spans="1:19" ht="11.1" customHeight="1" x14ac:dyDescent="0.25">
      <c r="A162" s="207" t="str">
        <f>IFERROR(IF(Production[[#This Row],[Date]]&lt;&gt;"",TEXT(Production[[#This Row],[Date]],"yy")&amp;"-"&amp;TEXT(Production[[#This Row],[Date]]-DATE(YEAR(Production[[#This Row],[Date]]),1,0),"000"),""),"")</f>
        <v>23-033</v>
      </c>
      <c r="B162" s="209" t="str">
        <f>IFERROR(IF(INDEX(Ingredients[Ingr1],MATCH(Production[[#This Row],[Product]],Ingredients[ProdName],0))&lt;&gt;"",INDEX(Ingredients[Ingr1],MATCH(Production[[#This Row],[Product]],Ingredients[ProdName],0)),INDEX(Ingredients[Ingr2],MATCH(Production[[#This Row],[Product]],Ingredients[ProdName],0))),"")</f>
        <v>Chicken - Ground</v>
      </c>
      <c r="C162" s="53">
        <v>44959</v>
      </c>
      <c r="D162" s="54" t="s">
        <v>15</v>
      </c>
      <c r="E162" s="55">
        <v>811</v>
      </c>
      <c r="F162" s="56">
        <v>5</v>
      </c>
      <c r="G162" s="56">
        <v>30</v>
      </c>
      <c r="H162" s="208">
        <f>IFERROR(INDEX(Tier1[Wt],MATCH(Production[[#This Row],[Type]],Tier1[Ingredient],0))*Production[[#This Row],[Blocks Used]],0)</f>
        <v>1500</v>
      </c>
      <c r="I162" s="210">
        <f>IFERROR(INDEX(Ingredients[TtlWt],MATCH(Production[[#This Row],[Product]],Ingredients[ProdName],0))*Production[[#This Row],[Lots Done]],"")</f>
        <v>58.25</v>
      </c>
      <c r="J162" s="210" t="str">
        <f>IF(INDEX(Ingredients[Batter],MATCH(Production[[#This Row],[Product]],Ingredients[ProdName],0))*Production[[#This Row],[Batter Used]]&gt;0,INDEX(Ingredients[Batter],MATCH(Production[[#This Row],[Product]],Ingredients[ProdName],0))*Production[[#This Row],[Batter Used]],"")</f>
        <v/>
      </c>
      <c r="K162" s="210" t="str">
        <f>IF(INDEX(Ingredients[Breader],MATCH(Production[[#This Row],[Product]],Ingredients[ProdName],0))*Production[[#This Row],[Breader Used]]&gt;0,INDEX(Ingredients[Breader],MATCH(Production[[#This Row],[Product]],Ingredients[ProdName],0))*Production[[#This Row],[Breader Used]],"")</f>
        <v/>
      </c>
      <c r="L162" s="56"/>
      <c r="M162" s="56"/>
      <c r="N162" s="211">
        <f>IFERROR(IF(SUM(Production[[#This Row],[Meat Wt]:[BrTtl]])&lt;&gt;0,SUM(Production[[#This Row],[Meat Wt]:[BrTtl]]),""),"")</f>
        <v>1558.25</v>
      </c>
      <c r="O162" s="55">
        <v>69</v>
      </c>
      <c r="P162" s="208">
        <f>INDEX(Ingredients[Case Wt.],MATCH(Production[[#This Row],[Product]],Ingredients[ProdName],0))*Production[[#This Row],[Case Total]]</f>
        <v>2070</v>
      </c>
      <c r="Q162" s="211">
        <f>IFERROR(Production[[#This Row],[SatWt]]-Production[[#This Row],[RawWt]],"")</f>
        <v>511.75</v>
      </c>
      <c r="R162" s="222" t="str">
        <f>IF(Production[[#This Row],[Species]]&lt;&gt;"",IF(SUM(Production[[#This Row],[BtTtl]:[BrTtl]])/Production[[#This Row],[SatWt]]&lt;&gt;0,SUM(Production[[#This Row],[BtTtl]:[BrTtl]])/Production[[#This Row],[SatWt]],""),"")</f>
        <v/>
      </c>
      <c r="S162" s="223" t="str">
        <f>INDEX(Ingredients[Species],MATCH(Production[[#This Row],[Product]],Ingredients[ProdName],0))</f>
        <v>Poultry</v>
      </c>
    </row>
    <row r="163" spans="1:19" ht="11.1" customHeight="1" x14ac:dyDescent="0.25">
      <c r="A163" s="207" t="str">
        <f>IFERROR(IF(Production[[#This Row],[Date]]&lt;&gt;"",TEXT(Production[[#This Row],[Date]],"yy")&amp;"-"&amp;TEXT(Production[[#This Row],[Date]]-DATE(YEAR(Production[[#This Row],[Date]]),1,0),"000"),""),"")</f>
        <v>23-037</v>
      </c>
      <c r="B163" s="209" t="str">
        <f>IFERROR(IF(INDEX(Ingredients[Ingr1],MATCH(Production[[#This Row],[Product]],Ingredients[ProdName],0))&lt;&gt;"",INDEX(Ingredients[Ingr1],MATCH(Production[[#This Row],[Product]],Ingredients[ProdName],0)),INDEX(Ingredients[Ingr2],MATCH(Production[[#This Row],[Product]],Ingredients[ProdName],0))),"")</f>
        <v>Chicken - Tenders</v>
      </c>
      <c r="C163" s="53">
        <v>44963</v>
      </c>
      <c r="D163" s="54" t="s">
        <v>14</v>
      </c>
      <c r="E163" s="55" t="s">
        <v>171</v>
      </c>
      <c r="F163" s="56">
        <v>3</v>
      </c>
      <c r="G163" s="56">
        <v>21</v>
      </c>
      <c r="H163" s="208">
        <f>IFERROR(INDEX(Tier1[Wt],MATCH(Production[[#This Row],[Type]],Tier1[Ingredient],0))*Production[[#This Row],[Blocks Used]],0)</f>
        <v>840</v>
      </c>
      <c r="I163" s="210">
        <f>IFERROR(INDEX(Ingredients[TtlWt],MATCH(Production[[#This Row],[Product]],Ingredients[ProdName],0))*Production[[#This Row],[Lots Done]],"")</f>
        <v>186.45</v>
      </c>
      <c r="J163" s="210" t="str">
        <f>IF(INDEX(Ingredients[Batter],MATCH(Production[[#This Row],[Product]],Ingredients[ProdName],0))*Production[[#This Row],[Batter Used]]&gt;0,INDEX(Ingredients[Batter],MATCH(Production[[#This Row],[Product]],Ingredients[ProdName],0))*Production[[#This Row],[Batter Used]],"")</f>
        <v/>
      </c>
      <c r="K163" s="210" t="str">
        <f>IF(INDEX(Ingredients[Breader],MATCH(Production[[#This Row],[Product]],Ingredients[ProdName],0))*Production[[#This Row],[Breader Used]]&gt;0,INDEX(Ingredients[Breader],MATCH(Production[[#This Row],[Product]],Ingredients[ProdName],0))*Production[[#This Row],[Breader Used]],"")</f>
        <v/>
      </c>
      <c r="L163" s="56"/>
      <c r="M163" s="56"/>
      <c r="N163" s="211">
        <f>IFERROR(IF(SUM(Production[[#This Row],[Meat Wt]:[BrTtl]])&lt;&gt;0,SUM(Production[[#This Row],[Meat Wt]:[BrTtl]]),""),"")</f>
        <v>1026.45</v>
      </c>
      <c r="O163" s="55">
        <v>49</v>
      </c>
      <c r="P163" s="208">
        <f>INDEX(Ingredients[Case Wt.],MATCH(Production[[#This Row],[Product]],Ingredients[ProdName],0))*Production[[#This Row],[Case Total]]</f>
        <v>1225</v>
      </c>
      <c r="Q163" s="211">
        <f>IFERROR(Production[[#This Row],[SatWt]]-Production[[#This Row],[RawWt]],"")</f>
        <v>198.54999999999995</v>
      </c>
      <c r="R163" s="222" t="str">
        <f>IF(Production[[#This Row],[Species]]&lt;&gt;"",IF(SUM(Production[[#This Row],[BtTtl]:[BrTtl]])/Production[[#This Row],[SatWt]]&lt;&gt;0,SUM(Production[[#This Row],[BtTtl]:[BrTtl]])/Production[[#This Row],[SatWt]],""),"")</f>
        <v/>
      </c>
      <c r="S163" s="223" t="str">
        <f>INDEX(Ingredients[Species],MATCH(Production[[#This Row],[Product]],Ingredients[ProdName],0))</f>
        <v>Poultry</v>
      </c>
    </row>
    <row r="164" spans="1:19" ht="11.1" customHeight="1" x14ac:dyDescent="0.25">
      <c r="A164" s="207" t="str">
        <f>IFERROR(IF(Production[[#This Row],[Date]]&lt;&gt;"",TEXT(Production[[#This Row],[Date]],"yy")&amp;"-"&amp;TEXT(Production[[#This Row],[Date]]-DATE(YEAR(Production[[#This Row],[Date]]),1,0),"000"),""),"")</f>
        <v>23-037</v>
      </c>
      <c r="B164" s="209" t="str">
        <f>IFERROR(IF(INDEX(Ingredients[Ingr1],MATCH(Production[[#This Row],[Product]],Ingredients[ProdName],0))&lt;&gt;"",INDEX(Ingredients[Ingr1],MATCH(Production[[#This Row],[Product]],Ingredients[ProdName],0)),INDEX(Ingredients[Ingr2],MATCH(Production[[#This Row],[Product]],Ingredients[ProdName],0))),"")</f>
        <v>Chicken - Tenders</v>
      </c>
      <c r="C164" s="53">
        <v>44963</v>
      </c>
      <c r="D164" s="54" t="s">
        <v>14</v>
      </c>
      <c r="E164" s="55" t="s">
        <v>171</v>
      </c>
      <c r="F164" s="56">
        <v>2</v>
      </c>
      <c r="G164" s="56">
        <v>14</v>
      </c>
      <c r="H164" s="208">
        <f>IFERROR(INDEX(Tier1[Wt],MATCH(Production[[#This Row],[Type]],Tier1[Ingredient],0))*Production[[#This Row],[Blocks Used]],0)</f>
        <v>560</v>
      </c>
      <c r="I164" s="210">
        <f>IFERROR(INDEX(Ingredients[TtlWt],MATCH(Production[[#This Row],[Product]],Ingredients[ProdName],0))*Production[[#This Row],[Lots Done]],"")</f>
        <v>124.3</v>
      </c>
      <c r="J164" s="210" t="str">
        <f>IF(INDEX(Ingredients[Batter],MATCH(Production[[#This Row],[Product]],Ingredients[ProdName],0))*Production[[#This Row],[Batter Used]]&gt;0,INDEX(Ingredients[Batter],MATCH(Production[[#This Row],[Product]],Ingredients[ProdName],0))*Production[[#This Row],[Batter Used]],"")</f>
        <v/>
      </c>
      <c r="K164" s="210" t="str">
        <f>IF(INDEX(Ingredients[Breader],MATCH(Production[[#This Row],[Product]],Ingredients[ProdName],0))*Production[[#This Row],[Breader Used]]&gt;0,INDEX(Ingredients[Breader],MATCH(Production[[#This Row],[Product]],Ingredients[ProdName],0))*Production[[#This Row],[Breader Used]],"")</f>
        <v/>
      </c>
      <c r="L164" s="56"/>
      <c r="M164" s="56"/>
      <c r="N164" s="211">
        <f>IFERROR(IF(SUM(Production[[#This Row],[Meat Wt]:[BrTtl]])&lt;&gt;0,SUM(Production[[#This Row],[Meat Wt]:[BrTtl]]),""),"")</f>
        <v>684.3</v>
      </c>
      <c r="O164" s="55">
        <v>36</v>
      </c>
      <c r="P164" s="208">
        <f>INDEX(Ingredients[Case Wt.],MATCH(Production[[#This Row],[Product]],Ingredients[ProdName],0))*Production[[#This Row],[Case Total]]</f>
        <v>900</v>
      </c>
      <c r="Q164" s="211">
        <f>IFERROR(Production[[#This Row],[SatWt]]-Production[[#This Row],[RawWt]],"")</f>
        <v>215.70000000000005</v>
      </c>
      <c r="R164" s="222" t="str">
        <f>IF(Production[[#This Row],[Species]]&lt;&gt;"",IF(SUM(Production[[#This Row],[BtTtl]:[BrTtl]])/Production[[#This Row],[SatWt]]&lt;&gt;0,SUM(Production[[#This Row],[BtTtl]:[BrTtl]])/Production[[#This Row],[SatWt]],""),"")</f>
        <v/>
      </c>
      <c r="S164" s="223" t="str">
        <f>INDEX(Ingredients[Species],MATCH(Production[[#This Row],[Product]],Ingredients[ProdName],0))</f>
        <v>Poultry</v>
      </c>
    </row>
    <row r="165" spans="1:19" ht="11.1" customHeight="1" x14ac:dyDescent="0.25">
      <c r="A165" s="207" t="str">
        <f>IFERROR(IF(Production[[#This Row],[Date]]&lt;&gt;"",TEXT(Production[[#This Row],[Date]],"yy")&amp;"-"&amp;TEXT(Production[[#This Row],[Date]]-DATE(YEAR(Production[[#This Row],[Date]]),1,0),"000"),""),"")</f>
        <v>23-038</v>
      </c>
      <c r="B165" s="209" t="str">
        <f>IFERROR(IF(INDEX(Ingredients[Ingr1],MATCH(Production[[#This Row],[Product]],Ingredients[ProdName],0))&lt;&gt;"",INDEX(Ingredients[Ingr1],MATCH(Production[[#This Row],[Product]],Ingredients[ProdName],0)),INDEX(Ingredients[Ingr2],MATCH(Production[[#This Row],[Product]],Ingredients[ProdName],0))),"")</f>
        <v>Chicken - Tenders</v>
      </c>
      <c r="C165" s="53">
        <v>44964</v>
      </c>
      <c r="D165" s="54" t="s">
        <v>14</v>
      </c>
      <c r="E165" s="55" t="s">
        <v>171</v>
      </c>
      <c r="F165" s="56">
        <v>6</v>
      </c>
      <c r="G165" s="56">
        <v>42</v>
      </c>
      <c r="H165" s="208">
        <f>IFERROR(INDEX(Tier1[Wt],MATCH(Production[[#This Row],[Type]],Tier1[Ingredient],0))*Production[[#This Row],[Blocks Used]],0)</f>
        <v>1680</v>
      </c>
      <c r="I165" s="210">
        <f>IFERROR(INDEX(Ingredients[TtlWt],MATCH(Production[[#This Row],[Product]],Ingredients[ProdName],0))*Production[[#This Row],[Lots Done]],"")</f>
        <v>372.9</v>
      </c>
      <c r="J165" s="210" t="str">
        <f>IF(INDEX(Ingredients[Batter],MATCH(Production[[#This Row],[Product]],Ingredients[ProdName],0))*Production[[#This Row],[Batter Used]]&gt;0,INDEX(Ingredients[Batter],MATCH(Production[[#This Row],[Product]],Ingredients[ProdName],0))*Production[[#This Row],[Batter Used]],"")</f>
        <v/>
      </c>
      <c r="K165" s="210" t="str">
        <f>IF(INDEX(Ingredients[Breader],MATCH(Production[[#This Row],[Product]],Ingredients[ProdName],0))*Production[[#This Row],[Breader Used]]&gt;0,INDEX(Ingredients[Breader],MATCH(Production[[#This Row],[Product]],Ingredients[ProdName],0))*Production[[#This Row],[Breader Used]],"")</f>
        <v/>
      </c>
      <c r="L165" s="56"/>
      <c r="M165" s="56"/>
      <c r="N165" s="211">
        <f>IFERROR(IF(SUM(Production[[#This Row],[Meat Wt]:[BrTtl]])&lt;&gt;0,SUM(Production[[#This Row],[Meat Wt]:[BrTtl]]),""),"")</f>
        <v>2052.9</v>
      </c>
      <c r="O165" s="55">
        <v>104</v>
      </c>
      <c r="P165" s="208">
        <f>INDEX(Ingredients[Case Wt.],MATCH(Production[[#This Row],[Product]],Ingredients[ProdName],0))*Production[[#This Row],[Case Total]]</f>
        <v>2600</v>
      </c>
      <c r="Q165" s="211">
        <f>IFERROR(Production[[#This Row],[SatWt]]-Production[[#This Row],[RawWt]],"")</f>
        <v>547.09999999999991</v>
      </c>
      <c r="R165" s="222" t="str">
        <f>IF(Production[[#This Row],[Species]]&lt;&gt;"",IF(SUM(Production[[#This Row],[BtTtl]:[BrTtl]])/Production[[#This Row],[SatWt]]&lt;&gt;0,SUM(Production[[#This Row],[BtTtl]:[BrTtl]])/Production[[#This Row],[SatWt]],""),"")</f>
        <v/>
      </c>
      <c r="S165" s="223" t="str">
        <f>INDEX(Ingredients[Species],MATCH(Production[[#This Row],[Product]],Ingredients[ProdName],0))</f>
        <v>Poultry</v>
      </c>
    </row>
    <row r="166" spans="1:19" ht="11.1" customHeight="1" x14ac:dyDescent="0.25">
      <c r="A166" s="207" t="str">
        <f>IFERROR(IF(Production[[#This Row],[Date]]&lt;&gt;"",TEXT(Production[[#This Row],[Date]],"yy")&amp;"-"&amp;TEXT(Production[[#This Row],[Date]]-DATE(YEAR(Production[[#This Row],[Date]]),1,0),"000"),""),"")</f>
        <v>23-039</v>
      </c>
      <c r="B166" s="209" t="str">
        <f>IFERROR(IF(INDEX(Ingredients[Ingr1],MATCH(Production[[#This Row],[Product]],Ingredients[ProdName],0))&lt;&gt;"",INDEX(Ingredients[Ingr1],MATCH(Production[[#This Row],[Product]],Ingredients[ProdName],0)),INDEX(Ingredients[Ingr2],MATCH(Production[[#This Row],[Product]],Ingredients[ProdName],0))),"")</f>
        <v>Chicken - Ground</v>
      </c>
      <c r="C166" s="53">
        <v>44965</v>
      </c>
      <c r="D166" s="54" t="s">
        <v>23</v>
      </c>
      <c r="E166" s="55">
        <v>811</v>
      </c>
      <c r="F166" s="56">
        <v>3</v>
      </c>
      <c r="G166" s="56"/>
      <c r="H166" s="208">
        <f>IFERROR(INDEX(Tier1[Wt],MATCH(Production[[#This Row],[Type]],Tier1[Ingredient],0))*Production[[#This Row],[Blocks Used]],0)</f>
        <v>0</v>
      </c>
      <c r="I166" s="210">
        <f>IFERROR(INDEX(Ingredients[TtlWt],MATCH(Production[[#This Row],[Product]],Ingredients[ProdName],0))*Production[[#This Row],[Lots Done]],"")</f>
        <v>34.950000000000003</v>
      </c>
      <c r="J166" s="210" t="str">
        <f>IF(INDEX(Ingredients[Batter],MATCH(Production[[#This Row],[Product]],Ingredients[ProdName],0))*Production[[#This Row],[Batter Used]]&gt;0,INDEX(Ingredients[Batter],MATCH(Production[[#This Row],[Product]],Ingredients[ProdName],0))*Production[[#This Row],[Batter Used]],"")</f>
        <v/>
      </c>
      <c r="K166" s="210" t="str">
        <f>IF(INDEX(Ingredients[Breader],MATCH(Production[[#This Row],[Product]],Ingredients[ProdName],0))*Production[[#This Row],[Breader Used]]&gt;0,INDEX(Ingredients[Breader],MATCH(Production[[#This Row],[Product]],Ingredients[ProdName],0))*Production[[#This Row],[Breader Used]],"")</f>
        <v/>
      </c>
      <c r="L166" s="56"/>
      <c r="M166" s="56"/>
      <c r="N166" s="211">
        <f>IFERROR(IF(SUM(Production[[#This Row],[Meat Wt]:[BrTtl]])&lt;&gt;0,SUM(Production[[#This Row],[Meat Wt]:[BrTtl]]),""),"")</f>
        <v>34.950000000000003</v>
      </c>
      <c r="O166" s="55">
        <v>35</v>
      </c>
      <c r="P166" s="208">
        <f>INDEX(Ingredients[Case Wt.],MATCH(Production[[#This Row],[Product]],Ingredients[ProdName],0))*Production[[#This Row],[Case Total]]</f>
        <v>1050</v>
      </c>
      <c r="Q166" s="211">
        <f>IFERROR(Production[[#This Row],[SatWt]]-Production[[#This Row],[RawWt]],"")</f>
        <v>1015.05</v>
      </c>
      <c r="R166" s="222" t="str">
        <f>IF(Production[[#This Row],[Species]]&lt;&gt;"",IF(SUM(Production[[#This Row],[BtTtl]:[BrTtl]])/Production[[#This Row],[SatWt]]&lt;&gt;0,SUM(Production[[#This Row],[BtTtl]:[BrTtl]])/Production[[#This Row],[SatWt]],""),"")</f>
        <v/>
      </c>
      <c r="S166" s="223" t="str">
        <f>INDEX(Ingredients[Species],MATCH(Production[[#This Row],[Product]],Ingredients[ProdName],0))</f>
        <v>Poultry</v>
      </c>
    </row>
    <row r="167" spans="1:19" ht="11.1" customHeight="1" x14ac:dyDescent="0.25">
      <c r="A167" s="207" t="str">
        <f>IFERROR(IF(Production[[#This Row],[Date]]&lt;&gt;"",TEXT(Production[[#This Row],[Date]],"yy")&amp;"-"&amp;TEXT(Production[[#This Row],[Date]]-DATE(YEAR(Production[[#This Row],[Date]]),1,0),"000"),""),"")</f>
        <v>23-044</v>
      </c>
      <c r="B167" s="209" t="str">
        <f>IFERROR(IF(INDEX(Ingredients[Ingr1],MATCH(Production[[#This Row],[Product]],Ingredients[ProdName],0))&lt;&gt;"",INDEX(Ingredients[Ingr1],MATCH(Production[[#This Row],[Product]],Ingredients[ProdName],0)),INDEX(Ingredients[Ingr2],MATCH(Production[[#This Row],[Product]],Ingredients[ProdName],0))),"")</f>
        <v>Chicken - Ground</v>
      </c>
      <c r="C167" s="53">
        <v>44970</v>
      </c>
      <c r="D167" s="54" t="s">
        <v>17</v>
      </c>
      <c r="E167" s="55">
        <v>811</v>
      </c>
      <c r="F167" s="56">
        <v>5</v>
      </c>
      <c r="G167" s="56">
        <v>30</v>
      </c>
      <c r="H167" s="208">
        <f>IFERROR(INDEX(Tier1[Wt],MATCH(Production[[#This Row],[Type]],Tier1[Ingredient],0))*Production[[#This Row],[Blocks Used]],0)</f>
        <v>1500</v>
      </c>
      <c r="I167" s="210">
        <f>IFERROR(INDEX(Ingredients[TtlWt],MATCH(Production[[#This Row],[Product]],Ingredients[ProdName],0))*Production[[#This Row],[Lots Done]],"")</f>
        <v>209.75</v>
      </c>
      <c r="J167" s="210" t="str">
        <f>IF(INDEX(Ingredients[Batter],MATCH(Production[[#This Row],[Product]],Ingredients[ProdName],0))*Production[[#This Row],[Batter Used]]&gt;0,INDEX(Ingredients[Batter],MATCH(Production[[#This Row],[Product]],Ingredients[ProdName],0))*Production[[#This Row],[Batter Used]],"")</f>
        <v/>
      </c>
      <c r="K167" s="210" t="str">
        <f>IF(INDEX(Ingredients[Breader],MATCH(Production[[#This Row],[Product]],Ingredients[ProdName],0))*Production[[#This Row],[Breader Used]]&gt;0,INDEX(Ingredients[Breader],MATCH(Production[[#This Row],[Product]],Ingredients[ProdName],0))*Production[[#This Row],[Breader Used]],"")</f>
        <v/>
      </c>
      <c r="L167" s="56"/>
      <c r="M167" s="56"/>
      <c r="N167" s="211">
        <f>IFERROR(IF(SUM(Production[[#This Row],[Meat Wt]:[BrTtl]])&lt;&gt;0,SUM(Production[[#This Row],[Meat Wt]:[BrTtl]]),""),"")</f>
        <v>1709.75</v>
      </c>
      <c r="O167" s="55">
        <v>87</v>
      </c>
      <c r="P167" s="208">
        <f>INDEX(Ingredients[Case Wt.],MATCH(Production[[#This Row],[Product]],Ingredients[ProdName],0))*Production[[#This Row],[Case Total]]</f>
        <v>2175</v>
      </c>
      <c r="Q167" s="211">
        <f>IFERROR(Production[[#This Row],[SatWt]]-Production[[#This Row],[RawWt]],"")</f>
        <v>465.25</v>
      </c>
      <c r="R167" s="222" t="str">
        <f>IF(Production[[#This Row],[Species]]&lt;&gt;"",IF(SUM(Production[[#This Row],[BtTtl]:[BrTtl]])/Production[[#This Row],[SatWt]]&lt;&gt;0,SUM(Production[[#This Row],[BtTtl]:[BrTtl]])/Production[[#This Row],[SatWt]],""),"")</f>
        <v/>
      </c>
      <c r="S167" s="223" t="str">
        <f>INDEX(Ingredients[Species],MATCH(Production[[#This Row],[Product]],Ingredients[ProdName],0))</f>
        <v>Poultry</v>
      </c>
    </row>
    <row r="168" spans="1:19" ht="11.1" customHeight="1" x14ac:dyDescent="0.25">
      <c r="A168" s="207" t="str">
        <f>IFERROR(IF(Production[[#This Row],[Date]]&lt;&gt;"",TEXT(Production[[#This Row],[Date]],"yy")&amp;"-"&amp;TEXT(Production[[#This Row],[Date]]-DATE(YEAR(Production[[#This Row],[Date]]),1,0),"000"),""),"")</f>
        <v>23-044</v>
      </c>
      <c r="B168" s="209" t="str">
        <f>IFERROR(IF(INDEX(Ingredients[Ingr1],MATCH(Production[[#This Row],[Product]],Ingredients[ProdName],0))&lt;&gt;"",INDEX(Ingredients[Ingr1],MATCH(Production[[#This Row],[Product]],Ingredients[ProdName],0)),INDEX(Ingredients[Ingr2],MATCH(Production[[#This Row],[Product]],Ingredients[ProdName],0))),"")</f>
        <v>Chicken - Ground</v>
      </c>
      <c r="C168" s="53">
        <v>44970</v>
      </c>
      <c r="D168" s="54" t="s">
        <v>8</v>
      </c>
      <c r="E168" s="55">
        <v>811</v>
      </c>
      <c r="F168" s="56">
        <v>5</v>
      </c>
      <c r="G168" s="56">
        <v>30</v>
      </c>
      <c r="H168" s="208">
        <f>IFERROR(INDEX(Tier1[Wt],MATCH(Production[[#This Row],[Type]],Tier1[Ingredient],0))*Production[[#This Row],[Blocks Used]],0)</f>
        <v>1500</v>
      </c>
      <c r="I168" s="210">
        <f>IFERROR(INDEX(Ingredients[TtlWt],MATCH(Production[[#This Row],[Product]],Ingredients[ProdName],0))*Production[[#This Row],[Lots Done]],"")</f>
        <v>326</v>
      </c>
      <c r="J168" s="210" t="str">
        <f>IF(INDEX(Ingredients[Batter],MATCH(Production[[#This Row],[Product]],Ingredients[ProdName],0))*Production[[#This Row],[Batter Used]]&gt;0,INDEX(Ingredients[Batter],MATCH(Production[[#This Row],[Product]],Ingredients[ProdName],0))*Production[[#This Row],[Batter Used]],"")</f>
        <v/>
      </c>
      <c r="K168" s="210" t="str">
        <f>IF(INDEX(Ingredients[Breader],MATCH(Production[[#This Row],[Product]],Ingredients[ProdName],0))*Production[[#This Row],[Breader Used]]&gt;0,INDEX(Ingredients[Breader],MATCH(Production[[#This Row],[Product]],Ingredients[ProdName],0))*Production[[#This Row],[Breader Used]],"")</f>
        <v/>
      </c>
      <c r="L168" s="56"/>
      <c r="M168" s="56"/>
      <c r="N168" s="211">
        <f>IFERROR(IF(SUM(Production[[#This Row],[Meat Wt]:[BrTtl]])&lt;&gt;0,SUM(Production[[#This Row],[Meat Wt]:[BrTtl]]),""),"")</f>
        <v>1826</v>
      </c>
      <c r="O168" s="55">
        <v>97</v>
      </c>
      <c r="P168" s="208">
        <f>INDEX(Ingredients[Case Wt.],MATCH(Production[[#This Row],[Product]],Ingredients[ProdName],0))*Production[[#This Row],[Case Total]]</f>
        <v>2425</v>
      </c>
      <c r="Q168" s="211">
        <f>IFERROR(Production[[#This Row],[SatWt]]-Production[[#This Row],[RawWt]],"")</f>
        <v>599</v>
      </c>
      <c r="R168" s="222" t="str">
        <f>IF(Production[[#This Row],[Species]]&lt;&gt;"",IF(SUM(Production[[#This Row],[BtTtl]:[BrTtl]])/Production[[#This Row],[SatWt]]&lt;&gt;0,SUM(Production[[#This Row],[BtTtl]:[BrTtl]])/Production[[#This Row],[SatWt]],""),"")</f>
        <v/>
      </c>
      <c r="S168" s="223" t="str">
        <f>INDEX(Ingredients[Species],MATCH(Production[[#This Row],[Product]],Ingredients[ProdName],0))</f>
        <v>Poultry</v>
      </c>
    </row>
    <row r="169" spans="1:19" ht="11.1" customHeight="1" x14ac:dyDescent="0.25">
      <c r="A169" s="207" t="str">
        <f>IFERROR(IF(Production[[#This Row],[Date]]&lt;&gt;"",TEXT(Production[[#This Row],[Date]],"yy")&amp;"-"&amp;TEXT(Production[[#This Row],[Date]]-DATE(YEAR(Production[[#This Row],[Date]]),1,0),"000"),""),"")</f>
        <v>23-045</v>
      </c>
      <c r="B169" s="209" t="str">
        <f>IFERROR(IF(INDEX(Ingredients[Ingr1],MATCH(Production[[#This Row],[Product]],Ingredients[ProdName],0))&lt;&gt;"",INDEX(Ingredients[Ingr1],MATCH(Production[[#This Row],[Product]],Ingredients[ProdName],0)),INDEX(Ingredients[Ingr2],MATCH(Production[[#This Row],[Product]],Ingredients[ProdName],0))),"")</f>
        <v>Chicken - Ground</v>
      </c>
      <c r="C169" s="53">
        <v>44971</v>
      </c>
      <c r="D169" s="54" t="s">
        <v>7</v>
      </c>
      <c r="E169" s="55">
        <v>811</v>
      </c>
      <c r="F169" s="56">
        <v>3</v>
      </c>
      <c r="G169" s="56">
        <v>18</v>
      </c>
      <c r="H169" s="208">
        <f>IFERROR(INDEX(Tier1[Wt],MATCH(Production[[#This Row],[Type]],Tier1[Ingredient],0))*Production[[#This Row],[Blocks Used]],0)</f>
        <v>900</v>
      </c>
      <c r="I169" s="210">
        <f>IFERROR(INDEX(Ingredients[TtlWt],MATCH(Production[[#This Row],[Product]],Ingredients[ProdName],0))*Production[[#This Row],[Lots Done]],"")</f>
        <v>20.25</v>
      </c>
      <c r="J169" s="210" t="str">
        <f>IF(INDEX(Ingredients[Batter],MATCH(Production[[#This Row],[Product]],Ingredients[ProdName],0))*Production[[#This Row],[Batter Used]]&gt;0,INDEX(Ingredients[Batter],MATCH(Production[[#This Row],[Product]],Ingredients[ProdName],0))*Production[[#This Row],[Batter Used]],"")</f>
        <v/>
      </c>
      <c r="K169" s="210" t="str">
        <f>IF(INDEX(Ingredients[Breader],MATCH(Production[[#This Row],[Product]],Ingredients[ProdName],0))*Production[[#This Row],[Breader Used]]&gt;0,INDEX(Ingredients[Breader],MATCH(Production[[#This Row],[Product]],Ingredients[ProdName],0))*Production[[#This Row],[Breader Used]],"")</f>
        <v/>
      </c>
      <c r="L169" s="56"/>
      <c r="M169" s="56"/>
      <c r="N169" s="211">
        <f>IFERROR(IF(SUM(Production[[#This Row],[Meat Wt]:[BrTtl]])&lt;&gt;0,SUM(Production[[#This Row],[Meat Wt]:[BrTtl]]),""),"")</f>
        <v>920.25</v>
      </c>
      <c r="O169" s="55">
        <v>46</v>
      </c>
      <c r="P169" s="208">
        <f>INDEX(Ingredients[Case Wt.],MATCH(Production[[#This Row],[Product]],Ingredients[ProdName],0))*Production[[#This Row],[Case Total]]</f>
        <v>1150</v>
      </c>
      <c r="Q169" s="211">
        <f>IFERROR(Production[[#This Row],[SatWt]]-Production[[#This Row],[RawWt]],"")</f>
        <v>229.75</v>
      </c>
      <c r="R169" s="222" t="str">
        <f>IF(Production[[#This Row],[Species]]&lt;&gt;"",IF(SUM(Production[[#This Row],[BtTtl]:[BrTtl]])/Production[[#This Row],[SatWt]]&lt;&gt;0,SUM(Production[[#This Row],[BtTtl]:[BrTtl]])/Production[[#This Row],[SatWt]],""),"")</f>
        <v/>
      </c>
      <c r="S169" s="223" t="str">
        <f>INDEX(Ingredients[Species],MATCH(Production[[#This Row],[Product]],Ingredients[ProdName],0))</f>
        <v>Poultry</v>
      </c>
    </row>
    <row r="170" spans="1:19" ht="11.1" customHeight="1" x14ac:dyDescent="0.25">
      <c r="A170" s="207" t="str">
        <f>IFERROR(IF(Production[[#This Row],[Date]]&lt;&gt;"",TEXT(Production[[#This Row],[Date]],"yy")&amp;"-"&amp;TEXT(Production[[#This Row],[Date]]-DATE(YEAR(Production[[#This Row],[Date]]),1,0),"000"),""),"")</f>
        <v>23-045</v>
      </c>
      <c r="B170" s="209" t="str">
        <f>IFERROR(IF(INDEX(Ingredients[Ingr1],MATCH(Production[[#This Row],[Product]],Ingredients[ProdName],0))&lt;&gt;"",INDEX(Ingredients[Ingr1],MATCH(Production[[#This Row],[Product]],Ingredients[ProdName],0)),INDEX(Ingredients[Ingr2],MATCH(Production[[#This Row],[Product]],Ingredients[ProdName],0))),"")</f>
        <v>Chicken - Ground</v>
      </c>
      <c r="C170" s="53">
        <v>44971</v>
      </c>
      <c r="D170" s="54" t="s">
        <v>7</v>
      </c>
      <c r="E170" s="55">
        <v>811</v>
      </c>
      <c r="F170" s="56">
        <v>6</v>
      </c>
      <c r="G170" s="56">
        <v>36</v>
      </c>
      <c r="H170" s="208">
        <f>IFERROR(INDEX(Tier1[Wt],MATCH(Production[[#This Row],[Type]],Tier1[Ingredient],0))*Production[[#This Row],[Blocks Used]],0)</f>
        <v>1800</v>
      </c>
      <c r="I170" s="210">
        <f>IFERROR(INDEX(Ingredients[TtlWt],MATCH(Production[[#This Row],[Product]],Ingredients[ProdName],0))*Production[[#This Row],[Lots Done]],"")</f>
        <v>40.5</v>
      </c>
      <c r="J170" s="210" t="str">
        <f>IF(INDEX(Ingredients[Batter],MATCH(Production[[#This Row],[Product]],Ingredients[ProdName],0))*Production[[#This Row],[Batter Used]]&gt;0,INDEX(Ingredients[Batter],MATCH(Production[[#This Row],[Product]],Ingredients[ProdName],0))*Production[[#This Row],[Batter Used]],"")</f>
        <v/>
      </c>
      <c r="K170" s="210" t="str">
        <f>IF(INDEX(Ingredients[Breader],MATCH(Production[[#This Row],[Product]],Ingredients[ProdName],0))*Production[[#This Row],[Breader Used]]&gt;0,INDEX(Ingredients[Breader],MATCH(Production[[#This Row],[Product]],Ingredients[ProdName],0))*Production[[#This Row],[Breader Used]],"")</f>
        <v/>
      </c>
      <c r="L170" s="56"/>
      <c r="M170" s="56"/>
      <c r="N170" s="211">
        <f>IFERROR(IF(SUM(Production[[#This Row],[Meat Wt]:[BrTtl]])&lt;&gt;0,SUM(Production[[#This Row],[Meat Wt]:[BrTtl]]),""),"")</f>
        <v>1840.5</v>
      </c>
      <c r="O170" s="55">
        <v>124</v>
      </c>
      <c r="P170" s="208">
        <f>INDEX(Ingredients[Case Wt.],MATCH(Production[[#This Row],[Product]],Ingredients[ProdName],0))*Production[[#This Row],[Case Total]]</f>
        <v>3100</v>
      </c>
      <c r="Q170" s="211">
        <f>IFERROR(Production[[#This Row],[SatWt]]-Production[[#This Row],[RawWt]],"")</f>
        <v>1259.5</v>
      </c>
      <c r="R170" s="222" t="str">
        <f>IF(Production[[#This Row],[Species]]&lt;&gt;"",IF(SUM(Production[[#This Row],[BtTtl]:[BrTtl]])/Production[[#This Row],[SatWt]]&lt;&gt;0,SUM(Production[[#This Row],[BtTtl]:[BrTtl]])/Production[[#This Row],[SatWt]],""),"")</f>
        <v/>
      </c>
      <c r="S170" s="223" t="str">
        <f>INDEX(Ingredients[Species],MATCH(Production[[#This Row],[Product]],Ingredients[ProdName],0))</f>
        <v>Poultry</v>
      </c>
    </row>
    <row r="171" spans="1:19" ht="11.1" customHeight="1" x14ac:dyDescent="0.25">
      <c r="A171" s="207" t="str">
        <f>IFERROR(IF(Production[[#This Row],[Date]]&lt;&gt;"",TEXT(Production[[#This Row],[Date]],"yy")&amp;"-"&amp;TEXT(Production[[#This Row],[Date]]-DATE(YEAR(Production[[#This Row],[Date]]),1,0),"000"),""),"")</f>
        <v>23-046</v>
      </c>
      <c r="B171" s="209" t="str">
        <f>IFERROR(IF(INDEX(Ingredients[Ingr1],MATCH(Production[[#This Row],[Product]],Ingredients[ProdName],0))&lt;&gt;"",INDEX(Ingredients[Ingr1],MATCH(Production[[#This Row],[Product]],Ingredients[ProdName],0)),INDEX(Ingredients[Ingr2],MATCH(Production[[#This Row],[Product]],Ingredients[ProdName],0))),"")</f>
        <v>Chicken - Ground</v>
      </c>
      <c r="C171" s="53">
        <v>44972</v>
      </c>
      <c r="D171" s="54" t="s">
        <v>15</v>
      </c>
      <c r="E171" s="55">
        <v>811</v>
      </c>
      <c r="F171" s="56">
        <v>10</v>
      </c>
      <c r="G171" s="56">
        <v>60</v>
      </c>
      <c r="H171" s="208">
        <f>IFERROR(INDEX(Tier1[Wt],MATCH(Production[[#This Row],[Type]],Tier1[Ingredient],0))*Production[[#This Row],[Blocks Used]],0)</f>
        <v>3000</v>
      </c>
      <c r="I171" s="210">
        <f>IFERROR(INDEX(Ingredients[TtlWt],MATCH(Production[[#This Row],[Product]],Ingredients[ProdName],0))*Production[[#This Row],[Lots Done]],"")</f>
        <v>116.5</v>
      </c>
      <c r="J171" s="210" t="str">
        <f>IF(INDEX(Ingredients[Batter],MATCH(Production[[#This Row],[Product]],Ingredients[ProdName],0))*Production[[#This Row],[Batter Used]]&gt;0,INDEX(Ingredients[Batter],MATCH(Production[[#This Row],[Product]],Ingredients[ProdName],0))*Production[[#This Row],[Batter Used]],"")</f>
        <v/>
      </c>
      <c r="K171" s="210" t="str">
        <f>IF(INDEX(Ingredients[Breader],MATCH(Production[[#This Row],[Product]],Ingredients[ProdName],0))*Production[[#This Row],[Breader Used]]&gt;0,INDEX(Ingredients[Breader],MATCH(Production[[#This Row],[Product]],Ingredients[ProdName],0))*Production[[#This Row],[Breader Used]],"")</f>
        <v/>
      </c>
      <c r="L171" s="56"/>
      <c r="M171" s="56"/>
      <c r="N171" s="211">
        <f>IFERROR(IF(SUM(Production[[#This Row],[Meat Wt]:[BrTtl]])&lt;&gt;0,SUM(Production[[#This Row],[Meat Wt]:[BrTtl]]),""),"")</f>
        <v>3116.5</v>
      </c>
      <c r="O171" s="55">
        <v>144</v>
      </c>
      <c r="P171" s="208">
        <f>INDEX(Ingredients[Case Wt.],MATCH(Production[[#This Row],[Product]],Ingredients[ProdName],0))*Production[[#This Row],[Case Total]]</f>
        <v>4320</v>
      </c>
      <c r="Q171" s="211">
        <f>IFERROR(Production[[#This Row],[SatWt]]-Production[[#This Row],[RawWt]],"")</f>
        <v>1203.5</v>
      </c>
      <c r="R171" s="222" t="str">
        <f>IF(Production[[#This Row],[Species]]&lt;&gt;"",IF(SUM(Production[[#This Row],[BtTtl]:[BrTtl]])/Production[[#This Row],[SatWt]]&lt;&gt;0,SUM(Production[[#This Row],[BtTtl]:[BrTtl]])/Production[[#This Row],[SatWt]],""),"")</f>
        <v/>
      </c>
      <c r="S171" s="223" t="str">
        <f>INDEX(Ingredients[Species],MATCH(Production[[#This Row],[Product]],Ingredients[ProdName],0))</f>
        <v>Poultry</v>
      </c>
    </row>
    <row r="172" spans="1:19" ht="11.1" customHeight="1" x14ac:dyDescent="0.25">
      <c r="A172" s="207" t="str">
        <f>IFERROR(IF(Production[[#This Row],[Date]]&lt;&gt;"",TEXT(Production[[#This Row],[Date]],"yy")&amp;"-"&amp;TEXT(Production[[#This Row],[Date]]-DATE(YEAR(Production[[#This Row],[Date]]),1,0),"000"),""),"")</f>
        <v>23-047</v>
      </c>
      <c r="B172" s="209" t="str">
        <f>IFERROR(IF(INDEX(Ingredients[Ingr1],MATCH(Production[[#This Row],[Product]],Ingredients[ProdName],0))&lt;&gt;"",INDEX(Ingredients[Ingr1],MATCH(Production[[#This Row],[Product]],Ingredients[ProdName],0)),INDEX(Ingredients[Ingr2],MATCH(Production[[#This Row],[Product]],Ingredients[ProdName],0))),"")</f>
        <v>Chicken - Ground</v>
      </c>
      <c r="C172" s="53">
        <v>44973</v>
      </c>
      <c r="D172" s="54" t="s">
        <v>15</v>
      </c>
      <c r="E172" s="55">
        <v>811</v>
      </c>
      <c r="F172" s="56">
        <v>8</v>
      </c>
      <c r="G172" s="56">
        <v>48</v>
      </c>
      <c r="H172" s="208">
        <f>IFERROR(INDEX(Tier1[Wt],MATCH(Production[[#This Row],[Type]],Tier1[Ingredient],0))*Production[[#This Row],[Blocks Used]],0)</f>
        <v>2400</v>
      </c>
      <c r="I172" s="210">
        <f>IFERROR(INDEX(Ingredients[TtlWt],MATCH(Production[[#This Row],[Product]],Ingredients[ProdName],0))*Production[[#This Row],[Lots Done]],"")</f>
        <v>93.2</v>
      </c>
      <c r="J172" s="210" t="str">
        <f>IF(INDEX(Ingredients[Batter],MATCH(Production[[#This Row],[Product]],Ingredients[ProdName],0))*Production[[#This Row],[Batter Used]]&gt;0,INDEX(Ingredients[Batter],MATCH(Production[[#This Row],[Product]],Ingredients[ProdName],0))*Production[[#This Row],[Batter Used]],"")</f>
        <v/>
      </c>
      <c r="K172" s="210" t="str">
        <f>IF(INDEX(Ingredients[Breader],MATCH(Production[[#This Row],[Product]],Ingredients[ProdName],0))*Production[[#This Row],[Breader Used]]&gt;0,INDEX(Ingredients[Breader],MATCH(Production[[#This Row],[Product]],Ingredients[ProdName],0))*Production[[#This Row],[Breader Used]],"")</f>
        <v/>
      </c>
      <c r="L172" s="56"/>
      <c r="M172" s="56"/>
      <c r="N172" s="211">
        <f>IFERROR(IF(SUM(Production[[#This Row],[Meat Wt]:[BrTtl]])&lt;&gt;0,SUM(Production[[#This Row],[Meat Wt]:[BrTtl]]),""),"")</f>
        <v>2493.1999999999998</v>
      </c>
      <c r="O172" s="55">
        <v>110</v>
      </c>
      <c r="P172" s="208">
        <f>INDEX(Ingredients[Case Wt.],MATCH(Production[[#This Row],[Product]],Ingredients[ProdName],0))*Production[[#This Row],[Case Total]]</f>
        <v>3300</v>
      </c>
      <c r="Q172" s="211">
        <f>IFERROR(Production[[#This Row],[SatWt]]-Production[[#This Row],[RawWt]],"")</f>
        <v>806.80000000000018</v>
      </c>
      <c r="R172" s="222" t="str">
        <f>IF(Production[[#This Row],[Species]]&lt;&gt;"",IF(SUM(Production[[#This Row],[BtTtl]:[BrTtl]])/Production[[#This Row],[SatWt]]&lt;&gt;0,SUM(Production[[#This Row],[BtTtl]:[BrTtl]])/Production[[#This Row],[SatWt]],""),"")</f>
        <v/>
      </c>
      <c r="S172" s="223" t="str">
        <f>INDEX(Ingredients[Species],MATCH(Production[[#This Row],[Product]],Ingredients[ProdName],0))</f>
        <v>Poultry</v>
      </c>
    </row>
    <row r="173" spans="1:19" ht="11.1" customHeight="1" x14ac:dyDescent="0.25">
      <c r="A173" s="207" t="str">
        <f>IFERROR(IF(Production[[#This Row],[Date]]&lt;&gt;"",TEXT(Production[[#This Row],[Date]],"yy")&amp;"-"&amp;TEXT(Production[[#This Row],[Date]]-DATE(YEAR(Production[[#This Row],[Date]]),1,0),"000"),""),"")</f>
        <v>23-052</v>
      </c>
      <c r="B173" s="209" t="str">
        <f>IFERROR(IF(INDEX(Ingredients[Ingr1],MATCH(Production[[#This Row],[Product]],Ingredients[ProdName],0))&lt;&gt;"",INDEX(Ingredients[Ingr1],MATCH(Production[[#This Row],[Product]],Ingredients[ProdName],0)),INDEX(Ingredients[Ingr2],MATCH(Production[[#This Row],[Product]],Ingredients[ProdName],0))),"")</f>
        <v>Chicken - Ground</v>
      </c>
      <c r="C173" s="53">
        <v>44978</v>
      </c>
      <c r="D173" s="54" t="s">
        <v>19</v>
      </c>
      <c r="E173" s="55">
        <v>811</v>
      </c>
      <c r="F173" s="56">
        <v>10</v>
      </c>
      <c r="G173" s="56">
        <v>60</v>
      </c>
      <c r="H173" s="208">
        <f>IFERROR(INDEX(Tier1[Wt],MATCH(Production[[#This Row],[Type]],Tier1[Ingredient],0))*Production[[#This Row],[Blocks Used]],0)</f>
        <v>3000</v>
      </c>
      <c r="I173" s="210">
        <f>IFERROR(INDEX(Ingredients[TtlWt],MATCH(Production[[#This Row],[Product]],Ingredients[ProdName],0))*Production[[#This Row],[Lots Done]],"")</f>
        <v>116.5</v>
      </c>
      <c r="J173" s="210" t="str">
        <f>IF(INDEX(Ingredients[Batter],MATCH(Production[[#This Row],[Product]],Ingredients[ProdName],0))*Production[[#This Row],[Batter Used]]&gt;0,INDEX(Ingredients[Batter],MATCH(Production[[#This Row],[Product]],Ingredients[ProdName],0))*Production[[#This Row],[Batter Used]],"")</f>
        <v/>
      </c>
      <c r="K173" s="210" t="str">
        <f>IF(INDEX(Ingredients[Breader],MATCH(Production[[#This Row],[Product]],Ingredients[ProdName],0))*Production[[#This Row],[Breader Used]]&gt;0,INDEX(Ingredients[Breader],MATCH(Production[[#This Row],[Product]],Ingredients[ProdName],0))*Production[[#This Row],[Breader Used]],"")</f>
        <v/>
      </c>
      <c r="L173" s="56"/>
      <c r="M173" s="56"/>
      <c r="N173" s="211">
        <f>IFERROR(IF(SUM(Production[[#This Row],[Meat Wt]:[BrTtl]])&lt;&gt;0,SUM(Production[[#This Row],[Meat Wt]:[BrTtl]]),""),"")</f>
        <v>3116.5</v>
      </c>
      <c r="O173" s="55">
        <v>183</v>
      </c>
      <c r="P173" s="208">
        <f>INDEX(Ingredients[Case Wt.],MATCH(Production[[#This Row],[Product]],Ingredients[ProdName],0))*Production[[#This Row],[Case Total]]</f>
        <v>4575</v>
      </c>
      <c r="Q173" s="211">
        <f>IFERROR(Production[[#This Row],[SatWt]]-Production[[#This Row],[RawWt]],"")</f>
        <v>1458.5</v>
      </c>
      <c r="R173" s="222" t="str">
        <f>IF(Production[[#This Row],[Species]]&lt;&gt;"",IF(SUM(Production[[#This Row],[BtTtl]:[BrTtl]])/Production[[#This Row],[SatWt]]&lt;&gt;0,SUM(Production[[#This Row],[BtTtl]:[BrTtl]])/Production[[#This Row],[SatWt]],""),"")</f>
        <v/>
      </c>
      <c r="S173" s="223" t="str">
        <f>INDEX(Ingredients[Species],MATCH(Production[[#This Row],[Product]],Ingredients[ProdName],0))</f>
        <v>Poultry</v>
      </c>
    </row>
    <row r="174" spans="1:19" ht="11.1" customHeight="1" x14ac:dyDescent="0.25">
      <c r="A174" s="207" t="str">
        <f>IFERROR(IF(Production[[#This Row],[Date]]&lt;&gt;"",TEXT(Production[[#This Row],[Date]],"yy")&amp;"-"&amp;TEXT(Production[[#This Row],[Date]]-DATE(YEAR(Production[[#This Row],[Date]]),1,0),"000"),""),"")</f>
        <v>23-054</v>
      </c>
      <c r="B174" s="209" t="str">
        <f>IFERROR(IF(INDEX(Ingredients[Ingr1],MATCH(Production[[#This Row],[Product]],Ingredients[ProdName],0))&lt;&gt;"",INDEX(Ingredients[Ingr1],MATCH(Production[[#This Row],[Product]],Ingredients[ProdName],0)),INDEX(Ingredients[Ingr2],MATCH(Production[[#This Row],[Product]],Ingredients[ProdName],0))),"")</f>
        <v>Chicken - Ground</v>
      </c>
      <c r="C174" s="53">
        <v>44980</v>
      </c>
      <c r="D174" s="54" t="s">
        <v>20</v>
      </c>
      <c r="E174" s="55">
        <v>811</v>
      </c>
      <c r="F174" s="56">
        <v>10</v>
      </c>
      <c r="G174" s="56">
        <v>60</v>
      </c>
      <c r="H174" s="208">
        <f>IFERROR(INDEX(Tier1[Wt],MATCH(Production[[#This Row],[Type]],Tier1[Ingredient],0))*Production[[#This Row],[Blocks Used]],0)</f>
        <v>3000</v>
      </c>
      <c r="I174" s="210">
        <f>IFERROR(INDEX(Ingredients[TtlWt],MATCH(Production[[#This Row],[Product]],Ingredients[ProdName],0))*Production[[#This Row],[Lots Done]],"")</f>
        <v>204</v>
      </c>
      <c r="J174" s="210" t="str">
        <f>IF(INDEX(Ingredients[Batter],MATCH(Production[[#This Row],[Product]],Ingredients[ProdName],0))*Production[[#This Row],[Batter Used]]&gt;0,INDEX(Ingredients[Batter],MATCH(Production[[#This Row],[Product]],Ingredients[ProdName],0))*Production[[#This Row],[Batter Used]],"")</f>
        <v/>
      </c>
      <c r="K174" s="210" t="str">
        <f>IF(INDEX(Ingredients[Breader],MATCH(Production[[#This Row],[Product]],Ingredients[ProdName],0))*Production[[#This Row],[Breader Used]]&gt;0,INDEX(Ingredients[Breader],MATCH(Production[[#This Row],[Product]],Ingredients[ProdName],0))*Production[[#This Row],[Breader Used]],"")</f>
        <v/>
      </c>
      <c r="L174" s="56"/>
      <c r="M174" s="56"/>
      <c r="N174" s="211">
        <f>IFERROR(IF(SUM(Production[[#This Row],[Meat Wt]:[BrTtl]])&lt;&gt;0,SUM(Production[[#This Row],[Meat Wt]:[BrTtl]]),""),"")</f>
        <v>3204</v>
      </c>
      <c r="O174" s="55">
        <v>185</v>
      </c>
      <c r="P174" s="208">
        <f>INDEX(Ingredients[Case Wt.],MATCH(Production[[#This Row],[Product]],Ingredients[ProdName],0))*Production[[#This Row],[Case Total]]</f>
        <v>4625</v>
      </c>
      <c r="Q174" s="211">
        <f>IFERROR(Production[[#This Row],[SatWt]]-Production[[#This Row],[RawWt]],"")</f>
        <v>1421</v>
      </c>
      <c r="R174" s="222" t="str">
        <f>IF(Production[[#This Row],[Species]]&lt;&gt;"",IF(SUM(Production[[#This Row],[BtTtl]:[BrTtl]])/Production[[#This Row],[SatWt]]&lt;&gt;0,SUM(Production[[#This Row],[BtTtl]:[BrTtl]])/Production[[#This Row],[SatWt]],""),"")</f>
        <v/>
      </c>
      <c r="S174" s="223" t="str">
        <f>INDEX(Ingredients[Species],MATCH(Production[[#This Row],[Product]],Ingredients[ProdName],0))</f>
        <v>Poultry</v>
      </c>
    </row>
    <row r="175" spans="1:19" ht="11.1" customHeight="1" x14ac:dyDescent="0.25">
      <c r="A175" s="207" t="str">
        <f>IFERROR(IF(Production[[#This Row],[Date]]&lt;&gt;"",TEXT(Production[[#This Row],[Date]],"yy")&amp;"-"&amp;TEXT(Production[[#This Row],[Date]]-DATE(YEAR(Production[[#This Row],[Date]]),1,0),"000"),""),"")</f>
        <v>23-059</v>
      </c>
      <c r="B175" s="209" t="str">
        <f>IFERROR(IF(INDEX(Ingredients[Ingr1],MATCH(Production[[#This Row],[Product]],Ingredients[ProdName],0))&lt;&gt;"",INDEX(Ingredients[Ingr1],MATCH(Production[[#This Row],[Product]],Ingredients[ProdName],0)),INDEX(Ingredients[Ingr2],MATCH(Production[[#This Row],[Product]],Ingredients[ProdName],0))),"")</f>
        <v>Chicken - Tenders</v>
      </c>
      <c r="C175" s="53">
        <v>44985</v>
      </c>
      <c r="D175" s="54" t="s">
        <v>21</v>
      </c>
      <c r="E175" s="55" t="s">
        <v>172</v>
      </c>
      <c r="F175" s="56">
        <v>17</v>
      </c>
      <c r="G175" s="56">
        <v>119</v>
      </c>
      <c r="H175" s="208">
        <f>IFERROR(INDEX(Tier1[Wt],MATCH(Production[[#This Row],[Type]],Tier1[Ingredient],0))*Production[[#This Row],[Blocks Used]],0)</f>
        <v>4760</v>
      </c>
      <c r="I175" s="210">
        <f>IFERROR(INDEX(Ingredients[TtlWt],MATCH(Production[[#This Row],[Product]],Ingredients[ProdName],0))*Production[[#This Row],[Lots Done]],"")</f>
        <v>918</v>
      </c>
      <c r="J175" s="210">
        <f>IF(INDEX(Ingredients[Batter],MATCH(Production[[#This Row],[Product]],Ingredients[ProdName],0))*Production[[#This Row],[Batter Used]]&gt;0,INDEX(Ingredients[Batter],MATCH(Production[[#This Row],[Product]],Ingredients[ProdName],0))*Production[[#This Row],[Batter Used]],"")</f>
        <v>300</v>
      </c>
      <c r="K175" s="210">
        <f>IF(INDEX(Ingredients[Breader],MATCH(Production[[#This Row],[Product]],Ingredients[ProdName],0))*Production[[#This Row],[Breader Used]]&gt;0,INDEX(Ingredients[Breader],MATCH(Production[[#This Row],[Product]],Ingredients[ProdName],0))*Production[[#This Row],[Breader Used]],"")</f>
        <v>1500</v>
      </c>
      <c r="L175" s="56">
        <v>6</v>
      </c>
      <c r="M175" s="56">
        <v>30</v>
      </c>
      <c r="N175" s="211">
        <f>IFERROR(IF(SUM(Production[[#This Row],[Meat Wt]:[BrTtl]])&lt;&gt;0,SUM(Production[[#This Row],[Meat Wt]:[BrTtl]]),""),"")</f>
        <v>7478</v>
      </c>
      <c r="O175" s="55">
        <v>360</v>
      </c>
      <c r="P175" s="208">
        <f>INDEX(Ingredients[Case Wt.],MATCH(Production[[#This Row],[Product]],Ingredients[ProdName],0))*Production[[#This Row],[Case Total]]</f>
        <v>9000</v>
      </c>
      <c r="Q175" s="211">
        <f>IFERROR(Production[[#This Row],[SatWt]]-Production[[#This Row],[RawWt]],"")</f>
        <v>1522</v>
      </c>
      <c r="R175" s="222">
        <f>IF(Production[[#This Row],[Species]]&lt;&gt;"",IF(SUM(Production[[#This Row],[BtTtl]:[BrTtl]])/Production[[#This Row],[SatWt]]&lt;&gt;0,SUM(Production[[#This Row],[BtTtl]:[BrTtl]])/Production[[#This Row],[SatWt]],""),"")</f>
        <v>0.2</v>
      </c>
      <c r="S175" s="223" t="str">
        <f>INDEX(Ingredients[Species],MATCH(Production[[#This Row],[Product]],Ingredients[ProdName],0))</f>
        <v>Poultry</v>
      </c>
    </row>
    <row r="176" spans="1:19" ht="11.1" customHeight="1" x14ac:dyDescent="0.25">
      <c r="A176" s="207" t="str">
        <f>IFERROR(IF(Production[[#This Row],[Date]]&lt;&gt;"",TEXT(Production[[#This Row],[Date]],"yy")&amp;"-"&amp;TEXT(Production[[#This Row],[Date]]-DATE(YEAR(Production[[#This Row],[Date]]),1,0),"000"),""),"")</f>
        <v>23-060</v>
      </c>
      <c r="B176" s="209" t="str">
        <f>IFERROR(IF(INDEX(Ingredients[Ingr1],MATCH(Production[[#This Row],[Product]],Ingredients[ProdName],0))&lt;&gt;"",INDEX(Ingredients[Ingr1],MATCH(Production[[#This Row],[Product]],Ingredients[ProdName],0)),INDEX(Ingredients[Ingr2],MATCH(Production[[#This Row],[Product]],Ingredients[ProdName],0))),"")</f>
        <v>Chicken - Tenders</v>
      </c>
      <c r="C176" s="53">
        <v>44986</v>
      </c>
      <c r="D176" s="54" t="s">
        <v>21</v>
      </c>
      <c r="E176" s="55" t="s">
        <v>172</v>
      </c>
      <c r="F176" s="56">
        <v>11</v>
      </c>
      <c r="G176" s="56">
        <v>77</v>
      </c>
      <c r="H176" s="208">
        <f>IFERROR(INDEX(Tier1[Wt],MATCH(Production[[#This Row],[Type]],Tier1[Ingredient],0))*Production[[#This Row],[Blocks Used]],0)</f>
        <v>3080</v>
      </c>
      <c r="I176" s="210">
        <f>IFERROR(INDEX(Ingredients[TtlWt],MATCH(Production[[#This Row],[Product]],Ingredients[ProdName],0))*Production[[#This Row],[Lots Done]],"")</f>
        <v>594</v>
      </c>
      <c r="J176" s="210">
        <f>IF(INDEX(Ingredients[Batter],MATCH(Production[[#This Row],[Product]],Ingredients[ProdName],0))*Production[[#This Row],[Batter Used]]&gt;0,INDEX(Ingredients[Batter],MATCH(Production[[#This Row],[Product]],Ingredients[ProdName],0))*Production[[#This Row],[Batter Used]],"")</f>
        <v>300</v>
      </c>
      <c r="K176" s="210">
        <f>IF(INDEX(Ingredients[Breader],MATCH(Production[[#This Row],[Product]],Ingredients[ProdName],0))*Production[[#This Row],[Breader Used]]&gt;0,INDEX(Ingredients[Breader],MATCH(Production[[#This Row],[Product]],Ingredients[ProdName],0))*Production[[#This Row],[Breader Used]],"")</f>
        <v>750</v>
      </c>
      <c r="L176" s="56">
        <v>6</v>
      </c>
      <c r="M176" s="56">
        <v>15</v>
      </c>
      <c r="N176" s="211">
        <f>IFERROR(IF(SUM(Production[[#This Row],[Meat Wt]:[BrTtl]])&lt;&gt;0,SUM(Production[[#This Row],[Meat Wt]:[BrTtl]]),""),"")</f>
        <v>4724</v>
      </c>
      <c r="O176" s="55">
        <v>245</v>
      </c>
      <c r="P176" s="208">
        <f>INDEX(Ingredients[Case Wt.],MATCH(Production[[#This Row],[Product]],Ingredients[ProdName],0))*Production[[#This Row],[Case Total]]</f>
        <v>6125</v>
      </c>
      <c r="Q176" s="211">
        <f>IFERROR(Production[[#This Row],[SatWt]]-Production[[#This Row],[RawWt]],"")</f>
        <v>1401</v>
      </c>
      <c r="R176" s="222">
        <f>IF(Production[[#This Row],[Species]]&lt;&gt;"",IF(SUM(Production[[#This Row],[BtTtl]:[BrTtl]])/Production[[#This Row],[SatWt]]&lt;&gt;0,SUM(Production[[#This Row],[BtTtl]:[BrTtl]])/Production[[#This Row],[SatWt]],""),"")</f>
        <v>0.17142857142857143</v>
      </c>
      <c r="S176" s="223" t="str">
        <f>INDEX(Ingredients[Species],MATCH(Production[[#This Row],[Product]],Ingredients[ProdName],0))</f>
        <v>Poultry</v>
      </c>
    </row>
    <row r="177" spans="1:19" ht="11.1" customHeight="1" x14ac:dyDescent="0.25">
      <c r="A177" s="207" t="str">
        <f>IFERROR(IF(Production[[#This Row],[Date]]&lt;&gt;"",TEXT(Production[[#This Row],[Date]],"yy")&amp;"-"&amp;TEXT(Production[[#This Row],[Date]]-DATE(YEAR(Production[[#This Row],[Date]]),1,0),"000"),""),"")</f>
        <v>23-061</v>
      </c>
      <c r="B177" s="209" t="str">
        <f>IFERROR(IF(INDEX(Ingredients[Ingr1],MATCH(Production[[#This Row],[Product]],Ingredients[ProdName],0))&lt;&gt;"",INDEX(Ingredients[Ingr1],MATCH(Production[[#This Row],[Product]],Ingredients[ProdName],0)),INDEX(Ingredients[Ingr2],MATCH(Production[[#This Row],[Product]],Ingredients[ProdName],0))),"")</f>
        <v>Chicken - Tenders</v>
      </c>
      <c r="C177" s="53">
        <v>44987</v>
      </c>
      <c r="D177" s="54" t="s">
        <v>12</v>
      </c>
      <c r="E177" s="55" t="s">
        <v>172</v>
      </c>
      <c r="F177" s="56">
        <v>12</v>
      </c>
      <c r="G177" s="56">
        <v>72</v>
      </c>
      <c r="H177" s="208">
        <f>IFERROR(INDEX(Tier1[Wt],MATCH(Production[[#This Row],[Type]],Tier1[Ingredient],0))*Production[[#This Row],[Blocks Used]],0)</f>
        <v>2880</v>
      </c>
      <c r="I177" s="210">
        <f>IFERROR(INDEX(Ingredients[TtlWt],MATCH(Production[[#This Row],[Product]],Ingredients[ProdName],0))*Production[[#This Row],[Lots Done]],"")</f>
        <v>717.59999999999991</v>
      </c>
      <c r="J177" s="210">
        <f>IF(INDEX(Ingredients[Batter],MATCH(Production[[#This Row],[Product]],Ingredients[ProdName],0))*Production[[#This Row],[Batter Used]]&gt;0,INDEX(Ingredients[Batter],MATCH(Production[[#This Row],[Product]],Ingredients[ProdName],0))*Production[[#This Row],[Batter Used]],"")</f>
        <v>200</v>
      </c>
      <c r="K177" s="210">
        <f>IF(INDEX(Ingredients[Breader],MATCH(Production[[#This Row],[Product]],Ingredients[ProdName],0))*Production[[#This Row],[Breader Used]]&gt;0,INDEX(Ingredients[Breader],MATCH(Production[[#This Row],[Product]],Ingredients[ProdName],0))*Production[[#This Row],[Breader Used]],"")</f>
        <v>1250</v>
      </c>
      <c r="L177" s="56">
        <v>4</v>
      </c>
      <c r="M177" s="56">
        <v>25</v>
      </c>
      <c r="N177" s="211">
        <f>IFERROR(IF(SUM(Production[[#This Row],[Meat Wt]:[BrTtl]])&lt;&gt;0,SUM(Production[[#This Row],[Meat Wt]:[BrTtl]]),""),"")</f>
        <v>5047.6000000000004</v>
      </c>
      <c r="O177" s="55">
        <v>276</v>
      </c>
      <c r="P177" s="208">
        <f>INDEX(Ingredients[Case Wt.],MATCH(Production[[#This Row],[Product]],Ingredients[ProdName],0))*Production[[#This Row],[Case Total]]</f>
        <v>6900</v>
      </c>
      <c r="Q177" s="211">
        <f>IFERROR(Production[[#This Row],[SatWt]]-Production[[#This Row],[RawWt]],"")</f>
        <v>1852.3999999999996</v>
      </c>
      <c r="R177" s="222">
        <f>IF(Production[[#This Row],[Species]]&lt;&gt;"",IF(SUM(Production[[#This Row],[BtTtl]:[BrTtl]])/Production[[#This Row],[SatWt]]&lt;&gt;0,SUM(Production[[#This Row],[BtTtl]:[BrTtl]])/Production[[#This Row],[SatWt]],""),"")</f>
        <v>0.21014492753623187</v>
      </c>
      <c r="S177" s="223" t="str">
        <f>INDEX(Ingredients[Species],MATCH(Production[[#This Row],[Product]],Ingredients[ProdName],0))</f>
        <v>Poultry</v>
      </c>
    </row>
    <row r="178" spans="1:19" ht="11.1" customHeight="1" x14ac:dyDescent="0.25">
      <c r="A178" s="207" t="str">
        <f>IFERROR(IF(Production[[#This Row],[Date]]&lt;&gt;"",TEXT(Production[[#This Row],[Date]],"yy")&amp;"-"&amp;TEXT(Production[[#This Row],[Date]]-DATE(YEAR(Production[[#This Row],[Date]]),1,0),"000"),""),"")</f>
        <v>23-065</v>
      </c>
      <c r="B178" s="209" t="str">
        <f>IFERROR(IF(INDEX(Ingredients[Ingr1],MATCH(Production[[#This Row],[Product]],Ingredients[ProdName],0))&lt;&gt;"",INDEX(Ingredients[Ingr1],MATCH(Production[[#This Row],[Product]],Ingredients[ProdName],0)),INDEX(Ingredients[Ingr2],MATCH(Production[[#This Row],[Product]],Ingredients[ProdName],0))),"")</f>
        <v>Chicken - Tenders</v>
      </c>
      <c r="C178" s="53">
        <v>44991</v>
      </c>
      <c r="D178" s="54" t="s">
        <v>12</v>
      </c>
      <c r="E178" s="55" t="s">
        <v>172</v>
      </c>
      <c r="F178" s="56">
        <v>5</v>
      </c>
      <c r="G178" s="56">
        <v>35</v>
      </c>
      <c r="H178" s="208">
        <f>IFERROR(INDEX(Tier1[Wt],MATCH(Production[[#This Row],[Type]],Tier1[Ingredient],0))*Production[[#This Row],[Blocks Used]],0)</f>
        <v>1400</v>
      </c>
      <c r="I178" s="210">
        <f>IFERROR(INDEX(Ingredients[TtlWt],MATCH(Production[[#This Row],[Product]],Ingredients[ProdName],0))*Production[[#This Row],[Lots Done]],"")</f>
        <v>299</v>
      </c>
      <c r="J178" s="210">
        <f>IF(INDEX(Ingredients[Batter],MATCH(Production[[#This Row],[Product]],Ingredients[ProdName],0))*Production[[#This Row],[Batter Used]]&gt;0,INDEX(Ingredients[Batter],MATCH(Production[[#This Row],[Product]],Ingredients[ProdName],0))*Production[[#This Row],[Batter Used]],"")</f>
        <v>100</v>
      </c>
      <c r="K178" s="210">
        <f>IF(INDEX(Ingredients[Breader],MATCH(Production[[#This Row],[Product]],Ingredients[ProdName],0))*Production[[#This Row],[Breader Used]]&gt;0,INDEX(Ingredients[Breader],MATCH(Production[[#This Row],[Product]],Ingredients[ProdName],0))*Production[[#This Row],[Breader Used]],"")</f>
        <v>750</v>
      </c>
      <c r="L178" s="56">
        <v>2</v>
      </c>
      <c r="M178" s="56">
        <v>15</v>
      </c>
      <c r="N178" s="211">
        <f>IFERROR(IF(SUM(Production[[#This Row],[Meat Wt]:[BrTtl]])&lt;&gt;0,SUM(Production[[#This Row],[Meat Wt]:[BrTtl]]),""),"")</f>
        <v>2549</v>
      </c>
      <c r="O178" s="55">
        <v>119</v>
      </c>
      <c r="P178" s="208">
        <f>INDEX(Ingredients[Case Wt.],MATCH(Production[[#This Row],[Product]],Ingredients[ProdName],0))*Production[[#This Row],[Case Total]]</f>
        <v>2975</v>
      </c>
      <c r="Q178" s="211">
        <f>IFERROR(Production[[#This Row],[SatWt]]-Production[[#This Row],[RawWt]],"")</f>
        <v>426</v>
      </c>
      <c r="R178" s="222">
        <f>IF(Production[[#This Row],[Species]]&lt;&gt;"",IF(SUM(Production[[#This Row],[BtTtl]:[BrTtl]])/Production[[#This Row],[SatWt]]&lt;&gt;0,SUM(Production[[#This Row],[BtTtl]:[BrTtl]])/Production[[#This Row],[SatWt]],""),"")</f>
        <v>0.2857142857142857</v>
      </c>
      <c r="S178" s="223" t="str">
        <f>INDEX(Ingredients[Species],MATCH(Production[[#This Row],[Product]],Ingredients[ProdName],0))</f>
        <v>Poultry</v>
      </c>
    </row>
    <row r="179" spans="1:19" ht="11.1" customHeight="1" x14ac:dyDescent="0.25">
      <c r="A179" s="207" t="str">
        <f>IFERROR(IF(Production[[#This Row],[Date]]&lt;&gt;"",TEXT(Production[[#This Row],[Date]],"yy")&amp;"-"&amp;TEXT(Production[[#This Row],[Date]]-DATE(YEAR(Production[[#This Row],[Date]]),1,0),"000"),""),"")</f>
        <v>23-065</v>
      </c>
      <c r="B179" s="209" t="str">
        <f>IFERROR(IF(INDEX(Ingredients[Ingr1],MATCH(Production[[#This Row],[Product]],Ingredients[ProdName],0))&lt;&gt;"",INDEX(Ingredients[Ingr1],MATCH(Production[[#This Row],[Product]],Ingredients[ProdName],0)),INDEX(Ingredients[Ingr2],MATCH(Production[[#This Row],[Product]],Ingredients[ProdName],0))),"")</f>
        <v>Chicken - Tenders</v>
      </c>
      <c r="C179" s="53">
        <v>44991</v>
      </c>
      <c r="D179" s="54" t="s">
        <v>12</v>
      </c>
      <c r="E179" s="55" t="s">
        <v>172</v>
      </c>
      <c r="F179" s="56">
        <v>6</v>
      </c>
      <c r="G179" s="56">
        <v>42</v>
      </c>
      <c r="H179" s="208">
        <f>IFERROR(INDEX(Tier1[Wt],MATCH(Production[[#This Row],[Type]],Tier1[Ingredient],0))*Production[[#This Row],[Blocks Used]],0)</f>
        <v>1680</v>
      </c>
      <c r="I179" s="210">
        <f>IFERROR(INDEX(Ingredients[TtlWt],MATCH(Production[[#This Row],[Product]],Ingredients[ProdName],0))*Production[[#This Row],[Lots Done]],"")</f>
        <v>358.79999999999995</v>
      </c>
      <c r="J179" s="210">
        <f>IF(INDEX(Ingredients[Batter],MATCH(Production[[#This Row],[Product]],Ingredients[ProdName],0))*Production[[#This Row],[Batter Used]]&gt;0,INDEX(Ingredients[Batter],MATCH(Production[[#This Row],[Product]],Ingredients[ProdName],0))*Production[[#This Row],[Batter Used]],"")</f>
        <v>100</v>
      </c>
      <c r="K179" s="210">
        <f>IF(INDEX(Ingredients[Breader],MATCH(Production[[#This Row],[Product]],Ingredients[ProdName],0))*Production[[#This Row],[Breader Used]]&gt;0,INDEX(Ingredients[Breader],MATCH(Production[[#This Row],[Product]],Ingredients[ProdName],0))*Production[[#This Row],[Breader Used]],"")</f>
        <v>400</v>
      </c>
      <c r="L179" s="56">
        <v>2</v>
      </c>
      <c r="M179" s="56">
        <v>8</v>
      </c>
      <c r="N179" s="211">
        <f>IFERROR(IF(SUM(Production[[#This Row],[Meat Wt]:[BrTtl]])&lt;&gt;0,SUM(Production[[#This Row],[Meat Wt]:[BrTtl]]),""),"")</f>
        <v>2538.8000000000002</v>
      </c>
      <c r="O179" s="55">
        <v>132</v>
      </c>
      <c r="P179" s="208">
        <f>INDEX(Ingredients[Case Wt.],MATCH(Production[[#This Row],[Product]],Ingredients[ProdName],0))*Production[[#This Row],[Case Total]]</f>
        <v>3300</v>
      </c>
      <c r="Q179" s="211">
        <f>IFERROR(Production[[#This Row],[SatWt]]-Production[[#This Row],[RawWt]],"")</f>
        <v>761.19999999999982</v>
      </c>
      <c r="R179" s="222">
        <f>IF(Production[[#This Row],[Species]]&lt;&gt;"",IF(SUM(Production[[#This Row],[BtTtl]:[BrTtl]])/Production[[#This Row],[SatWt]]&lt;&gt;0,SUM(Production[[#This Row],[BtTtl]:[BrTtl]])/Production[[#This Row],[SatWt]],""),"")</f>
        <v>0.15151515151515152</v>
      </c>
      <c r="S179" s="223" t="str">
        <f>INDEX(Ingredients[Species],MATCH(Production[[#This Row],[Product]],Ingredients[ProdName],0))</f>
        <v>Poultry</v>
      </c>
    </row>
    <row r="180" spans="1:19" ht="11.1" customHeight="1" x14ac:dyDescent="0.25">
      <c r="A180" s="207" t="str">
        <f>IFERROR(IF(Production[[#This Row],[Date]]&lt;&gt;"",TEXT(Production[[#This Row],[Date]],"yy")&amp;"-"&amp;TEXT(Production[[#This Row],[Date]]-DATE(YEAR(Production[[#This Row],[Date]]),1,0),"000"),""),"")</f>
        <v>23-066</v>
      </c>
      <c r="B180" s="209" t="str">
        <f>IFERROR(IF(INDEX(Ingredients[Ingr1],MATCH(Production[[#This Row],[Product]],Ingredients[ProdName],0))&lt;&gt;"",INDEX(Ingredients[Ingr1],MATCH(Production[[#This Row],[Product]],Ingredients[ProdName],0)),INDEX(Ingredients[Ingr2],MATCH(Production[[#This Row],[Product]],Ingredients[ProdName],0))),"")</f>
        <v>Chicken - Tenders</v>
      </c>
      <c r="C180" s="53">
        <v>44992</v>
      </c>
      <c r="D180" s="54" t="s">
        <v>21</v>
      </c>
      <c r="E180" s="55" t="s">
        <v>172</v>
      </c>
      <c r="F180" s="56">
        <v>7</v>
      </c>
      <c r="G180" s="56">
        <v>49</v>
      </c>
      <c r="H180" s="208">
        <f>IFERROR(INDEX(Tier1[Wt],MATCH(Production[[#This Row],[Type]],Tier1[Ingredient],0))*Production[[#This Row],[Blocks Used]],0)</f>
        <v>1960</v>
      </c>
      <c r="I180" s="210">
        <f>IFERROR(INDEX(Ingredients[TtlWt],MATCH(Production[[#This Row],[Product]],Ingredients[ProdName],0))*Production[[#This Row],[Lots Done]],"")</f>
        <v>378</v>
      </c>
      <c r="J180" s="210">
        <f>IF(INDEX(Ingredients[Batter],MATCH(Production[[#This Row],[Product]],Ingredients[ProdName],0))*Production[[#This Row],[Batter Used]]&gt;0,INDEX(Ingredients[Batter],MATCH(Production[[#This Row],[Product]],Ingredients[ProdName],0))*Production[[#This Row],[Batter Used]],"")</f>
        <v>150</v>
      </c>
      <c r="K180" s="210">
        <f>IF(INDEX(Ingredients[Breader],MATCH(Production[[#This Row],[Product]],Ingredients[ProdName],0))*Production[[#This Row],[Breader Used]]&gt;0,INDEX(Ingredients[Breader],MATCH(Production[[#This Row],[Product]],Ingredients[ProdName],0))*Production[[#This Row],[Breader Used]],"")</f>
        <v>700</v>
      </c>
      <c r="L180" s="56">
        <v>3</v>
      </c>
      <c r="M180" s="56">
        <v>14</v>
      </c>
      <c r="N180" s="211">
        <f>IFERROR(IF(SUM(Production[[#This Row],[Meat Wt]:[BrTtl]])&lt;&gt;0,SUM(Production[[#This Row],[Meat Wt]:[BrTtl]]),""),"")</f>
        <v>3188</v>
      </c>
      <c r="O180" s="55">
        <v>173</v>
      </c>
      <c r="P180" s="208">
        <f>INDEX(Ingredients[Case Wt.],MATCH(Production[[#This Row],[Product]],Ingredients[ProdName],0))*Production[[#This Row],[Case Total]]</f>
        <v>4325</v>
      </c>
      <c r="Q180" s="211">
        <f>IFERROR(Production[[#This Row],[SatWt]]-Production[[#This Row],[RawWt]],"")</f>
        <v>1137</v>
      </c>
      <c r="R180" s="222">
        <f>IF(Production[[#This Row],[Species]]&lt;&gt;"",IF(SUM(Production[[#This Row],[BtTtl]:[BrTtl]])/Production[[#This Row],[SatWt]]&lt;&gt;0,SUM(Production[[#This Row],[BtTtl]:[BrTtl]])/Production[[#This Row],[SatWt]],""),"")</f>
        <v>0.19653179190751446</v>
      </c>
      <c r="S180" s="223" t="str">
        <f>INDEX(Ingredients[Species],MATCH(Production[[#This Row],[Product]],Ingredients[ProdName],0))</f>
        <v>Poultry</v>
      </c>
    </row>
    <row r="181" spans="1:19" ht="11.1" customHeight="1" x14ac:dyDescent="0.25">
      <c r="A181" s="207" t="str">
        <f>IFERROR(IF(Production[[#This Row],[Date]]&lt;&gt;"",TEXT(Production[[#This Row],[Date]],"yy")&amp;"-"&amp;TEXT(Production[[#This Row],[Date]]-DATE(YEAR(Production[[#This Row],[Date]]),1,0),"000"),""),"")</f>
        <v>23-066</v>
      </c>
      <c r="B181" s="209" t="str">
        <f>IFERROR(IF(INDEX(Ingredients[Ingr1],MATCH(Production[[#This Row],[Product]],Ingredients[ProdName],0))&lt;&gt;"",INDEX(Ingredients[Ingr1],MATCH(Production[[#This Row],[Product]],Ingredients[ProdName],0)),INDEX(Ingredients[Ingr2],MATCH(Production[[#This Row],[Product]],Ingredients[ProdName],0))),"")</f>
        <v>Chicken - Tenders</v>
      </c>
      <c r="C181" s="53">
        <v>44992</v>
      </c>
      <c r="D181" s="54" t="s">
        <v>21</v>
      </c>
      <c r="E181" s="55" t="s">
        <v>172</v>
      </c>
      <c r="F181" s="56">
        <v>3</v>
      </c>
      <c r="G181" s="56">
        <v>21</v>
      </c>
      <c r="H181" s="208">
        <f>IFERROR(INDEX(Tier1[Wt],MATCH(Production[[#This Row],[Type]],Tier1[Ingredient],0))*Production[[#This Row],[Blocks Used]],0)</f>
        <v>840</v>
      </c>
      <c r="I181" s="210">
        <f>IFERROR(INDEX(Ingredients[TtlWt],MATCH(Production[[#This Row],[Product]],Ingredients[ProdName],0))*Production[[#This Row],[Lots Done]],"")</f>
        <v>162</v>
      </c>
      <c r="J181" s="210">
        <f>IF(INDEX(Ingredients[Batter],MATCH(Production[[#This Row],[Product]],Ingredients[ProdName],0))*Production[[#This Row],[Batter Used]]&gt;0,INDEX(Ingredients[Batter],MATCH(Production[[#This Row],[Product]],Ingredients[ProdName],0))*Production[[#This Row],[Batter Used]],"")</f>
        <v>100</v>
      </c>
      <c r="K181" s="210">
        <f>IF(INDEX(Ingredients[Breader],MATCH(Production[[#This Row],[Product]],Ingredients[ProdName],0))*Production[[#This Row],[Breader Used]]&gt;0,INDEX(Ingredients[Breader],MATCH(Production[[#This Row],[Product]],Ingredients[ProdName],0))*Production[[#This Row],[Breader Used]],"")</f>
        <v>200</v>
      </c>
      <c r="L181" s="56">
        <v>2</v>
      </c>
      <c r="M181" s="56">
        <v>4</v>
      </c>
      <c r="N181" s="211">
        <f>IFERROR(IF(SUM(Production[[#This Row],[Meat Wt]:[BrTtl]])&lt;&gt;0,SUM(Production[[#This Row],[Meat Wt]:[BrTtl]]),""),"")</f>
        <v>1302</v>
      </c>
      <c r="O181" s="55">
        <v>49</v>
      </c>
      <c r="P181" s="208">
        <f>INDEX(Ingredients[Case Wt.],MATCH(Production[[#This Row],[Product]],Ingredients[ProdName],0))*Production[[#This Row],[Case Total]]</f>
        <v>1225</v>
      </c>
      <c r="Q181" s="211">
        <f>IFERROR(Production[[#This Row],[SatWt]]-Production[[#This Row],[RawWt]],"")</f>
        <v>-77</v>
      </c>
      <c r="R181" s="222">
        <f>IF(Production[[#This Row],[Species]]&lt;&gt;"",IF(SUM(Production[[#This Row],[BtTtl]:[BrTtl]])/Production[[#This Row],[SatWt]]&lt;&gt;0,SUM(Production[[#This Row],[BtTtl]:[BrTtl]])/Production[[#This Row],[SatWt]],""),"")</f>
        <v>0.24489795918367346</v>
      </c>
      <c r="S181" s="223" t="str">
        <f>INDEX(Ingredients[Species],MATCH(Production[[#This Row],[Product]],Ingredients[ProdName],0))</f>
        <v>Poultry</v>
      </c>
    </row>
    <row r="182" spans="1:19" ht="11.1" customHeight="1" x14ac:dyDescent="0.25">
      <c r="A182" s="207" t="str">
        <f>IFERROR(IF(Production[[#This Row],[Date]]&lt;&gt;"",TEXT(Production[[#This Row],[Date]],"yy")&amp;"-"&amp;TEXT(Production[[#This Row],[Date]]-DATE(YEAR(Production[[#This Row],[Date]]),1,0),"000"),""),"")</f>
        <v>23-067</v>
      </c>
      <c r="B182" s="209" t="str">
        <f>IFERROR(IF(INDEX(Ingredients[Ingr1],MATCH(Production[[#This Row],[Product]],Ingredients[ProdName],0))&lt;&gt;"",INDEX(Ingredients[Ingr1],MATCH(Production[[#This Row],[Product]],Ingredients[ProdName],0)),INDEX(Ingredients[Ingr2],MATCH(Production[[#This Row],[Product]],Ingredients[ProdName],0))),"")</f>
        <v>Chicken - Tenders</v>
      </c>
      <c r="C182" s="53">
        <v>44993</v>
      </c>
      <c r="D182" s="54" t="s">
        <v>21</v>
      </c>
      <c r="E182" s="55" t="s">
        <v>172</v>
      </c>
      <c r="F182" s="56">
        <v>11</v>
      </c>
      <c r="G182" s="56">
        <v>77</v>
      </c>
      <c r="H182" s="208">
        <f>IFERROR(INDEX(Tier1[Wt],MATCH(Production[[#This Row],[Type]],Tier1[Ingredient],0))*Production[[#This Row],[Blocks Used]],0)</f>
        <v>3080</v>
      </c>
      <c r="I182" s="210">
        <f>IFERROR(INDEX(Ingredients[TtlWt],MATCH(Production[[#This Row],[Product]],Ingredients[ProdName],0))*Production[[#This Row],[Lots Done]],"")</f>
        <v>594</v>
      </c>
      <c r="J182" s="210">
        <f>IF(INDEX(Ingredients[Batter],MATCH(Production[[#This Row],[Product]],Ingredients[ProdName],0))*Production[[#This Row],[Batter Used]]&gt;0,INDEX(Ingredients[Batter],MATCH(Production[[#This Row],[Product]],Ingredients[ProdName],0))*Production[[#This Row],[Batter Used]],"")</f>
        <v>200</v>
      </c>
      <c r="K182" s="210">
        <f>IF(INDEX(Ingredients[Breader],MATCH(Production[[#This Row],[Product]],Ingredients[ProdName],0))*Production[[#This Row],[Breader Used]]&gt;0,INDEX(Ingredients[Breader],MATCH(Production[[#This Row],[Product]],Ingredients[ProdName],0))*Production[[#This Row],[Breader Used]],"")</f>
        <v>850</v>
      </c>
      <c r="L182" s="56">
        <v>4</v>
      </c>
      <c r="M182" s="56">
        <v>17</v>
      </c>
      <c r="N182" s="211">
        <f>IFERROR(IF(SUM(Production[[#This Row],[Meat Wt]:[BrTtl]])&lt;&gt;0,SUM(Production[[#This Row],[Meat Wt]:[BrTtl]]),""),"")</f>
        <v>4724</v>
      </c>
      <c r="O182" s="55">
        <v>256</v>
      </c>
      <c r="P182" s="208">
        <f>INDEX(Ingredients[Case Wt.],MATCH(Production[[#This Row],[Product]],Ingredients[ProdName],0))*Production[[#This Row],[Case Total]]</f>
        <v>6400</v>
      </c>
      <c r="Q182" s="211">
        <f>IFERROR(Production[[#This Row],[SatWt]]-Production[[#This Row],[RawWt]],"")</f>
        <v>1676</v>
      </c>
      <c r="R182" s="222">
        <f>IF(Production[[#This Row],[Species]]&lt;&gt;"",IF(SUM(Production[[#This Row],[BtTtl]:[BrTtl]])/Production[[#This Row],[SatWt]]&lt;&gt;0,SUM(Production[[#This Row],[BtTtl]:[BrTtl]])/Production[[#This Row],[SatWt]],""),"")</f>
        <v>0.1640625</v>
      </c>
      <c r="S182" s="223" t="str">
        <f>INDEX(Ingredients[Species],MATCH(Production[[#This Row],[Product]],Ingredients[ProdName],0))</f>
        <v>Poultry</v>
      </c>
    </row>
    <row r="183" spans="1:19" ht="11.1" customHeight="1" x14ac:dyDescent="0.25">
      <c r="A183" s="207" t="str">
        <f>IFERROR(IF(Production[[#This Row],[Date]]&lt;&gt;"",TEXT(Production[[#This Row],[Date]],"yy")&amp;"-"&amp;TEXT(Production[[#This Row],[Date]]-DATE(YEAR(Production[[#This Row],[Date]]),1,0),"000"),""),"")</f>
        <v>23-073</v>
      </c>
      <c r="B183" s="209" t="str">
        <f>IFERROR(IF(INDEX(Ingredients[Ingr1],MATCH(Production[[#This Row],[Product]],Ingredients[ProdName],0))&lt;&gt;"",INDEX(Ingredients[Ingr1],MATCH(Production[[#This Row],[Product]],Ingredients[ProdName],0)),INDEX(Ingredients[Ingr2],MATCH(Production[[#This Row],[Product]],Ingredients[ProdName],0))),"")</f>
        <v>Chicken - Tenders</v>
      </c>
      <c r="C183" s="53">
        <v>44999</v>
      </c>
      <c r="D183" s="54" t="s">
        <v>21</v>
      </c>
      <c r="E183" s="55" t="s">
        <v>172</v>
      </c>
      <c r="F183" s="56">
        <v>7</v>
      </c>
      <c r="G183" s="56">
        <v>49</v>
      </c>
      <c r="H183" s="208">
        <f>IFERROR(INDEX(Tier1[Wt],MATCH(Production[[#This Row],[Type]],Tier1[Ingredient],0))*Production[[#This Row],[Blocks Used]],0)</f>
        <v>1960</v>
      </c>
      <c r="I183" s="210">
        <f>IFERROR(INDEX(Ingredients[TtlWt],MATCH(Production[[#This Row],[Product]],Ingredients[ProdName],0))*Production[[#This Row],[Lots Done]],"")</f>
        <v>378</v>
      </c>
      <c r="J183" s="210">
        <f>IF(INDEX(Ingredients[Batter],MATCH(Production[[#This Row],[Product]],Ingredients[ProdName],0))*Production[[#This Row],[Batter Used]]&gt;0,INDEX(Ingredients[Batter],MATCH(Production[[#This Row],[Product]],Ingredients[ProdName],0))*Production[[#This Row],[Batter Used]],"")</f>
        <v>150</v>
      </c>
      <c r="K183" s="210">
        <f>IF(INDEX(Ingredients[Breader],MATCH(Production[[#This Row],[Product]],Ingredients[ProdName],0))*Production[[#This Row],[Breader Used]]&gt;0,INDEX(Ingredients[Breader],MATCH(Production[[#This Row],[Product]],Ingredients[ProdName],0))*Production[[#This Row],[Breader Used]],"")</f>
        <v>600</v>
      </c>
      <c r="L183" s="56">
        <v>3</v>
      </c>
      <c r="M183" s="56">
        <v>12</v>
      </c>
      <c r="N183" s="211">
        <f>IFERROR(IF(SUM(Production[[#This Row],[Meat Wt]:[BrTtl]])&lt;&gt;0,SUM(Production[[#This Row],[Meat Wt]:[BrTtl]]),""),"")</f>
        <v>3088</v>
      </c>
      <c r="O183" s="55">
        <v>167</v>
      </c>
      <c r="P183" s="208">
        <f>INDEX(Ingredients[Case Wt.],MATCH(Production[[#This Row],[Product]],Ingredients[ProdName],0))*Production[[#This Row],[Case Total]]</f>
        <v>4175</v>
      </c>
      <c r="Q183" s="211">
        <f>IFERROR(Production[[#This Row],[SatWt]]-Production[[#This Row],[RawWt]],"")</f>
        <v>1087</v>
      </c>
      <c r="R183" s="222">
        <f>IF(Production[[#This Row],[Species]]&lt;&gt;"",IF(SUM(Production[[#This Row],[BtTtl]:[BrTtl]])/Production[[#This Row],[SatWt]]&lt;&gt;0,SUM(Production[[#This Row],[BtTtl]:[BrTtl]])/Production[[#This Row],[SatWt]],""),"")</f>
        <v>0.17964071856287425</v>
      </c>
      <c r="S183" s="223" t="str">
        <f>INDEX(Ingredients[Species],MATCH(Production[[#This Row],[Product]],Ingredients[ProdName],0))</f>
        <v>Poultry</v>
      </c>
    </row>
    <row r="184" spans="1:19" ht="11.1" customHeight="1" x14ac:dyDescent="0.25">
      <c r="A184" s="207" t="str">
        <f>IFERROR(IF(Production[[#This Row],[Date]]&lt;&gt;"",TEXT(Production[[#This Row],[Date]],"yy")&amp;"-"&amp;TEXT(Production[[#This Row],[Date]]-DATE(YEAR(Production[[#This Row],[Date]]),1,0),"000"),""),"")</f>
        <v>23-074</v>
      </c>
      <c r="B184" s="209" t="str">
        <f>IFERROR(IF(INDEX(Ingredients[Ingr1],MATCH(Production[[#This Row],[Product]],Ingredients[ProdName],0))&lt;&gt;"",INDEX(Ingredients[Ingr1],MATCH(Production[[#This Row],[Product]],Ingredients[ProdName],0)),INDEX(Ingredients[Ingr2],MATCH(Production[[#This Row],[Product]],Ingredients[ProdName],0))),"")</f>
        <v>Pork - Trim</v>
      </c>
      <c r="C184" s="53">
        <v>45000</v>
      </c>
      <c r="D184" s="54" t="s">
        <v>22</v>
      </c>
      <c r="E184" s="55">
        <v>4204</v>
      </c>
      <c r="F184" s="56">
        <v>11</v>
      </c>
      <c r="G184" s="56">
        <v>55</v>
      </c>
      <c r="H184" s="208">
        <f>IFERROR(INDEX(Tier1[Wt],MATCH(Production[[#This Row],[Type]],Tier1[Ingredient],0))*Production[[#This Row],[Blocks Used]],0)</f>
        <v>3300</v>
      </c>
      <c r="I184" s="210">
        <f>IFERROR(INDEX(Ingredients[TtlWt],MATCH(Production[[#This Row],[Product]],Ingredients[ProdName],0))*Production[[#This Row],[Lots Done]],"")</f>
        <v>448.79999999999995</v>
      </c>
      <c r="J184" s="210">
        <f>IF(INDEX(Ingredients[Batter],MATCH(Production[[#This Row],[Product]],Ingredients[ProdName],0))*Production[[#This Row],[Batter Used]]&gt;0,INDEX(Ingredients[Batter],MATCH(Production[[#This Row],[Product]],Ingredients[ProdName],0))*Production[[#This Row],[Batter Used]],"")</f>
        <v>100</v>
      </c>
      <c r="K184" s="210">
        <f>IF(INDEX(Ingredients[Breader],MATCH(Production[[#This Row],[Product]],Ingredients[ProdName],0))*Production[[#This Row],[Breader Used]]&gt;0,INDEX(Ingredients[Breader],MATCH(Production[[#This Row],[Product]],Ingredients[ProdName],0))*Production[[#This Row],[Breader Used]],"")</f>
        <v>725</v>
      </c>
      <c r="L184" s="56">
        <v>2</v>
      </c>
      <c r="M184" s="56">
        <v>29</v>
      </c>
      <c r="N184" s="211">
        <f>IFERROR(IF(SUM(Production[[#This Row],[Meat Wt]:[BrTtl]])&lt;&gt;0,SUM(Production[[#This Row],[Meat Wt]:[BrTtl]]),""),"")</f>
        <v>4573.8</v>
      </c>
      <c r="O184" s="55">
        <v>228</v>
      </c>
      <c r="P184" s="208">
        <f>INDEX(Ingredients[Case Wt.],MATCH(Production[[#This Row],[Product]],Ingredients[ProdName],0))*Production[[#This Row],[Case Total]]</f>
        <v>5700</v>
      </c>
      <c r="Q184" s="211">
        <f>IFERROR(Production[[#This Row],[SatWt]]-Production[[#This Row],[RawWt]],"")</f>
        <v>1126.1999999999998</v>
      </c>
      <c r="R184" s="222">
        <f>IF(Production[[#This Row],[Species]]&lt;&gt;"",IF(SUM(Production[[#This Row],[BtTtl]:[BrTtl]])/Production[[#This Row],[SatWt]]&lt;&gt;0,SUM(Production[[#This Row],[BtTtl]:[BrTtl]])/Production[[#This Row],[SatWt]],""),"")</f>
        <v>0.14473684210526316</v>
      </c>
      <c r="S184" s="223" t="str">
        <f>INDEX(Ingredients[Species],MATCH(Production[[#This Row],[Product]],Ingredients[ProdName],0))</f>
        <v>Meat</v>
      </c>
    </row>
    <row r="185" spans="1:19" ht="11.1" customHeight="1" x14ac:dyDescent="0.25">
      <c r="A185" s="207" t="str">
        <f>IFERROR(IF(Production[[#This Row],[Date]]&lt;&gt;"",TEXT(Production[[#This Row],[Date]],"yy")&amp;"-"&amp;TEXT(Production[[#This Row],[Date]]-DATE(YEAR(Production[[#This Row],[Date]]),1,0),"000"),""),"")</f>
        <v>23-075</v>
      </c>
      <c r="B185" s="209" t="str">
        <f>IFERROR(IF(INDEX(Ingredients[Ingr1],MATCH(Production[[#This Row],[Product]],Ingredients[ProdName],0))&lt;&gt;"",INDEX(Ingredients[Ingr1],MATCH(Production[[#This Row],[Product]],Ingredients[ProdName],0)),INDEX(Ingredients[Ingr2],MATCH(Production[[#This Row],[Product]],Ingredients[ProdName],0))),"")</f>
        <v>Pork - Trim</v>
      </c>
      <c r="C185" s="53">
        <v>45001</v>
      </c>
      <c r="D185" s="54" t="s">
        <v>22</v>
      </c>
      <c r="E185" s="55">
        <v>4204</v>
      </c>
      <c r="F185" s="56">
        <v>4</v>
      </c>
      <c r="G185" s="56">
        <v>20</v>
      </c>
      <c r="H185" s="208">
        <f>IFERROR(INDEX(Tier1[Wt],MATCH(Production[[#This Row],[Type]],Tier1[Ingredient],0))*Production[[#This Row],[Blocks Used]],0)</f>
        <v>1200</v>
      </c>
      <c r="I185" s="210">
        <f>IFERROR(INDEX(Ingredients[TtlWt],MATCH(Production[[#This Row],[Product]],Ingredients[ProdName],0))*Production[[#This Row],[Lots Done]],"")</f>
        <v>163.19999999999999</v>
      </c>
      <c r="J185" s="210">
        <f>IF(INDEX(Ingredients[Batter],MATCH(Production[[#This Row],[Product]],Ingredients[ProdName],0))*Production[[#This Row],[Batter Used]]&gt;0,INDEX(Ingredients[Batter],MATCH(Production[[#This Row],[Product]],Ingredients[ProdName],0))*Production[[#This Row],[Batter Used]],"")</f>
        <v>200</v>
      </c>
      <c r="K185" s="210">
        <f>IF(INDEX(Ingredients[Breader],MATCH(Production[[#This Row],[Product]],Ingredients[ProdName],0))*Production[[#This Row],[Breader Used]]&gt;0,INDEX(Ingredients[Breader],MATCH(Production[[#This Row],[Product]],Ingredients[ProdName],0))*Production[[#This Row],[Breader Used]],"")</f>
        <v>125</v>
      </c>
      <c r="L185" s="56">
        <v>4</v>
      </c>
      <c r="M185" s="56">
        <v>5</v>
      </c>
      <c r="N185" s="211">
        <f>IFERROR(IF(SUM(Production[[#This Row],[Meat Wt]:[BrTtl]])&lt;&gt;0,SUM(Production[[#This Row],[Meat Wt]:[BrTtl]]),""),"")</f>
        <v>1688.2</v>
      </c>
      <c r="O185" s="55">
        <v>106</v>
      </c>
      <c r="P185" s="208">
        <f>INDEX(Ingredients[Case Wt.],MATCH(Production[[#This Row],[Product]],Ingredients[ProdName],0))*Production[[#This Row],[Case Total]]</f>
        <v>2650</v>
      </c>
      <c r="Q185" s="211">
        <f>IFERROR(Production[[#This Row],[SatWt]]-Production[[#This Row],[RawWt]],"")</f>
        <v>961.8</v>
      </c>
      <c r="R185" s="222">
        <f>IF(Production[[#This Row],[Species]]&lt;&gt;"",IF(SUM(Production[[#This Row],[BtTtl]:[BrTtl]])/Production[[#This Row],[SatWt]]&lt;&gt;0,SUM(Production[[#This Row],[BtTtl]:[BrTtl]])/Production[[#This Row],[SatWt]],""),"")</f>
        <v>0.12264150943396226</v>
      </c>
      <c r="S185" s="223" t="str">
        <f>INDEX(Ingredients[Species],MATCH(Production[[#This Row],[Product]],Ingredients[ProdName],0))</f>
        <v>Meat</v>
      </c>
    </row>
    <row r="186" spans="1:19" ht="11.1" customHeight="1" x14ac:dyDescent="0.25">
      <c r="A186" s="207" t="str">
        <f>IFERROR(IF(Production[[#This Row],[Date]]&lt;&gt;"",TEXT(Production[[#This Row],[Date]],"yy")&amp;"-"&amp;TEXT(Production[[#This Row],[Date]]-DATE(YEAR(Production[[#This Row],[Date]]),1,0),"000"),""),"")</f>
        <v>23-075</v>
      </c>
      <c r="B186" s="209" t="str">
        <f>IFERROR(IF(INDEX(Ingredients[Ingr1],MATCH(Production[[#This Row],[Product]],Ingredients[ProdName],0))&lt;&gt;"",INDEX(Ingredients[Ingr1],MATCH(Production[[#This Row],[Product]],Ingredients[ProdName],0)),INDEX(Ingredients[Ingr2],MATCH(Production[[#This Row],[Product]],Ingredients[ProdName],0))),"")</f>
        <v>Pork - Trim</v>
      </c>
      <c r="C186" s="53">
        <v>45001</v>
      </c>
      <c r="D186" s="54" t="s">
        <v>11</v>
      </c>
      <c r="E186" s="55">
        <v>4204</v>
      </c>
      <c r="F186" s="56">
        <v>7</v>
      </c>
      <c r="G186" s="56">
        <v>35</v>
      </c>
      <c r="H186" s="211">
        <f>IFERROR(INDEX(Tier1[Wt],MATCH(Production[[#This Row],[Type]],Tier1[Ingredient],0))*Production[[#This Row],[Blocks Used]],0)</f>
        <v>2100</v>
      </c>
      <c r="I186" s="210">
        <f>IFERROR(INDEX(Ingredients[TtlWt],MATCH(Production[[#This Row],[Product]],Ingredients[ProdName],0))*Production[[#This Row],[Lots Done]],"")</f>
        <v>285.59999999999997</v>
      </c>
      <c r="J186" s="210" t="str">
        <f>IF(INDEX(Ingredients[Batter],MATCH(Production[[#This Row],[Product]],Ingredients[ProdName],0))*Production[[#This Row],[Batter Used]]&gt;0,INDEX(Ingredients[Batter],MATCH(Production[[#This Row],[Product]],Ingredients[ProdName],0))*Production[[#This Row],[Batter Used]],"")</f>
        <v/>
      </c>
      <c r="K186" s="210" t="str">
        <f>IF(INDEX(Ingredients[Breader],MATCH(Production[[#This Row],[Product]],Ingredients[ProdName],0))*Production[[#This Row],[Breader Used]]&gt;0,INDEX(Ingredients[Breader],MATCH(Production[[#This Row],[Product]],Ingredients[ProdName],0))*Production[[#This Row],[Breader Used]],"")</f>
        <v/>
      </c>
      <c r="L186" s="56"/>
      <c r="M186" s="56"/>
      <c r="N186" s="211">
        <f>IFERROR(IF(SUM(Production[[#This Row],[Meat Wt]:[BrTtl]])&lt;&gt;0,SUM(Production[[#This Row],[Meat Wt]:[BrTtl]]),""),"")</f>
        <v>2385.6</v>
      </c>
      <c r="O186" s="55">
        <v>108</v>
      </c>
      <c r="P186" s="208">
        <f>INDEX(Ingredients[Case Wt.],MATCH(Production[[#This Row],[Product]],Ingredients[ProdName],0))*Production[[#This Row],[Case Total]]</f>
        <v>2700</v>
      </c>
      <c r="Q186" s="211">
        <f>IFERROR(Production[[#This Row],[SatWt]]-Production[[#This Row],[RawWt]],"")</f>
        <v>314.40000000000009</v>
      </c>
      <c r="R186" s="222" t="str">
        <f>IF(Production[[#This Row],[Species]]&lt;&gt;"",IF(SUM(Production[[#This Row],[BtTtl]:[BrTtl]])/Production[[#This Row],[SatWt]]&lt;&gt;0,SUM(Production[[#This Row],[BtTtl]:[BrTtl]])/Production[[#This Row],[SatWt]],""),"")</f>
        <v/>
      </c>
      <c r="S186" s="223" t="str">
        <f>INDEX(Ingredients[Species],MATCH(Production[[#This Row],[Product]],Ingredients[ProdName],0))</f>
        <v>Meat</v>
      </c>
    </row>
    <row r="187" spans="1:19" ht="11.1" customHeight="1" x14ac:dyDescent="0.25">
      <c r="A187" s="207" t="str">
        <f>IFERROR(IF(Production[[#This Row],[Date]]&lt;&gt;"",TEXT(Production[[#This Row],[Date]],"yy")&amp;"-"&amp;TEXT(Production[[#This Row],[Date]]-DATE(YEAR(Production[[#This Row],[Date]]),1,0),"000"),""),"")</f>
        <v>23-079</v>
      </c>
      <c r="B187" s="209" t="str">
        <f>IFERROR(IF(INDEX(Ingredients[Ingr1],MATCH(Production[[#This Row],[Product]],Ingredients[ProdName],0))&lt;&gt;"",INDEX(Ingredients[Ingr1],MATCH(Production[[#This Row],[Product]],Ingredients[ProdName],0)),INDEX(Ingredients[Ingr2],MATCH(Production[[#This Row],[Product]],Ingredients[ProdName],0))),"")</f>
        <v>Fish - Imitation Crab</v>
      </c>
      <c r="C187" s="53">
        <v>45005</v>
      </c>
      <c r="D187" s="54" t="s">
        <v>47</v>
      </c>
      <c r="E187" s="55">
        <v>7113</v>
      </c>
      <c r="F187" s="56">
        <v>9</v>
      </c>
      <c r="G187" s="56"/>
      <c r="H187" s="208">
        <f>IFERROR(INDEX(Tier1[Wt],MATCH(Production[[#This Row],[Type]],Tier1[Ingredient],0))*Production[[#This Row],[Blocks Used]],0)</f>
        <v>0</v>
      </c>
      <c r="I187" s="210">
        <f>IFERROR(INDEX(Ingredients[TtlWt],MATCH(Production[[#This Row],[Product]],Ingredients[ProdName],0))*Production[[#This Row],[Lots Done]],"")</f>
        <v>270</v>
      </c>
      <c r="J187" s="210">
        <f>IF(INDEX(Ingredients[Batter],MATCH(Production[[#This Row],[Product]],Ingredients[ProdName],0))*Production[[#This Row],[Batter Used]]&gt;0,INDEX(Ingredients[Batter],MATCH(Production[[#This Row],[Product]],Ingredients[ProdName],0))*Production[[#This Row],[Batter Used]],"")</f>
        <v>650</v>
      </c>
      <c r="K187" s="210">
        <f>IF(INDEX(Ingredients[Breader],MATCH(Production[[#This Row],[Product]],Ingredients[ProdName],0))*Production[[#This Row],[Breader Used]]&gt;0,INDEX(Ingredients[Breader],MATCH(Production[[#This Row],[Product]],Ingredients[ProdName],0))*Production[[#This Row],[Breader Used]],"")</f>
        <v>900</v>
      </c>
      <c r="L187" s="56">
        <v>13</v>
      </c>
      <c r="M187" s="56">
        <v>18</v>
      </c>
      <c r="N187" s="211">
        <f>IFERROR(IF(SUM(Production[[#This Row],[Meat Wt]:[BrTtl]])&lt;&gt;0,SUM(Production[[#This Row],[Meat Wt]:[BrTtl]]),""),"")</f>
        <v>1820</v>
      </c>
      <c r="O187" s="55">
        <v>222</v>
      </c>
      <c r="P187" s="208">
        <f>INDEX(Ingredients[Case Wt.],MATCH(Production[[#This Row],[Product]],Ingredients[ProdName],0))*Production[[#This Row],[Case Total]]</f>
        <v>5550</v>
      </c>
      <c r="Q187" s="211">
        <f>IFERROR(Production[[#This Row],[SatWt]]-Production[[#This Row],[RawWt]],"")</f>
        <v>3730</v>
      </c>
      <c r="R187" s="222" t="str">
        <f>IF(Production[[#This Row],[Species]]&lt;&gt;"",IF(SUM(Production[[#This Row],[BtTtl]:[BrTtl]])/Production[[#This Row],[SatWt]]&lt;&gt;0,SUM(Production[[#This Row],[BtTtl]:[BrTtl]])/Production[[#This Row],[SatWt]],""),"")</f>
        <v/>
      </c>
      <c r="S187" s="223" t="str">
        <f>INDEX(Ingredients[Species],MATCH(Production[[#This Row],[Product]],Ingredients[ProdName],0))</f>
        <v/>
      </c>
    </row>
    <row r="188" spans="1:19" ht="11.1" customHeight="1" x14ac:dyDescent="0.25">
      <c r="A188" s="207" t="str">
        <f>IFERROR(IF(Production[[#This Row],[Date]]&lt;&gt;"",TEXT(Production[[#This Row],[Date]],"yy")&amp;"-"&amp;TEXT(Production[[#This Row],[Date]]-DATE(YEAR(Production[[#This Row],[Date]]),1,0),"000"),""),"")</f>
        <v>23-080</v>
      </c>
      <c r="B188" s="209" t="str">
        <f>IFERROR(IF(INDEX(Ingredients[Ingr1],MATCH(Production[[#This Row],[Product]],Ingredients[ProdName],0))&lt;&gt;"",INDEX(Ingredients[Ingr1],MATCH(Production[[#This Row],[Product]],Ingredients[ProdName],0)),INDEX(Ingredients[Ingr2],MATCH(Production[[#This Row],[Product]],Ingredients[ProdName],0))),"")</f>
        <v>Fish - Imitation Crab</v>
      </c>
      <c r="C188" s="53">
        <v>45006</v>
      </c>
      <c r="D188" s="54" t="s">
        <v>47</v>
      </c>
      <c r="E188" s="55">
        <v>7113</v>
      </c>
      <c r="F188" s="56">
        <v>7</v>
      </c>
      <c r="G188" s="56"/>
      <c r="H188" s="208">
        <f>IFERROR(INDEX(Tier1[Wt],MATCH(Production[[#This Row],[Type]],Tier1[Ingredient],0))*Production[[#This Row],[Blocks Used]],0)</f>
        <v>0</v>
      </c>
      <c r="I188" s="210">
        <f>IFERROR(INDEX(Ingredients[TtlWt],MATCH(Production[[#This Row],[Product]],Ingredients[ProdName],0))*Production[[#This Row],[Lots Done]],"")</f>
        <v>210</v>
      </c>
      <c r="J188" s="210">
        <f>IF(INDEX(Ingredients[Batter],MATCH(Production[[#This Row],[Product]],Ingredients[ProdName],0))*Production[[#This Row],[Batter Used]]&gt;0,INDEX(Ingredients[Batter],MATCH(Production[[#This Row],[Product]],Ingredients[ProdName],0))*Production[[#This Row],[Batter Used]],"")</f>
        <v>450</v>
      </c>
      <c r="K188" s="210">
        <f>IF(INDEX(Ingredients[Breader],MATCH(Production[[#This Row],[Product]],Ingredients[ProdName],0))*Production[[#This Row],[Breader Used]]&gt;0,INDEX(Ingredients[Breader],MATCH(Production[[#This Row],[Product]],Ingredients[ProdName],0))*Production[[#This Row],[Breader Used]],"")</f>
        <v>550</v>
      </c>
      <c r="L188" s="56">
        <v>9</v>
      </c>
      <c r="M188" s="56">
        <v>11</v>
      </c>
      <c r="N188" s="211">
        <f>IFERROR(IF(SUM(Production[[#This Row],[Meat Wt]:[BrTtl]])&lt;&gt;0,SUM(Production[[#This Row],[Meat Wt]:[BrTtl]]),""),"")</f>
        <v>1210</v>
      </c>
      <c r="O188" s="55">
        <v>176</v>
      </c>
      <c r="P188" s="208">
        <f>INDEX(Ingredients[Case Wt.],MATCH(Production[[#This Row],[Product]],Ingredients[ProdName],0))*Production[[#This Row],[Case Total]]</f>
        <v>4400</v>
      </c>
      <c r="Q188" s="211">
        <f>IFERROR(Production[[#This Row],[SatWt]]-Production[[#This Row],[RawWt]],"")</f>
        <v>3190</v>
      </c>
      <c r="R188" s="222" t="str">
        <f>IF(Production[[#This Row],[Species]]&lt;&gt;"",IF(SUM(Production[[#This Row],[BtTtl]:[BrTtl]])/Production[[#This Row],[SatWt]]&lt;&gt;0,SUM(Production[[#This Row],[BtTtl]:[BrTtl]])/Production[[#This Row],[SatWt]],""),"")</f>
        <v/>
      </c>
      <c r="S188" s="223" t="str">
        <f>INDEX(Ingredients[Species],MATCH(Production[[#This Row],[Product]],Ingredients[ProdName],0))</f>
        <v/>
      </c>
    </row>
    <row r="189" spans="1:19" ht="11.1" customHeight="1" x14ac:dyDescent="0.25">
      <c r="A189" s="207" t="str">
        <f>IFERROR(IF(Production[[#This Row],[Date]]&lt;&gt;"",TEXT(Production[[#This Row],[Date]],"yy")&amp;"-"&amp;TEXT(Production[[#This Row],[Date]]-DATE(YEAR(Production[[#This Row],[Date]]),1,0),"000"),""),"")</f>
        <v>23-081</v>
      </c>
      <c r="B189" s="209" t="str">
        <f>IFERROR(IF(INDEX(Ingredients[Ingr1],MATCH(Production[[#This Row],[Product]],Ingredients[ProdName],0))&lt;&gt;"",INDEX(Ingredients[Ingr1],MATCH(Production[[#This Row],[Product]],Ingredients[ProdName],0)),INDEX(Ingredients[Ingr2],MATCH(Production[[#This Row],[Product]],Ingredients[ProdName],0))),"")</f>
        <v>Fish - Imitation Crab</v>
      </c>
      <c r="C189" s="53">
        <v>45007</v>
      </c>
      <c r="D189" s="54" t="s">
        <v>47</v>
      </c>
      <c r="E189" s="55">
        <v>7113</v>
      </c>
      <c r="F189" s="56">
        <v>6</v>
      </c>
      <c r="G189" s="56"/>
      <c r="H189" s="208">
        <f>IFERROR(INDEX(Tier1[Wt],MATCH(Production[[#This Row],[Type]],Tier1[Ingredient],0))*Production[[#This Row],[Blocks Used]],0)</f>
        <v>0</v>
      </c>
      <c r="I189" s="210">
        <f>IFERROR(INDEX(Ingredients[TtlWt],MATCH(Production[[#This Row],[Product]],Ingredients[ProdName],0))*Production[[#This Row],[Lots Done]],"")</f>
        <v>180</v>
      </c>
      <c r="J189" s="210">
        <f>IF(INDEX(Ingredients[Batter],MATCH(Production[[#This Row],[Product]],Ingredients[ProdName],0))*Production[[#This Row],[Batter Used]]&gt;0,INDEX(Ingredients[Batter],MATCH(Production[[#This Row],[Product]],Ingredients[ProdName],0))*Production[[#This Row],[Batter Used]],"")</f>
        <v>500</v>
      </c>
      <c r="K189" s="210">
        <f>IF(INDEX(Ingredients[Breader],MATCH(Production[[#This Row],[Product]],Ingredients[ProdName],0))*Production[[#This Row],[Breader Used]]&gt;0,INDEX(Ingredients[Breader],MATCH(Production[[#This Row],[Product]],Ingredients[ProdName],0))*Production[[#This Row],[Breader Used]],"")</f>
        <v>500</v>
      </c>
      <c r="L189" s="56">
        <v>10</v>
      </c>
      <c r="M189" s="56">
        <v>10</v>
      </c>
      <c r="N189" s="211">
        <f>IFERROR(IF(SUM(Production[[#This Row],[Meat Wt]:[BrTtl]])&lt;&gt;0,SUM(Production[[#This Row],[Meat Wt]:[BrTtl]]),""),"")</f>
        <v>1180</v>
      </c>
      <c r="O189" s="55">
        <v>150</v>
      </c>
      <c r="P189" s="208">
        <f>INDEX(Ingredients[Case Wt.],MATCH(Production[[#This Row],[Product]],Ingredients[ProdName],0))*Production[[#This Row],[Case Total]]</f>
        <v>3750</v>
      </c>
      <c r="Q189" s="211">
        <f>IFERROR(Production[[#This Row],[SatWt]]-Production[[#This Row],[RawWt]],"")</f>
        <v>2570</v>
      </c>
      <c r="R189" s="222" t="str">
        <f>IF(Production[[#This Row],[Species]]&lt;&gt;"",IF(SUM(Production[[#This Row],[BtTtl]:[BrTtl]])/Production[[#This Row],[SatWt]]&lt;&gt;0,SUM(Production[[#This Row],[BtTtl]:[BrTtl]])/Production[[#This Row],[SatWt]],""),"")</f>
        <v/>
      </c>
      <c r="S189" s="223" t="str">
        <f>INDEX(Ingredients[Species],MATCH(Production[[#This Row],[Product]],Ingredients[ProdName],0))</f>
        <v/>
      </c>
    </row>
    <row r="190" spans="1:19" ht="11.1" customHeight="1" x14ac:dyDescent="0.25">
      <c r="A190" s="207" t="str">
        <f>IFERROR(IF(Production[[#This Row],[Date]]&lt;&gt;"",TEXT(Production[[#This Row],[Date]],"yy")&amp;"-"&amp;TEXT(Production[[#This Row],[Date]]-DATE(YEAR(Production[[#This Row],[Date]]),1,0),"000"),""),"")</f>
        <v>23-082</v>
      </c>
      <c r="B190" s="209" t="str">
        <f>IFERROR(IF(INDEX(Ingredients[Ingr1],MATCH(Production[[#This Row],[Product]],Ingredients[ProdName],0))&lt;&gt;"",INDEX(Ingredients[Ingr1],MATCH(Production[[#This Row],[Product]],Ingredients[ProdName],0)),INDEX(Ingredients[Ingr2],MATCH(Production[[#This Row],[Product]],Ingredients[ProdName],0))),"")</f>
        <v>Chicken - Ground</v>
      </c>
      <c r="C190" s="53">
        <v>45008</v>
      </c>
      <c r="D190" s="54" t="s">
        <v>7</v>
      </c>
      <c r="E190" s="55">
        <v>7309</v>
      </c>
      <c r="F190" s="56">
        <v>11</v>
      </c>
      <c r="G190" s="56">
        <v>66</v>
      </c>
      <c r="H190" s="208">
        <f>IFERROR(INDEX(Tier1[Wt],MATCH(Production[[#This Row],[Type]],Tier1[Ingredient],0))*Production[[#This Row],[Blocks Used]],0)</f>
        <v>3300</v>
      </c>
      <c r="I190" s="210">
        <f>IFERROR(INDEX(Ingredients[TtlWt],MATCH(Production[[#This Row],[Product]],Ingredients[ProdName],0))*Production[[#This Row],[Lots Done]],"")</f>
        <v>74.25</v>
      </c>
      <c r="J190" s="210" t="str">
        <f>IF(INDEX(Ingredients[Batter],MATCH(Production[[#This Row],[Product]],Ingredients[ProdName],0))*Production[[#This Row],[Batter Used]]&gt;0,INDEX(Ingredients[Batter],MATCH(Production[[#This Row],[Product]],Ingredients[ProdName],0))*Production[[#This Row],[Batter Used]],"")</f>
        <v/>
      </c>
      <c r="K190" s="210" t="str">
        <f>IF(INDEX(Ingredients[Breader],MATCH(Production[[#This Row],[Product]],Ingredients[ProdName],0))*Production[[#This Row],[Breader Used]]&gt;0,INDEX(Ingredients[Breader],MATCH(Production[[#This Row],[Product]],Ingredients[ProdName],0))*Production[[#This Row],[Breader Used]],"")</f>
        <v/>
      </c>
      <c r="L190" s="56"/>
      <c r="M190" s="56"/>
      <c r="N190" s="211">
        <f>IFERROR(IF(SUM(Production[[#This Row],[Meat Wt]:[BrTtl]])&lt;&gt;0,SUM(Production[[#This Row],[Meat Wt]:[BrTtl]]),""),"")</f>
        <v>3374.25</v>
      </c>
      <c r="O190" s="55">
        <v>176</v>
      </c>
      <c r="P190" s="208">
        <f>INDEX(Ingredients[Case Wt.],MATCH(Production[[#This Row],[Product]],Ingredients[ProdName],0))*Production[[#This Row],[Case Total]]</f>
        <v>4400</v>
      </c>
      <c r="Q190" s="211">
        <f>IFERROR(Production[[#This Row],[SatWt]]-Production[[#This Row],[RawWt]],"")</f>
        <v>1025.75</v>
      </c>
      <c r="R190" s="222" t="str">
        <f>IF(Production[[#This Row],[Species]]&lt;&gt;"",IF(SUM(Production[[#This Row],[BtTtl]:[BrTtl]])/Production[[#This Row],[SatWt]]&lt;&gt;0,SUM(Production[[#This Row],[BtTtl]:[BrTtl]])/Production[[#This Row],[SatWt]],""),"")</f>
        <v/>
      </c>
      <c r="S190" s="223" t="str">
        <f>INDEX(Ingredients[Species],MATCH(Production[[#This Row],[Product]],Ingredients[ProdName],0))</f>
        <v>Poultry</v>
      </c>
    </row>
    <row r="191" spans="1:19" ht="11.1" customHeight="1" x14ac:dyDescent="0.25">
      <c r="A191" s="207" t="str">
        <f>IFERROR(IF(Production[[#This Row],[Date]]&lt;&gt;"",TEXT(Production[[#This Row],[Date]],"yy")&amp;"-"&amp;TEXT(Production[[#This Row],[Date]]-DATE(YEAR(Production[[#This Row],[Date]]),1,0),"000"),""),"")</f>
        <v>23-086</v>
      </c>
      <c r="B191" s="209" t="str">
        <f>IFERROR(IF(INDEX(Ingredients[Ingr1],MATCH(Production[[#This Row],[Product]],Ingredients[ProdName],0))&lt;&gt;"",INDEX(Ingredients[Ingr1],MATCH(Production[[#This Row],[Product]],Ingredients[ProdName],0)),INDEX(Ingredients[Ingr2],MATCH(Production[[#This Row],[Product]],Ingredients[ProdName],0))),"")</f>
        <v>Chicken - Tenders</v>
      </c>
      <c r="C191" s="53">
        <v>45012</v>
      </c>
      <c r="D191" s="54" t="s">
        <v>14</v>
      </c>
      <c r="E191" s="55" t="s">
        <v>173</v>
      </c>
      <c r="F191" s="56">
        <v>10</v>
      </c>
      <c r="G191" s="56">
        <v>70</v>
      </c>
      <c r="H191" s="208">
        <f>IFERROR(INDEX(Tier1[Wt],MATCH(Production[[#This Row],[Type]],Tier1[Ingredient],0))*Production[[#This Row],[Blocks Used]],0)</f>
        <v>2800</v>
      </c>
      <c r="I191" s="210">
        <f>IFERROR(INDEX(Ingredients[TtlWt],MATCH(Production[[#This Row],[Product]],Ingredients[ProdName],0))*Production[[#This Row],[Lots Done]],"")</f>
        <v>621.5</v>
      </c>
      <c r="J191" s="210" t="str">
        <f>IF(INDEX(Ingredients[Batter],MATCH(Production[[#This Row],[Product]],Ingredients[ProdName],0))*Production[[#This Row],[Batter Used]]&gt;0,INDEX(Ingredients[Batter],MATCH(Production[[#This Row],[Product]],Ingredients[ProdName],0))*Production[[#This Row],[Batter Used]],"")</f>
        <v/>
      </c>
      <c r="K191" s="210" t="str">
        <f>IF(INDEX(Ingredients[Breader],MATCH(Production[[#This Row],[Product]],Ingredients[ProdName],0))*Production[[#This Row],[Breader Used]]&gt;0,INDEX(Ingredients[Breader],MATCH(Production[[#This Row],[Product]],Ingredients[ProdName],0))*Production[[#This Row],[Breader Used]],"")</f>
        <v/>
      </c>
      <c r="L191" s="56"/>
      <c r="M191" s="56"/>
      <c r="N191" s="211">
        <f>IFERROR(IF(SUM(Production[[#This Row],[Meat Wt]:[BrTtl]])&lt;&gt;0,SUM(Production[[#This Row],[Meat Wt]:[BrTtl]]),""),"")</f>
        <v>3421.5</v>
      </c>
      <c r="O191" s="55">
        <v>198</v>
      </c>
      <c r="P191" s="208">
        <f>INDEX(Ingredients[Case Wt.],MATCH(Production[[#This Row],[Product]],Ingredients[ProdName],0))*Production[[#This Row],[Case Total]]</f>
        <v>4950</v>
      </c>
      <c r="Q191" s="211">
        <f>IFERROR(Production[[#This Row],[SatWt]]-Production[[#This Row],[RawWt]],"")</f>
        <v>1528.5</v>
      </c>
      <c r="R191" s="222" t="str">
        <f>IF(Production[[#This Row],[Species]]&lt;&gt;"",IF(SUM(Production[[#This Row],[BtTtl]:[BrTtl]])/Production[[#This Row],[SatWt]]&lt;&gt;0,SUM(Production[[#This Row],[BtTtl]:[BrTtl]])/Production[[#This Row],[SatWt]],""),"")</f>
        <v/>
      </c>
      <c r="S191" s="223" t="str">
        <f>INDEX(Ingredients[Species],MATCH(Production[[#This Row],[Product]],Ingredients[ProdName],0))</f>
        <v>Poultry</v>
      </c>
    </row>
    <row r="192" spans="1:19" ht="11.1" customHeight="1" x14ac:dyDescent="0.25">
      <c r="A192" s="207" t="str">
        <f>IFERROR(IF(Production[[#This Row],[Date]]&lt;&gt;"",TEXT(Production[[#This Row],[Date]],"yy")&amp;"-"&amp;TEXT(Production[[#This Row],[Date]]-DATE(YEAR(Production[[#This Row],[Date]]),1,0),"000"),""),"")</f>
        <v>23-087</v>
      </c>
      <c r="B192" s="209" t="str">
        <f>IFERROR(IF(INDEX(Ingredients[Ingr1],MATCH(Production[[#This Row],[Product]],Ingredients[ProdName],0))&lt;&gt;"",INDEX(Ingredients[Ingr1],MATCH(Production[[#This Row],[Product]],Ingredients[ProdName],0)),INDEX(Ingredients[Ingr2],MATCH(Production[[#This Row],[Product]],Ingredients[ProdName],0))),"")</f>
        <v>Chicken - Tenders</v>
      </c>
      <c r="C192" s="53">
        <v>45013</v>
      </c>
      <c r="D192" s="54" t="s">
        <v>14</v>
      </c>
      <c r="E192" s="55" t="s">
        <v>173</v>
      </c>
      <c r="F192" s="56">
        <v>10</v>
      </c>
      <c r="G192" s="56">
        <v>70</v>
      </c>
      <c r="H192" s="208">
        <f>IFERROR(INDEX(Tier1[Wt],MATCH(Production[[#This Row],[Type]],Tier1[Ingredient],0))*Production[[#This Row],[Blocks Used]],0)</f>
        <v>2800</v>
      </c>
      <c r="I192" s="210">
        <f>IFERROR(INDEX(Ingredients[TtlWt],MATCH(Production[[#This Row],[Product]],Ingredients[ProdName],0))*Production[[#This Row],[Lots Done]],"")</f>
        <v>621.5</v>
      </c>
      <c r="J192" s="210" t="str">
        <f>IF(INDEX(Ingredients[Batter],MATCH(Production[[#This Row],[Product]],Ingredients[ProdName],0))*Production[[#This Row],[Batter Used]]&gt;0,INDEX(Ingredients[Batter],MATCH(Production[[#This Row],[Product]],Ingredients[ProdName],0))*Production[[#This Row],[Batter Used]],"")</f>
        <v/>
      </c>
      <c r="K192" s="210" t="str">
        <f>IF(INDEX(Ingredients[Breader],MATCH(Production[[#This Row],[Product]],Ingredients[ProdName],0))*Production[[#This Row],[Breader Used]]&gt;0,INDEX(Ingredients[Breader],MATCH(Production[[#This Row],[Product]],Ingredients[ProdName],0))*Production[[#This Row],[Breader Used]],"")</f>
        <v/>
      </c>
      <c r="L192" s="56"/>
      <c r="M192" s="56"/>
      <c r="N192" s="211">
        <f>IFERROR(IF(SUM(Production[[#This Row],[Meat Wt]:[BrTtl]])&lt;&gt;0,SUM(Production[[#This Row],[Meat Wt]:[BrTtl]]),""),"")</f>
        <v>3421.5</v>
      </c>
      <c r="O192" s="55">
        <v>195</v>
      </c>
      <c r="P192" s="208">
        <f>INDEX(Ingredients[Case Wt.],MATCH(Production[[#This Row],[Product]],Ingredients[ProdName],0))*Production[[#This Row],[Case Total]]</f>
        <v>4875</v>
      </c>
      <c r="Q192" s="211">
        <f>IFERROR(Production[[#This Row],[SatWt]]-Production[[#This Row],[RawWt]],"")</f>
        <v>1453.5</v>
      </c>
      <c r="R192" s="222" t="str">
        <f>IF(Production[[#This Row],[Species]]&lt;&gt;"",IF(SUM(Production[[#This Row],[BtTtl]:[BrTtl]])/Production[[#This Row],[SatWt]]&lt;&gt;0,SUM(Production[[#This Row],[BtTtl]:[BrTtl]])/Production[[#This Row],[SatWt]],""),"")</f>
        <v/>
      </c>
      <c r="S192" s="223" t="str">
        <f>INDEX(Ingredients[Species],MATCH(Production[[#This Row],[Product]],Ingredients[ProdName],0))</f>
        <v>Poultry</v>
      </c>
    </row>
    <row r="193" spans="1:19" ht="11.1" customHeight="1" x14ac:dyDescent="0.25">
      <c r="A193" s="207" t="str">
        <f>IFERROR(IF(Production[[#This Row],[Date]]&lt;&gt;"",TEXT(Production[[#This Row],[Date]],"yy")&amp;"-"&amp;TEXT(Production[[#This Row],[Date]]-DATE(YEAR(Production[[#This Row],[Date]]),1,0),"000"),""),"")</f>
        <v>23-088</v>
      </c>
      <c r="B193" s="209" t="str">
        <f>IFERROR(IF(INDEX(Ingredients[Ingr1],MATCH(Production[[#This Row],[Product]],Ingredients[ProdName],0))&lt;&gt;"",INDEX(Ingredients[Ingr1],MATCH(Production[[#This Row],[Product]],Ingredients[ProdName],0)),INDEX(Ingredients[Ingr2],MATCH(Production[[#This Row],[Product]],Ingredients[ProdName],0))),"")</f>
        <v>Chicken - Ground</v>
      </c>
      <c r="C193" s="53">
        <v>45014</v>
      </c>
      <c r="D193" s="54" t="s">
        <v>23</v>
      </c>
      <c r="E193" s="55">
        <v>7309</v>
      </c>
      <c r="F193" s="56">
        <v>5</v>
      </c>
      <c r="G193" s="56">
        <v>30</v>
      </c>
      <c r="H193" s="208">
        <f>IFERROR(INDEX(Tier1[Wt],MATCH(Production[[#This Row],[Type]],Tier1[Ingredient],0))*Production[[#This Row],[Blocks Used]],0)</f>
        <v>1500</v>
      </c>
      <c r="I193" s="210">
        <f>IFERROR(INDEX(Ingredients[TtlWt],MATCH(Production[[#This Row],[Product]],Ingredients[ProdName],0))*Production[[#This Row],[Lots Done]],"")</f>
        <v>58.25</v>
      </c>
      <c r="J193" s="210" t="str">
        <f>IF(INDEX(Ingredients[Batter],MATCH(Production[[#This Row],[Product]],Ingredients[ProdName],0))*Production[[#This Row],[Batter Used]]&gt;0,INDEX(Ingredients[Batter],MATCH(Production[[#This Row],[Product]],Ingredients[ProdName],0))*Production[[#This Row],[Batter Used]],"")</f>
        <v/>
      </c>
      <c r="K193" s="210" t="str">
        <f>IF(INDEX(Ingredients[Breader],MATCH(Production[[#This Row],[Product]],Ingredients[ProdName],0))*Production[[#This Row],[Breader Used]]&gt;0,INDEX(Ingredients[Breader],MATCH(Production[[#This Row],[Product]],Ingredients[ProdName],0))*Production[[#This Row],[Breader Used]],"")</f>
        <v/>
      </c>
      <c r="L193" s="56"/>
      <c r="M193" s="56"/>
      <c r="N193" s="211">
        <f>IFERROR(IF(SUM(Production[[#This Row],[Meat Wt]:[BrTtl]])&lt;&gt;0,SUM(Production[[#This Row],[Meat Wt]:[BrTtl]]),""),"")</f>
        <v>1558.25</v>
      </c>
      <c r="O193" s="55">
        <v>76</v>
      </c>
      <c r="P193" s="208">
        <f>INDEX(Ingredients[Case Wt.],MATCH(Production[[#This Row],[Product]],Ingredients[ProdName],0))*Production[[#This Row],[Case Total]]</f>
        <v>2280</v>
      </c>
      <c r="Q193" s="211">
        <f>IFERROR(Production[[#This Row],[SatWt]]-Production[[#This Row],[RawWt]],"")</f>
        <v>721.75</v>
      </c>
      <c r="R193" s="222" t="str">
        <f>IF(Production[[#This Row],[Species]]&lt;&gt;"",IF(SUM(Production[[#This Row],[BtTtl]:[BrTtl]])/Production[[#This Row],[SatWt]]&lt;&gt;0,SUM(Production[[#This Row],[BtTtl]:[BrTtl]])/Production[[#This Row],[SatWt]],""),"")</f>
        <v/>
      </c>
      <c r="S193" s="223" t="str">
        <f>INDEX(Ingredients[Species],MATCH(Production[[#This Row],[Product]],Ingredients[ProdName],0))</f>
        <v>Poultry</v>
      </c>
    </row>
    <row r="194" spans="1:19" ht="11.1" customHeight="1" x14ac:dyDescent="0.25">
      <c r="A194" s="207" t="str">
        <f>IFERROR(IF(Production[[#This Row],[Date]]&lt;&gt;"",TEXT(Production[[#This Row],[Date]],"yy")&amp;"-"&amp;TEXT(Production[[#This Row],[Date]]-DATE(YEAR(Production[[#This Row],[Date]]),1,0),"000"),""),"")</f>
        <v>23-088</v>
      </c>
      <c r="B194" s="209" t="str">
        <f>IFERROR(IF(INDEX(Ingredients[Ingr1],MATCH(Production[[#This Row],[Product]],Ingredients[ProdName],0))&lt;&gt;"",INDEX(Ingredients[Ingr1],MATCH(Production[[#This Row],[Product]],Ingredients[ProdName],0)),INDEX(Ingredients[Ingr2],MATCH(Production[[#This Row],[Product]],Ingredients[ProdName],0))),"")</f>
        <v>Chicken - Ground</v>
      </c>
      <c r="C194" s="53">
        <v>45014</v>
      </c>
      <c r="D194" s="54" t="s">
        <v>9</v>
      </c>
      <c r="E194" s="55">
        <v>7309</v>
      </c>
      <c r="F194" s="56">
        <v>5</v>
      </c>
      <c r="G194" s="56">
        <v>30</v>
      </c>
      <c r="H194" s="208">
        <f>IFERROR(INDEX(Tier1[Wt],MATCH(Production[[#This Row],[Type]],Tier1[Ingredient],0))*Production[[#This Row],[Blocks Used]],0)</f>
        <v>1500</v>
      </c>
      <c r="I194" s="210" t="str">
        <f>IFERROR(INDEX(Ingredients[TtlWt],MATCH(Production[[#This Row],[Product]],Ingredients[ProdName],0))*Production[[#This Row],[Lots Done]],"")</f>
        <v/>
      </c>
      <c r="J194" s="210" t="str">
        <f>IF(INDEX(Ingredients[Batter],MATCH(Production[[#This Row],[Product]],Ingredients[ProdName],0))*Production[[#This Row],[Batter Used]]&gt;0,INDEX(Ingredients[Batter],MATCH(Production[[#This Row],[Product]],Ingredients[ProdName],0))*Production[[#This Row],[Batter Used]],"")</f>
        <v/>
      </c>
      <c r="K194" s="210" t="str">
        <f>IF(INDEX(Ingredients[Breader],MATCH(Production[[#This Row],[Product]],Ingredients[ProdName],0))*Production[[#This Row],[Breader Used]]&gt;0,INDEX(Ingredients[Breader],MATCH(Production[[#This Row],[Product]],Ingredients[ProdName],0))*Production[[#This Row],[Breader Used]],"")</f>
        <v/>
      </c>
      <c r="L194" s="56"/>
      <c r="M194" s="56"/>
      <c r="N194" s="211">
        <f>IFERROR(IF(SUM(Production[[#This Row],[Meat Wt]:[BrTtl]])&lt;&gt;0,SUM(Production[[#This Row],[Meat Wt]:[BrTtl]]),""),"")</f>
        <v>1500</v>
      </c>
      <c r="O194" s="55">
        <v>76</v>
      </c>
      <c r="P194" s="208">
        <f>INDEX(Ingredients[Case Wt.],MATCH(Production[[#This Row],[Product]],Ingredients[ProdName],0))*Production[[#This Row],[Case Total]]</f>
        <v>2280</v>
      </c>
      <c r="Q194" s="211">
        <f>IFERROR(Production[[#This Row],[SatWt]]-Production[[#This Row],[RawWt]],"")</f>
        <v>780</v>
      </c>
      <c r="R194" s="222" t="str">
        <f>IF(Production[[#This Row],[Species]]&lt;&gt;"",IF(SUM(Production[[#This Row],[BtTtl]:[BrTtl]])/Production[[#This Row],[SatWt]]&lt;&gt;0,SUM(Production[[#This Row],[BtTtl]:[BrTtl]])/Production[[#This Row],[SatWt]],""),"")</f>
        <v/>
      </c>
      <c r="S194" s="223" t="str">
        <f>INDEX(Ingredients[Species],MATCH(Production[[#This Row],[Product]],Ingredients[ProdName],0))</f>
        <v>Poultry</v>
      </c>
    </row>
    <row r="195" spans="1:19" ht="11.1" customHeight="1" x14ac:dyDescent="0.25">
      <c r="A195" s="207" t="str">
        <f>IFERROR(IF(Production[[#This Row],[Date]]&lt;&gt;"",TEXT(Production[[#This Row],[Date]],"yy")&amp;"-"&amp;TEXT(Production[[#This Row],[Date]]-DATE(YEAR(Production[[#This Row],[Date]]),1,0),"000"),""),"")</f>
        <v>23-088</v>
      </c>
      <c r="B195" s="209" t="str">
        <f>IFERROR(IF(INDEX(Ingredients[Ingr1],MATCH(Production[[#This Row],[Product]],Ingredients[ProdName],0))&lt;&gt;"",INDEX(Ingredients[Ingr1],MATCH(Production[[#This Row],[Product]],Ingredients[ProdName],0)),INDEX(Ingredients[Ingr2],MATCH(Production[[#This Row],[Product]],Ingredients[ProdName],0))),"")</f>
        <v>Chicken - Ground</v>
      </c>
      <c r="C195" s="53">
        <v>45014</v>
      </c>
      <c r="D195" s="54" t="s">
        <v>9</v>
      </c>
      <c r="E195" s="55">
        <v>7309</v>
      </c>
      <c r="F195" s="56">
        <v>10</v>
      </c>
      <c r="G195" s="56">
        <v>60</v>
      </c>
      <c r="H195" s="208">
        <f>IFERROR(INDEX(Tier1[Wt],MATCH(Production[[#This Row],[Type]],Tier1[Ingredient],0))*Production[[#This Row],[Blocks Used]],0)</f>
        <v>3000</v>
      </c>
      <c r="I195" s="210" t="str">
        <f>IFERROR(INDEX(Ingredients[TtlWt],MATCH(Production[[#This Row],[Product]],Ingredients[ProdName],0))*Production[[#This Row],[Lots Done]],"")</f>
        <v/>
      </c>
      <c r="J195" s="210" t="str">
        <f>IF(INDEX(Ingredients[Batter],MATCH(Production[[#This Row],[Product]],Ingredients[ProdName],0))*Production[[#This Row],[Batter Used]]&gt;0,INDEX(Ingredients[Batter],MATCH(Production[[#This Row],[Product]],Ingredients[ProdName],0))*Production[[#This Row],[Batter Used]],"")</f>
        <v/>
      </c>
      <c r="K195" s="210" t="str">
        <f>IF(INDEX(Ingredients[Breader],MATCH(Production[[#This Row],[Product]],Ingredients[ProdName],0))*Production[[#This Row],[Breader Used]]&gt;0,INDEX(Ingredients[Breader],MATCH(Production[[#This Row],[Product]],Ingredients[ProdName],0))*Production[[#This Row],[Breader Used]],"")</f>
        <v/>
      </c>
      <c r="L195" s="56"/>
      <c r="M195" s="56"/>
      <c r="N195" s="211">
        <f>IFERROR(IF(SUM(Production[[#This Row],[Meat Wt]:[BrTtl]])&lt;&gt;0,SUM(Production[[#This Row],[Meat Wt]:[BrTtl]]),""),"")</f>
        <v>3000</v>
      </c>
      <c r="O195" s="55">
        <v>196</v>
      </c>
      <c r="P195" s="208">
        <f>INDEX(Ingredients[Case Wt.],MATCH(Production[[#This Row],[Product]],Ingredients[ProdName],0))*Production[[#This Row],[Case Total]]</f>
        <v>5880</v>
      </c>
      <c r="Q195" s="211">
        <f>IFERROR(Production[[#This Row],[SatWt]]-Production[[#This Row],[RawWt]],"")</f>
        <v>2880</v>
      </c>
      <c r="R195" s="222" t="str">
        <f>IF(Production[[#This Row],[Species]]&lt;&gt;"",IF(SUM(Production[[#This Row],[BtTtl]:[BrTtl]])/Production[[#This Row],[SatWt]]&lt;&gt;0,SUM(Production[[#This Row],[BtTtl]:[BrTtl]])/Production[[#This Row],[SatWt]],""),"")</f>
        <v/>
      </c>
      <c r="S195" s="223" t="str">
        <f>INDEX(Ingredients[Species],MATCH(Production[[#This Row],[Product]],Ingredients[ProdName],0))</f>
        <v>Poultry</v>
      </c>
    </row>
    <row r="196" spans="1:19" ht="11.1" customHeight="1" x14ac:dyDescent="0.25">
      <c r="A196" s="207" t="str">
        <f>IFERROR(IF(Production[[#This Row],[Date]]&lt;&gt;"",TEXT(Production[[#This Row],[Date]],"yy")&amp;"-"&amp;TEXT(Production[[#This Row],[Date]]-DATE(YEAR(Production[[#This Row],[Date]]),1,0),"000"),""),"")</f>
        <v>23-089</v>
      </c>
      <c r="B196" s="209" t="str">
        <f>IFERROR(IF(INDEX(Ingredients[Ingr1],MATCH(Production[[#This Row],[Product]],Ingredients[ProdName],0))&lt;&gt;"",INDEX(Ingredients[Ingr1],MATCH(Production[[#This Row],[Product]],Ingredients[ProdName],0)),INDEX(Ingredients[Ingr2],MATCH(Production[[#This Row],[Product]],Ingredients[ProdName],0))),"")</f>
        <v>Chicken - Ground</v>
      </c>
      <c r="C196" s="53">
        <v>45015</v>
      </c>
      <c r="D196" s="54" t="s">
        <v>13</v>
      </c>
      <c r="E196" s="55">
        <v>7309</v>
      </c>
      <c r="F196" s="56">
        <v>10</v>
      </c>
      <c r="G196" s="56">
        <v>60</v>
      </c>
      <c r="H196" s="208">
        <f>IFERROR(INDEX(Tier1[Wt],MATCH(Production[[#This Row],[Type]],Tier1[Ingredient],0))*Production[[#This Row],[Blocks Used]],0)</f>
        <v>3000</v>
      </c>
      <c r="I196" s="210">
        <f>IFERROR(INDEX(Ingredients[TtlWt],MATCH(Production[[#This Row],[Product]],Ingredients[ProdName],0))*Production[[#This Row],[Lots Done]],"")</f>
        <v>475</v>
      </c>
      <c r="J196" s="210" t="str">
        <f>IF(INDEX(Ingredients[Batter],MATCH(Production[[#This Row],[Product]],Ingredients[ProdName],0))*Production[[#This Row],[Batter Used]]&gt;0,INDEX(Ingredients[Batter],MATCH(Production[[#This Row],[Product]],Ingredients[ProdName],0))*Production[[#This Row],[Batter Used]],"")</f>
        <v/>
      </c>
      <c r="K196" s="210" t="str">
        <f>IF(INDEX(Ingredients[Breader],MATCH(Production[[#This Row],[Product]],Ingredients[ProdName],0))*Production[[#This Row],[Breader Used]]&gt;0,INDEX(Ingredients[Breader],MATCH(Production[[#This Row],[Product]],Ingredients[ProdName],0))*Production[[#This Row],[Breader Used]],"")</f>
        <v/>
      </c>
      <c r="L196" s="56"/>
      <c r="M196" s="56"/>
      <c r="N196" s="211">
        <f>IFERROR(IF(SUM(Production[[#This Row],[Meat Wt]:[BrTtl]])&lt;&gt;0,SUM(Production[[#This Row],[Meat Wt]:[BrTtl]]),""),"")</f>
        <v>3475</v>
      </c>
      <c r="O196" s="55">
        <v>150</v>
      </c>
      <c r="P196" s="208">
        <f>INDEX(Ingredients[Case Wt.],MATCH(Production[[#This Row],[Product]],Ingredients[ProdName],0))*Production[[#This Row],[Case Total]]</f>
        <v>4500</v>
      </c>
      <c r="Q196" s="211">
        <f>IFERROR(Production[[#This Row],[SatWt]]-Production[[#This Row],[RawWt]],"")</f>
        <v>1025</v>
      </c>
      <c r="R196" s="222" t="str">
        <f>IF(Production[[#This Row],[Species]]&lt;&gt;"",IF(SUM(Production[[#This Row],[BtTtl]:[BrTtl]])/Production[[#This Row],[SatWt]]&lt;&gt;0,SUM(Production[[#This Row],[BtTtl]:[BrTtl]])/Production[[#This Row],[SatWt]],""),"")</f>
        <v/>
      </c>
      <c r="S196" s="223" t="str">
        <f>INDEX(Ingredients[Species],MATCH(Production[[#This Row],[Product]],Ingredients[ProdName],0))</f>
        <v>Poultry</v>
      </c>
    </row>
    <row r="197" spans="1:19" ht="11.1" customHeight="1" x14ac:dyDescent="0.25">
      <c r="A197" s="207" t="str">
        <f>IFERROR(IF(Production[[#This Row],[Date]]&lt;&gt;"",TEXT(Production[[#This Row],[Date]],"yy")&amp;"-"&amp;TEXT(Production[[#This Row],[Date]]-DATE(YEAR(Production[[#This Row],[Date]]),1,0),"000"),""),"")</f>
        <v>23-094</v>
      </c>
      <c r="B197" s="209" t="str">
        <f>IFERROR(IF(INDEX(Ingredients[Ingr1],MATCH(Production[[#This Row],[Product]],Ingredients[ProdName],0))&lt;&gt;"",INDEX(Ingredients[Ingr1],MATCH(Production[[#This Row],[Product]],Ingredients[ProdName],0)),INDEX(Ingredients[Ingr2],MATCH(Production[[#This Row],[Product]],Ingredients[ProdName],0))),"")</f>
        <v>Chicken - Ground</v>
      </c>
      <c r="C197" s="53">
        <v>45020</v>
      </c>
      <c r="D197" s="54" t="s">
        <v>17</v>
      </c>
      <c r="E197" s="55">
        <v>7309</v>
      </c>
      <c r="F197" s="56">
        <v>5</v>
      </c>
      <c r="G197" s="56">
        <v>30</v>
      </c>
      <c r="H197" s="208">
        <f>IFERROR(INDEX(Tier1[Wt],MATCH(Production[[#This Row],[Type]],Tier1[Ingredient],0))*Production[[#This Row],[Blocks Used]],0)</f>
        <v>1500</v>
      </c>
      <c r="I197" s="210">
        <f>IFERROR(INDEX(Ingredients[TtlWt],MATCH(Production[[#This Row],[Product]],Ingredients[ProdName],0))*Production[[#This Row],[Lots Done]],"")</f>
        <v>209.75</v>
      </c>
      <c r="J197" s="210" t="str">
        <f>IF(INDEX(Ingredients[Batter],MATCH(Production[[#This Row],[Product]],Ingredients[ProdName],0))*Production[[#This Row],[Batter Used]]&gt;0,INDEX(Ingredients[Batter],MATCH(Production[[#This Row],[Product]],Ingredients[ProdName],0))*Production[[#This Row],[Batter Used]],"")</f>
        <v/>
      </c>
      <c r="K197" s="210" t="str">
        <f>IF(INDEX(Ingredients[Breader],MATCH(Production[[#This Row],[Product]],Ingredients[ProdName],0))*Production[[#This Row],[Breader Used]]&gt;0,INDEX(Ingredients[Breader],MATCH(Production[[#This Row],[Product]],Ingredients[ProdName],0))*Production[[#This Row],[Breader Used]],"")</f>
        <v/>
      </c>
      <c r="L197" s="56"/>
      <c r="M197" s="56"/>
      <c r="N197" s="211">
        <f>IFERROR(IF(SUM(Production[[#This Row],[Meat Wt]:[BrTtl]])&lt;&gt;0,SUM(Production[[#This Row],[Meat Wt]:[BrTtl]]),""),"")</f>
        <v>1709.75</v>
      </c>
      <c r="O197" s="55">
        <v>89</v>
      </c>
      <c r="P197" s="208">
        <f>INDEX(Ingredients[Case Wt.],MATCH(Production[[#This Row],[Product]],Ingredients[ProdName],0))*Production[[#This Row],[Case Total]]</f>
        <v>2225</v>
      </c>
      <c r="Q197" s="211">
        <f>IFERROR(Production[[#This Row],[SatWt]]-Production[[#This Row],[RawWt]],"")</f>
        <v>515.25</v>
      </c>
      <c r="R197" s="222" t="str">
        <f>IF(Production[[#This Row],[Species]]&lt;&gt;"",IF(SUM(Production[[#This Row],[BtTtl]:[BrTtl]])/Production[[#This Row],[SatWt]]&lt;&gt;0,SUM(Production[[#This Row],[BtTtl]:[BrTtl]])/Production[[#This Row],[SatWt]],""),"")</f>
        <v/>
      </c>
      <c r="S197" s="223" t="str">
        <f>INDEX(Ingredients[Species],MATCH(Production[[#This Row],[Product]],Ingredients[ProdName],0))</f>
        <v>Poultry</v>
      </c>
    </row>
    <row r="198" spans="1:19" ht="11.1" customHeight="1" x14ac:dyDescent="0.25">
      <c r="A198" s="207" t="str">
        <f>IFERROR(IF(Production[[#This Row],[Date]]&lt;&gt;"",TEXT(Production[[#This Row],[Date]],"yy")&amp;"-"&amp;TEXT(Production[[#This Row],[Date]]-DATE(YEAR(Production[[#This Row],[Date]]),1,0),"000"),""),"")</f>
        <v>23-094</v>
      </c>
      <c r="B198" s="209" t="str">
        <f>IFERROR(IF(INDEX(Ingredients[Ingr1],MATCH(Production[[#This Row],[Product]],Ingredients[ProdName],0))&lt;&gt;"",INDEX(Ingredients[Ingr1],MATCH(Production[[#This Row],[Product]],Ingredients[ProdName],0)),INDEX(Ingredients[Ingr2],MATCH(Production[[#This Row],[Product]],Ingredients[ProdName],0))),"")</f>
        <v>Chicken - Ground</v>
      </c>
      <c r="C198" s="53">
        <v>45020</v>
      </c>
      <c r="D198" s="54" t="s">
        <v>8</v>
      </c>
      <c r="E198" s="55">
        <v>7309</v>
      </c>
      <c r="F198" s="56">
        <v>5</v>
      </c>
      <c r="G198" s="56">
        <v>30</v>
      </c>
      <c r="H198" s="208">
        <f>IFERROR(INDEX(Tier1[Wt],MATCH(Production[[#This Row],[Type]],Tier1[Ingredient],0))*Production[[#This Row],[Blocks Used]],0)</f>
        <v>1500</v>
      </c>
      <c r="I198" s="210">
        <f>IFERROR(INDEX(Ingredients[TtlWt],MATCH(Production[[#This Row],[Product]],Ingredients[ProdName],0))*Production[[#This Row],[Lots Done]],"")</f>
        <v>326</v>
      </c>
      <c r="J198" s="210" t="str">
        <f>IF(INDEX(Ingredients[Batter],MATCH(Production[[#This Row],[Product]],Ingredients[ProdName],0))*Production[[#This Row],[Batter Used]]&gt;0,INDEX(Ingredients[Batter],MATCH(Production[[#This Row],[Product]],Ingredients[ProdName],0))*Production[[#This Row],[Batter Used]],"")</f>
        <v/>
      </c>
      <c r="K198" s="210" t="str">
        <f>IF(INDEX(Ingredients[Breader],MATCH(Production[[#This Row],[Product]],Ingredients[ProdName],0))*Production[[#This Row],[Breader Used]]&gt;0,INDEX(Ingredients[Breader],MATCH(Production[[#This Row],[Product]],Ingredients[ProdName],0))*Production[[#This Row],[Breader Used]],"")</f>
        <v/>
      </c>
      <c r="L198" s="56"/>
      <c r="M198" s="56"/>
      <c r="N198" s="211">
        <f>IFERROR(IF(SUM(Production[[#This Row],[Meat Wt]:[BrTtl]])&lt;&gt;0,SUM(Production[[#This Row],[Meat Wt]:[BrTtl]]),""),"")</f>
        <v>1826</v>
      </c>
      <c r="O198" s="55">
        <v>102</v>
      </c>
      <c r="P198" s="208">
        <f>INDEX(Ingredients[Case Wt.],MATCH(Production[[#This Row],[Product]],Ingredients[ProdName],0))*Production[[#This Row],[Case Total]]</f>
        <v>2550</v>
      </c>
      <c r="Q198" s="211">
        <f>IFERROR(Production[[#This Row],[SatWt]]-Production[[#This Row],[RawWt]],"")</f>
        <v>724</v>
      </c>
      <c r="R198" s="222" t="str">
        <f>IF(Production[[#This Row],[Species]]&lt;&gt;"",IF(SUM(Production[[#This Row],[BtTtl]:[BrTtl]])/Production[[#This Row],[SatWt]]&lt;&gt;0,SUM(Production[[#This Row],[BtTtl]:[BrTtl]])/Production[[#This Row],[SatWt]],""),"")</f>
        <v/>
      </c>
      <c r="S198" s="223" t="str">
        <f>INDEX(Ingredients[Species],MATCH(Production[[#This Row],[Product]],Ingredients[ProdName],0))</f>
        <v>Poultry</v>
      </c>
    </row>
    <row r="199" spans="1:19" ht="11.1" customHeight="1" x14ac:dyDescent="0.25">
      <c r="A199" s="207" t="str">
        <f>IFERROR(IF(Production[[#This Row],[Date]]&lt;&gt;"",TEXT(Production[[#This Row],[Date]],"yy")&amp;"-"&amp;TEXT(Production[[#This Row],[Date]]-DATE(YEAR(Production[[#This Row],[Date]]),1,0),"000"),""),"")</f>
        <v>23-095</v>
      </c>
      <c r="B199" s="209" t="str">
        <f>IFERROR(IF(INDEX(Ingredients[Ingr1],MATCH(Production[[#This Row],[Product]],Ingredients[ProdName],0))&lt;&gt;"",INDEX(Ingredients[Ingr1],MATCH(Production[[#This Row],[Product]],Ingredients[ProdName],0)),INDEX(Ingredients[Ingr2],MATCH(Production[[#This Row],[Product]],Ingredients[ProdName],0))),"")</f>
        <v>Chicken - Ground</v>
      </c>
      <c r="C199" s="53">
        <v>45021</v>
      </c>
      <c r="D199" s="54" t="s">
        <v>16</v>
      </c>
      <c r="E199" s="55">
        <v>7309</v>
      </c>
      <c r="F199" s="56">
        <v>5</v>
      </c>
      <c r="G199" s="56">
        <v>30</v>
      </c>
      <c r="H199" s="208">
        <f>IFERROR(INDEX(Tier1[Wt],MATCH(Production[[#This Row],[Type]],Tier1[Ingredient],0))*Production[[#This Row],[Blocks Used]],0)</f>
        <v>1500</v>
      </c>
      <c r="I199" s="210">
        <f>IFERROR(INDEX(Ingredients[TtlWt],MATCH(Production[[#This Row],[Product]],Ingredients[ProdName],0))*Production[[#This Row],[Lots Done]],"")</f>
        <v>102</v>
      </c>
      <c r="J199" s="210" t="str">
        <f>IF(INDEX(Ingredients[Batter],MATCH(Production[[#This Row],[Product]],Ingredients[ProdName],0))*Production[[#This Row],[Batter Used]]&gt;0,INDEX(Ingredients[Batter],MATCH(Production[[#This Row],[Product]],Ingredients[ProdName],0))*Production[[#This Row],[Batter Used]],"")</f>
        <v/>
      </c>
      <c r="K199" s="210" t="str">
        <f>IF(INDEX(Ingredients[Breader],MATCH(Production[[#This Row],[Product]],Ingredients[ProdName],0))*Production[[#This Row],[Breader Used]]&gt;0,INDEX(Ingredients[Breader],MATCH(Production[[#This Row],[Product]],Ingredients[ProdName],0))*Production[[#This Row],[Breader Used]],"")</f>
        <v/>
      </c>
      <c r="L199" s="56"/>
      <c r="M199" s="56"/>
      <c r="N199" s="211">
        <f>IFERROR(IF(SUM(Production[[#This Row],[Meat Wt]:[BrTtl]])&lt;&gt;0,SUM(Production[[#This Row],[Meat Wt]:[BrTtl]]),""),"")</f>
        <v>1602</v>
      </c>
      <c r="O199" s="55">
        <v>60</v>
      </c>
      <c r="P199" s="208">
        <f>INDEX(Ingredients[Case Wt.],MATCH(Production[[#This Row],[Product]],Ingredients[ProdName],0))*Production[[#This Row],[Case Total]]</f>
        <v>1800</v>
      </c>
      <c r="Q199" s="211">
        <f>IFERROR(Production[[#This Row],[SatWt]]-Production[[#This Row],[RawWt]],"")</f>
        <v>198</v>
      </c>
      <c r="R199" s="222" t="str">
        <f>IF(Production[[#This Row],[Species]]&lt;&gt;"",IF(SUM(Production[[#This Row],[BtTtl]:[BrTtl]])/Production[[#This Row],[SatWt]]&lt;&gt;0,SUM(Production[[#This Row],[BtTtl]:[BrTtl]])/Production[[#This Row],[SatWt]],""),"")</f>
        <v/>
      </c>
      <c r="S199" s="223" t="str">
        <f>INDEX(Ingredients[Species],MATCH(Production[[#This Row],[Product]],Ingredients[ProdName],0))</f>
        <v>Poultry</v>
      </c>
    </row>
    <row r="200" spans="1:19" ht="11.1" customHeight="1" x14ac:dyDescent="0.25">
      <c r="A200" s="207" t="str">
        <f>IFERROR(IF(Production[[#This Row],[Date]]&lt;&gt;"",TEXT(Production[[#This Row],[Date]],"yy")&amp;"-"&amp;TEXT(Production[[#This Row],[Date]]-DATE(YEAR(Production[[#This Row],[Date]]),1,0),"000"),""),"")</f>
        <v>23-100</v>
      </c>
      <c r="B200" s="209" t="str">
        <f>IFERROR(IF(INDEX(Ingredients[Ingr1],MATCH(Production[[#This Row],[Product]],Ingredients[ProdName],0))&lt;&gt;"",INDEX(Ingredients[Ingr1],MATCH(Production[[#This Row],[Product]],Ingredients[ProdName],0)),INDEX(Ingredients[Ingr2],MATCH(Production[[#This Row],[Product]],Ingredients[ProdName],0))),"")</f>
        <v>Chicken - Ground</v>
      </c>
      <c r="C200" s="53">
        <v>45026</v>
      </c>
      <c r="D200" s="54" t="s">
        <v>16</v>
      </c>
      <c r="E200" s="55">
        <v>7309</v>
      </c>
      <c r="F200" s="56">
        <v>3</v>
      </c>
      <c r="G200" s="56">
        <v>18</v>
      </c>
      <c r="H200" s="208">
        <f>IFERROR(INDEX(Tier1[Wt],MATCH(Production[[#This Row],[Type]],Tier1[Ingredient],0))*Production[[#This Row],[Blocks Used]],0)</f>
        <v>900</v>
      </c>
      <c r="I200" s="210">
        <f>IFERROR(INDEX(Ingredients[TtlWt],MATCH(Production[[#This Row],[Product]],Ingredients[ProdName],0))*Production[[#This Row],[Lots Done]],"")</f>
        <v>61.199999999999996</v>
      </c>
      <c r="J200" s="210" t="str">
        <f>IF(INDEX(Ingredients[Batter],MATCH(Production[[#This Row],[Product]],Ingredients[ProdName],0))*Production[[#This Row],[Batter Used]]&gt;0,INDEX(Ingredients[Batter],MATCH(Production[[#This Row],[Product]],Ingredients[ProdName],0))*Production[[#This Row],[Batter Used]],"")</f>
        <v/>
      </c>
      <c r="K200" s="210" t="str">
        <f>IF(INDEX(Ingredients[Breader],MATCH(Production[[#This Row],[Product]],Ingredients[ProdName],0))*Production[[#This Row],[Breader Used]]&gt;0,INDEX(Ingredients[Breader],MATCH(Production[[#This Row],[Product]],Ingredients[ProdName],0))*Production[[#This Row],[Breader Used]],"")</f>
        <v/>
      </c>
      <c r="L200" s="56"/>
      <c r="M200" s="56"/>
      <c r="N200" s="211">
        <f>IFERROR(IF(SUM(Production[[#This Row],[Meat Wt]:[BrTtl]])&lt;&gt;0,SUM(Production[[#This Row],[Meat Wt]:[BrTtl]]),""),"")</f>
        <v>961.2</v>
      </c>
      <c r="O200" s="55">
        <v>64</v>
      </c>
      <c r="P200" s="208">
        <f>INDEX(Ingredients[Case Wt.],MATCH(Production[[#This Row],[Product]],Ingredients[ProdName],0))*Production[[#This Row],[Case Total]]</f>
        <v>1920</v>
      </c>
      <c r="Q200" s="211">
        <f>IFERROR(Production[[#This Row],[SatWt]]-Production[[#This Row],[RawWt]],"")</f>
        <v>958.8</v>
      </c>
      <c r="R200" s="222" t="str">
        <f>IF(Production[[#This Row],[Species]]&lt;&gt;"",IF(SUM(Production[[#This Row],[BtTtl]:[BrTtl]])/Production[[#This Row],[SatWt]]&lt;&gt;0,SUM(Production[[#This Row],[BtTtl]:[BrTtl]])/Production[[#This Row],[SatWt]],""),"")</f>
        <v/>
      </c>
      <c r="S200" s="223" t="str">
        <f>INDEX(Ingredients[Species],MATCH(Production[[#This Row],[Product]],Ingredients[ProdName],0))</f>
        <v>Poultry</v>
      </c>
    </row>
    <row r="201" spans="1:19" ht="11.1" customHeight="1" x14ac:dyDescent="0.25">
      <c r="A201" s="207" t="str">
        <f>IFERROR(IF(Production[[#This Row],[Date]]&lt;&gt;"",TEXT(Production[[#This Row],[Date]],"yy")&amp;"-"&amp;TEXT(Production[[#This Row],[Date]]-DATE(YEAR(Production[[#This Row],[Date]]),1,0),"000"),""),"")</f>
        <v>23-101</v>
      </c>
      <c r="B201" s="209" t="str">
        <f>IFERROR(IF(INDEX(Ingredients[Ingr1],MATCH(Production[[#This Row],[Product]],Ingredients[ProdName],0))&lt;&gt;"",INDEX(Ingredients[Ingr1],MATCH(Production[[#This Row],[Product]],Ingredients[ProdName],0)),INDEX(Ingredients[Ingr2],MATCH(Production[[#This Row],[Product]],Ingredients[ProdName],0))),"")</f>
        <v>Chicken - Ground</v>
      </c>
      <c r="C201" s="53">
        <v>45027</v>
      </c>
      <c r="D201" s="54" t="s">
        <v>15</v>
      </c>
      <c r="E201" s="55">
        <v>7309</v>
      </c>
      <c r="F201" s="56">
        <v>5</v>
      </c>
      <c r="G201" s="56">
        <v>30</v>
      </c>
      <c r="H201" s="208">
        <f>IFERROR(INDEX(Tier1[Wt],MATCH(Production[[#This Row],[Type]],Tier1[Ingredient],0))*Production[[#This Row],[Blocks Used]],0)</f>
        <v>1500</v>
      </c>
      <c r="I201" s="210">
        <f>IFERROR(INDEX(Ingredients[TtlWt],MATCH(Production[[#This Row],[Product]],Ingredients[ProdName],0))*Production[[#This Row],[Lots Done]],"")</f>
        <v>58.25</v>
      </c>
      <c r="J201" s="210" t="str">
        <f>IF(INDEX(Ingredients[Batter],MATCH(Production[[#This Row],[Product]],Ingredients[ProdName],0))*Production[[#This Row],[Batter Used]]&gt;0,INDEX(Ingredients[Batter],MATCH(Production[[#This Row],[Product]],Ingredients[ProdName],0))*Production[[#This Row],[Batter Used]],"")</f>
        <v/>
      </c>
      <c r="K201" s="210" t="str">
        <f>IF(INDEX(Ingredients[Breader],MATCH(Production[[#This Row],[Product]],Ingredients[ProdName],0))*Production[[#This Row],[Breader Used]]&gt;0,INDEX(Ingredients[Breader],MATCH(Production[[#This Row],[Product]],Ingredients[ProdName],0))*Production[[#This Row],[Breader Used]],"")</f>
        <v/>
      </c>
      <c r="L201" s="56"/>
      <c r="M201" s="56"/>
      <c r="N201" s="211">
        <f>IFERROR(IF(SUM(Production[[#This Row],[Meat Wt]:[BrTtl]])&lt;&gt;0,SUM(Production[[#This Row],[Meat Wt]:[BrTtl]]),""),"")</f>
        <v>1558.25</v>
      </c>
      <c r="O201" s="55">
        <v>65</v>
      </c>
      <c r="P201" s="208">
        <f>INDEX(Ingredients[Case Wt.],MATCH(Production[[#This Row],[Product]],Ingredients[ProdName],0))*Production[[#This Row],[Case Total]]</f>
        <v>1950</v>
      </c>
      <c r="Q201" s="211">
        <f>IFERROR(Production[[#This Row],[SatWt]]-Production[[#This Row],[RawWt]],"")</f>
        <v>391.75</v>
      </c>
      <c r="R201" s="222" t="str">
        <f>IF(Production[[#This Row],[Species]]&lt;&gt;"",IF(SUM(Production[[#This Row],[BtTtl]:[BrTtl]])/Production[[#This Row],[SatWt]]&lt;&gt;0,SUM(Production[[#This Row],[BtTtl]:[BrTtl]])/Production[[#This Row],[SatWt]],""),"")</f>
        <v/>
      </c>
      <c r="S201" s="223" t="str">
        <f>INDEX(Ingredients[Species],MATCH(Production[[#This Row],[Product]],Ingredients[ProdName],0))</f>
        <v>Poultry</v>
      </c>
    </row>
    <row r="202" spans="1:19" ht="11.1" customHeight="1" x14ac:dyDescent="0.25">
      <c r="A202" s="207" t="str">
        <f>IFERROR(IF(Production[[#This Row],[Date]]&lt;&gt;"",TEXT(Production[[#This Row],[Date]],"yy")&amp;"-"&amp;TEXT(Production[[#This Row],[Date]]-DATE(YEAR(Production[[#This Row],[Date]]),1,0),"000"),""),"")</f>
        <v>23-102</v>
      </c>
      <c r="B202" s="209" t="str">
        <f>IFERROR(IF(INDEX(Ingredients[Ingr1],MATCH(Production[[#This Row],[Product]],Ingredients[ProdName],0))&lt;&gt;"",INDEX(Ingredients[Ingr1],MATCH(Production[[#This Row],[Product]],Ingredients[ProdName],0)),INDEX(Ingredients[Ingr2],MATCH(Production[[#This Row],[Product]],Ingredients[ProdName],0))),"")</f>
        <v>Chicken - Ground</v>
      </c>
      <c r="C202" s="53">
        <v>45028</v>
      </c>
      <c r="D202" s="54" t="s">
        <v>15</v>
      </c>
      <c r="E202" s="55">
        <v>7309</v>
      </c>
      <c r="F202" s="56">
        <v>5</v>
      </c>
      <c r="G202" s="56">
        <v>30</v>
      </c>
      <c r="H202" s="208">
        <f>IFERROR(INDEX(Tier1[Wt],MATCH(Production[[#This Row],[Type]],Tier1[Ingredient],0))*Production[[#This Row],[Blocks Used]],0)</f>
        <v>1500</v>
      </c>
      <c r="I202" s="210">
        <f>IFERROR(INDEX(Ingredients[TtlWt],MATCH(Production[[#This Row],[Product]],Ingredients[ProdName],0))*Production[[#This Row],[Lots Done]],"")</f>
        <v>58.25</v>
      </c>
      <c r="J202" s="210" t="str">
        <f>IF(INDEX(Ingredients[Batter],MATCH(Production[[#This Row],[Product]],Ingredients[ProdName],0))*Production[[#This Row],[Batter Used]]&gt;0,INDEX(Ingredients[Batter],MATCH(Production[[#This Row],[Product]],Ingredients[ProdName],0))*Production[[#This Row],[Batter Used]],"")</f>
        <v/>
      </c>
      <c r="K202" s="210" t="str">
        <f>IF(INDEX(Ingredients[Breader],MATCH(Production[[#This Row],[Product]],Ingredients[ProdName],0))*Production[[#This Row],[Breader Used]]&gt;0,INDEX(Ingredients[Breader],MATCH(Production[[#This Row],[Product]],Ingredients[ProdName],0))*Production[[#This Row],[Breader Used]],"")</f>
        <v/>
      </c>
      <c r="L202" s="56"/>
      <c r="M202" s="56"/>
      <c r="N202" s="211">
        <f>IFERROR(IF(SUM(Production[[#This Row],[Meat Wt]:[BrTtl]])&lt;&gt;0,SUM(Production[[#This Row],[Meat Wt]:[BrTtl]]),""),"")</f>
        <v>1558.25</v>
      </c>
      <c r="O202" s="55">
        <v>68</v>
      </c>
      <c r="P202" s="208">
        <f>INDEX(Ingredients[Case Wt.],MATCH(Production[[#This Row],[Product]],Ingredients[ProdName],0))*Production[[#This Row],[Case Total]]</f>
        <v>2040</v>
      </c>
      <c r="Q202" s="211">
        <f>IFERROR(Production[[#This Row],[SatWt]]-Production[[#This Row],[RawWt]],"")</f>
        <v>481.75</v>
      </c>
      <c r="R202" s="222" t="str">
        <f>IF(Production[[#This Row],[Species]]&lt;&gt;"",IF(SUM(Production[[#This Row],[BtTtl]:[BrTtl]])/Production[[#This Row],[SatWt]]&lt;&gt;0,SUM(Production[[#This Row],[BtTtl]:[BrTtl]])/Production[[#This Row],[SatWt]],""),"")</f>
        <v/>
      </c>
      <c r="S202" s="223" t="str">
        <f>INDEX(Ingredients[Species],MATCH(Production[[#This Row],[Product]],Ingredients[ProdName],0))</f>
        <v>Poultry</v>
      </c>
    </row>
    <row r="203" spans="1:19" ht="11.1" customHeight="1" x14ac:dyDescent="0.25">
      <c r="A203" s="207" t="str">
        <f>IFERROR(IF(Production[[#This Row],[Date]]&lt;&gt;"",TEXT(Production[[#This Row],[Date]],"yy")&amp;"-"&amp;TEXT(Production[[#This Row],[Date]]-DATE(YEAR(Production[[#This Row],[Date]]),1,0),"000"),""),"")</f>
        <v>23-103</v>
      </c>
      <c r="B203" s="209" t="str">
        <f>IFERROR(IF(INDEX(Ingredients[Ingr1],MATCH(Production[[#This Row],[Product]],Ingredients[ProdName],0))&lt;&gt;"",INDEX(Ingredients[Ingr1],MATCH(Production[[#This Row],[Product]],Ingredients[ProdName],0)),INDEX(Ingredients[Ingr2],MATCH(Production[[#This Row],[Product]],Ingredients[ProdName],0))),"")</f>
        <v>Chicken - Ground</v>
      </c>
      <c r="C203" s="53">
        <v>45029</v>
      </c>
      <c r="D203" s="54" t="s">
        <v>15</v>
      </c>
      <c r="E203" s="55">
        <v>7309</v>
      </c>
      <c r="F203" s="56">
        <v>5</v>
      </c>
      <c r="G203" s="56">
        <v>30</v>
      </c>
      <c r="H203" s="208">
        <f>IFERROR(INDEX(Tier1[Wt],MATCH(Production[[#This Row],[Type]],Tier1[Ingredient],0))*Production[[#This Row],[Blocks Used]],0)</f>
        <v>1500</v>
      </c>
      <c r="I203" s="210">
        <f>IFERROR(INDEX(Ingredients[TtlWt],MATCH(Production[[#This Row],[Product]],Ingredients[ProdName],0))*Production[[#This Row],[Lots Done]],"")</f>
        <v>58.25</v>
      </c>
      <c r="J203" s="210" t="str">
        <f>IF(INDEX(Ingredients[Batter],MATCH(Production[[#This Row],[Product]],Ingredients[ProdName],0))*Production[[#This Row],[Batter Used]]&gt;0,INDEX(Ingredients[Batter],MATCH(Production[[#This Row],[Product]],Ingredients[ProdName],0))*Production[[#This Row],[Batter Used]],"")</f>
        <v/>
      </c>
      <c r="K203" s="210" t="str">
        <f>IF(INDEX(Ingredients[Breader],MATCH(Production[[#This Row],[Product]],Ingredients[ProdName],0))*Production[[#This Row],[Breader Used]]&gt;0,INDEX(Ingredients[Breader],MATCH(Production[[#This Row],[Product]],Ingredients[ProdName],0))*Production[[#This Row],[Breader Used]],"")</f>
        <v/>
      </c>
      <c r="L203" s="56"/>
      <c r="M203" s="56"/>
      <c r="N203" s="211">
        <f>IFERROR(IF(SUM(Production[[#This Row],[Meat Wt]:[BrTtl]])&lt;&gt;0,SUM(Production[[#This Row],[Meat Wt]:[BrTtl]]),""),"")</f>
        <v>1558.25</v>
      </c>
      <c r="O203" s="55">
        <v>67</v>
      </c>
      <c r="P203" s="208">
        <f>INDEX(Ingredients[Case Wt.],MATCH(Production[[#This Row],[Product]],Ingredients[ProdName],0))*Production[[#This Row],[Case Total]]</f>
        <v>2010</v>
      </c>
      <c r="Q203" s="211">
        <f>IFERROR(Production[[#This Row],[SatWt]]-Production[[#This Row],[RawWt]],"")</f>
        <v>451.75</v>
      </c>
      <c r="R203" s="222" t="str">
        <f>IF(Production[[#This Row],[Species]]&lt;&gt;"",IF(SUM(Production[[#This Row],[BtTtl]:[BrTtl]])/Production[[#This Row],[SatWt]]&lt;&gt;0,SUM(Production[[#This Row],[BtTtl]:[BrTtl]])/Production[[#This Row],[SatWt]],""),"")</f>
        <v/>
      </c>
      <c r="S203" s="223" t="str">
        <f>INDEX(Ingredients[Species],MATCH(Production[[#This Row],[Product]],Ingredients[ProdName],0))</f>
        <v>Poultry</v>
      </c>
    </row>
    <row r="204" spans="1:19" ht="11.1" customHeight="1" x14ac:dyDescent="0.25">
      <c r="A204" s="207" t="str">
        <f>IFERROR(IF(Production[[#This Row],[Date]]&lt;&gt;"",TEXT(Production[[#This Row],[Date]],"yy")&amp;"-"&amp;TEXT(Production[[#This Row],[Date]]-DATE(YEAR(Production[[#This Row],[Date]]),1,0),"000"),""),"")</f>
        <v>23-107</v>
      </c>
      <c r="B204" s="209" t="str">
        <f>IFERROR(IF(INDEX(Ingredients[Ingr1],MATCH(Production[[#This Row],[Product]],Ingredients[ProdName],0))&lt;&gt;"",INDEX(Ingredients[Ingr1],MATCH(Production[[#This Row],[Product]],Ingredients[ProdName],0)),INDEX(Ingredients[Ingr2],MATCH(Production[[#This Row],[Product]],Ingredients[ProdName],0))),"")</f>
        <v>Chicken - Ground</v>
      </c>
      <c r="C204" s="53">
        <v>45033</v>
      </c>
      <c r="D204" s="54" t="s">
        <v>19</v>
      </c>
      <c r="E204" s="55">
        <v>7309</v>
      </c>
      <c r="F204" s="56">
        <v>6</v>
      </c>
      <c r="G204" s="56">
        <v>36</v>
      </c>
      <c r="H204" s="208">
        <f>IFERROR(INDEX(Tier1[Wt],MATCH(Production[[#This Row],[Type]],Tier1[Ingredient],0))*Production[[#This Row],[Blocks Used]],0)</f>
        <v>1800</v>
      </c>
      <c r="I204" s="210">
        <f>IFERROR(INDEX(Ingredients[TtlWt],MATCH(Production[[#This Row],[Product]],Ingredients[ProdName],0))*Production[[#This Row],[Lots Done]],"")</f>
        <v>69.900000000000006</v>
      </c>
      <c r="J204" s="210" t="str">
        <f>IF(INDEX(Ingredients[Batter],MATCH(Production[[#This Row],[Product]],Ingredients[ProdName],0))*Production[[#This Row],[Batter Used]]&gt;0,INDEX(Ingredients[Batter],MATCH(Production[[#This Row],[Product]],Ingredients[ProdName],0))*Production[[#This Row],[Batter Used]],"")</f>
        <v/>
      </c>
      <c r="K204" s="210" t="str">
        <f>IF(INDEX(Ingredients[Breader],MATCH(Production[[#This Row],[Product]],Ingredients[ProdName],0))*Production[[#This Row],[Breader Used]]&gt;0,INDEX(Ingredients[Breader],MATCH(Production[[#This Row],[Product]],Ingredients[ProdName],0))*Production[[#This Row],[Breader Used]],"")</f>
        <v/>
      </c>
      <c r="L204" s="56"/>
      <c r="M204" s="56"/>
      <c r="N204" s="211">
        <f>IFERROR(IF(SUM(Production[[#This Row],[Meat Wt]:[BrTtl]])&lt;&gt;0,SUM(Production[[#This Row],[Meat Wt]:[BrTtl]]),""),"")</f>
        <v>1869.9</v>
      </c>
      <c r="O204" s="55">
        <v>104</v>
      </c>
      <c r="P204" s="208">
        <f>INDEX(Ingredients[Case Wt.],MATCH(Production[[#This Row],[Product]],Ingredients[ProdName],0))*Production[[#This Row],[Case Total]]</f>
        <v>2600</v>
      </c>
      <c r="Q204" s="211">
        <f>IFERROR(Production[[#This Row],[SatWt]]-Production[[#This Row],[RawWt]],"")</f>
        <v>730.09999999999991</v>
      </c>
      <c r="R204" s="222" t="str">
        <f>IF(Production[[#This Row],[Species]]&lt;&gt;"",IF(SUM(Production[[#This Row],[BtTtl]:[BrTtl]])/Production[[#This Row],[SatWt]]&lt;&gt;0,SUM(Production[[#This Row],[BtTtl]:[BrTtl]])/Production[[#This Row],[SatWt]],""),"")</f>
        <v/>
      </c>
      <c r="S204" s="223" t="str">
        <f>INDEX(Ingredients[Species],MATCH(Production[[#This Row],[Product]],Ingredients[ProdName],0))</f>
        <v>Poultry</v>
      </c>
    </row>
    <row r="205" spans="1:19" ht="11.1" customHeight="1" x14ac:dyDescent="0.25">
      <c r="A205" s="207" t="str">
        <f>IFERROR(IF(Production[[#This Row],[Date]]&lt;&gt;"",TEXT(Production[[#This Row],[Date]],"yy")&amp;"-"&amp;TEXT(Production[[#This Row],[Date]]-DATE(YEAR(Production[[#This Row],[Date]]),1,0),"000"),""),"")</f>
        <v>23-108</v>
      </c>
      <c r="B205" s="209" t="str">
        <f>IFERROR(IF(INDEX(Ingredients[Ingr1],MATCH(Production[[#This Row],[Product]],Ingredients[ProdName],0))&lt;&gt;"",INDEX(Ingredients[Ingr1],MATCH(Production[[#This Row],[Product]],Ingredients[ProdName],0)),INDEX(Ingredients[Ingr2],MATCH(Production[[#This Row],[Product]],Ingredients[ProdName],0))),"")</f>
        <v>Chicken - Ground</v>
      </c>
      <c r="C205" s="53">
        <v>45034</v>
      </c>
      <c r="D205" s="54" t="s">
        <v>20</v>
      </c>
      <c r="E205" s="55">
        <v>7309</v>
      </c>
      <c r="F205" s="56">
        <v>2</v>
      </c>
      <c r="G205" s="56">
        <v>12</v>
      </c>
      <c r="H205" s="208">
        <f>IFERROR(INDEX(Tier1[Wt],MATCH(Production[[#This Row],[Type]],Tier1[Ingredient],0))*Production[[#This Row],[Blocks Used]],0)</f>
        <v>600</v>
      </c>
      <c r="I205" s="210">
        <f>IFERROR(INDEX(Ingredients[TtlWt],MATCH(Production[[#This Row],[Product]],Ingredients[ProdName],0))*Production[[#This Row],[Lots Done]],"")</f>
        <v>40.799999999999997</v>
      </c>
      <c r="J205" s="210" t="str">
        <f>IF(INDEX(Ingredients[Batter],MATCH(Production[[#This Row],[Product]],Ingredients[ProdName],0))*Production[[#This Row],[Batter Used]]&gt;0,INDEX(Ingredients[Batter],MATCH(Production[[#This Row],[Product]],Ingredients[ProdName],0))*Production[[#This Row],[Batter Used]],"")</f>
        <v/>
      </c>
      <c r="K205" s="210" t="str">
        <f>IF(INDEX(Ingredients[Breader],MATCH(Production[[#This Row],[Product]],Ingredients[ProdName],0))*Production[[#This Row],[Breader Used]]&gt;0,INDEX(Ingredients[Breader],MATCH(Production[[#This Row],[Product]],Ingredients[ProdName],0))*Production[[#This Row],[Breader Used]],"")</f>
        <v/>
      </c>
      <c r="L205" s="56"/>
      <c r="M205" s="56"/>
      <c r="N205" s="211">
        <f>IFERROR(IF(SUM(Production[[#This Row],[Meat Wt]:[BrTtl]])&lt;&gt;0,SUM(Production[[#This Row],[Meat Wt]:[BrTtl]]),""),"")</f>
        <v>640.79999999999995</v>
      </c>
      <c r="O205" s="55">
        <v>46</v>
      </c>
      <c r="P205" s="208">
        <f>INDEX(Ingredients[Case Wt.],MATCH(Production[[#This Row],[Product]],Ingredients[ProdName],0))*Production[[#This Row],[Case Total]]</f>
        <v>1150</v>
      </c>
      <c r="Q205" s="211">
        <f>IFERROR(Production[[#This Row],[SatWt]]-Production[[#This Row],[RawWt]],"")</f>
        <v>509.20000000000005</v>
      </c>
      <c r="R205" s="222" t="str">
        <f>IF(Production[[#This Row],[Species]]&lt;&gt;"",IF(SUM(Production[[#This Row],[BtTtl]:[BrTtl]])/Production[[#This Row],[SatWt]]&lt;&gt;0,SUM(Production[[#This Row],[BtTtl]:[BrTtl]])/Production[[#This Row],[SatWt]],""),"")</f>
        <v/>
      </c>
      <c r="S205" s="223" t="str">
        <f>INDEX(Ingredients[Species],MATCH(Production[[#This Row],[Product]],Ingredients[ProdName],0))</f>
        <v>Poultry</v>
      </c>
    </row>
    <row r="206" spans="1:19" ht="11.1" customHeight="1" x14ac:dyDescent="0.25">
      <c r="A206" s="207" t="str">
        <f>IFERROR(IF(Production[[#This Row],[Date]]&lt;&gt;"",TEXT(Production[[#This Row],[Date]],"yy")&amp;"-"&amp;TEXT(Production[[#This Row],[Date]]-DATE(YEAR(Production[[#This Row],[Date]]),1,0),"000"),""),"")</f>
        <v>23-108</v>
      </c>
      <c r="B206" s="209" t="str">
        <f>IFERROR(IF(INDEX(Ingredients[Ingr1],MATCH(Production[[#This Row],[Product]],Ingredients[ProdName],0))&lt;&gt;"",INDEX(Ingredients[Ingr1],MATCH(Production[[#This Row],[Product]],Ingredients[ProdName],0)),INDEX(Ingredients[Ingr2],MATCH(Production[[#This Row],[Product]],Ingredients[ProdName],0))),"")</f>
        <v>Chicken - Ground</v>
      </c>
      <c r="C206" s="53">
        <v>45034</v>
      </c>
      <c r="D206" s="54" t="s">
        <v>20</v>
      </c>
      <c r="E206" s="55">
        <v>7309</v>
      </c>
      <c r="F206" s="56">
        <v>6</v>
      </c>
      <c r="G206" s="56">
        <v>36</v>
      </c>
      <c r="H206" s="208">
        <f>IFERROR(INDEX(Tier1[Wt],MATCH(Production[[#This Row],[Type]],Tier1[Ingredient],0))*Production[[#This Row],[Blocks Used]],0)</f>
        <v>1800</v>
      </c>
      <c r="I206" s="210">
        <f>IFERROR(INDEX(Ingredients[TtlWt],MATCH(Production[[#This Row],[Product]],Ingredients[ProdName],0))*Production[[#This Row],[Lots Done]],"")</f>
        <v>122.39999999999999</v>
      </c>
      <c r="J206" s="210" t="str">
        <f>IF(INDEX(Ingredients[Batter],MATCH(Production[[#This Row],[Product]],Ingredients[ProdName],0))*Production[[#This Row],[Batter Used]]&gt;0,INDEX(Ingredients[Batter],MATCH(Production[[#This Row],[Product]],Ingredients[ProdName],0))*Production[[#This Row],[Batter Used]],"")</f>
        <v/>
      </c>
      <c r="K206" s="210" t="str">
        <f>IF(INDEX(Ingredients[Breader],MATCH(Production[[#This Row],[Product]],Ingredients[ProdName],0))*Production[[#This Row],[Breader Used]]&gt;0,INDEX(Ingredients[Breader],MATCH(Production[[#This Row],[Product]],Ingredients[ProdName],0))*Production[[#This Row],[Breader Used]],"")</f>
        <v/>
      </c>
      <c r="L206" s="56"/>
      <c r="M206" s="56"/>
      <c r="N206" s="211">
        <f>IFERROR(IF(SUM(Production[[#This Row],[Meat Wt]:[BrTtl]])&lt;&gt;0,SUM(Production[[#This Row],[Meat Wt]:[BrTtl]]),""),"")</f>
        <v>1922.4</v>
      </c>
      <c r="O206" s="55">
        <v>98</v>
      </c>
      <c r="P206" s="208">
        <f>INDEX(Ingredients[Case Wt.],MATCH(Production[[#This Row],[Product]],Ingredients[ProdName],0))*Production[[#This Row],[Case Total]]</f>
        <v>2450</v>
      </c>
      <c r="Q206" s="211">
        <f>IFERROR(Production[[#This Row],[SatWt]]-Production[[#This Row],[RawWt]],"")</f>
        <v>527.59999999999991</v>
      </c>
      <c r="R206" s="222" t="str">
        <f>IF(Production[[#This Row],[Species]]&lt;&gt;"",IF(SUM(Production[[#This Row],[BtTtl]:[BrTtl]])/Production[[#This Row],[SatWt]]&lt;&gt;0,SUM(Production[[#This Row],[BtTtl]:[BrTtl]])/Production[[#This Row],[SatWt]],""),"")</f>
        <v/>
      </c>
      <c r="S206" s="223" t="str">
        <f>INDEX(Ingredients[Species],MATCH(Production[[#This Row],[Product]],Ingredients[ProdName],0))</f>
        <v>Poultry</v>
      </c>
    </row>
    <row r="207" spans="1:19" ht="11.1" customHeight="1" x14ac:dyDescent="0.25">
      <c r="A207" s="207" t="str">
        <f>IFERROR(IF(Production[[#This Row],[Date]]&lt;&gt;"",TEXT(Production[[#This Row],[Date]],"yy")&amp;"-"&amp;TEXT(Production[[#This Row],[Date]]-DATE(YEAR(Production[[#This Row],[Date]]),1,0),"000"),""),"")</f>
        <v>23-109</v>
      </c>
      <c r="B207" s="209" t="str">
        <f>IFERROR(IF(INDEX(Ingredients[Ingr1],MATCH(Production[[#This Row],[Product]],Ingredients[ProdName],0))&lt;&gt;"",INDEX(Ingredients[Ingr1],MATCH(Production[[#This Row],[Product]],Ingredients[ProdName],0)),INDEX(Ingredients[Ingr2],MATCH(Production[[#This Row],[Product]],Ingredients[ProdName],0))),"")</f>
        <v>Chicken - Ground</v>
      </c>
      <c r="C207" s="53">
        <v>45035</v>
      </c>
      <c r="D207" s="54" t="s">
        <v>20</v>
      </c>
      <c r="E207" s="55">
        <v>7309</v>
      </c>
      <c r="F207" s="56">
        <v>7</v>
      </c>
      <c r="G207" s="56">
        <v>42</v>
      </c>
      <c r="H207" s="208">
        <f>IFERROR(INDEX(Tier1[Wt],MATCH(Production[[#This Row],[Type]],Tier1[Ingredient],0))*Production[[#This Row],[Blocks Used]],0)</f>
        <v>2100</v>
      </c>
      <c r="I207" s="210">
        <f>IFERROR(INDEX(Ingredients[TtlWt],MATCH(Production[[#This Row],[Product]],Ingredients[ProdName],0))*Production[[#This Row],[Lots Done]],"")</f>
        <v>142.79999999999998</v>
      </c>
      <c r="J207" s="210" t="str">
        <f>IF(INDEX(Ingredients[Batter],MATCH(Production[[#This Row],[Product]],Ingredients[ProdName],0))*Production[[#This Row],[Batter Used]]&gt;0,INDEX(Ingredients[Batter],MATCH(Production[[#This Row],[Product]],Ingredients[ProdName],0))*Production[[#This Row],[Batter Used]],"")</f>
        <v/>
      </c>
      <c r="K207" s="210" t="str">
        <f>IF(INDEX(Ingredients[Breader],MATCH(Production[[#This Row],[Product]],Ingredients[ProdName],0))*Production[[#This Row],[Breader Used]]&gt;0,INDEX(Ingredients[Breader],MATCH(Production[[#This Row],[Product]],Ingredients[ProdName],0))*Production[[#This Row],[Breader Used]],"")</f>
        <v/>
      </c>
      <c r="L207" s="56"/>
      <c r="M207" s="56"/>
      <c r="N207" s="211">
        <f>IFERROR(IF(SUM(Production[[#This Row],[Meat Wt]:[BrTtl]])&lt;&gt;0,SUM(Production[[#This Row],[Meat Wt]:[BrTtl]]),""),"")</f>
        <v>2242.8000000000002</v>
      </c>
      <c r="O207" s="55">
        <v>123</v>
      </c>
      <c r="P207" s="208">
        <f>INDEX(Ingredients[Case Wt.],MATCH(Production[[#This Row],[Product]],Ingredients[ProdName],0))*Production[[#This Row],[Case Total]]</f>
        <v>3075</v>
      </c>
      <c r="Q207" s="211">
        <f>IFERROR(Production[[#This Row],[SatWt]]-Production[[#This Row],[RawWt]],"")</f>
        <v>832.19999999999982</v>
      </c>
      <c r="R207" s="222" t="str">
        <f>IF(Production[[#This Row],[Species]]&lt;&gt;"",IF(SUM(Production[[#This Row],[BtTtl]:[BrTtl]])/Production[[#This Row],[SatWt]]&lt;&gt;0,SUM(Production[[#This Row],[BtTtl]:[BrTtl]])/Production[[#This Row],[SatWt]],""),"")</f>
        <v/>
      </c>
      <c r="S207" s="223" t="str">
        <f>INDEX(Ingredients[Species],MATCH(Production[[#This Row],[Product]],Ingredients[ProdName],0))</f>
        <v>Poultry</v>
      </c>
    </row>
    <row r="208" spans="1:19" ht="11.1" customHeight="1" x14ac:dyDescent="0.25">
      <c r="A208" s="207" t="str">
        <f>IFERROR(IF(Production[[#This Row],[Date]]&lt;&gt;"",TEXT(Production[[#This Row],[Date]],"yy")&amp;"-"&amp;TEXT(Production[[#This Row],[Date]]-DATE(YEAR(Production[[#This Row],[Date]]),1,0),"000"),""),"")</f>
        <v>23-110</v>
      </c>
      <c r="B208" s="209" t="str">
        <f>IFERROR(IF(INDEX(Ingredients[Ingr1],MATCH(Production[[#This Row],[Product]],Ingredients[ProdName],0))&lt;&gt;"",INDEX(Ingredients[Ingr1],MATCH(Production[[#This Row],[Product]],Ingredients[ProdName],0)),INDEX(Ingredients[Ingr2],MATCH(Production[[#This Row],[Product]],Ingredients[ProdName],0))),"")</f>
        <v>Chicken - Ground</v>
      </c>
      <c r="C208" s="53">
        <v>45036</v>
      </c>
      <c r="D208" s="54" t="s">
        <v>20</v>
      </c>
      <c r="E208" s="55">
        <v>7309</v>
      </c>
      <c r="F208" s="56">
        <v>6</v>
      </c>
      <c r="G208" s="56">
        <v>36</v>
      </c>
      <c r="H208" s="208">
        <f>IFERROR(INDEX(Tier1[Wt],MATCH(Production[[#This Row],[Type]],Tier1[Ingredient],0))*Production[[#This Row],[Blocks Used]],0)</f>
        <v>1800</v>
      </c>
      <c r="I208" s="210">
        <f>IFERROR(INDEX(Ingredients[TtlWt],MATCH(Production[[#This Row],[Product]],Ingredients[ProdName],0))*Production[[#This Row],[Lots Done]],"")</f>
        <v>122.39999999999999</v>
      </c>
      <c r="J208" s="210" t="str">
        <f>IF(INDEX(Ingredients[Batter],MATCH(Production[[#This Row],[Product]],Ingredients[ProdName],0))*Production[[#This Row],[Batter Used]]&gt;0,INDEX(Ingredients[Batter],MATCH(Production[[#This Row],[Product]],Ingredients[ProdName],0))*Production[[#This Row],[Batter Used]],"")</f>
        <v/>
      </c>
      <c r="K208" s="210" t="str">
        <f>IF(INDEX(Ingredients[Breader],MATCH(Production[[#This Row],[Product]],Ingredients[ProdName],0))*Production[[#This Row],[Breader Used]]&gt;0,INDEX(Ingredients[Breader],MATCH(Production[[#This Row],[Product]],Ingredients[ProdName],0))*Production[[#This Row],[Breader Used]],"")</f>
        <v/>
      </c>
      <c r="L208" s="56"/>
      <c r="M208" s="56"/>
      <c r="N208" s="211">
        <f>IFERROR(IF(SUM(Production[[#This Row],[Meat Wt]:[BrTtl]])&lt;&gt;0,SUM(Production[[#This Row],[Meat Wt]:[BrTtl]]),""),"")</f>
        <v>1922.4</v>
      </c>
      <c r="O208" s="55">
        <v>107</v>
      </c>
      <c r="P208" s="208">
        <f>INDEX(Ingredients[Case Wt.],MATCH(Production[[#This Row],[Product]],Ingredients[ProdName],0))*Production[[#This Row],[Case Total]]</f>
        <v>2675</v>
      </c>
      <c r="Q208" s="211">
        <f>IFERROR(Production[[#This Row],[SatWt]]-Production[[#This Row],[RawWt]],"")</f>
        <v>752.59999999999991</v>
      </c>
      <c r="R208" s="222" t="str">
        <f>IF(Production[[#This Row],[Species]]&lt;&gt;"",IF(SUM(Production[[#This Row],[BtTtl]:[BrTtl]])/Production[[#This Row],[SatWt]]&lt;&gt;0,SUM(Production[[#This Row],[BtTtl]:[BrTtl]])/Production[[#This Row],[SatWt]],""),"")</f>
        <v/>
      </c>
      <c r="S208" s="223" t="str">
        <f>INDEX(Ingredients[Species],MATCH(Production[[#This Row],[Product]],Ingredients[ProdName],0))</f>
        <v>Poultry</v>
      </c>
    </row>
    <row r="209" spans="1:19" ht="11.1" customHeight="1" x14ac:dyDescent="0.25">
      <c r="A209" s="207" t="str">
        <f>IFERROR(IF(Production[[#This Row],[Date]]&lt;&gt;"",TEXT(Production[[#This Row],[Date]],"yy")&amp;"-"&amp;TEXT(Production[[#This Row],[Date]]-DATE(YEAR(Production[[#This Row],[Date]]),1,0),"000"),""),"")</f>
        <v>23-115</v>
      </c>
      <c r="B209" s="209" t="str">
        <f>IFERROR(IF(INDEX(Ingredients[Ingr1],MATCH(Production[[#This Row],[Product]],Ingredients[ProdName],0))&lt;&gt;"",INDEX(Ingredients[Ingr1],MATCH(Production[[#This Row],[Product]],Ingredients[ProdName],0)),INDEX(Ingredients[Ingr2],MATCH(Production[[#This Row],[Product]],Ingredients[ProdName],0))),"")</f>
        <v>Chicken - Ground</v>
      </c>
      <c r="C209" s="53">
        <v>45041</v>
      </c>
      <c r="D209" s="54" t="s">
        <v>7</v>
      </c>
      <c r="E209" s="55">
        <v>7309</v>
      </c>
      <c r="F209" s="56">
        <v>5</v>
      </c>
      <c r="G209" s="56">
        <v>30</v>
      </c>
      <c r="H209" s="208">
        <f>IFERROR(INDEX(Tier1[Wt],MATCH(Production[[#This Row],[Type]],Tier1[Ingredient],0))*Production[[#This Row],[Blocks Used]],0)</f>
        <v>1500</v>
      </c>
      <c r="I209" s="210">
        <f>IFERROR(INDEX(Ingredients[TtlWt],MATCH(Production[[#This Row],[Product]],Ingredients[ProdName],0))*Production[[#This Row],[Lots Done]],"")</f>
        <v>33.75</v>
      </c>
      <c r="J209" s="210" t="str">
        <f>IF(INDEX(Ingredients[Batter],MATCH(Production[[#This Row],[Product]],Ingredients[ProdName],0))*Production[[#This Row],[Batter Used]]&gt;0,INDEX(Ingredients[Batter],MATCH(Production[[#This Row],[Product]],Ingredients[ProdName],0))*Production[[#This Row],[Batter Used]],"")</f>
        <v/>
      </c>
      <c r="K209" s="210" t="str">
        <f>IF(INDEX(Ingredients[Breader],MATCH(Production[[#This Row],[Product]],Ingredients[ProdName],0))*Production[[#This Row],[Breader Used]]&gt;0,INDEX(Ingredients[Breader],MATCH(Production[[#This Row],[Product]],Ingredients[ProdName],0))*Production[[#This Row],[Breader Used]],"")</f>
        <v/>
      </c>
      <c r="L209" s="56"/>
      <c r="M209" s="56"/>
      <c r="N209" s="211">
        <f>IFERROR(IF(SUM(Production[[#This Row],[Meat Wt]:[BrTtl]])&lt;&gt;0,SUM(Production[[#This Row],[Meat Wt]:[BrTtl]]),""),"")</f>
        <v>1533.75</v>
      </c>
      <c r="O209" s="55">
        <v>80</v>
      </c>
      <c r="P209" s="208">
        <f>INDEX(Ingredients[Case Wt.],MATCH(Production[[#This Row],[Product]],Ingredients[ProdName],0))*Production[[#This Row],[Case Total]]</f>
        <v>2000</v>
      </c>
      <c r="Q209" s="211">
        <f>IFERROR(Production[[#This Row],[SatWt]]-Production[[#This Row],[RawWt]],"")</f>
        <v>466.25</v>
      </c>
      <c r="R209" s="222" t="str">
        <f>IF(Production[[#This Row],[Species]]&lt;&gt;"",IF(SUM(Production[[#This Row],[BtTtl]:[BrTtl]])/Production[[#This Row],[SatWt]]&lt;&gt;0,SUM(Production[[#This Row],[BtTtl]:[BrTtl]])/Production[[#This Row],[SatWt]],""),"")</f>
        <v/>
      </c>
      <c r="S209" s="223" t="str">
        <f>INDEX(Ingredients[Species],MATCH(Production[[#This Row],[Product]],Ingredients[ProdName],0))</f>
        <v>Poultry</v>
      </c>
    </row>
    <row r="210" spans="1:19" ht="11.1" customHeight="1" x14ac:dyDescent="0.25">
      <c r="A210" s="207" t="str">
        <f>IFERROR(IF(Production[[#This Row],[Date]]&lt;&gt;"",TEXT(Production[[#This Row],[Date]],"yy")&amp;"-"&amp;TEXT(Production[[#This Row],[Date]]-DATE(YEAR(Production[[#This Row],[Date]]),1,0),"000"),""),"")</f>
        <v>23-116</v>
      </c>
      <c r="B210" s="209" t="str">
        <f>IFERROR(IF(INDEX(Ingredients[Ingr1],MATCH(Production[[#This Row],[Product]],Ingredients[ProdName],0))&lt;&gt;"",INDEX(Ingredients[Ingr1],MATCH(Production[[#This Row],[Product]],Ingredients[ProdName],0)),INDEX(Ingredients[Ingr2],MATCH(Production[[#This Row],[Product]],Ingredients[ProdName],0))),"")</f>
        <v>Chicken - Ground</v>
      </c>
      <c r="C210" s="53">
        <v>45042</v>
      </c>
      <c r="D210" s="54" t="s">
        <v>7</v>
      </c>
      <c r="E210" s="55">
        <v>7309</v>
      </c>
      <c r="F210" s="56">
        <v>5</v>
      </c>
      <c r="G210" s="56">
        <v>30</v>
      </c>
      <c r="H210" s="208">
        <f>IFERROR(INDEX(Tier1[Wt],MATCH(Production[[#This Row],[Type]],Tier1[Ingredient],0))*Production[[#This Row],[Blocks Used]],0)</f>
        <v>1500</v>
      </c>
      <c r="I210" s="210">
        <f>IFERROR(INDEX(Ingredients[TtlWt],MATCH(Production[[#This Row],[Product]],Ingredients[ProdName],0))*Production[[#This Row],[Lots Done]],"")</f>
        <v>33.75</v>
      </c>
      <c r="J210" s="210" t="str">
        <f>IF(INDEX(Ingredients[Batter],MATCH(Production[[#This Row],[Product]],Ingredients[ProdName],0))*Production[[#This Row],[Batter Used]]&gt;0,INDEX(Ingredients[Batter],MATCH(Production[[#This Row],[Product]],Ingredients[ProdName],0))*Production[[#This Row],[Batter Used]],"")</f>
        <v/>
      </c>
      <c r="K210" s="210" t="str">
        <f>IF(INDEX(Ingredients[Breader],MATCH(Production[[#This Row],[Product]],Ingredients[ProdName],0))*Production[[#This Row],[Breader Used]]&gt;0,INDEX(Ingredients[Breader],MATCH(Production[[#This Row],[Product]],Ingredients[ProdName],0))*Production[[#This Row],[Breader Used]],"")</f>
        <v/>
      </c>
      <c r="L210" s="56"/>
      <c r="M210" s="56"/>
      <c r="N210" s="211">
        <f>IFERROR(IF(SUM(Production[[#This Row],[Meat Wt]:[BrTtl]])&lt;&gt;0,SUM(Production[[#This Row],[Meat Wt]:[BrTtl]]),""),"")</f>
        <v>1533.75</v>
      </c>
      <c r="O210" s="55">
        <v>79</v>
      </c>
      <c r="P210" s="208">
        <f>INDEX(Ingredients[Case Wt.],MATCH(Production[[#This Row],[Product]],Ingredients[ProdName],0))*Production[[#This Row],[Case Total]]</f>
        <v>1975</v>
      </c>
      <c r="Q210" s="211">
        <f>IFERROR(Production[[#This Row],[SatWt]]-Production[[#This Row],[RawWt]],"")</f>
        <v>441.25</v>
      </c>
      <c r="R210" s="222" t="str">
        <f>IF(Production[[#This Row],[Species]]&lt;&gt;"",IF(SUM(Production[[#This Row],[BtTtl]:[BrTtl]])/Production[[#This Row],[SatWt]]&lt;&gt;0,SUM(Production[[#This Row],[BtTtl]:[BrTtl]])/Production[[#This Row],[SatWt]],""),"")</f>
        <v/>
      </c>
      <c r="S210" s="223" t="str">
        <f>INDEX(Ingredients[Species],MATCH(Production[[#This Row],[Product]],Ingredients[ProdName],0))</f>
        <v>Poultry</v>
      </c>
    </row>
    <row r="211" spans="1:19" ht="11.1" customHeight="1" x14ac:dyDescent="0.25">
      <c r="A211" s="207" t="str">
        <f>IFERROR(IF(Production[[#This Row],[Date]]&lt;&gt;"",TEXT(Production[[#This Row],[Date]],"yy")&amp;"-"&amp;TEXT(Production[[#This Row],[Date]]-DATE(YEAR(Production[[#This Row],[Date]]),1,0),"000"),""),"")</f>
        <v>23-117</v>
      </c>
      <c r="B211" s="209" t="str">
        <f>IFERROR(IF(INDEX(Ingredients[Ingr1],MATCH(Production[[#This Row],[Product]],Ingredients[ProdName],0))&lt;&gt;"",INDEX(Ingredients[Ingr1],MATCH(Production[[#This Row],[Product]],Ingredients[ProdName],0)),INDEX(Ingredients[Ingr2],MATCH(Production[[#This Row],[Product]],Ingredients[ProdName],0))),"")</f>
        <v>Chicken - Tenders</v>
      </c>
      <c r="C211" s="53">
        <v>45043</v>
      </c>
      <c r="D211" s="54" t="s">
        <v>14</v>
      </c>
      <c r="E211" s="55" t="s">
        <v>173</v>
      </c>
      <c r="F211" s="56">
        <v>3</v>
      </c>
      <c r="G211" s="56">
        <v>21</v>
      </c>
      <c r="H211" s="208">
        <f>IFERROR(INDEX(Tier1[Wt],MATCH(Production[[#This Row],[Type]],Tier1[Ingredient],0))*Production[[#This Row],[Blocks Used]],0)</f>
        <v>840</v>
      </c>
      <c r="I211" s="210">
        <f>IFERROR(INDEX(Ingredients[TtlWt],MATCH(Production[[#This Row],[Product]],Ingredients[ProdName],0))*Production[[#This Row],[Lots Done]],"")</f>
        <v>186.45</v>
      </c>
      <c r="J211" s="210" t="str">
        <f>IF(INDEX(Ingredients[Batter],MATCH(Production[[#This Row],[Product]],Ingredients[ProdName],0))*Production[[#This Row],[Batter Used]]&gt;0,INDEX(Ingredients[Batter],MATCH(Production[[#This Row],[Product]],Ingredients[ProdName],0))*Production[[#This Row],[Batter Used]],"")</f>
        <v/>
      </c>
      <c r="K211" s="210" t="str">
        <f>IF(INDEX(Ingredients[Breader],MATCH(Production[[#This Row],[Product]],Ingredients[ProdName],0))*Production[[#This Row],[Breader Used]]&gt;0,INDEX(Ingredients[Breader],MATCH(Production[[#This Row],[Product]],Ingredients[ProdName],0))*Production[[#This Row],[Breader Used]],"")</f>
        <v/>
      </c>
      <c r="L211" s="56"/>
      <c r="M211" s="56"/>
      <c r="N211" s="211">
        <f>IFERROR(IF(SUM(Production[[#This Row],[Meat Wt]:[BrTtl]])&lt;&gt;0,SUM(Production[[#This Row],[Meat Wt]:[BrTtl]]),""),"")</f>
        <v>1026.45</v>
      </c>
      <c r="O211" s="55">
        <v>49</v>
      </c>
      <c r="P211" s="208">
        <f>INDEX(Ingredients[Case Wt.],MATCH(Production[[#This Row],[Product]],Ingredients[ProdName],0))*Production[[#This Row],[Case Total]]</f>
        <v>1225</v>
      </c>
      <c r="Q211" s="211">
        <f>IFERROR(Production[[#This Row],[SatWt]]-Production[[#This Row],[RawWt]],"")</f>
        <v>198.54999999999995</v>
      </c>
      <c r="R211" s="222" t="str">
        <f>IF(Production[[#This Row],[Species]]&lt;&gt;"",IF(SUM(Production[[#This Row],[BtTtl]:[BrTtl]])/Production[[#This Row],[SatWt]]&lt;&gt;0,SUM(Production[[#This Row],[BtTtl]:[BrTtl]])/Production[[#This Row],[SatWt]],""),"")</f>
        <v/>
      </c>
      <c r="S211" s="223" t="str">
        <f>INDEX(Ingredients[Species],MATCH(Production[[#This Row],[Product]],Ingredients[ProdName],0))</f>
        <v>Poultry</v>
      </c>
    </row>
    <row r="212" spans="1:19" ht="11.1" customHeight="1" x14ac:dyDescent="0.25">
      <c r="A212" s="207" t="str">
        <f>IFERROR(IF(Production[[#This Row],[Date]]&lt;&gt;"",TEXT(Production[[#This Row],[Date]],"yy")&amp;"-"&amp;TEXT(Production[[#This Row],[Date]]-DATE(YEAR(Production[[#This Row],[Date]]),1,0),"000"),""),"")</f>
        <v>23-117</v>
      </c>
      <c r="B212" s="209" t="str">
        <f>IFERROR(IF(INDEX(Ingredients[Ingr1],MATCH(Production[[#This Row],[Product]],Ingredients[ProdName],0))&lt;&gt;"",INDEX(Ingredients[Ingr1],MATCH(Production[[#This Row],[Product]],Ingredients[ProdName],0)),INDEX(Ingredients[Ingr2],MATCH(Production[[#This Row],[Product]],Ingredients[ProdName],0))),"")</f>
        <v>Chicken - Tenders</v>
      </c>
      <c r="C212" s="53">
        <v>45043</v>
      </c>
      <c r="D212" s="54" t="s">
        <v>14</v>
      </c>
      <c r="E212" s="55" t="s">
        <v>173</v>
      </c>
      <c r="F212" s="56">
        <v>9</v>
      </c>
      <c r="G212" s="56">
        <v>63</v>
      </c>
      <c r="H212" s="208">
        <f>IFERROR(INDEX(Tier1[Wt],MATCH(Production[[#This Row],[Type]],Tier1[Ingredient],0))*Production[[#This Row],[Blocks Used]],0)</f>
        <v>2520</v>
      </c>
      <c r="I212" s="210">
        <f>IFERROR(INDEX(Ingredients[TtlWt],MATCH(Production[[#This Row],[Product]],Ingredients[ProdName],0))*Production[[#This Row],[Lots Done]],"")</f>
        <v>559.35</v>
      </c>
      <c r="J212" s="210" t="str">
        <f>IF(INDEX(Ingredients[Batter],MATCH(Production[[#This Row],[Product]],Ingredients[ProdName],0))*Production[[#This Row],[Batter Used]]&gt;0,INDEX(Ingredients[Batter],MATCH(Production[[#This Row],[Product]],Ingredients[ProdName],0))*Production[[#This Row],[Batter Used]],"")</f>
        <v/>
      </c>
      <c r="K212" s="210" t="str">
        <f>IF(INDEX(Ingredients[Breader],MATCH(Production[[#This Row],[Product]],Ingredients[ProdName],0))*Production[[#This Row],[Breader Used]]&gt;0,INDEX(Ingredients[Breader],MATCH(Production[[#This Row],[Product]],Ingredients[ProdName],0))*Production[[#This Row],[Breader Used]],"")</f>
        <v/>
      </c>
      <c r="L212" s="56"/>
      <c r="M212" s="56"/>
      <c r="N212" s="211">
        <f>IFERROR(IF(SUM(Production[[#This Row],[Meat Wt]:[BrTtl]])&lt;&gt;0,SUM(Production[[#This Row],[Meat Wt]:[BrTtl]]),""),"")</f>
        <v>3079.35</v>
      </c>
      <c r="O212" s="55">
        <v>176</v>
      </c>
      <c r="P212" s="208">
        <f>INDEX(Ingredients[Case Wt.],MATCH(Production[[#This Row],[Product]],Ingredients[ProdName],0))*Production[[#This Row],[Case Total]]</f>
        <v>4400</v>
      </c>
      <c r="Q212" s="211">
        <f>IFERROR(Production[[#This Row],[SatWt]]-Production[[#This Row],[RawWt]],"")</f>
        <v>1320.65</v>
      </c>
      <c r="R212" s="222" t="str">
        <f>IF(Production[[#This Row],[Species]]&lt;&gt;"",IF(SUM(Production[[#This Row],[BtTtl]:[BrTtl]])/Production[[#This Row],[SatWt]]&lt;&gt;0,SUM(Production[[#This Row],[BtTtl]:[BrTtl]])/Production[[#This Row],[SatWt]],""),"")</f>
        <v/>
      </c>
      <c r="S212" s="223" t="str">
        <f>INDEX(Ingredients[Species],MATCH(Production[[#This Row],[Product]],Ingredients[ProdName],0))</f>
        <v>Poultry</v>
      </c>
    </row>
    <row r="213" spans="1:19" ht="11.1" customHeight="1" x14ac:dyDescent="0.25">
      <c r="A213" s="207" t="str">
        <f>IFERROR(IF(Production[[#This Row],[Date]]&lt;&gt;"",TEXT(Production[[#This Row],[Date]],"yy")&amp;"-"&amp;TEXT(Production[[#This Row],[Date]]-DATE(YEAR(Production[[#This Row],[Date]]),1,0),"000"),""),"")</f>
        <v>23-121</v>
      </c>
      <c r="B213" s="209" t="str">
        <f>IFERROR(IF(INDEX(Ingredients[Ingr1],MATCH(Production[[#This Row],[Product]],Ingredients[ProdName],0))&lt;&gt;"",INDEX(Ingredients[Ingr1],MATCH(Production[[#This Row],[Product]],Ingredients[ProdName],0)),INDEX(Ingredients[Ingr2],MATCH(Production[[#This Row],[Product]],Ingredients[ProdName],0))),"")</f>
        <v>Chicken - Tenders</v>
      </c>
      <c r="C213" s="53">
        <v>45047</v>
      </c>
      <c r="D213" s="54" t="s">
        <v>12</v>
      </c>
      <c r="E213" s="55" t="s">
        <v>173</v>
      </c>
      <c r="F213" s="56">
        <v>12</v>
      </c>
      <c r="G213" s="56">
        <v>84</v>
      </c>
      <c r="H213" s="208">
        <f>IFERROR(INDEX(Tier1[Wt],MATCH(Production[[#This Row],[Type]],Tier1[Ingredient],0))*Production[[#This Row],[Blocks Used]],0)</f>
        <v>3360</v>
      </c>
      <c r="I213" s="210">
        <f>IFERROR(INDEX(Ingredients[TtlWt],MATCH(Production[[#This Row],[Product]],Ingredients[ProdName],0))*Production[[#This Row],[Lots Done]],"")</f>
        <v>717.59999999999991</v>
      </c>
      <c r="J213" s="210">
        <f>IF(INDEX(Ingredients[Batter],MATCH(Production[[#This Row],[Product]],Ingredients[ProdName],0))*Production[[#This Row],[Batter Used]]&gt;0,INDEX(Ingredients[Batter],MATCH(Production[[#This Row],[Product]],Ingredients[ProdName],0))*Production[[#This Row],[Batter Used]],"")</f>
        <v>250</v>
      </c>
      <c r="K213" s="210">
        <f>IF(INDEX(Ingredients[Breader],MATCH(Production[[#This Row],[Product]],Ingredients[ProdName],0))*Production[[#This Row],[Breader Used]]&gt;0,INDEX(Ingredients[Breader],MATCH(Production[[#This Row],[Product]],Ingredients[ProdName],0))*Production[[#This Row],[Breader Used]],"")</f>
        <v>800</v>
      </c>
      <c r="L213" s="56">
        <v>5</v>
      </c>
      <c r="M213" s="56">
        <v>16</v>
      </c>
      <c r="N213" s="211">
        <f>IFERROR(IF(SUM(Production[[#This Row],[Meat Wt]:[BrTtl]])&lt;&gt;0,SUM(Production[[#This Row],[Meat Wt]:[BrTtl]]),""),"")</f>
        <v>5127.6000000000004</v>
      </c>
      <c r="O213" s="55">
        <v>264</v>
      </c>
      <c r="P213" s="208">
        <f>INDEX(Ingredients[Case Wt.],MATCH(Production[[#This Row],[Product]],Ingredients[ProdName],0))*Production[[#This Row],[Case Total]]</f>
        <v>6600</v>
      </c>
      <c r="Q213" s="211">
        <f>IFERROR(Production[[#This Row],[SatWt]]-Production[[#This Row],[RawWt]],"")</f>
        <v>1472.3999999999996</v>
      </c>
      <c r="R213" s="222">
        <f>IF(Production[[#This Row],[Species]]&lt;&gt;"",IF(SUM(Production[[#This Row],[BtTtl]:[BrTtl]])/Production[[#This Row],[SatWt]]&lt;&gt;0,SUM(Production[[#This Row],[BtTtl]:[BrTtl]])/Production[[#This Row],[SatWt]],""),"")</f>
        <v>0.15909090909090909</v>
      </c>
      <c r="S213" s="223" t="str">
        <f>INDEX(Ingredients[Species],MATCH(Production[[#This Row],[Product]],Ingredients[ProdName],0))</f>
        <v>Poultry</v>
      </c>
    </row>
    <row r="214" spans="1:19" ht="11.1" customHeight="1" x14ac:dyDescent="0.25">
      <c r="A214" s="207" t="str">
        <f>IFERROR(IF(Production[[#This Row],[Date]]&lt;&gt;"",TEXT(Production[[#This Row],[Date]],"yy")&amp;"-"&amp;TEXT(Production[[#This Row],[Date]]-DATE(YEAR(Production[[#This Row],[Date]]),1,0),"000"),""),"")</f>
        <v>23-122</v>
      </c>
      <c r="B214" s="209" t="str">
        <f>IFERROR(IF(INDEX(Ingredients[Ingr1],MATCH(Production[[#This Row],[Product]],Ingredients[ProdName],0))&lt;&gt;"",INDEX(Ingredients[Ingr1],MATCH(Production[[#This Row],[Product]],Ingredients[ProdName],0)),INDEX(Ingredients[Ingr2],MATCH(Production[[#This Row],[Product]],Ingredients[ProdName],0))),"")</f>
        <v>Chicken - Tenders</v>
      </c>
      <c r="C214" s="53">
        <v>45048</v>
      </c>
      <c r="D214" s="54" t="s">
        <v>21</v>
      </c>
      <c r="E214" s="55" t="s">
        <v>173</v>
      </c>
      <c r="F214" s="56">
        <v>1</v>
      </c>
      <c r="G214" s="56">
        <v>7</v>
      </c>
      <c r="H214" s="208">
        <f>IFERROR(INDEX(Tier1[Wt],MATCH(Production[[#This Row],[Type]],Tier1[Ingredient],0))*Production[[#This Row],[Blocks Used]],0)</f>
        <v>280</v>
      </c>
      <c r="I214" s="210">
        <f>IFERROR(INDEX(Ingredients[TtlWt],MATCH(Production[[#This Row],[Product]],Ingredients[ProdName],0))*Production[[#This Row],[Lots Done]],"")</f>
        <v>54</v>
      </c>
      <c r="J214" s="210">
        <f>IF(INDEX(Ingredients[Batter],MATCH(Production[[#This Row],[Product]],Ingredients[ProdName],0))*Production[[#This Row],[Batter Used]]&gt;0,INDEX(Ingredients[Batter],MATCH(Production[[#This Row],[Product]],Ingredients[ProdName],0))*Production[[#This Row],[Batter Used]],"")</f>
        <v>50</v>
      </c>
      <c r="K214" s="210">
        <f>IF(INDEX(Ingredients[Breader],MATCH(Production[[#This Row],[Product]],Ingredients[ProdName],0))*Production[[#This Row],[Breader Used]]&gt;0,INDEX(Ingredients[Breader],MATCH(Production[[#This Row],[Product]],Ingredients[ProdName],0))*Production[[#This Row],[Breader Used]],"")</f>
        <v>50</v>
      </c>
      <c r="L214" s="56">
        <v>1</v>
      </c>
      <c r="M214" s="56">
        <v>1</v>
      </c>
      <c r="N214" s="211">
        <f>IFERROR(IF(SUM(Production[[#This Row],[Meat Wt]:[BrTtl]])&lt;&gt;0,SUM(Production[[#This Row],[Meat Wt]:[BrTtl]]),""),"")</f>
        <v>434</v>
      </c>
      <c r="O214" s="55">
        <v>22</v>
      </c>
      <c r="P214" s="208">
        <f>INDEX(Ingredients[Case Wt.],MATCH(Production[[#This Row],[Product]],Ingredients[ProdName],0))*Production[[#This Row],[Case Total]]</f>
        <v>550</v>
      </c>
      <c r="Q214" s="211">
        <f>IFERROR(Production[[#This Row],[SatWt]]-Production[[#This Row],[RawWt]],"")</f>
        <v>116</v>
      </c>
      <c r="R214" s="222">
        <f>IF(Production[[#This Row],[Species]]&lt;&gt;"",IF(SUM(Production[[#This Row],[BtTtl]:[BrTtl]])/Production[[#This Row],[SatWt]]&lt;&gt;0,SUM(Production[[#This Row],[BtTtl]:[BrTtl]])/Production[[#This Row],[SatWt]],""),"")</f>
        <v>0.18181818181818182</v>
      </c>
      <c r="S214" s="223" t="str">
        <f>INDEX(Ingredients[Species],MATCH(Production[[#This Row],[Product]],Ingredients[ProdName],0))</f>
        <v>Poultry</v>
      </c>
    </row>
    <row r="215" spans="1:19" ht="11.1" customHeight="1" x14ac:dyDescent="0.25">
      <c r="A215" s="207" t="str">
        <f>IFERROR(IF(Production[[#This Row],[Date]]&lt;&gt;"",TEXT(Production[[#This Row],[Date]],"yy")&amp;"-"&amp;TEXT(Production[[#This Row],[Date]]-DATE(YEAR(Production[[#This Row],[Date]]),1,0),"000"),""),"")</f>
        <v>23-122</v>
      </c>
      <c r="B215" s="209" t="str">
        <f>IFERROR(IF(INDEX(Ingredients[Ingr1],MATCH(Production[[#This Row],[Product]],Ingredients[ProdName],0))&lt;&gt;"",INDEX(Ingredients[Ingr1],MATCH(Production[[#This Row],[Product]],Ingredients[ProdName],0)),INDEX(Ingredients[Ingr2],MATCH(Production[[#This Row],[Product]],Ingredients[ProdName],0))),"")</f>
        <v>Chicken - Tenders</v>
      </c>
      <c r="C215" s="53">
        <v>45048</v>
      </c>
      <c r="D215" s="54" t="s">
        <v>21</v>
      </c>
      <c r="E215" s="55" t="s">
        <v>173</v>
      </c>
      <c r="F215" s="56">
        <v>8</v>
      </c>
      <c r="G215" s="56">
        <v>56</v>
      </c>
      <c r="H215" s="208">
        <f>IFERROR(INDEX(Tier1[Wt],MATCH(Production[[#This Row],[Type]],Tier1[Ingredient],0))*Production[[#This Row],[Blocks Used]],0)</f>
        <v>2240</v>
      </c>
      <c r="I215" s="210">
        <f>IFERROR(INDEX(Ingredients[TtlWt],MATCH(Production[[#This Row],[Product]],Ingredients[ProdName],0))*Production[[#This Row],[Lots Done]],"")</f>
        <v>432</v>
      </c>
      <c r="J215" s="210">
        <f>IF(INDEX(Ingredients[Batter],MATCH(Production[[#This Row],[Product]],Ingredients[ProdName],0))*Production[[#This Row],[Batter Used]]&gt;0,INDEX(Ingredients[Batter],MATCH(Production[[#This Row],[Product]],Ingredients[ProdName],0))*Production[[#This Row],[Batter Used]],"")</f>
        <v>300</v>
      </c>
      <c r="K215" s="210">
        <f>IF(INDEX(Ingredients[Breader],MATCH(Production[[#This Row],[Product]],Ingredients[ProdName],0))*Production[[#This Row],[Breader Used]]&gt;0,INDEX(Ingredients[Breader],MATCH(Production[[#This Row],[Product]],Ingredients[ProdName],0))*Production[[#This Row],[Breader Used]],"")</f>
        <v>1000</v>
      </c>
      <c r="L215" s="56">
        <v>6</v>
      </c>
      <c r="M215" s="56">
        <v>20</v>
      </c>
      <c r="N215" s="211">
        <f>IFERROR(IF(SUM(Production[[#This Row],[Meat Wt]:[BrTtl]])&lt;&gt;0,SUM(Production[[#This Row],[Meat Wt]:[BrTtl]]),""),"")</f>
        <v>3972</v>
      </c>
      <c r="O215" s="55">
        <v>196</v>
      </c>
      <c r="P215" s="208">
        <f>INDEX(Ingredients[Case Wt.],MATCH(Production[[#This Row],[Product]],Ingredients[ProdName],0))*Production[[#This Row],[Case Total]]</f>
        <v>4900</v>
      </c>
      <c r="Q215" s="211">
        <f>IFERROR(Production[[#This Row],[SatWt]]-Production[[#This Row],[RawWt]],"")</f>
        <v>928</v>
      </c>
      <c r="R215" s="222">
        <f>IF(Production[[#This Row],[Species]]&lt;&gt;"",IF(SUM(Production[[#This Row],[BtTtl]:[BrTtl]])/Production[[#This Row],[SatWt]]&lt;&gt;0,SUM(Production[[#This Row],[BtTtl]:[BrTtl]])/Production[[#This Row],[SatWt]],""),"")</f>
        <v>0.26530612244897961</v>
      </c>
      <c r="S215" s="223" t="str">
        <f>INDEX(Ingredients[Species],MATCH(Production[[#This Row],[Product]],Ingredients[ProdName],0))</f>
        <v>Poultry</v>
      </c>
    </row>
    <row r="216" spans="1:19" ht="11.1" customHeight="1" x14ac:dyDescent="0.25">
      <c r="A216" s="207" t="str">
        <f>IFERROR(IF(Production[[#This Row],[Date]]&lt;&gt;"",TEXT(Production[[#This Row],[Date]],"yy")&amp;"-"&amp;TEXT(Production[[#This Row],[Date]]-DATE(YEAR(Production[[#This Row],[Date]]),1,0),"000"),""),"")</f>
        <v>23-122</v>
      </c>
      <c r="B216" s="209" t="str">
        <f>IFERROR(IF(INDEX(Ingredients[Ingr1],MATCH(Production[[#This Row],[Product]],Ingredients[ProdName],0))&lt;&gt;"",INDEX(Ingredients[Ingr1],MATCH(Production[[#This Row],[Product]],Ingredients[ProdName],0)),INDEX(Ingredients[Ingr2],MATCH(Production[[#This Row],[Product]],Ingredients[ProdName],0))),"")</f>
        <v>Chicken - Tenders</v>
      </c>
      <c r="C216" s="53">
        <v>45048</v>
      </c>
      <c r="D216" s="54" t="s">
        <v>12</v>
      </c>
      <c r="E216" s="55" t="s">
        <v>173</v>
      </c>
      <c r="F216" s="56">
        <v>2</v>
      </c>
      <c r="G216" s="56">
        <v>14</v>
      </c>
      <c r="H216" s="208">
        <f>IFERROR(INDEX(Tier1[Wt],MATCH(Production[[#This Row],[Type]],Tier1[Ingredient],0))*Production[[#This Row],[Blocks Used]],0)</f>
        <v>560</v>
      </c>
      <c r="I216" s="210">
        <f>IFERROR(INDEX(Ingredients[TtlWt],MATCH(Production[[#This Row],[Product]],Ingredients[ProdName],0))*Production[[#This Row],[Lots Done]],"")</f>
        <v>119.6</v>
      </c>
      <c r="J216" s="210">
        <f>IF(INDEX(Ingredients[Batter],MATCH(Production[[#This Row],[Product]],Ingredients[ProdName],0))*Production[[#This Row],[Batter Used]]&gt;0,INDEX(Ingredients[Batter],MATCH(Production[[#This Row],[Product]],Ingredients[ProdName],0))*Production[[#This Row],[Batter Used]],"")</f>
        <v>50</v>
      </c>
      <c r="K216" s="210">
        <f>IF(INDEX(Ingredients[Breader],MATCH(Production[[#This Row],[Product]],Ingredients[ProdName],0))*Production[[#This Row],[Breader Used]]&gt;0,INDEX(Ingredients[Breader],MATCH(Production[[#This Row],[Product]],Ingredients[ProdName],0))*Production[[#This Row],[Breader Used]],"")</f>
        <v>150</v>
      </c>
      <c r="L216" s="56">
        <v>1</v>
      </c>
      <c r="M216" s="56">
        <v>3</v>
      </c>
      <c r="N216" s="211">
        <f>IFERROR(IF(SUM(Production[[#This Row],[Meat Wt]:[BrTtl]])&lt;&gt;0,SUM(Production[[#This Row],[Meat Wt]:[BrTtl]]),""),"")</f>
        <v>879.6</v>
      </c>
      <c r="O216" s="55">
        <v>30</v>
      </c>
      <c r="P216" s="208">
        <f>INDEX(Ingredients[Case Wt.],MATCH(Production[[#This Row],[Product]],Ingredients[ProdName],0))*Production[[#This Row],[Case Total]]</f>
        <v>750</v>
      </c>
      <c r="Q216" s="211">
        <f>IFERROR(Production[[#This Row],[SatWt]]-Production[[#This Row],[RawWt]],"")</f>
        <v>-129.60000000000002</v>
      </c>
      <c r="R216" s="222">
        <f>IF(Production[[#This Row],[Species]]&lt;&gt;"",IF(SUM(Production[[#This Row],[BtTtl]:[BrTtl]])/Production[[#This Row],[SatWt]]&lt;&gt;0,SUM(Production[[#This Row],[BtTtl]:[BrTtl]])/Production[[#This Row],[SatWt]],""),"")</f>
        <v>0.26666666666666666</v>
      </c>
      <c r="S216" s="223" t="str">
        <f>INDEX(Ingredients[Species],MATCH(Production[[#This Row],[Product]],Ingredients[ProdName],0))</f>
        <v>Poultry</v>
      </c>
    </row>
    <row r="217" spans="1:19" ht="11.1" customHeight="1" x14ac:dyDescent="0.25">
      <c r="A217" s="207" t="str">
        <f>IFERROR(IF(Production[[#This Row],[Date]]&lt;&gt;"",TEXT(Production[[#This Row],[Date]],"yy")&amp;"-"&amp;TEXT(Production[[#This Row],[Date]]-DATE(YEAR(Production[[#This Row],[Date]]),1,0),"000"),""),"")</f>
        <v>23-122</v>
      </c>
      <c r="B217" s="209" t="str">
        <f>IFERROR(IF(INDEX(Ingredients[Ingr1],MATCH(Production[[#This Row],[Product]],Ingredients[ProdName],0))&lt;&gt;"",INDEX(Ingredients[Ingr1],MATCH(Production[[#This Row],[Product]],Ingredients[ProdName],0)),INDEX(Ingredients[Ingr2],MATCH(Production[[#This Row],[Product]],Ingredients[ProdName],0))),"")</f>
        <v>Chicken - Tenders</v>
      </c>
      <c r="C217" s="53">
        <v>45048</v>
      </c>
      <c r="D217" s="54" t="s">
        <v>12</v>
      </c>
      <c r="E217" s="55" t="s">
        <v>173</v>
      </c>
      <c r="F217" s="56">
        <v>1</v>
      </c>
      <c r="G217" s="56">
        <v>7</v>
      </c>
      <c r="H217" s="208">
        <f>IFERROR(INDEX(Tier1[Wt],MATCH(Production[[#This Row],[Type]],Tier1[Ingredient],0))*Production[[#This Row],[Blocks Used]],0)</f>
        <v>280</v>
      </c>
      <c r="I217" s="210">
        <f>IFERROR(INDEX(Ingredients[TtlWt],MATCH(Production[[#This Row],[Product]],Ingredients[ProdName],0))*Production[[#This Row],[Lots Done]],"")</f>
        <v>59.8</v>
      </c>
      <c r="J217" s="210">
        <f>IF(INDEX(Ingredients[Batter],MATCH(Production[[#This Row],[Product]],Ingredients[ProdName],0))*Production[[#This Row],[Batter Used]]&gt;0,INDEX(Ingredients[Batter],MATCH(Production[[#This Row],[Product]],Ingredients[ProdName],0))*Production[[#This Row],[Batter Used]],"")</f>
        <v>50</v>
      </c>
      <c r="K217" s="210">
        <f>IF(INDEX(Ingredients[Breader],MATCH(Production[[#This Row],[Product]],Ingredients[ProdName],0))*Production[[#This Row],[Breader Used]]&gt;0,INDEX(Ingredients[Breader],MATCH(Production[[#This Row],[Product]],Ingredients[ProdName],0))*Production[[#This Row],[Breader Used]],"")</f>
        <v>50</v>
      </c>
      <c r="L217" s="56">
        <v>1</v>
      </c>
      <c r="M217" s="56">
        <v>1</v>
      </c>
      <c r="N217" s="211">
        <f>IFERROR(IF(SUM(Production[[#This Row],[Meat Wt]:[BrTtl]])&lt;&gt;0,SUM(Production[[#This Row],[Meat Wt]:[BrTtl]]),""),"")</f>
        <v>439.8</v>
      </c>
      <c r="O217" s="55">
        <v>18</v>
      </c>
      <c r="P217" s="208">
        <f>INDEX(Ingredients[Case Wt.],MATCH(Production[[#This Row],[Product]],Ingredients[ProdName],0))*Production[[#This Row],[Case Total]]</f>
        <v>450</v>
      </c>
      <c r="Q217" s="211">
        <f>IFERROR(Production[[#This Row],[SatWt]]-Production[[#This Row],[RawWt]],"")</f>
        <v>10.199999999999989</v>
      </c>
      <c r="R217" s="222">
        <f>IF(Production[[#This Row],[Species]]&lt;&gt;"",IF(SUM(Production[[#This Row],[BtTtl]:[BrTtl]])/Production[[#This Row],[SatWt]]&lt;&gt;0,SUM(Production[[#This Row],[BtTtl]:[BrTtl]])/Production[[#This Row],[SatWt]],""),"")</f>
        <v>0.22222222222222221</v>
      </c>
      <c r="S217" s="223" t="str">
        <f>INDEX(Ingredients[Species],MATCH(Production[[#This Row],[Product]],Ingredients[ProdName],0))</f>
        <v>Poultry</v>
      </c>
    </row>
    <row r="218" spans="1:19" ht="11.1" customHeight="1" x14ac:dyDescent="0.25">
      <c r="A218" s="207" t="str">
        <f>IFERROR(IF(Production[[#This Row],[Date]]&lt;&gt;"",TEXT(Production[[#This Row],[Date]],"yy")&amp;"-"&amp;TEXT(Production[[#This Row],[Date]]-DATE(YEAR(Production[[#This Row],[Date]]),1,0),"000"),""),"")</f>
        <v>23-123</v>
      </c>
      <c r="B218" s="209" t="str">
        <f>IFERROR(IF(INDEX(Ingredients[Ingr1],MATCH(Production[[#This Row],[Product]],Ingredients[ProdName],0))&lt;&gt;"",INDEX(Ingredients[Ingr1],MATCH(Production[[#This Row],[Product]],Ingredients[ProdName],0)),INDEX(Ingredients[Ingr2],MATCH(Production[[#This Row],[Product]],Ingredients[ProdName],0))),"")</f>
        <v>Chicken - Tenders</v>
      </c>
      <c r="C218" s="53">
        <v>45049</v>
      </c>
      <c r="D218" s="54" t="s">
        <v>21</v>
      </c>
      <c r="E218" s="55" t="s">
        <v>173</v>
      </c>
      <c r="F218" s="56">
        <v>2</v>
      </c>
      <c r="G218" s="56">
        <v>14</v>
      </c>
      <c r="H218" s="208">
        <f>IFERROR(INDEX(Tier1[Wt],MATCH(Production[[#This Row],[Type]],Tier1[Ingredient],0))*Production[[#This Row],[Blocks Used]],0)</f>
        <v>560</v>
      </c>
      <c r="I218" s="210">
        <f>IFERROR(INDEX(Ingredients[TtlWt],MATCH(Production[[#This Row],[Product]],Ingredients[ProdName],0))*Production[[#This Row],[Lots Done]],"")</f>
        <v>108</v>
      </c>
      <c r="J218" s="210">
        <f>IF(INDEX(Ingredients[Batter],MATCH(Production[[#This Row],[Product]],Ingredients[ProdName],0))*Production[[#This Row],[Batter Used]]&gt;0,INDEX(Ingredients[Batter],MATCH(Production[[#This Row],[Product]],Ingredients[ProdName],0))*Production[[#This Row],[Batter Used]],"")</f>
        <v>50</v>
      </c>
      <c r="K218" s="210">
        <f>IF(INDEX(Ingredients[Breader],MATCH(Production[[#This Row],[Product]],Ingredients[ProdName],0))*Production[[#This Row],[Breader Used]]&gt;0,INDEX(Ingredients[Breader],MATCH(Production[[#This Row],[Product]],Ingredients[ProdName],0))*Production[[#This Row],[Breader Used]],"")</f>
        <v>100</v>
      </c>
      <c r="L218" s="56">
        <v>1</v>
      </c>
      <c r="M218" s="56">
        <v>2</v>
      </c>
      <c r="N218" s="211">
        <f>IFERROR(IF(SUM(Production[[#This Row],[Meat Wt]:[BrTtl]])&lt;&gt;0,SUM(Production[[#This Row],[Meat Wt]:[BrTtl]]),""),"")</f>
        <v>818</v>
      </c>
      <c r="O218" s="55">
        <v>55</v>
      </c>
      <c r="P218" s="208">
        <f>INDEX(Ingredients[Case Wt.],MATCH(Production[[#This Row],[Product]],Ingredients[ProdName],0))*Production[[#This Row],[Case Total]]</f>
        <v>1375</v>
      </c>
      <c r="Q218" s="211">
        <f>IFERROR(Production[[#This Row],[SatWt]]-Production[[#This Row],[RawWt]],"")</f>
        <v>557</v>
      </c>
      <c r="R218" s="222">
        <f>IF(Production[[#This Row],[Species]]&lt;&gt;"",IF(SUM(Production[[#This Row],[BtTtl]:[BrTtl]])/Production[[#This Row],[SatWt]]&lt;&gt;0,SUM(Production[[#This Row],[BtTtl]:[BrTtl]])/Production[[#This Row],[SatWt]],""),"")</f>
        <v>0.10909090909090909</v>
      </c>
      <c r="S218" s="223" t="str">
        <f>INDEX(Ingredients[Species],MATCH(Production[[#This Row],[Product]],Ingredients[ProdName],0))</f>
        <v>Poultry</v>
      </c>
    </row>
    <row r="219" spans="1:19" ht="11.1" customHeight="1" x14ac:dyDescent="0.25">
      <c r="A219" s="207" t="str">
        <f>IFERROR(IF(Production[[#This Row],[Date]]&lt;&gt;"",TEXT(Production[[#This Row],[Date]],"yy")&amp;"-"&amp;TEXT(Production[[#This Row],[Date]]-DATE(YEAR(Production[[#This Row],[Date]]),1,0),"000"),""),"")</f>
        <v>23-128</v>
      </c>
      <c r="B219" s="209" t="str">
        <f>IFERROR(IF(INDEX(Ingredients[Ingr1],MATCH(Production[[#This Row],[Product]],Ingredients[ProdName],0))&lt;&gt;"",INDEX(Ingredients[Ingr1],MATCH(Production[[#This Row],[Product]],Ingredients[ProdName],0)),INDEX(Ingredients[Ingr2],MATCH(Production[[#This Row],[Product]],Ingredients[ProdName],0))),"")</f>
        <v>Chicken - Ground</v>
      </c>
      <c r="C219" s="53">
        <v>45054</v>
      </c>
      <c r="D219" s="54" t="s">
        <v>17</v>
      </c>
      <c r="E219" s="55">
        <v>6723</v>
      </c>
      <c r="F219" s="56">
        <v>12</v>
      </c>
      <c r="G219" s="56">
        <v>72</v>
      </c>
      <c r="H219" s="208">
        <f>IFERROR(INDEX(Tier1[Wt],MATCH(Production[[#This Row],[Type]],Tier1[Ingredient],0))*Production[[#This Row],[Blocks Used]],0)</f>
        <v>3600</v>
      </c>
      <c r="I219" s="210">
        <f>IFERROR(INDEX(Ingredients[TtlWt],MATCH(Production[[#This Row],[Product]],Ingredients[ProdName],0))*Production[[#This Row],[Lots Done]],"")</f>
        <v>503.40000000000003</v>
      </c>
      <c r="J219" s="210" t="str">
        <f>IF(INDEX(Ingredients[Batter],MATCH(Production[[#This Row],[Product]],Ingredients[ProdName],0))*Production[[#This Row],[Batter Used]]&gt;0,INDEX(Ingredients[Batter],MATCH(Production[[#This Row],[Product]],Ingredients[ProdName],0))*Production[[#This Row],[Batter Used]],"")</f>
        <v/>
      </c>
      <c r="K219" s="210" t="str">
        <f>IF(INDEX(Ingredients[Breader],MATCH(Production[[#This Row],[Product]],Ingredients[ProdName],0))*Production[[#This Row],[Breader Used]]&gt;0,INDEX(Ingredients[Breader],MATCH(Production[[#This Row],[Product]],Ingredients[ProdName],0))*Production[[#This Row],[Breader Used]],"")</f>
        <v/>
      </c>
      <c r="L219" s="56"/>
      <c r="M219" s="56"/>
      <c r="N219" s="211">
        <f>IFERROR(IF(SUM(Production[[#This Row],[Meat Wt]:[BrTtl]])&lt;&gt;0,SUM(Production[[#This Row],[Meat Wt]:[BrTtl]]),""),"")</f>
        <v>4103.3999999999996</v>
      </c>
      <c r="O219" s="55">
        <v>228</v>
      </c>
      <c r="P219" s="208">
        <f>INDEX(Ingredients[Case Wt.],MATCH(Production[[#This Row],[Product]],Ingredients[ProdName],0))*Production[[#This Row],[Case Total]]</f>
        <v>5700</v>
      </c>
      <c r="Q219" s="211">
        <f>IFERROR(Production[[#This Row],[SatWt]]-Production[[#This Row],[RawWt]],"")</f>
        <v>1596.6000000000004</v>
      </c>
      <c r="R219" s="222" t="str">
        <f>IF(Production[[#This Row],[Species]]&lt;&gt;"",IF(SUM(Production[[#This Row],[BtTtl]:[BrTtl]])/Production[[#This Row],[SatWt]]&lt;&gt;0,SUM(Production[[#This Row],[BtTtl]:[BrTtl]])/Production[[#This Row],[SatWt]],""),"")</f>
        <v/>
      </c>
      <c r="S219" s="223" t="str">
        <f>INDEX(Ingredients[Species],MATCH(Production[[#This Row],[Product]],Ingredients[ProdName],0))</f>
        <v>Poultry</v>
      </c>
    </row>
    <row r="220" spans="1:19" ht="11.1" customHeight="1" x14ac:dyDescent="0.25">
      <c r="A220" s="207" t="str">
        <f>IFERROR(IF(Production[[#This Row],[Date]]&lt;&gt;"",TEXT(Production[[#This Row],[Date]],"yy")&amp;"-"&amp;TEXT(Production[[#This Row],[Date]]-DATE(YEAR(Production[[#This Row],[Date]]),1,0),"000"),""),"")</f>
        <v>23-129</v>
      </c>
      <c r="B220" s="209" t="str">
        <f>IFERROR(IF(INDEX(Ingredients[Ingr1],MATCH(Production[[#This Row],[Product]],Ingredients[ProdName],0))&lt;&gt;"",INDEX(Ingredients[Ingr1],MATCH(Production[[#This Row],[Product]],Ingredients[ProdName],0)),INDEX(Ingredients[Ingr2],MATCH(Production[[#This Row],[Product]],Ingredients[ProdName],0))),"")</f>
        <v>Chicken - Ground</v>
      </c>
      <c r="C220" s="53">
        <v>45055</v>
      </c>
      <c r="D220" s="54" t="s">
        <v>9</v>
      </c>
      <c r="E220" s="55">
        <v>6723</v>
      </c>
      <c r="F220" s="56">
        <v>11</v>
      </c>
      <c r="G220" s="56">
        <v>66</v>
      </c>
      <c r="H220" s="208">
        <f>IFERROR(INDEX(Tier1[Wt],MATCH(Production[[#This Row],[Type]],Tier1[Ingredient],0))*Production[[#This Row],[Blocks Used]],0)</f>
        <v>3300</v>
      </c>
      <c r="I220" s="210" t="str">
        <f>IFERROR(INDEX(Ingredients[TtlWt],MATCH(Production[[#This Row],[Product]],Ingredients[ProdName],0))*Production[[#This Row],[Lots Done]],"")</f>
        <v/>
      </c>
      <c r="J220" s="210" t="str">
        <f>IF(INDEX(Ingredients[Batter],MATCH(Production[[#This Row],[Product]],Ingredients[ProdName],0))*Production[[#This Row],[Batter Used]]&gt;0,INDEX(Ingredients[Batter],MATCH(Production[[#This Row],[Product]],Ingredients[ProdName],0))*Production[[#This Row],[Batter Used]],"")</f>
        <v/>
      </c>
      <c r="K220" s="210" t="str">
        <f>IF(INDEX(Ingredients[Breader],MATCH(Production[[#This Row],[Product]],Ingredients[ProdName],0))*Production[[#This Row],[Breader Used]]&gt;0,INDEX(Ingredients[Breader],MATCH(Production[[#This Row],[Product]],Ingredients[ProdName],0))*Production[[#This Row],[Breader Used]],"")</f>
        <v/>
      </c>
      <c r="L220" s="56"/>
      <c r="M220" s="56"/>
      <c r="N220" s="211">
        <f>IFERROR(IF(SUM(Production[[#This Row],[Meat Wt]:[BrTtl]])&lt;&gt;0,SUM(Production[[#This Row],[Meat Wt]:[BrTtl]]),""),"")</f>
        <v>3300</v>
      </c>
      <c r="O220" s="55">
        <v>149</v>
      </c>
      <c r="P220" s="208">
        <f>INDEX(Ingredients[Case Wt.],MATCH(Production[[#This Row],[Product]],Ingredients[ProdName],0))*Production[[#This Row],[Case Total]]</f>
        <v>4470</v>
      </c>
      <c r="Q220" s="211">
        <f>IFERROR(Production[[#This Row],[SatWt]]-Production[[#This Row],[RawWt]],"")</f>
        <v>1170</v>
      </c>
      <c r="R220" s="222" t="str">
        <f>IF(Production[[#This Row],[Species]]&lt;&gt;"",IF(SUM(Production[[#This Row],[BtTtl]:[BrTtl]])/Production[[#This Row],[SatWt]]&lt;&gt;0,SUM(Production[[#This Row],[BtTtl]:[BrTtl]])/Production[[#This Row],[SatWt]],""),"")</f>
        <v/>
      </c>
      <c r="S220" s="223" t="str">
        <f>INDEX(Ingredients[Species],MATCH(Production[[#This Row],[Product]],Ingredients[ProdName],0))</f>
        <v>Poultry</v>
      </c>
    </row>
    <row r="221" spans="1:19" ht="11.1" customHeight="1" x14ac:dyDescent="0.25">
      <c r="A221" s="207" t="str">
        <f>IFERROR(IF(Production[[#This Row],[Date]]&lt;&gt;"",TEXT(Production[[#This Row],[Date]],"yy")&amp;"-"&amp;TEXT(Production[[#This Row],[Date]]-DATE(YEAR(Production[[#This Row],[Date]]),1,0),"000"),""),"")</f>
        <v>23-129</v>
      </c>
      <c r="B221" s="209" t="str">
        <f>IFERROR(IF(INDEX(Ingredients[Ingr1],MATCH(Production[[#This Row],[Product]],Ingredients[ProdName],0))&lt;&gt;"",INDEX(Ingredients[Ingr1],MATCH(Production[[#This Row],[Product]],Ingredients[ProdName],0)),INDEX(Ingredients[Ingr2],MATCH(Production[[#This Row],[Product]],Ingredients[ProdName],0))),"")</f>
        <v>Chicken - Ground</v>
      </c>
      <c r="C221" s="53">
        <v>45055</v>
      </c>
      <c r="D221" s="54" t="s">
        <v>9</v>
      </c>
      <c r="E221" s="55">
        <v>6723</v>
      </c>
      <c r="F221" s="56">
        <v>4</v>
      </c>
      <c r="G221" s="56">
        <v>24</v>
      </c>
      <c r="H221" s="208">
        <f>IFERROR(INDEX(Tier1[Wt],MATCH(Production[[#This Row],[Type]],Tier1[Ingredient],0))*Production[[#This Row],[Blocks Used]],0)</f>
        <v>1200</v>
      </c>
      <c r="I221" s="210" t="str">
        <f>IFERROR(INDEX(Ingredients[TtlWt],MATCH(Production[[#This Row],[Product]],Ingredients[ProdName],0))*Production[[#This Row],[Lots Done]],"")</f>
        <v/>
      </c>
      <c r="J221" s="210" t="str">
        <f>IF(INDEX(Ingredients[Batter],MATCH(Production[[#This Row],[Product]],Ingredients[ProdName],0))*Production[[#This Row],[Batter Used]]&gt;0,INDEX(Ingredients[Batter],MATCH(Production[[#This Row],[Product]],Ingredients[ProdName],0))*Production[[#This Row],[Batter Used]],"")</f>
        <v/>
      </c>
      <c r="K221" s="210" t="str">
        <f>IF(INDEX(Ingredients[Breader],MATCH(Production[[#This Row],[Product]],Ingredients[ProdName],0))*Production[[#This Row],[Breader Used]]&gt;0,INDEX(Ingredients[Breader],MATCH(Production[[#This Row],[Product]],Ingredients[ProdName],0))*Production[[#This Row],[Breader Used]],"")</f>
        <v/>
      </c>
      <c r="L221" s="56"/>
      <c r="M221" s="56"/>
      <c r="N221" s="211">
        <f>IFERROR(IF(SUM(Production[[#This Row],[Meat Wt]:[BrTtl]])&lt;&gt;0,SUM(Production[[#This Row],[Meat Wt]:[BrTtl]]),""),"")</f>
        <v>1200</v>
      </c>
      <c r="O221" s="55">
        <v>49</v>
      </c>
      <c r="P221" s="208">
        <f>INDEX(Ingredients[Case Wt.],MATCH(Production[[#This Row],[Product]],Ingredients[ProdName],0))*Production[[#This Row],[Case Total]]</f>
        <v>1470</v>
      </c>
      <c r="Q221" s="211">
        <f>IFERROR(Production[[#This Row],[SatWt]]-Production[[#This Row],[RawWt]],"")</f>
        <v>270</v>
      </c>
      <c r="R221" s="222" t="str">
        <f>IF(Production[[#This Row],[Species]]&lt;&gt;"",IF(SUM(Production[[#This Row],[BtTtl]:[BrTtl]])/Production[[#This Row],[SatWt]]&lt;&gt;0,SUM(Production[[#This Row],[BtTtl]:[BrTtl]])/Production[[#This Row],[SatWt]],""),"")</f>
        <v/>
      </c>
      <c r="S221" s="223" t="str">
        <f>INDEX(Ingredients[Species],MATCH(Production[[#This Row],[Product]],Ingredients[ProdName],0))</f>
        <v>Poultry</v>
      </c>
    </row>
    <row r="222" spans="1:19" ht="11.1" customHeight="1" x14ac:dyDescent="0.25">
      <c r="A222" s="207" t="str">
        <f>IFERROR(IF(Production[[#This Row],[Date]]&lt;&gt;"",TEXT(Production[[#This Row],[Date]],"yy")&amp;"-"&amp;TEXT(Production[[#This Row],[Date]]-DATE(YEAR(Production[[#This Row],[Date]]),1,0),"000"),""),"")</f>
        <v>23-130</v>
      </c>
      <c r="B222" s="209" t="str">
        <f>IFERROR(IF(INDEX(Ingredients[Ingr1],MATCH(Production[[#This Row],[Product]],Ingredients[ProdName],0))&lt;&gt;"",INDEX(Ingredients[Ingr1],MATCH(Production[[#This Row],[Product]],Ingredients[ProdName],0)),INDEX(Ingredients[Ingr2],MATCH(Production[[#This Row],[Product]],Ingredients[ProdName],0))),"")</f>
        <v>Chicken - Ground</v>
      </c>
      <c r="C222" s="53">
        <v>45056</v>
      </c>
      <c r="D222" s="54" t="s">
        <v>23</v>
      </c>
      <c r="E222" s="55">
        <v>6723</v>
      </c>
      <c r="F222" s="56">
        <v>5</v>
      </c>
      <c r="G222" s="56">
        <v>30</v>
      </c>
      <c r="H222" s="208">
        <f>IFERROR(INDEX(Tier1[Wt],MATCH(Production[[#This Row],[Type]],Tier1[Ingredient],0))*Production[[#This Row],[Blocks Used]],0)</f>
        <v>1500</v>
      </c>
      <c r="I222" s="210">
        <f>IFERROR(INDEX(Ingredients[TtlWt],MATCH(Production[[#This Row],[Product]],Ingredients[ProdName],0))*Production[[#This Row],[Lots Done]],"")</f>
        <v>58.25</v>
      </c>
      <c r="J222" s="210" t="str">
        <f>IF(INDEX(Ingredients[Batter],MATCH(Production[[#This Row],[Product]],Ingredients[ProdName],0))*Production[[#This Row],[Batter Used]]&gt;0,INDEX(Ingredients[Batter],MATCH(Production[[#This Row],[Product]],Ingredients[ProdName],0))*Production[[#This Row],[Batter Used]],"")</f>
        <v/>
      </c>
      <c r="K222" s="210" t="str">
        <f>IF(INDEX(Ingredients[Breader],MATCH(Production[[#This Row],[Product]],Ingredients[ProdName],0))*Production[[#This Row],[Breader Used]]&gt;0,INDEX(Ingredients[Breader],MATCH(Production[[#This Row],[Product]],Ingredients[ProdName],0))*Production[[#This Row],[Breader Used]],"")</f>
        <v/>
      </c>
      <c r="L222" s="56"/>
      <c r="M222" s="56"/>
      <c r="N222" s="211">
        <f>IFERROR(IF(SUM(Production[[#This Row],[Meat Wt]:[BrTtl]])&lt;&gt;0,SUM(Production[[#This Row],[Meat Wt]:[BrTtl]]),""),"")</f>
        <v>1558.25</v>
      </c>
      <c r="O222" s="55">
        <v>87</v>
      </c>
      <c r="P222" s="208">
        <f>INDEX(Ingredients[Case Wt.],MATCH(Production[[#This Row],[Product]],Ingredients[ProdName],0))*Production[[#This Row],[Case Total]]</f>
        <v>2610</v>
      </c>
      <c r="Q222" s="211">
        <f>IFERROR(Production[[#This Row],[SatWt]]-Production[[#This Row],[RawWt]],"")</f>
        <v>1051.75</v>
      </c>
      <c r="R222" s="222" t="str">
        <f>IF(Production[[#This Row],[Species]]&lt;&gt;"",IF(SUM(Production[[#This Row],[BtTtl]:[BrTtl]])/Production[[#This Row],[SatWt]]&lt;&gt;0,SUM(Production[[#This Row],[BtTtl]:[BrTtl]])/Production[[#This Row],[SatWt]],""),"")</f>
        <v/>
      </c>
      <c r="S222" s="223" t="str">
        <f>INDEX(Ingredients[Species],MATCH(Production[[#This Row],[Product]],Ingredients[ProdName],0))</f>
        <v>Poultry</v>
      </c>
    </row>
    <row r="223" spans="1:19" ht="11.1" customHeight="1" x14ac:dyDescent="0.25">
      <c r="A223" s="207" t="str">
        <f>IFERROR(IF(Production[[#This Row],[Date]]&lt;&gt;"",TEXT(Production[[#This Row],[Date]],"yy")&amp;"-"&amp;TEXT(Production[[#This Row],[Date]]-DATE(YEAR(Production[[#This Row],[Date]]),1,0),"000"),""),"")</f>
        <v>23-130</v>
      </c>
      <c r="B223" s="209" t="str">
        <f>IFERROR(IF(INDEX(Ingredients[Ingr1],MATCH(Production[[#This Row],[Product]],Ingredients[ProdName],0))&lt;&gt;"",INDEX(Ingredients[Ingr1],MATCH(Production[[#This Row],[Product]],Ingredients[ProdName],0)),INDEX(Ingredients[Ingr2],MATCH(Production[[#This Row],[Product]],Ingredients[ProdName],0))),"")</f>
        <v>Chicken - Ground</v>
      </c>
      <c r="C223" s="53">
        <v>45056</v>
      </c>
      <c r="D223" s="54" t="s">
        <v>9</v>
      </c>
      <c r="E223" s="55">
        <v>6723</v>
      </c>
      <c r="F223" s="56">
        <v>10</v>
      </c>
      <c r="G223" s="56">
        <v>60</v>
      </c>
      <c r="H223" s="208">
        <f>IFERROR(INDEX(Tier1[Wt],MATCH(Production[[#This Row],[Type]],Tier1[Ingredient],0))*Production[[#This Row],[Blocks Used]],0)</f>
        <v>3000</v>
      </c>
      <c r="I223" s="210" t="str">
        <f>IFERROR(INDEX(Ingredients[TtlWt],MATCH(Production[[#This Row],[Product]],Ingredients[ProdName],0))*Production[[#This Row],[Lots Done]],"")</f>
        <v/>
      </c>
      <c r="J223" s="210" t="str">
        <f>IF(INDEX(Ingredients[Batter],MATCH(Production[[#This Row],[Product]],Ingredients[ProdName],0))*Production[[#This Row],[Batter Used]]&gt;0,INDEX(Ingredients[Batter],MATCH(Production[[#This Row],[Product]],Ingredients[ProdName],0))*Production[[#This Row],[Batter Used]],"")</f>
        <v/>
      </c>
      <c r="K223" s="210" t="str">
        <f>IF(INDEX(Ingredients[Breader],MATCH(Production[[#This Row],[Product]],Ingredients[ProdName],0))*Production[[#This Row],[Breader Used]]&gt;0,INDEX(Ingredients[Breader],MATCH(Production[[#This Row],[Product]],Ingredients[ProdName],0))*Production[[#This Row],[Breader Used]],"")</f>
        <v/>
      </c>
      <c r="L223" s="56"/>
      <c r="M223" s="56"/>
      <c r="N223" s="211">
        <f>IFERROR(IF(SUM(Production[[#This Row],[Meat Wt]:[BrTtl]])&lt;&gt;0,SUM(Production[[#This Row],[Meat Wt]:[BrTtl]]),""),"")</f>
        <v>3000</v>
      </c>
      <c r="O223" s="55">
        <v>136</v>
      </c>
      <c r="P223" s="208">
        <f>INDEX(Ingredients[Case Wt.],MATCH(Production[[#This Row],[Product]],Ingredients[ProdName],0))*Production[[#This Row],[Case Total]]</f>
        <v>4080</v>
      </c>
      <c r="Q223" s="211">
        <f>IFERROR(Production[[#This Row],[SatWt]]-Production[[#This Row],[RawWt]],"")</f>
        <v>1080</v>
      </c>
      <c r="R223" s="222" t="str">
        <f>IF(Production[[#This Row],[Species]]&lt;&gt;"",IF(SUM(Production[[#This Row],[BtTtl]:[BrTtl]])/Production[[#This Row],[SatWt]]&lt;&gt;0,SUM(Production[[#This Row],[BtTtl]:[BrTtl]])/Production[[#This Row],[SatWt]],""),"")</f>
        <v/>
      </c>
      <c r="S223" s="223" t="str">
        <f>INDEX(Ingredients[Species],MATCH(Production[[#This Row],[Product]],Ingredients[ProdName],0))</f>
        <v>Poultry</v>
      </c>
    </row>
    <row r="224" spans="1:19" ht="11.1" customHeight="1" x14ac:dyDescent="0.25">
      <c r="A224" s="207" t="str">
        <f>IFERROR(IF(Production[[#This Row],[Date]]&lt;&gt;"",TEXT(Production[[#This Row],[Date]],"yy")&amp;"-"&amp;TEXT(Production[[#This Row],[Date]]-DATE(YEAR(Production[[#This Row],[Date]]),1,0),"000"),""),"")</f>
        <v>23-131</v>
      </c>
      <c r="B224" s="209" t="str">
        <f>IFERROR(IF(INDEX(Ingredients[Ingr1],MATCH(Production[[#This Row],[Product]],Ingredients[ProdName],0))&lt;&gt;"",INDEX(Ingredients[Ingr1],MATCH(Production[[#This Row],[Product]],Ingredients[ProdName],0)),INDEX(Ingredients[Ingr2],MATCH(Production[[#This Row],[Product]],Ingredients[ProdName],0))),"")</f>
        <v>Chicken - Ground</v>
      </c>
      <c r="C224" s="53">
        <v>45057</v>
      </c>
      <c r="D224" s="54" t="s">
        <v>7</v>
      </c>
      <c r="E224" s="55">
        <v>6723</v>
      </c>
      <c r="F224" s="56">
        <v>12</v>
      </c>
      <c r="G224" s="56">
        <v>72</v>
      </c>
      <c r="H224" s="208">
        <f>IFERROR(INDEX(Tier1[Wt],MATCH(Production[[#This Row],[Type]],Tier1[Ingredient],0))*Production[[#This Row],[Blocks Used]],0)</f>
        <v>3600</v>
      </c>
      <c r="I224" s="210">
        <f>IFERROR(INDEX(Ingredients[TtlWt],MATCH(Production[[#This Row],[Product]],Ingredients[ProdName],0))*Production[[#This Row],[Lots Done]],"")</f>
        <v>81</v>
      </c>
      <c r="J224" s="210" t="str">
        <f>IF(INDEX(Ingredients[Batter],MATCH(Production[[#This Row],[Product]],Ingredients[ProdName],0))*Production[[#This Row],[Batter Used]]&gt;0,INDEX(Ingredients[Batter],MATCH(Production[[#This Row],[Product]],Ingredients[ProdName],0))*Production[[#This Row],[Batter Used]],"")</f>
        <v/>
      </c>
      <c r="K224" s="210" t="str">
        <f>IF(INDEX(Ingredients[Breader],MATCH(Production[[#This Row],[Product]],Ingredients[ProdName],0))*Production[[#This Row],[Breader Used]]&gt;0,INDEX(Ingredients[Breader],MATCH(Production[[#This Row],[Product]],Ingredients[ProdName],0))*Production[[#This Row],[Breader Used]],"")</f>
        <v/>
      </c>
      <c r="L224" s="56"/>
      <c r="M224" s="56"/>
      <c r="N224" s="211">
        <f>IFERROR(IF(SUM(Production[[#This Row],[Meat Wt]:[BrTtl]])&lt;&gt;0,SUM(Production[[#This Row],[Meat Wt]:[BrTtl]]),""),"")</f>
        <v>3681</v>
      </c>
      <c r="O224" s="55">
        <v>201</v>
      </c>
      <c r="P224" s="208">
        <f>INDEX(Ingredients[Case Wt.],MATCH(Production[[#This Row],[Product]],Ingredients[ProdName],0))*Production[[#This Row],[Case Total]]</f>
        <v>5025</v>
      </c>
      <c r="Q224" s="211">
        <f>IFERROR(Production[[#This Row],[SatWt]]-Production[[#This Row],[RawWt]],"")</f>
        <v>1344</v>
      </c>
      <c r="R224" s="222" t="str">
        <f>IF(Production[[#This Row],[Species]]&lt;&gt;"",IF(SUM(Production[[#This Row],[BtTtl]:[BrTtl]])/Production[[#This Row],[SatWt]]&lt;&gt;0,SUM(Production[[#This Row],[BtTtl]:[BrTtl]])/Production[[#This Row],[SatWt]],""),"")</f>
        <v/>
      </c>
      <c r="S224" s="223" t="str">
        <f>INDEX(Ingredients[Species],MATCH(Production[[#This Row],[Product]],Ingredients[ProdName],0))</f>
        <v>Poultry</v>
      </c>
    </row>
    <row r="225" spans="1:19" ht="11.1" customHeight="1" x14ac:dyDescent="0.25">
      <c r="A225" s="207" t="str">
        <f>IFERROR(IF(Production[[#This Row],[Date]]&lt;&gt;"",TEXT(Production[[#This Row],[Date]],"yy")&amp;"-"&amp;TEXT(Production[[#This Row],[Date]]-DATE(YEAR(Production[[#This Row],[Date]]),1,0),"000"),""),"")</f>
        <v>23-135</v>
      </c>
      <c r="B225" s="209" t="str">
        <f>IFERROR(IF(INDEX(Ingredients[Ingr1],MATCH(Production[[#This Row],[Product]],Ingredients[ProdName],0))&lt;&gt;"",INDEX(Ingredients[Ingr1],MATCH(Production[[#This Row],[Product]],Ingredients[ProdName],0)),INDEX(Ingredients[Ingr2],MATCH(Production[[#This Row],[Product]],Ingredients[ProdName],0))),"")</f>
        <v>Chicken - Ground</v>
      </c>
      <c r="C225" s="53">
        <v>45061</v>
      </c>
      <c r="D225" s="54" t="s">
        <v>15</v>
      </c>
      <c r="E225" s="55">
        <v>6723</v>
      </c>
      <c r="F225" s="56">
        <v>8</v>
      </c>
      <c r="G225" s="56">
        <v>48</v>
      </c>
      <c r="H225" s="208">
        <f>IFERROR(INDEX(Tier1[Wt],MATCH(Production[[#This Row],[Type]],Tier1[Ingredient],0))*Production[[#This Row],[Blocks Used]],0)</f>
        <v>2400</v>
      </c>
      <c r="I225" s="210">
        <f>IFERROR(INDEX(Ingredients[TtlWt],MATCH(Production[[#This Row],[Product]],Ingredients[ProdName],0))*Production[[#This Row],[Lots Done]],"")</f>
        <v>93.2</v>
      </c>
      <c r="J225" s="210" t="str">
        <f>IF(INDEX(Ingredients[Batter],MATCH(Production[[#This Row],[Product]],Ingredients[ProdName],0))*Production[[#This Row],[Batter Used]]&gt;0,INDEX(Ingredients[Batter],MATCH(Production[[#This Row],[Product]],Ingredients[ProdName],0))*Production[[#This Row],[Batter Used]],"")</f>
        <v/>
      </c>
      <c r="K225" s="210" t="str">
        <f>IF(INDEX(Ingredients[Breader],MATCH(Production[[#This Row],[Product]],Ingredients[ProdName],0))*Production[[#This Row],[Breader Used]]&gt;0,INDEX(Ingredients[Breader],MATCH(Production[[#This Row],[Product]],Ingredients[ProdName],0))*Production[[#This Row],[Breader Used]],"")</f>
        <v/>
      </c>
      <c r="L225" s="56"/>
      <c r="M225" s="56"/>
      <c r="N225" s="211">
        <f>IFERROR(IF(SUM(Production[[#This Row],[Meat Wt]:[BrTtl]])&lt;&gt;0,SUM(Production[[#This Row],[Meat Wt]:[BrTtl]]),""),"")</f>
        <v>2493.1999999999998</v>
      </c>
      <c r="O225" s="55">
        <v>111</v>
      </c>
      <c r="P225" s="208">
        <f>INDEX(Ingredients[Case Wt.],MATCH(Production[[#This Row],[Product]],Ingredients[ProdName],0))*Production[[#This Row],[Case Total]]</f>
        <v>3330</v>
      </c>
      <c r="Q225" s="211">
        <f>IFERROR(Production[[#This Row],[SatWt]]-Production[[#This Row],[RawWt]],"")</f>
        <v>836.80000000000018</v>
      </c>
      <c r="R225" s="222" t="str">
        <f>IF(Production[[#This Row],[Species]]&lt;&gt;"",IF(SUM(Production[[#This Row],[BtTtl]:[BrTtl]])/Production[[#This Row],[SatWt]]&lt;&gt;0,SUM(Production[[#This Row],[BtTtl]:[BrTtl]])/Production[[#This Row],[SatWt]],""),"")</f>
        <v/>
      </c>
      <c r="S225" s="223" t="str">
        <f>INDEX(Ingredients[Species],MATCH(Production[[#This Row],[Product]],Ingredients[ProdName],0))</f>
        <v>Poultry</v>
      </c>
    </row>
    <row r="226" spans="1:19" ht="11.1" customHeight="1" x14ac:dyDescent="0.25">
      <c r="A226" s="207" t="str">
        <f>IFERROR(IF(Production[[#This Row],[Date]]&lt;&gt;"",TEXT(Production[[#This Row],[Date]],"yy")&amp;"-"&amp;TEXT(Production[[#This Row],[Date]]-DATE(YEAR(Production[[#This Row],[Date]]),1,0),"000"),""),"")</f>
        <v>23-136</v>
      </c>
      <c r="B226" s="209" t="str">
        <f>IFERROR(IF(INDEX(Ingredients[Ingr1],MATCH(Production[[#This Row],[Product]],Ingredients[ProdName],0))&lt;&gt;"",INDEX(Ingredients[Ingr1],MATCH(Production[[#This Row],[Product]],Ingredients[ProdName],0)),INDEX(Ingredients[Ingr2],MATCH(Production[[#This Row],[Product]],Ingredients[ProdName],0))),"")</f>
        <v>Chicken - Ground</v>
      </c>
      <c r="C226" s="53">
        <v>45062</v>
      </c>
      <c r="D226" s="54" t="s">
        <v>15</v>
      </c>
      <c r="E226" s="55">
        <v>918</v>
      </c>
      <c r="F226" s="56">
        <v>10</v>
      </c>
      <c r="G226" s="56">
        <v>60</v>
      </c>
      <c r="H226" s="208">
        <f>IFERROR(INDEX(Tier1[Wt],MATCH(Production[[#This Row],[Type]],Tier1[Ingredient],0))*Production[[#This Row],[Blocks Used]],0)</f>
        <v>3000</v>
      </c>
      <c r="I226" s="210">
        <f>IFERROR(INDEX(Ingredients[TtlWt],MATCH(Production[[#This Row],[Product]],Ingredients[ProdName],0))*Production[[#This Row],[Lots Done]],"")</f>
        <v>116.5</v>
      </c>
      <c r="J226" s="210" t="str">
        <f>IF(INDEX(Ingredients[Batter],MATCH(Production[[#This Row],[Product]],Ingredients[ProdName],0))*Production[[#This Row],[Batter Used]]&gt;0,INDEX(Ingredients[Batter],MATCH(Production[[#This Row],[Product]],Ingredients[ProdName],0))*Production[[#This Row],[Batter Used]],"")</f>
        <v/>
      </c>
      <c r="K226" s="210" t="str">
        <f>IF(INDEX(Ingredients[Breader],MATCH(Production[[#This Row],[Product]],Ingredients[ProdName],0))*Production[[#This Row],[Breader Used]]&gt;0,INDEX(Ingredients[Breader],MATCH(Production[[#This Row],[Product]],Ingredients[ProdName],0))*Production[[#This Row],[Breader Used]],"")</f>
        <v/>
      </c>
      <c r="L226" s="56"/>
      <c r="M226" s="56"/>
      <c r="N226" s="211">
        <f>IFERROR(IF(SUM(Production[[#This Row],[Meat Wt]:[BrTtl]])&lt;&gt;0,SUM(Production[[#This Row],[Meat Wt]:[BrTtl]]),""),"")</f>
        <v>3116.5</v>
      </c>
      <c r="O226" s="55">
        <v>139</v>
      </c>
      <c r="P226" s="208">
        <f>INDEX(Ingredients[Case Wt.],MATCH(Production[[#This Row],[Product]],Ingredients[ProdName],0))*Production[[#This Row],[Case Total]]</f>
        <v>4170</v>
      </c>
      <c r="Q226" s="211">
        <f>IFERROR(Production[[#This Row],[SatWt]]-Production[[#This Row],[RawWt]],"")</f>
        <v>1053.5</v>
      </c>
      <c r="R226" s="222" t="str">
        <f>IF(Production[[#This Row],[Species]]&lt;&gt;"",IF(SUM(Production[[#This Row],[BtTtl]:[BrTtl]])/Production[[#This Row],[SatWt]]&lt;&gt;0,SUM(Production[[#This Row],[BtTtl]:[BrTtl]])/Production[[#This Row],[SatWt]],""),"")</f>
        <v/>
      </c>
      <c r="S226" s="223" t="str">
        <f>INDEX(Ingredients[Species],MATCH(Production[[#This Row],[Product]],Ingredients[ProdName],0))</f>
        <v>Poultry</v>
      </c>
    </row>
    <row r="227" spans="1:19" ht="11.1" customHeight="1" x14ac:dyDescent="0.25">
      <c r="A227" s="207" t="str">
        <f>IFERROR(IF(Production[[#This Row],[Date]]&lt;&gt;"",TEXT(Production[[#This Row],[Date]],"yy")&amp;"-"&amp;TEXT(Production[[#This Row],[Date]]-DATE(YEAR(Production[[#This Row],[Date]]),1,0),"000"),""),"")</f>
        <v>23-137</v>
      </c>
      <c r="B227" s="209" t="str">
        <f>IFERROR(IF(INDEX(Ingredients[Ingr1],MATCH(Production[[#This Row],[Product]],Ingredients[ProdName],0))&lt;&gt;"",INDEX(Ingredients[Ingr1],MATCH(Production[[#This Row],[Product]],Ingredients[ProdName],0)),INDEX(Ingredients[Ingr2],MATCH(Production[[#This Row],[Product]],Ingredients[ProdName],0))),"")</f>
        <v>Chicken - Ground</v>
      </c>
      <c r="C227" s="53">
        <v>45063</v>
      </c>
      <c r="D227" s="54" t="s">
        <v>13</v>
      </c>
      <c r="E227" s="55">
        <v>918</v>
      </c>
      <c r="F227" s="56">
        <v>12</v>
      </c>
      <c r="G227" s="56">
        <v>72</v>
      </c>
      <c r="H227" s="208">
        <f>IFERROR(INDEX(Tier1[Wt],MATCH(Production[[#This Row],[Type]],Tier1[Ingredient],0))*Production[[#This Row],[Blocks Used]],0)</f>
        <v>3600</v>
      </c>
      <c r="I227" s="210">
        <f>IFERROR(INDEX(Ingredients[TtlWt],MATCH(Production[[#This Row],[Product]],Ingredients[ProdName],0))*Production[[#This Row],[Lots Done]],"")</f>
        <v>570</v>
      </c>
      <c r="J227" s="210" t="str">
        <f>IF(INDEX(Ingredients[Batter],MATCH(Production[[#This Row],[Product]],Ingredients[ProdName],0))*Production[[#This Row],[Batter Used]]&gt;0,INDEX(Ingredients[Batter],MATCH(Production[[#This Row],[Product]],Ingredients[ProdName],0))*Production[[#This Row],[Batter Used]],"")</f>
        <v/>
      </c>
      <c r="K227" s="210" t="str">
        <f>IF(INDEX(Ingredients[Breader],MATCH(Production[[#This Row],[Product]],Ingredients[ProdName],0))*Production[[#This Row],[Breader Used]]&gt;0,INDEX(Ingredients[Breader],MATCH(Production[[#This Row],[Product]],Ingredients[ProdName],0))*Production[[#This Row],[Breader Used]],"")</f>
        <v/>
      </c>
      <c r="L227" s="56"/>
      <c r="M227" s="56"/>
      <c r="N227" s="211">
        <f>IFERROR(IF(SUM(Production[[#This Row],[Meat Wt]:[BrTtl]])&lt;&gt;0,SUM(Production[[#This Row],[Meat Wt]:[BrTtl]]),""),"")</f>
        <v>4170</v>
      </c>
      <c r="O227" s="55">
        <v>182</v>
      </c>
      <c r="P227" s="208">
        <f>INDEX(Ingredients[Case Wt.],MATCH(Production[[#This Row],[Product]],Ingredients[ProdName],0))*Production[[#This Row],[Case Total]]</f>
        <v>5460</v>
      </c>
      <c r="Q227" s="211">
        <f>IFERROR(Production[[#This Row],[SatWt]]-Production[[#This Row],[RawWt]],"")</f>
        <v>1290</v>
      </c>
      <c r="R227" s="222" t="str">
        <f>IF(Production[[#This Row],[Species]]&lt;&gt;"",IF(SUM(Production[[#This Row],[BtTtl]:[BrTtl]])/Production[[#This Row],[SatWt]]&lt;&gt;0,SUM(Production[[#This Row],[BtTtl]:[BrTtl]])/Production[[#This Row],[SatWt]],""),"")</f>
        <v/>
      </c>
      <c r="S227" s="223" t="str">
        <f>INDEX(Ingredients[Species],MATCH(Production[[#This Row],[Product]],Ingredients[ProdName],0))</f>
        <v>Poultry</v>
      </c>
    </row>
    <row r="228" spans="1:19" ht="11.1" customHeight="1" x14ac:dyDescent="0.25">
      <c r="A228" s="207" t="str">
        <f>IFERROR(IF(Production[[#This Row],[Date]]&lt;&gt;"",TEXT(Production[[#This Row],[Date]],"yy")&amp;"-"&amp;TEXT(Production[[#This Row],[Date]]-DATE(YEAR(Production[[#This Row],[Date]]),1,0),"000"),""),"")</f>
        <v>23-138</v>
      </c>
      <c r="B228" s="209" t="str">
        <f>IFERROR(IF(INDEX(Ingredients[Ingr1],MATCH(Production[[#This Row],[Product]],Ingredients[ProdName],0))&lt;&gt;"",INDEX(Ingredients[Ingr1],MATCH(Production[[#This Row],[Product]],Ingredients[ProdName],0)),INDEX(Ingredients[Ingr2],MATCH(Production[[#This Row],[Product]],Ingredients[ProdName],0))),"")</f>
        <v>Chicken - Ground</v>
      </c>
      <c r="C228" s="53">
        <v>45064</v>
      </c>
      <c r="D228" s="54" t="s">
        <v>8</v>
      </c>
      <c r="E228" s="55">
        <v>918</v>
      </c>
      <c r="F228" s="56">
        <v>12</v>
      </c>
      <c r="G228" s="56">
        <v>72</v>
      </c>
      <c r="H228" s="208">
        <f>IFERROR(INDEX(Tier1[Wt],MATCH(Production[[#This Row],[Type]],Tier1[Ingredient],0))*Production[[#This Row],[Blocks Used]],0)</f>
        <v>3600</v>
      </c>
      <c r="I228" s="210">
        <f>IFERROR(INDEX(Ingredients[TtlWt],MATCH(Production[[#This Row],[Product]],Ingredients[ProdName],0))*Production[[#This Row],[Lots Done]],"")</f>
        <v>782.40000000000009</v>
      </c>
      <c r="J228" s="210" t="str">
        <f>IF(INDEX(Ingredients[Batter],MATCH(Production[[#This Row],[Product]],Ingredients[ProdName],0))*Production[[#This Row],[Batter Used]]&gt;0,INDEX(Ingredients[Batter],MATCH(Production[[#This Row],[Product]],Ingredients[ProdName],0))*Production[[#This Row],[Batter Used]],"")</f>
        <v/>
      </c>
      <c r="K228" s="210" t="str">
        <f>IF(INDEX(Ingredients[Breader],MATCH(Production[[#This Row],[Product]],Ingredients[ProdName],0))*Production[[#This Row],[Breader Used]]&gt;0,INDEX(Ingredients[Breader],MATCH(Production[[#This Row],[Product]],Ingredients[ProdName],0))*Production[[#This Row],[Breader Used]],"")</f>
        <v/>
      </c>
      <c r="L228" s="56"/>
      <c r="M228" s="56"/>
      <c r="N228" s="211">
        <f>IFERROR(IF(SUM(Production[[#This Row],[Meat Wt]:[BrTtl]])&lt;&gt;0,SUM(Production[[#This Row],[Meat Wt]:[BrTtl]]),""),"")</f>
        <v>4382.3999999999996</v>
      </c>
      <c r="O228" s="55">
        <v>230</v>
      </c>
      <c r="P228" s="208">
        <f>INDEX(Ingredients[Case Wt.],MATCH(Production[[#This Row],[Product]],Ingredients[ProdName],0))*Production[[#This Row],[Case Total]]</f>
        <v>5750</v>
      </c>
      <c r="Q228" s="211">
        <f>IFERROR(Production[[#This Row],[SatWt]]-Production[[#This Row],[RawWt]],"")</f>
        <v>1367.6000000000004</v>
      </c>
      <c r="R228" s="222" t="str">
        <f>IF(Production[[#This Row],[Species]]&lt;&gt;"",IF(SUM(Production[[#This Row],[BtTtl]:[BrTtl]])/Production[[#This Row],[SatWt]]&lt;&gt;0,SUM(Production[[#This Row],[BtTtl]:[BrTtl]])/Production[[#This Row],[SatWt]],""),"")</f>
        <v/>
      </c>
      <c r="S228" s="223" t="str">
        <f>INDEX(Ingredients[Species],MATCH(Production[[#This Row],[Product]],Ingredients[ProdName],0))</f>
        <v>Poultry</v>
      </c>
    </row>
    <row r="229" spans="1:19" ht="11.1" customHeight="1" x14ac:dyDescent="0.25">
      <c r="A229" s="207" t="str">
        <f>IFERROR(IF(Production[[#This Row],[Date]]&lt;&gt;"",TEXT(Production[[#This Row],[Date]],"yy")&amp;"-"&amp;TEXT(Production[[#This Row],[Date]]-DATE(YEAR(Production[[#This Row],[Date]]),1,0),"000"),""),"")</f>
        <v>23-143</v>
      </c>
      <c r="B229" s="209" t="str">
        <f>IFERROR(IF(INDEX(Ingredients[Ingr1],MATCH(Production[[#This Row],[Product]],Ingredients[ProdName],0))&lt;&gt;"",INDEX(Ingredients[Ingr1],MATCH(Production[[#This Row],[Product]],Ingredients[ProdName],0)),INDEX(Ingredients[Ingr2],MATCH(Production[[#This Row],[Product]],Ingredients[ProdName],0))),"")</f>
        <v>Chicken - Ground</v>
      </c>
      <c r="C229" s="53">
        <v>45069</v>
      </c>
      <c r="D229" s="54" t="s">
        <v>19</v>
      </c>
      <c r="E229" s="55">
        <v>918</v>
      </c>
      <c r="F229" s="56">
        <v>2</v>
      </c>
      <c r="G229" s="56">
        <v>12</v>
      </c>
      <c r="H229" s="208">
        <f>IFERROR(INDEX(Tier1[Wt],MATCH(Production[[#This Row],[Type]],Tier1[Ingredient],0))*Production[[#This Row],[Blocks Used]],0)</f>
        <v>600</v>
      </c>
      <c r="I229" s="210">
        <f>IFERROR(INDEX(Ingredients[TtlWt],MATCH(Production[[#This Row],[Product]],Ingredients[ProdName],0))*Production[[#This Row],[Lots Done]],"")</f>
        <v>23.3</v>
      </c>
      <c r="J229" s="210" t="str">
        <f>IF(INDEX(Ingredients[Batter],MATCH(Production[[#This Row],[Product]],Ingredients[ProdName],0))*Production[[#This Row],[Batter Used]]&gt;0,INDEX(Ingredients[Batter],MATCH(Production[[#This Row],[Product]],Ingredients[ProdName],0))*Production[[#This Row],[Batter Used]],"")</f>
        <v/>
      </c>
      <c r="K229" s="210" t="str">
        <f>IF(INDEX(Ingredients[Breader],MATCH(Production[[#This Row],[Product]],Ingredients[ProdName],0))*Production[[#This Row],[Breader Used]]&gt;0,INDEX(Ingredients[Breader],MATCH(Production[[#This Row],[Product]],Ingredients[ProdName],0))*Production[[#This Row],[Breader Used]],"")</f>
        <v/>
      </c>
      <c r="L229" s="56"/>
      <c r="M229" s="56"/>
      <c r="N229" s="211">
        <f>IFERROR(IF(SUM(Production[[#This Row],[Meat Wt]:[BrTtl]])&lt;&gt;0,SUM(Production[[#This Row],[Meat Wt]:[BrTtl]]),""),"")</f>
        <v>623.29999999999995</v>
      </c>
      <c r="O229" s="55">
        <v>29</v>
      </c>
      <c r="P229" s="208">
        <f>INDEX(Ingredients[Case Wt.],MATCH(Production[[#This Row],[Product]],Ingredients[ProdName],0))*Production[[#This Row],[Case Total]]</f>
        <v>725</v>
      </c>
      <c r="Q229" s="211">
        <f>IFERROR(Production[[#This Row],[SatWt]]-Production[[#This Row],[RawWt]],"")</f>
        <v>101.70000000000005</v>
      </c>
      <c r="R229" s="222" t="str">
        <f>IF(Production[[#This Row],[Species]]&lt;&gt;"",IF(SUM(Production[[#This Row],[BtTtl]:[BrTtl]])/Production[[#This Row],[SatWt]]&lt;&gt;0,SUM(Production[[#This Row],[BtTtl]:[BrTtl]])/Production[[#This Row],[SatWt]],""),"")</f>
        <v/>
      </c>
      <c r="S229" s="223" t="str">
        <f>INDEX(Ingredients[Species],MATCH(Production[[#This Row],[Product]],Ingredients[ProdName],0))</f>
        <v>Poultry</v>
      </c>
    </row>
    <row r="230" spans="1:19" ht="11.1" customHeight="1" x14ac:dyDescent="0.25">
      <c r="A230" s="207" t="str">
        <f>IFERROR(IF(Production[[#This Row],[Date]]&lt;&gt;"",TEXT(Production[[#This Row],[Date]],"yy")&amp;"-"&amp;TEXT(Production[[#This Row],[Date]]-DATE(YEAR(Production[[#This Row],[Date]]),1,0),"000"),""),"")</f>
        <v>23-143</v>
      </c>
      <c r="B230" s="209" t="str">
        <f>IFERROR(IF(INDEX(Ingredients[Ingr1],MATCH(Production[[#This Row],[Product]],Ingredients[ProdName],0))&lt;&gt;"",INDEX(Ingredients[Ingr1],MATCH(Production[[#This Row],[Product]],Ingredients[ProdName],0)),INDEX(Ingredients[Ingr2],MATCH(Production[[#This Row],[Product]],Ingredients[ProdName],0))),"")</f>
        <v>Chicken - Ground</v>
      </c>
      <c r="C230" s="53">
        <v>45069</v>
      </c>
      <c r="D230" s="54" t="s">
        <v>20</v>
      </c>
      <c r="E230" s="55">
        <v>918</v>
      </c>
      <c r="F230" s="56">
        <v>10</v>
      </c>
      <c r="G230" s="56">
        <v>60</v>
      </c>
      <c r="H230" s="208">
        <f>IFERROR(INDEX(Tier1[Wt],MATCH(Production[[#This Row],[Type]],Tier1[Ingredient],0))*Production[[#This Row],[Blocks Used]],0)</f>
        <v>3000</v>
      </c>
      <c r="I230" s="210">
        <f>IFERROR(INDEX(Ingredients[TtlWt],MATCH(Production[[#This Row],[Product]],Ingredients[ProdName],0))*Production[[#This Row],[Lots Done]],"")</f>
        <v>204</v>
      </c>
      <c r="J230" s="210" t="str">
        <f>IF(INDEX(Ingredients[Batter],MATCH(Production[[#This Row],[Product]],Ingredients[ProdName],0))*Production[[#This Row],[Batter Used]]&gt;0,INDEX(Ingredients[Batter],MATCH(Production[[#This Row],[Product]],Ingredients[ProdName],0))*Production[[#This Row],[Batter Used]],"")</f>
        <v/>
      </c>
      <c r="K230" s="210" t="str">
        <f>IF(INDEX(Ingredients[Breader],MATCH(Production[[#This Row],[Product]],Ingredients[ProdName],0))*Production[[#This Row],[Breader Used]]&gt;0,INDEX(Ingredients[Breader],MATCH(Production[[#This Row],[Product]],Ingredients[ProdName],0))*Production[[#This Row],[Breader Used]],"")</f>
        <v/>
      </c>
      <c r="L230" s="56"/>
      <c r="M230" s="56"/>
      <c r="N230" s="211">
        <f>IFERROR(IF(SUM(Production[[#This Row],[Meat Wt]:[BrTtl]])&lt;&gt;0,SUM(Production[[#This Row],[Meat Wt]:[BrTtl]]),""),"")</f>
        <v>3204</v>
      </c>
      <c r="O230" s="55">
        <v>186</v>
      </c>
      <c r="P230" s="208">
        <f>INDEX(Ingredients[Case Wt.],MATCH(Production[[#This Row],[Product]],Ingredients[ProdName],0))*Production[[#This Row],[Case Total]]</f>
        <v>4650</v>
      </c>
      <c r="Q230" s="211">
        <f>IFERROR(Production[[#This Row],[SatWt]]-Production[[#This Row],[RawWt]],"")</f>
        <v>1446</v>
      </c>
      <c r="R230" s="222" t="str">
        <f>IF(Production[[#This Row],[Species]]&lt;&gt;"",IF(SUM(Production[[#This Row],[BtTtl]:[BrTtl]])/Production[[#This Row],[SatWt]]&lt;&gt;0,SUM(Production[[#This Row],[BtTtl]:[BrTtl]])/Production[[#This Row],[SatWt]],""),"")</f>
        <v/>
      </c>
      <c r="S230" s="223" t="str">
        <f>INDEX(Ingredients[Species],MATCH(Production[[#This Row],[Product]],Ingredients[ProdName],0))</f>
        <v>Poultry</v>
      </c>
    </row>
    <row r="231" spans="1:19" ht="11.1" customHeight="1" x14ac:dyDescent="0.25">
      <c r="A231" s="207" t="str">
        <f>IFERROR(IF(Production[[#This Row],[Date]]&lt;&gt;"",TEXT(Production[[#This Row],[Date]],"yy")&amp;"-"&amp;TEXT(Production[[#This Row],[Date]]-DATE(YEAR(Production[[#This Row],[Date]]),1,0),"000"),""),"")</f>
        <v>23-144</v>
      </c>
      <c r="B231" s="209" t="str">
        <f>IFERROR(IF(INDEX(Ingredients[Ingr1],MATCH(Production[[#This Row],[Product]],Ingredients[ProdName],0))&lt;&gt;"",INDEX(Ingredients[Ingr1],MATCH(Production[[#This Row],[Product]],Ingredients[ProdName],0)),INDEX(Ingredients[Ingr2],MATCH(Production[[#This Row],[Product]],Ingredients[ProdName],0))),"")</f>
        <v>Chicken - Tenders</v>
      </c>
      <c r="C231" s="53">
        <v>45070</v>
      </c>
      <c r="D231" s="54" t="s">
        <v>14</v>
      </c>
      <c r="E231" s="55" t="s">
        <v>174</v>
      </c>
      <c r="F231" s="56">
        <v>8</v>
      </c>
      <c r="G231" s="56">
        <v>56</v>
      </c>
      <c r="H231" s="208">
        <f>IFERROR(INDEX(Tier1[Wt],MATCH(Production[[#This Row],[Type]],Tier1[Ingredient],0))*Production[[#This Row],[Blocks Used]],0)</f>
        <v>2240</v>
      </c>
      <c r="I231" s="210">
        <f>IFERROR(INDEX(Ingredients[TtlWt],MATCH(Production[[#This Row],[Product]],Ingredients[ProdName],0))*Production[[#This Row],[Lots Done]],"")</f>
        <v>497.2</v>
      </c>
      <c r="J231" s="210" t="str">
        <f>IF(INDEX(Ingredients[Batter],MATCH(Production[[#This Row],[Product]],Ingredients[ProdName],0))*Production[[#This Row],[Batter Used]]&gt;0,INDEX(Ingredients[Batter],MATCH(Production[[#This Row],[Product]],Ingredients[ProdName],0))*Production[[#This Row],[Batter Used]],"")</f>
        <v/>
      </c>
      <c r="K231" s="210" t="str">
        <f>IF(INDEX(Ingredients[Breader],MATCH(Production[[#This Row],[Product]],Ingredients[ProdName],0))*Production[[#This Row],[Breader Used]]&gt;0,INDEX(Ingredients[Breader],MATCH(Production[[#This Row],[Product]],Ingredients[ProdName],0))*Production[[#This Row],[Breader Used]],"")</f>
        <v/>
      </c>
      <c r="L231" s="56"/>
      <c r="M231" s="56"/>
      <c r="N231" s="211">
        <f>IFERROR(IF(SUM(Production[[#This Row],[Meat Wt]:[BrTtl]])&lt;&gt;0,SUM(Production[[#This Row],[Meat Wt]:[BrTtl]]),""),"")</f>
        <v>2737.2</v>
      </c>
      <c r="O231" s="55">
        <v>147</v>
      </c>
      <c r="P231" s="208">
        <f>INDEX(Ingredients[Case Wt.],MATCH(Production[[#This Row],[Product]],Ingredients[ProdName],0))*Production[[#This Row],[Case Total]]</f>
        <v>3675</v>
      </c>
      <c r="Q231" s="211">
        <f>IFERROR(Production[[#This Row],[SatWt]]-Production[[#This Row],[RawWt]],"")</f>
        <v>937.80000000000018</v>
      </c>
      <c r="R231" s="222" t="str">
        <f>IF(Production[[#This Row],[Species]]&lt;&gt;"",IF(SUM(Production[[#This Row],[BtTtl]:[BrTtl]])/Production[[#This Row],[SatWt]]&lt;&gt;0,SUM(Production[[#This Row],[BtTtl]:[BrTtl]])/Production[[#This Row],[SatWt]],""),"")</f>
        <v/>
      </c>
      <c r="S231" s="223" t="str">
        <f>INDEX(Ingredients[Species],MATCH(Production[[#This Row],[Product]],Ingredients[ProdName],0))</f>
        <v>Poultry</v>
      </c>
    </row>
    <row r="232" spans="1:19" ht="11.1" customHeight="1" x14ac:dyDescent="0.25">
      <c r="A232" s="207" t="str">
        <f>IFERROR(IF(Production[[#This Row],[Date]]&lt;&gt;"",TEXT(Production[[#This Row],[Date]],"yy")&amp;"-"&amp;TEXT(Production[[#This Row],[Date]]-DATE(YEAR(Production[[#This Row],[Date]]),1,0),"000"),""),"")</f>
        <v>23-144</v>
      </c>
      <c r="B232" s="209" t="str">
        <f>IFERROR(IF(INDEX(Ingredients[Ingr1],MATCH(Production[[#This Row],[Product]],Ingredients[ProdName],0))&lt;&gt;"",INDEX(Ingredients[Ingr1],MATCH(Production[[#This Row],[Product]],Ingredients[ProdName],0)),INDEX(Ingredients[Ingr2],MATCH(Production[[#This Row],[Product]],Ingredients[ProdName],0))),"")</f>
        <v>Chicken - Tenders</v>
      </c>
      <c r="C232" s="53">
        <v>45070</v>
      </c>
      <c r="D232" s="54" t="s">
        <v>14</v>
      </c>
      <c r="E232" s="55" t="s">
        <v>174</v>
      </c>
      <c r="F232" s="56">
        <v>1</v>
      </c>
      <c r="G232" s="56">
        <v>7</v>
      </c>
      <c r="H232" s="208">
        <f>IFERROR(INDEX(Tier1[Wt],MATCH(Production[[#This Row],[Type]],Tier1[Ingredient],0))*Production[[#This Row],[Blocks Used]],0)</f>
        <v>280</v>
      </c>
      <c r="I232" s="210">
        <f>IFERROR(INDEX(Ingredients[TtlWt],MATCH(Production[[#This Row],[Product]],Ingredients[ProdName],0))*Production[[#This Row],[Lots Done]],"")</f>
        <v>62.15</v>
      </c>
      <c r="J232" s="210" t="str">
        <f>IF(INDEX(Ingredients[Batter],MATCH(Production[[#This Row],[Product]],Ingredients[ProdName],0))*Production[[#This Row],[Batter Used]]&gt;0,INDEX(Ingredients[Batter],MATCH(Production[[#This Row],[Product]],Ingredients[ProdName],0))*Production[[#This Row],[Batter Used]],"")</f>
        <v/>
      </c>
      <c r="K232" s="210" t="str">
        <f>IF(INDEX(Ingredients[Breader],MATCH(Production[[#This Row],[Product]],Ingredients[ProdName],0))*Production[[#This Row],[Breader Used]]&gt;0,INDEX(Ingredients[Breader],MATCH(Production[[#This Row],[Product]],Ingredients[ProdName],0))*Production[[#This Row],[Breader Used]],"")</f>
        <v/>
      </c>
      <c r="L232" s="56"/>
      <c r="M232" s="56"/>
      <c r="N232" s="211">
        <f>IFERROR(IF(SUM(Production[[#This Row],[Meat Wt]:[BrTtl]])&lt;&gt;0,SUM(Production[[#This Row],[Meat Wt]:[BrTtl]]),""),"")</f>
        <v>342.15</v>
      </c>
      <c r="O232" s="55">
        <v>13</v>
      </c>
      <c r="P232" s="208">
        <f>INDEX(Ingredients[Case Wt.],MATCH(Production[[#This Row],[Product]],Ingredients[ProdName],0))*Production[[#This Row],[Case Total]]</f>
        <v>325</v>
      </c>
      <c r="Q232" s="211">
        <f>IFERROR(Production[[#This Row],[SatWt]]-Production[[#This Row],[RawWt]],"")</f>
        <v>-17.149999999999977</v>
      </c>
      <c r="R232" s="222" t="str">
        <f>IF(Production[[#This Row],[Species]]&lt;&gt;"",IF(SUM(Production[[#This Row],[BtTtl]:[BrTtl]])/Production[[#This Row],[SatWt]]&lt;&gt;0,SUM(Production[[#This Row],[BtTtl]:[BrTtl]])/Production[[#This Row],[SatWt]],""),"")</f>
        <v/>
      </c>
      <c r="S232" s="223" t="str">
        <f>INDEX(Ingredients[Species],MATCH(Production[[#This Row],[Product]],Ingredients[ProdName],0))</f>
        <v>Poultry</v>
      </c>
    </row>
    <row r="233" spans="1:19" ht="11.1" customHeight="1" x14ac:dyDescent="0.25">
      <c r="A233" s="207" t="str">
        <f>IFERROR(IF(Production[[#This Row],[Date]]&lt;&gt;"",TEXT(Production[[#This Row],[Date]],"yy")&amp;"-"&amp;TEXT(Production[[#This Row],[Date]]-DATE(YEAR(Production[[#This Row],[Date]]),1,0),"000"),""),"")</f>
        <v>23-145</v>
      </c>
      <c r="B233" s="209" t="str">
        <f>IFERROR(IF(INDEX(Ingredients[Ingr1],MATCH(Production[[#This Row],[Product]],Ingredients[ProdName],0))&lt;&gt;"",INDEX(Ingredients[Ingr1],MATCH(Production[[#This Row],[Product]],Ingredients[ProdName],0)),INDEX(Ingredients[Ingr2],MATCH(Production[[#This Row],[Product]],Ingredients[ProdName],0))),"")</f>
        <v>Chicken - Ground</v>
      </c>
      <c r="C233" s="53">
        <v>45071</v>
      </c>
      <c r="D233" s="54" t="s">
        <v>7</v>
      </c>
      <c r="E233" s="55">
        <v>918</v>
      </c>
      <c r="F233" s="56">
        <v>3</v>
      </c>
      <c r="G233" s="56">
        <v>18</v>
      </c>
      <c r="H233" s="208">
        <f>IFERROR(INDEX(Tier1[Wt],MATCH(Production[[#This Row],[Type]],Tier1[Ingredient],0))*Production[[#This Row],[Blocks Used]],0)</f>
        <v>900</v>
      </c>
      <c r="I233" s="210">
        <f>IFERROR(INDEX(Ingredients[TtlWt],MATCH(Production[[#This Row],[Product]],Ingredients[ProdName],0))*Production[[#This Row],[Lots Done]],"")</f>
        <v>20.25</v>
      </c>
      <c r="J233" s="210" t="str">
        <f>IF(INDEX(Ingredients[Batter],MATCH(Production[[#This Row],[Product]],Ingredients[ProdName],0))*Production[[#This Row],[Batter Used]]&gt;0,INDEX(Ingredients[Batter],MATCH(Production[[#This Row],[Product]],Ingredients[ProdName],0))*Production[[#This Row],[Batter Used]],"")</f>
        <v/>
      </c>
      <c r="K233" s="210" t="str">
        <f>IF(INDEX(Ingredients[Breader],MATCH(Production[[#This Row],[Product]],Ingredients[ProdName],0))*Production[[#This Row],[Breader Used]]&gt;0,INDEX(Ingredients[Breader],MATCH(Production[[#This Row],[Product]],Ingredients[ProdName],0))*Production[[#This Row],[Breader Used]],"")</f>
        <v/>
      </c>
      <c r="L233" s="56"/>
      <c r="M233" s="56"/>
      <c r="N233" s="211">
        <f>IFERROR(IF(SUM(Production[[#This Row],[Meat Wt]:[BrTtl]])&lt;&gt;0,SUM(Production[[#This Row],[Meat Wt]:[BrTtl]]),""),"")</f>
        <v>920.25</v>
      </c>
      <c r="O233" s="55">
        <v>48</v>
      </c>
      <c r="P233" s="208">
        <f>INDEX(Ingredients[Case Wt.],MATCH(Production[[#This Row],[Product]],Ingredients[ProdName],0))*Production[[#This Row],[Case Total]]</f>
        <v>1200</v>
      </c>
      <c r="Q233" s="211">
        <f>IFERROR(Production[[#This Row],[SatWt]]-Production[[#This Row],[RawWt]],"")</f>
        <v>279.75</v>
      </c>
      <c r="R233" s="222" t="str">
        <f>IF(Production[[#This Row],[Species]]&lt;&gt;"",IF(SUM(Production[[#This Row],[BtTtl]:[BrTtl]])/Production[[#This Row],[SatWt]]&lt;&gt;0,SUM(Production[[#This Row],[BtTtl]:[BrTtl]])/Production[[#This Row],[SatWt]],""),"")</f>
        <v/>
      </c>
      <c r="S233" s="223" t="str">
        <f>INDEX(Ingredients[Species],MATCH(Production[[#This Row],[Product]],Ingredients[ProdName],0))</f>
        <v>Poultry</v>
      </c>
    </row>
    <row r="234" spans="1:19" ht="11.1" customHeight="1" x14ac:dyDescent="0.25">
      <c r="A234" s="207" t="str">
        <f>IFERROR(IF(Production[[#This Row],[Date]]&lt;&gt;"",TEXT(Production[[#This Row],[Date]],"yy")&amp;"-"&amp;TEXT(Production[[#This Row],[Date]]-DATE(YEAR(Production[[#This Row],[Date]]),1,0),"000"),""),"")</f>
        <v>23-145</v>
      </c>
      <c r="B234" s="209" t="str">
        <f>IFERROR(IF(INDEX(Ingredients[Ingr1],MATCH(Production[[#This Row],[Product]],Ingredients[ProdName],0))&lt;&gt;"",INDEX(Ingredients[Ingr1],MATCH(Production[[#This Row],[Product]],Ingredients[ProdName],0)),INDEX(Ingredients[Ingr2],MATCH(Production[[#This Row],[Product]],Ingredients[ProdName],0))),"")</f>
        <v>Chicken - Ground</v>
      </c>
      <c r="C234" s="53">
        <v>45071</v>
      </c>
      <c r="D234" s="54" t="s">
        <v>7</v>
      </c>
      <c r="E234" s="55">
        <v>918</v>
      </c>
      <c r="F234" s="56">
        <v>9</v>
      </c>
      <c r="G234" s="56">
        <v>54</v>
      </c>
      <c r="H234" s="208">
        <f>IFERROR(INDEX(Tier1[Wt],MATCH(Production[[#This Row],[Type]],Tier1[Ingredient],0))*Production[[#This Row],[Blocks Used]],0)</f>
        <v>2700</v>
      </c>
      <c r="I234" s="210">
        <f>IFERROR(INDEX(Ingredients[TtlWt],MATCH(Production[[#This Row],[Product]],Ingredients[ProdName],0))*Production[[#This Row],[Lots Done]],"")</f>
        <v>60.75</v>
      </c>
      <c r="J234" s="210" t="str">
        <f>IF(INDEX(Ingredients[Batter],MATCH(Production[[#This Row],[Product]],Ingredients[ProdName],0))*Production[[#This Row],[Batter Used]]&gt;0,INDEX(Ingredients[Batter],MATCH(Production[[#This Row],[Product]],Ingredients[ProdName],0))*Production[[#This Row],[Batter Used]],"")</f>
        <v/>
      </c>
      <c r="K234" s="210" t="str">
        <f>IF(INDEX(Ingredients[Breader],MATCH(Production[[#This Row],[Product]],Ingredients[ProdName],0))*Production[[#This Row],[Breader Used]]&gt;0,INDEX(Ingredients[Breader],MATCH(Production[[#This Row],[Product]],Ingredients[ProdName],0))*Production[[#This Row],[Breader Used]],"")</f>
        <v/>
      </c>
      <c r="L234" s="56"/>
      <c r="M234" s="56"/>
      <c r="N234" s="211">
        <f>IFERROR(IF(SUM(Production[[#This Row],[Meat Wt]:[BrTtl]])&lt;&gt;0,SUM(Production[[#This Row],[Meat Wt]:[BrTtl]]),""),"")</f>
        <v>2760.75</v>
      </c>
      <c r="O234" s="55">
        <v>147</v>
      </c>
      <c r="P234" s="208">
        <f>INDEX(Ingredients[Case Wt.],MATCH(Production[[#This Row],[Product]],Ingredients[ProdName],0))*Production[[#This Row],[Case Total]]</f>
        <v>3675</v>
      </c>
      <c r="Q234" s="211">
        <f>IFERROR(Production[[#This Row],[SatWt]]-Production[[#This Row],[RawWt]],"")</f>
        <v>914.25</v>
      </c>
      <c r="R234" s="222" t="str">
        <f>IF(Production[[#This Row],[Species]]&lt;&gt;"",IF(SUM(Production[[#This Row],[BtTtl]:[BrTtl]])/Production[[#This Row],[SatWt]]&lt;&gt;0,SUM(Production[[#This Row],[BtTtl]:[BrTtl]])/Production[[#This Row],[SatWt]],""),"")</f>
        <v/>
      </c>
      <c r="S234" s="223" t="str">
        <f>INDEX(Ingredients[Species],MATCH(Production[[#This Row],[Product]],Ingredients[ProdName],0))</f>
        <v>Poultry</v>
      </c>
    </row>
    <row r="235" spans="1:19" ht="11.1" customHeight="1" x14ac:dyDescent="0.25">
      <c r="A235" s="207" t="str">
        <f>IFERROR(IF(Production[[#This Row],[Date]]&lt;&gt;"",TEXT(Production[[#This Row],[Date]],"yy")&amp;"-"&amp;TEXT(Production[[#This Row],[Date]]-DATE(YEAR(Production[[#This Row],[Date]]),1,0),"000"),""),"")</f>
        <v>23-150</v>
      </c>
      <c r="B235" s="209" t="str">
        <f>IFERROR(IF(INDEX(Ingredients[Ingr1],MATCH(Production[[#This Row],[Product]],Ingredients[ProdName],0))&lt;&gt;"",INDEX(Ingredients[Ingr1],MATCH(Production[[#This Row],[Product]],Ingredients[ProdName],0)),INDEX(Ingredients[Ingr2],MATCH(Production[[#This Row],[Product]],Ingredients[ProdName],0))),"")</f>
        <v>Chicken - Tenders</v>
      </c>
      <c r="C235" s="53">
        <v>45076</v>
      </c>
      <c r="D235" s="54" t="s">
        <v>21</v>
      </c>
      <c r="E235" s="55" t="s">
        <v>174</v>
      </c>
      <c r="F235" s="56">
        <v>10</v>
      </c>
      <c r="G235" s="56">
        <v>70</v>
      </c>
      <c r="H235" s="208">
        <f>IFERROR(INDEX(Tier1[Wt],MATCH(Production[[#This Row],[Type]],Tier1[Ingredient],0))*Production[[#This Row],[Blocks Used]],0)</f>
        <v>2800</v>
      </c>
      <c r="I235" s="210">
        <f>IFERROR(INDEX(Ingredients[TtlWt],MATCH(Production[[#This Row],[Product]],Ingredients[ProdName],0))*Production[[#This Row],[Lots Done]],"")</f>
        <v>540</v>
      </c>
      <c r="J235" s="210">
        <f>IF(INDEX(Ingredients[Batter],MATCH(Production[[#This Row],[Product]],Ingredients[ProdName],0))*Production[[#This Row],[Batter Used]]&gt;0,INDEX(Ingredients[Batter],MATCH(Production[[#This Row],[Product]],Ingredients[ProdName],0))*Production[[#This Row],[Batter Used]],"")</f>
        <v>100</v>
      </c>
      <c r="K235" s="210">
        <f>IF(INDEX(Ingredients[Breader],MATCH(Production[[#This Row],[Product]],Ingredients[ProdName],0))*Production[[#This Row],[Breader Used]]&gt;0,INDEX(Ingredients[Breader],MATCH(Production[[#This Row],[Product]],Ingredients[ProdName],0))*Production[[#This Row],[Breader Used]],"")</f>
        <v>800</v>
      </c>
      <c r="L235" s="56">
        <v>2</v>
      </c>
      <c r="M235" s="56">
        <v>16</v>
      </c>
      <c r="N235" s="211">
        <f>IFERROR(IF(SUM(Production[[#This Row],[Meat Wt]:[BrTtl]])&lt;&gt;0,SUM(Production[[#This Row],[Meat Wt]:[BrTtl]]),""),"")</f>
        <v>4240</v>
      </c>
      <c r="O235" s="55">
        <v>212</v>
      </c>
      <c r="P235" s="208">
        <f>INDEX(Ingredients[Case Wt.],MATCH(Production[[#This Row],[Product]],Ingredients[ProdName],0))*Production[[#This Row],[Case Total]]</f>
        <v>5300</v>
      </c>
      <c r="Q235" s="211">
        <f>IFERROR(Production[[#This Row],[SatWt]]-Production[[#This Row],[RawWt]],"")</f>
        <v>1060</v>
      </c>
      <c r="R235" s="222">
        <f>IF(Production[[#This Row],[Species]]&lt;&gt;"",IF(SUM(Production[[#This Row],[BtTtl]:[BrTtl]])/Production[[#This Row],[SatWt]]&lt;&gt;0,SUM(Production[[#This Row],[BtTtl]:[BrTtl]])/Production[[#This Row],[SatWt]],""),"")</f>
        <v>0.16981132075471697</v>
      </c>
      <c r="S235" s="223" t="str">
        <f>INDEX(Ingredients[Species],MATCH(Production[[#This Row],[Product]],Ingredients[ProdName],0))</f>
        <v>Poultry</v>
      </c>
    </row>
    <row r="236" spans="1:19" ht="11.1" customHeight="1" x14ac:dyDescent="0.25">
      <c r="A236" s="207" t="str">
        <f>IFERROR(IF(Production[[#This Row],[Date]]&lt;&gt;"",TEXT(Production[[#This Row],[Date]],"yy")&amp;"-"&amp;TEXT(Production[[#This Row],[Date]]-DATE(YEAR(Production[[#This Row],[Date]]),1,0),"000"),""),"")</f>
        <v>23-151</v>
      </c>
      <c r="B236" s="209" t="str">
        <f>IFERROR(IF(INDEX(Ingredients[Ingr1],MATCH(Production[[#This Row],[Product]],Ingredients[ProdName],0))&lt;&gt;"",INDEX(Ingredients[Ingr1],MATCH(Production[[#This Row],[Product]],Ingredients[ProdName],0)),INDEX(Ingredients[Ingr2],MATCH(Production[[#This Row],[Product]],Ingredients[ProdName],0))),"")</f>
        <v>Chicken - Tenders</v>
      </c>
      <c r="C236" s="53">
        <v>45077</v>
      </c>
      <c r="D236" s="54" t="s">
        <v>21</v>
      </c>
      <c r="E236" s="55" t="s">
        <v>174</v>
      </c>
      <c r="F236" s="56">
        <v>5</v>
      </c>
      <c r="G236" s="56">
        <v>35</v>
      </c>
      <c r="H236" s="208">
        <f>IFERROR(INDEX(Tier1[Wt],MATCH(Production[[#This Row],[Type]],Tier1[Ingredient],0))*Production[[#This Row],[Blocks Used]],0)</f>
        <v>1400</v>
      </c>
      <c r="I236" s="210">
        <f>IFERROR(INDEX(Ingredients[TtlWt],MATCH(Production[[#This Row],[Product]],Ingredients[ProdName],0))*Production[[#This Row],[Lots Done]],"")</f>
        <v>270</v>
      </c>
      <c r="J236" s="210">
        <f>IF(INDEX(Ingredients[Batter],MATCH(Production[[#This Row],[Product]],Ingredients[ProdName],0))*Production[[#This Row],[Batter Used]]&gt;0,INDEX(Ingredients[Batter],MATCH(Production[[#This Row],[Product]],Ingredients[ProdName],0))*Production[[#This Row],[Batter Used]],"")</f>
        <v>100</v>
      </c>
      <c r="K236" s="210">
        <f>IF(INDEX(Ingredients[Breader],MATCH(Production[[#This Row],[Product]],Ingredients[ProdName],0))*Production[[#This Row],[Breader Used]]&gt;0,INDEX(Ingredients[Breader],MATCH(Production[[#This Row],[Product]],Ingredients[ProdName],0))*Production[[#This Row],[Breader Used]],"")</f>
        <v>300</v>
      </c>
      <c r="L236" s="56">
        <v>2</v>
      </c>
      <c r="M236" s="56">
        <v>6</v>
      </c>
      <c r="N236" s="211">
        <f>IFERROR(IF(SUM(Production[[#This Row],[Meat Wt]:[BrTtl]])&lt;&gt;0,SUM(Production[[#This Row],[Meat Wt]:[BrTtl]]),""),"")</f>
        <v>2070</v>
      </c>
      <c r="O236" s="55">
        <v>107</v>
      </c>
      <c r="P236" s="208">
        <f>INDEX(Ingredients[Case Wt.],MATCH(Production[[#This Row],[Product]],Ingredients[ProdName],0))*Production[[#This Row],[Case Total]]</f>
        <v>2675</v>
      </c>
      <c r="Q236" s="211">
        <f>IFERROR(Production[[#This Row],[SatWt]]-Production[[#This Row],[RawWt]],"")</f>
        <v>605</v>
      </c>
      <c r="R236" s="222">
        <f>IF(Production[[#This Row],[Species]]&lt;&gt;"",IF(SUM(Production[[#This Row],[BtTtl]:[BrTtl]])/Production[[#This Row],[SatWt]]&lt;&gt;0,SUM(Production[[#This Row],[BtTtl]:[BrTtl]])/Production[[#This Row],[SatWt]],""),"")</f>
        <v>0.14953271028037382</v>
      </c>
      <c r="S236" s="223" t="str">
        <f>INDEX(Ingredients[Species],MATCH(Production[[#This Row],[Product]],Ingredients[ProdName],0))</f>
        <v>Poultry</v>
      </c>
    </row>
    <row r="237" spans="1:19" ht="11.1" customHeight="1" x14ac:dyDescent="0.25">
      <c r="A237" s="207" t="str">
        <f>IFERROR(IF(Production[[#This Row],[Date]]&lt;&gt;"",TEXT(Production[[#This Row],[Date]],"yy")&amp;"-"&amp;TEXT(Production[[#This Row],[Date]]-DATE(YEAR(Production[[#This Row],[Date]]),1,0),"000"),""),"")</f>
        <v>23-151</v>
      </c>
      <c r="B237" s="209" t="str">
        <f>IFERROR(IF(INDEX(Ingredients[Ingr1],MATCH(Production[[#This Row],[Product]],Ingredients[ProdName],0))&lt;&gt;"",INDEX(Ingredients[Ingr1],MATCH(Production[[#This Row],[Product]],Ingredients[ProdName],0)),INDEX(Ingredients[Ingr2],MATCH(Production[[#This Row],[Product]],Ingredients[ProdName],0))),"")</f>
        <v>Chicken - Tenders</v>
      </c>
      <c r="C237" s="53">
        <v>45077</v>
      </c>
      <c r="D237" s="54" t="s">
        <v>21</v>
      </c>
      <c r="E237" s="55" t="s">
        <v>174</v>
      </c>
      <c r="F237" s="56">
        <v>2</v>
      </c>
      <c r="G237" s="56">
        <v>14</v>
      </c>
      <c r="H237" s="208">
        <f>IFERROR(INDEX(Tier1[Wt],MATCH(Production[[#This Row],[Type]],Tier1[Ingredient],0))*Production[[#This Row],[Blocks Used]],0)</f>
        <v>560</v>
      </c>
      <c r="I237" s="210">
        <f>IFERROR(INDEX(Ingredients[TtlWt],MATCH(Production[[#This Row],[Product]],Ingredients[ProdName],0))*Production[[#This Row],[Lots Done]],"")</f>
        <v>108</v>
      </c>
      <c r="J237" s="210">
        <f>IF(INDEX(Ingredients[Batter],MATCH(Production[[#This Row],[Product]],Ingredients[ProdName],0))*Production[[#This Row],[Batter Used]]&gt;0,INDEX(Ingredients[Batter],MATCH(Production[[#This Row],[Product]],Ingredients[ProdName],0))*Production[[#This Row],[Batter Used]],"")</f>
        <v>50</v>
      </c>
      <c r="K237" s="210">
        <f>IF(INDEX(Ingredients[Breader],MATCH(Production[[#This Row],[Product]],Ingredients[ProdName],0))*Production[[#This Row],[Breader Used]]&gt;0,INDEX(Ingredients[Breader],MATCH(Production[[#This Row],[Product]],Ingredients[ProdName],0))*Production[[#This Row],[Breader Used]],"")</f>
        <v>100</v>
      </c>
      <c r="L237" s="56">
        <v>1</v>
      </c>
      <c r="M237" s="56">
        <v>2</v>
      </c>
      <c r="N237" s="211">
        <f>IFERROR(IF(SUM(Production[[#This Row],[Meat Wt]:[BrTtl]])&lt;&gt;0,SUM(Production[[#This Row],[Meat Wt]:[BrTtl]]),""),"")</f>
        <v>818</v>
      </c>
      <c r="O237" s="55">
        <v>33</v>
      </c>
      <c r="P237" s="208">
        <f>INDEX(Ingredients[Case Wt.],MATCH(Production[[#This Row],[Product]],Ingredients[ProdName],0))*Production[[#This Row],[Case Total]]</f>
        <v>825</v>
      </c>
      <c r="Q237" s="211">
        <f>IFERROR(Production[[#This Row],[SatWt]]-Production[[#This Row],[RawWt]],"")</f>
        <v>7</v>
      </c>
      <c r="R237" s="222">
        <f>IF(Production[[#This Row],[Species]]&lt;&gt;"",IF(SUM(Production[[#This Row],[BtTtl]:[BrTtl]])/Production[[#This Row],[SatWt]]&lt;&gt;0,SUM(Production[[#This Row],[BtTtl]:[BrTtl]])/Production[[#This Row],[SatWt]],""),"")</f>
        <v>0.18181818181818182</v>
      </c>
      <c r="S237" s="223" t="str">
        <f>INDEX(Ingredients[Species],MATCH(Production[[#This Row],[Product]],Ingredients[ProdName],0))</f>
        <v>Poultry</v>
      </c>
    </row>
    <row r="238" spans="1:19" ht="11.1" customHeight="1" x14ac:dyDescent="0.25">
      <c r="A238" s="207" t="str">
        <f>IFERROR(IF(Production[[#This Row],[Date]]&lt;&gt;"",TEXT(Production[[#This Row],[Date]],"yy")&amp;"-"&amp;TEXT(Production[[#This Row],[Date]]-DATE(YEAR(Production[[#This Row],[Date]]),1,0),"000"),""),"")</f>
        <v>23-152</v>
      </c>
      <c r="B238" s="209" t="str">
        <f>IFERROR(IF(INDEX(Ingredients[Ingr1],MATCH(Production[[#This Row],[Product]],Ingredients[ProdName],0))&lt;&gt;"",INDEX(Ingredients[Ingr1],MATCH(Production[[#This Row],[Product]],Ingredients[ProdName],0)),INDEX(Ingredients[Ingr2],MATCH(Production[[#This Row],[Product]],Ingredients[ProdName],0))),"")</f>
        <v>Chicken - Tenders</v>
      </c>
      <c r="C238" s="53">
        <v>45078</v>
      </c>
      <c r="D238" s="54" t="s">
        <v>21</v>
      </c>
      <c r="E238" s="55" t="s">
        <v>174</v>
      </c>
      <c r="F238" s="56">
        <v>7</v>
      </c>
      <c r="G238" s="56">
        <v>49</v>
      </c>
      <c r="H238" s="208">
        <f>IFERROR(INDEX(Tier1[Wt],MATCH(Production[[#This Row],[Type]],Tier1[Ingredient],0))*Production[[#This Row],[Blocks Used]],0)</f>
        <v>1960</v>
      </c>
      <c r="I238" s="210">
        <f>IFERROR(INDEX(Ingredients[TtlWt],MATCH(Production[[#This Row],[Product]],Ingredients[ProdName],0))*Production[[#This Row],[Lots Done]],"")</f>
        <v>378</v>
      </c>
      <c r="J238" s="210">
        <f>IF(INDEX(Ingredients[Batter],MATCH(Production[[#This Row],[Product]],Ingredients[ProdName],0))*Production[[#This Row],[Batter Used]]&gt;0,INDEX(Ingredients[Batter],MATCH(Production[[#This Row],[Product]],Ingredients[ProdName],0))*Production[[#This Row],[Batter Used]],"")</f>
        <v>150</v>
      </c>
      <c r="K238" s="210">
        <f>IF(INDEX(Ingredients[Breader],MATCH(Production[[#This Row],[Product]],Ingredients[ProdName],0))*Production[[#This Row],[Breader Used]]&gt;0,INDEX(Ingredients[Breader],MATCH(Production[[#This Row],[Product]],Ingredients[ProdName],0))*Production[[#This Row],[Breader Used]],"")</f>
        <v>700</v>
      </c>
      <c r="L238" s="56">
        <v>3</v>
      </c>
      <c r="M238" s="56">
        <v>14</v>
      </c>
      <c r="N238" s="211">
        <f>IFERROR(IF(SUM(Production[[#This Row],[Meat Wt]:[BrTtl]])&lt;&gt;0,SUM(Production[[#This Row],[Meat Wt]:[BrTtl]]),""),"")</f>
        <v>3188</v>
      </c>
      <c r="O238" s="55">
        <v>147</v>
      </c>
      <c r="P238" s="208">
        <f>INDEX(Ingredients[Case Wt.],MATCH(Production[[#This Row],[Product]],Ingredients[ProdName],0))*Production[[#This Row],[Case Total]]</f>
        <v>3675</v>
      </c>
      <c r="Q238" s="211">
        <f>IFERROR(Production[[#This Row],[SatWt]]-Production[[#This Row],[RawWt]],"")</f>
        <v>487</v>
      </c>
      <c r="R238" s="222">
        <f>IF(Production[[#This Row],[Species]]&lt;&gt;"",IF(SUM(Production[[#This Row],[BtTtl]:[BrTtl]])/Production[[#This Row],[SatWt]]&lt;&gt;0,SUM(Production[[#This Row],[BtTtl]:[BrTtl]])/Production[[#This Row],[SatWt]],""),"")</f>
        <v>0.23129251700680273</v>
      </c>
      <c r="S238" s="223" t="str">
        <f>INDEX(Ingredients[Species],MATCH(Production[[#This Row],[Product]],Ingredients[ProdName],0))</f>
        <v>Poultry</v>
      </c>
    </row>
    <row r="239" spans="1:19" ht="11.1" customHeight="1" x14ac:dyDescent="0.25">
      <c r="A239" s="207" t="str">
        <f>IFERROR(IF(Production[[#This Row],[Date]]&lt;&gt;"",TEXT(Production[[#This Row],[Date]],"yy")&amp;"-"&amp;TEXT(Production[[#This Row],[Date]]-DATE(YEAR(Production[[#This Row],[Date]]),1,0),"000"),""),"")</f>
        <v>23-156</v>
      </c>
      <c r="B239" s="209" t="str">
        <f>IFERROR(IF(INDEX(Ingredients[Ingr1],MATCH(Production[[#This Row],[Product]],Ingredients[ProdName],0))&lt;&gt;"",INDEX(Ingredients[Ingr1],MATCH(Production[[#This Row],[Product]],Ingredients[ProdName],0)),INDEX(Ingredients[Ingr2],MATCH(Production[[#This Row],[Product]],Ingredients[ProdName],0))),"")</f>
        <v>Chicken - Tenders</v>
      </c>
      <c r="C239" s="53">
        <v>45082</v>
      </c>
      <c r="D239" s="54" t="s">
        <v>21</v>
      </c>
      <c r="E239" s="55" t="s">
        <v>174</v>
      </c>
      <c r="F239" s="56">
        <v>10</v>
      </c>
      <c r="G239" s="56">
        <v>70</v>
      </c>
      <c r="H239" s="208">
        <f>IFERROR(INDEX(Tier1[Wt],MATCH(Production[[#This Row],[Type]],Tier1[Ingredient],0))*Production[[#This Row],[Blocks Used]],0)</f>
        <v>2800</v>
      </c>
      <c r="I239" s="210">
        <f>IFERROR(INDEX(Ingredients[TtlWt],MATCH(Production[[#This Row],[Product]],Ingredients[ProdName],0))*Production[[#This Row],[Lots Done]],"")</f>
        <v>540</v>
      </c>
      <c r="J239" s="210">
        <f>IF(INDEX(Ingredients[Batter],MATCH(Production[[#This Row],[Product]],Ingredients[ProdName],0))*Production[[#This Row],[Batter Used]]&gt;0,INDEX(Ingredients[Batter],MATCH(Production[[#This Row],[Product]],Ingredients[ProdName],0))*Production[[#This Row],[Batter Used]],"")</f>
        <v>250</v>
      </c>
      <c r="K239" s="210">
        <f>IF(INDEX(Ingredients[Breader],MATCH(Production[[#This Row],[Product]],Ingredients[ProdName],0))*Production[[#This Row],[Breader Used]]&gt;0,INDEX(Ingredients[Breader],MATCH(Production[[#This Row],[Product]],Ingredients[ProdName],0))*Production[[#This Row],[Breader Used]],"")</f>
        <v>650</v>
      </c>
      <c r="L239" s="56">
        <v>5</v>
      </c>
      <c r="M239" s="56">
        <v>13</v>
      </c>
      <c r="N239" s="211">
        <f>IFERROR(IF(SUM(Production[[#This Row],[Meat Wt]:[BrTtl]])&lt;&gt;0,SUM(Production[[#This Row],[Meat Wt]:[BrTtl]]),""),"")</f>
        <v>4240</v>
      </c>
      <c r="O239" s="55">
        <v>219</v>
      </c>
      <c r="P239" s="208">
        <f>INDEX(Ingredients[Case Wt.],MATCH(Production[[#This Row],[Product]],Ingredients[ProdName],0))*Production[[#This Row],[Case Total]]</f>
        <v>5475</v>
      </c>
      <c r="Q239" s="211">
        <f>IFERROR(Production[[#This Row],[SatWt]]-Production[[#This Row],[RawWt]],"")</f>
        <v>1235</v>
      </c>
      <c r="R239" s="222">
        <f>IF(Production[[#This Row],[Species]]&lt;&gt;"",IF(SUM(Production[[#This Row],[BtTtl]:[BrTtl]])/Production[[#This Row],[SatWt]]&lt;&gt;0,SUM(Production[[#This Row],[BtTtl]:[BrTtl]])/Production[[#This Row],[SatWt]],""),"")</f>
        <v>0.16438356164383561</v>
      </c>
      <c r="S239" s="223" t="str">
        <f>INDEX(Ingredients[Species],MATCH(Production[[#This Row],[Product]],Ingredients[ProdName],0))</f>
        <v>Poultry</v>
      </c>
    </row>
    <row r="240" spans="1:19" ht="11.1" customHeight="1" x14ac:dyDescent="0.25">
      <c r="A240" s="207" t="str">
        <f>IFERROR(IF(Production[[#This Row],[Date]]&lt;&gt;"",TEXT(Production[[#This Row],[Date]],"yy")&amp;"-"&amp;TEXT(Production[[#This Row],[Date]]-DATE(YEAR(Production[[#This Row],[Date]]),1,0),"000"),""),"")</f>
        <v>23-157</v>
      </c>
      <c r="B240" s="209" t="str">
        <f>IFERROR(IF(INDEX(Ingredients[Ingr1],MATCH(Production[[#This Row],[Product]],Ingredients[ProdName],0))&lt;&gt;"",INDEX(Ingredients[Ingr1],MATCH(Production[[#This Row],[Product]],Ingredients[ProdName],0)),INDEX(Ingredients[Ingr2],MATCH(Production[[#This Row],[Product]],Ingredients[ProdName],0))),"")</f>
        <v>Chicken - Tenders</v>
      </c>
      <c r="C240" s="53">
        <v>45083</v>
      </c>
      <c r="D240" s="54" t="s">
        <v>21</v>
      </c>
      <c r="E240" s="55" t="s">
        <v>174</v>
      </c>
      <c r="F240" s="56">
        <v>10</v>
      </c>
      <c r="G240" s="56">
        <v>70</v>
      </c>
      <c r="H240" s="208">
        <f>IFERROR(INDEX(Tier1[Wt],MATCH(Production[[#This Row],[Type]],Tier1[Ingredient],0))*Production[[#This Row],[Blocks Used]],0)</f>
        <v>2800</v>
      </c>
      <c r="I240" s="210">
        <f>IFERROR(INDEX(Ingredients[TtlWt],MATCH(Production[[#This Row],[Product]],Ingredients[ProdName],0))*Production[[#This Row],[Lots Done]],"")</f>
        <v>540</v>
      </c>
      <c r="J240" s="210">
        <f>IF(INDEX(Ingredients[Batter],MATCH(Production[[#This Row],[Product]],Ingredients[ProdName],0))*Production[[#This Row],[Batter Used]]&gt;0,INDEX(Ingredients[Batter],MATCH(Production[[#This Row],[Product]],Ingredients[ProdName],0))*Production[[#This Row],[Batter Used]],"")</f>
        <v>100</v>
      </c>
      <c r="K240" s="210">
        <f>IF(INDEX(Ingredients[Breader],MATCH(Production[[#This Row],[Product]],Ingredients[ProdName],0))*Production[[#This Row],[Breader Used]]&gt;0,INDEX(Ingredients[Breader],MATCH(Production[[#This Row],[Product]],Ingredients[ProdName],0))*Production[[#This Row],[Breader Used]],"")</f>
        <v>600</v>
      </c>
      <c r="L240" s="56">
        <v>2</v>
      </c>
      <c r="M240" s="56">
        <v>12</v>
      </c>
      <c r="N240" s="211">
        <f>IFERROR(IF(SUM(Production[[#This Row],[Meat Wt]:[BrTtl]])&lt;&gt;0,SUM(Production[[#This Row],[Meat Wt]:[BrTtl]]),""),"")</f>
        <v>4040</v>
      </c>
      <c r="O240" s="55">
        <v>213</v>
      </c>
      <c r="P240" s="208">
        <f>INDEX(Ingredients[Case Wt.],MATCH(Production[[#This Row],[Product]],Ingredients[ProdName],0))*Production[[#This Row],[Case Total]]</f>
        <v>5325</v>
      </c>
      <c r="Q240" s="211">
        <f>IFERROR(Production[[#This Row],[SatWt]]-Production[[#This Row],[RawWt]],"")</f>
        <v>1285</v>
      </c>
      <c r="R240" s="222">
        <f>IF(Production[[#This Row],[Species]]&lt;&gt;"",IF(SUM(Production[[#This Row],[BtTtl]:[BrTtl]])/Production[[#This Row],[SatWt]]&lt;&gt;0,SUM(Production[[#This Row],[BtTtl]:[BrTtl]])/Production[[#This Row],[SatWt]],""),"")</f>
        <v>0.13145539906103287</v>
      </c>
      <c r="S240" s="223" t="str">
        <f>INDEX(Ingredients[Species],MATCH(Production[[#This Row],[Product]],Ingredients[ProdName],0))</f>
        <v>Poultry</v>
      </c>
    </row>
    <row r="241" spans="1:19" ht="11.1" customHeight="1" x14ac:dyDescent="0.25">
      <c r="A241" s="207" t="str">
        <f>IFERROR(IF(Production[[#This Row],[Date]]&lt;&gt;"",TEXT(Production[[#This Row],[Date]],"yy")&amp;"-"&amp;TEXT(Production[[#This Row],[Date]]-DATE(YEAR(Production[[#This Row],[Date]]),1,0),"000"),""),"")</f>
        <v>23-158</v>
      </c>
      <c r="B241" s="209" t="str">
        <f>IFERROR(IF(INDEX(Ingredients[Ingr1],MATCH(Production[[#This Row],[Product]],Ingredients[ProdName],0))&lt;&gt;"",INDEX(Ingredients[Ingr1],MATCH(Production[[#This Row],[Product]],Ingredients[ProdName],0)),INDEX(Ingredients[Ingr2],MATCH(Production[[#This Row],[Product]],Ingredients[ProdName],0))),"")</f>
        <v>Chicken - Tenders</v>
      </c>
      <c r="C241" s="53">
        <v>45084</v>
      </c>
      <c r="D241" s="54" t="s">
        <v>21</v>
      </c>
      <c r="E241" s="55" t="s">
        <v>174</v>
      </c>
      <c r="F241" s="56">
        <v>8</v>
      </c>
      <c r="G241" s="56">
        <v>56</v>
      </c>
      <c r="H241" s="208">
        <f>IFERROR(INDEX(Tier1[Wt],MATCH(Production[[#This Row],[Type]],Tier1[Ingredient],0))*Production[[#This Row],[Blocks Used]],0)</f>
        <v>2240</v>
      </c>
      <c r="I241" s="210">
        <f>IFERROR(INDEX(Ingredients[TtlWt],MATCH(Production[[#This Row],[Product]],Ingredients[ProdName],0))*Production[[#This Row],[Lots Done]],"")</f>
        <v>432</v>
      </c>
      <c r="J241" s="210">
        <f>IF(INDEX(Ingredients[Batter],MATCH(Production[[#This Row],[Product]],Ingredients[ProdName],0))*Production[[#This Row],[Batter Used]]&gt;0,INDEX(Ingredients[Batter],MATCH(Production[[#This Row],[Product]],Ingredients[ProdName],0))*Production[[#This Row],[Batter Used]],"")</f>
        <v>100</v>
      </c>
      <c r="K241" s="210">
        <f>IF(INDEX(Ingredients[Breader],MATCH(Production[[#This Row],[Product]],Ingredients[ProdName],0))*Production[[#This Row],[Breader Used]]&gt;0,INDEX(Ingredients[Breader],MATCH(Production[[#This Row],[Product]],Ingredients[ProdName],0))*Production[[#This Row],[Breader Used]],"")</f>
        <v>600</v>
      </c>
      <c r="L241" s="56">
        <v>2</v>
      </c>
      <c r="M241" s="56">
        <v>12</v>
      </c>
      <c r="N241" s="211">
        <f>IFERROR(IF(SUM(Production[[#This Row],[Meat Wt]:[BrTtl]])&lt;&gt;0,SUM(Production[[#This Row],[Meat Wt]:[BrTtl]]),""),"")</f>
        <v>3372</v>
      </c>
      <c r="O241" s="55">
        <v>170</v>
      </c>
      <c r="P241" s="208">
        <f>INDEX(Ingredients[Case Wt.],MATCH(Production[[#This Row],[Product]],Ingredients[ProdName],0))*Production[[#This Row],[Case Total]]</f>
        <v>4250</v>
      </c>
      <c r="Q241" s="211">
        <f>IFERROR(Production[[#This Row],[SatWt]]-Production[[#This Row],[RawWt]],"")</f>
        <v>878</v>
      </c>
      <c r="R241" s="222">
        <f>IF(Production[[#This Row],[Species]]&lt;&gt;"",IF(SUM(Production[[#This Row],[BtTtl]:[BrTtl]])/Production[[#This Row],[SatWt]]&lt;&gt;0,SUM(Production[[#This Row],[BtTtl]:[BrTtl]])/Production[[#This Row],[SatWt]],""),"")</f>
        <v>0.16470588235294117</v>
      </c>
      <c r="S241" s="223" t="str">
        <f>INDEX(Ingredients[Species],MATCH(Production[[#This Row],[Product]],Ingredients[ProdName],0))</f>
        <v>Poultry</v>
      </c>
    </row>
    <row r="242" spans="1:19" ht="11.1" customHeight="1" x14ac:dyDescent="0.25">
      <c r="A242" s="207" t="str">
        <f>IFERROR(IF(Production[[#This Row],[Date]]&lt;&gt;"",TEXT(Production[[#This Row],[Date]],"yy")&amp;"-"&amp;TEXT(Production[[#This Row],[Date]]-DATE(YEAR(Production[[#This Row],[Date]]),1,0),"000"),""),"")</f>
        <v>23-159</v>
      </c>
      <c r="B242" s="209" t="str">
        <f>IFERROR(IF(INDEX(Ingredients[Ingr1],MATCH(Production[[#This Row],[Product]],Ingredients[ProdName],0))&lt;&gt;"",INDEX(Ingredients[Ingr1],MATCH(Production[[#This Row],[Product]],Ingredients[ProdName],0)),INDEX(Ingredients[Ingr2],MATCH(Production[[#This Row],[Product]],Ingredients[ProdName],0))),"")</f>
        <v>Chicken - Tenders</v>
      </c>
      <c r="C242" s="53">
        <v>45085</v>
      </c>
      <c r="D242" s="54" t="s">
        <v>21</v>
      </c>
      <c r="E242" s="55" t="s">
        <v>174</v>
      </c>
      <c r="F242" s="56">
        <v>3</v>
      </c>
      <c r="G242" s="56">
        <v>21</v>
      </c>
      <c r="H242" s="208">
        <f>IFERROR(INDEX(Tier1[Wt],MATCH(Production[[#This Row],[Type]],Tier1[Ingredient],0))*Production[[#This Row],[Blocks Used]],0)</f>
        <v>840</v>
      </c>
      <c r="I242" s="210">
        <f>IFERROR(INDEX(Ingredients[TtlWt],MATCH(Production[[#This Row],[Product]],Ingredients[ProdName],0))*Production[[#This Row],[Lots Done]],"")</f>
        <v>162</v>
      </c>
      <c r="J242" s="210">
        <f>IF(INDEX(Ingredients[Batter],MATCH(Production[[#This Row],[Product]],Ingredients[ProdName],0))*Production[[#This Row],[Batter Used]]&gt;0,INDEX(Ingredients[Batter],MATCH(Production[[#This Row],[Product]],Ingredients[ProdName],0))*Production[[#This Row],[Batter Used]],"")</f>
        <v>100</v>
      </c>
      <c r="K242" s="210">
        <f>IF(INDEX(Ingredients[Breader],MATCH(Production[[#This Row],[Product]],Ingredients[ProdName],0))*Production[[#This Row],[Breader Used]]&gt;0,INDEX(Ingredients[Breader],MATCH(Production[[#This Row],[Product]],Ingredients[ProdName],0))*Production[[#This Row],[Breader Used]],"")</f>
        <v>250</v>
      </c>
      <c r="L242" s="56">
        <v>2</v>
      </c>
      <c r="M242" s="56">
        <v>5</v>
      </c>
      <c r="N242" s="211">
        <f>IFERROR(IF(SUM(Production[[#This Row],[Meat Wt]:[BrTtl]])&lt;&gt;0,SUM(Production[[#This Row],[Meat Wt]:[BrTtl]]),""),"")</f>
        <v>1352</v>
      </c>
      <c r="O242" s="55">
        <v>76</v>
      </c>
      <c r="P242" s="208">
        <f>INDEX(Ingredients[Case Wt.],MATCH(Production[[#This Row],[Product]],Ingredients[ProdName],0))*Production[[#This Row],[Case Total]]</f>
        <v>1900</v>
      </c>
      <c r="Q242" s="211">
        <f>IFERROR(Production[[#This Row],[SatWt]]-Production[[#This Row],[RawWt]],"")</f>
        <v>548</v>
      </c>
      <c r="R242" s="222">
        <f>IF(Production[[#This Row],[Species]]&lt;&gt;"",IF(SUM(Production[[#This Row],[BtTtl]:[BrTtl]])/Production[[#This Row],[SatWt]]&lt;&gt;0,SUM(Production[[#This Row],[BtTtl]:[BrTtl]])/Production[[#This Row],[SatWt]],""),"")</f>
        <v>0.18421052631578946</v>
      </c>
      <c r="S242" s="223" t="str">
        <f>INDEX(Ingredients[Species],MATCH(Production[[#This Row],[Product]],Ingredients[ProdName],0))</f>
        <v>Poultry</v>
      </c>
    </row>
    <row r="243" spans="1:19" ht="11.1" customHeight="1" x14ac:dyDescent="0.25">
      <c r="A243" s="207" t="str">
        <f>IFERROR(IF(Production[[#This Row],[Date]]&lt;&gt;"",TEXT(Production[[#This Row],[Date]],"yy")&amp;"-"&amp;TEXT(Production[[#This Row],[Date]]-DATE(YEAR(Production[[#This Row],[Date]]),1,0),"000"),""),"")</f>
        <v>23-159</v>
      </c>
      <c r="B243" s="209" t="str">
        <f>IFERROR(IF(INDEX(Ingredients[Ingr1],MATCH(Production[[#This Row],[Product]],Ingredients[ProdName],0))&lt;&gt;"",INDEX(Ingredients[Ingr1],MATCH(Production[[#This Row],[Product]],Ingredients[ProdName],0)),INDEX(Ingredients[Ingr2],MATCH(Production[[#This Row],[Product]],Ingredients[ProdName],0))),"")</f>
        <v>Chicken - Tenders</v>
      </c>
      <c r="C243" s="53">
        <v>45085</v>
      </c>
      <c r="D243" s="54" t="s">
        <v>21</v>
      </c>
      <c r="E243" s="55" t="s">
        <v>174</v>
      </c>
      <c r="F243" s="56">
        <v>7</v>
      </c>
      <c r="G243" s="56">
        <v>49</v>
      </c>
      <c r="H243" s="208">
        <f>IFERROR(INDEX(Tier1[Wt],MATCH(Production[[#This Row],[Type]],Tier1[Ingredient],0))*Production[[#This Row],[Blocks Used]],0)</f>
        <v>1960</v>
      </c>
      <c r="I243" s="210">
        <f>IFERROR(INDEX(Ingredients[TtlWt],MATCH(Production[[#This Row],[Product]],Ingredients[ProdName],0))*Production[[#This Row],[Lots Done]],"")</f>
        <v>378</v>
      </c>
      <c r="J243" s="210">
        <f>IF(INDEX(Ingredients[Batter],MATCH(Production[[#This Row],[Product]],Ingredients[ProdName],0))*Production[[#This Row],[Batter Used]]&gt;0,INDEX(Ingredients[Batter],MATCH(Production[[#This Row],[Product]],Ingredients[ProdName],0))*Production[[#This Row],[Batter Used]],"")</f>
        <v>150</v>
      </c>
      <c r="K243" s="210">
        <f>IF(INDEX(Ingredients[Breader],MATCH(Production[[#This Row],[Product]],Ingredients[ProdName],0))*Production[[#This Row],[Breader Used]]&gt;0,INDEX(Ingredients[Breader],MATCH(Production[[#This Row],[Product]],Ingredients[ProdName],0))*Production[[#This Row],[Breader Used]],"")</f>
        <v>500</v>
      </c>
      <c r="L243" s="56">
        <v>3</v>
      </c>
      <c r="M243" s="56">
        <v>10</v>
      </c>
      <c r="N243" s="211">
        <f>IFERROR(IF(SUM(Production[[#This Row],[Meat Wt]:[BrTtl]])&lt;&gt;0,SUM(Production[[#This Row],[Meat Wt]:[BrTtl]]),""),"")</f>
        <v>2988</v>
      </c>
      <c r="O243" s="55">
        <v>133</v>
      </c>
      <c r="P243" s="208">
        <f>INDEX(Ingredients[Case Wt.],MATCH(Production[[#This Row],[Product]],Ingredients[ProdName],0))*Production[[#This Row],[Case Total]]</f>
        <v>3325</v>
      </c>
      <c r="Q243" s="211">
        <f>IFERROR(Production[[#This Row],[SatWt]]-Production[[#This Row],[RawWt]],"")</f>
        <v>337</v>
      </c>
      <c r="R243" s="222">
        <f>IF(Production[[#This Row],[Species]]&lt;&gt;"",IF(SUM(Production[[#This Row],[BtTtl]:[BrTtl]])/Production[[#This Row],[SatWt]]&lt;&gt;0,SUM(Production[[#This Row],[BtTtl]:[BrTtl]])/Production[[#This Row],[SatWt]],""),"")</f>
        <v>0.19548872180451127</v>
      </c>
      <c r="S243" s="223" t="str">
        <f>INDEX(Ingredients[Species],MATCH(Production[[#This Row],[Product]],Ingredients[ProdName],0))</f>
        <v>Poultry</v>
      </c>
    </row>
    <row r="244" spans="1:19" ht="11.1" customHeight="1" x14ac:dyDescent="0.25">
      <c r="A244" s="207" t="str">
        <f>IFERROR(IF(Production[[#This Row],[Date]]&lt;&gt;"",TEXT(Production[[#This Row],[Date]],"yy")&amp;"-"&amp;TEXT(Production[[#This Row],[Date]]-DATE(YEAR(Production[[#This Row],[Date]]),1,0),"000"),""),"")</f>
        <v>23-163</v>
      </c>
      <c r="B244" s="209" t="str">
        <f>IFERROR(IF(INDEX(Ingredients[Ingr1],MATCH(Production[[#This Row],[Product]],Ingredients[ProdName],0))&lt;&gt;"",INDEX(Ingredients[Ingr1],MATCH(Production[[#This Row],[Product]],Ingredients[ProdName],0)),INDEX(Ingredients[Ingr2],MATCH(Production[[#This Row],[Product]],Ingredients[ProdName],0))),"")</f>
        <v>Chicken - Ground</v>
      </c>
      <c r="C244" s="53">
        <v>45089</v>
      </c>
      <c r="D244" s="54" t="s">
        <v>9</v>
      </c>
      <c r="E244" s="55">
        <v>918</v>
      </c>
      <c r="F244" s="56">
        <v>15</v>
      </c>
      <c r="G244" s="56">
        <v>90</v>
      </c>
      <c r="H244" s="208">
        <f>IFERROR(INDEX(Tier1[Wt],MATCH(Production[[#This Row],[Type]],Tier1[Ingredient],0))*Production[[#This Row],[Blocks Used]],0)</f>
        <v>4500</v>
      </c>
      <c r="I244" s="210" t="str">
        <f>IFERROR(INDEX(Ingredients[TtlWt],MATCH(Production[[#This Row],[Product]],Ingredients[ProdName],0))*Production[[#This Row],[Lots Done]],"")</f>
        <v/>
      </c>
      <c r="J244" s="210" t="str">
        <f>IF(INDEX(Ingredients[Batter],MATCH(Production[[#This Row],[Product]],Ingredients[ProdName],0))*Production[[#This Row],[Batter Used]]&gt;0,INDEX(Ingredients[Batter],MATCH(Production[[#This Row],[Product]],Ingredients[ProdName],0))*Production[[#This Row],[Batter Used]],"")</f>
        <v/>
      </c>
      <c r="K244" s="210" t="str">
        <f>IF(INDEX(Ingredients[Breader],MATCH(Production[[#This Row],[Product]],Ingredients[ProdName],0))*Production[[#This Row],[Breader Used]]&gt;0,INDEX(Ingredients[Breader],MATCH(Production[[#This Row],[Product]],Ingredients[ProdName],0))*Production[[#This Row],[Breader Used]],"")</f>
        <v/>
      </c>
      <c r="L244" s="56"/>
      <c r="M244" s="56"/>
      <c r="N244" s="211">
        <f>IFERROR(IF(SUM(Production[[#This Row],[Meat Wt]:[BrTtl]])&lt;&gt;0,SUM(Production[[#This Row],[Meat Wt]:[BrTtl]]),""),"")</f>
        <v>4500</v>
      </c>
      <c r="O244" s="55">
        <v>57</v>
      </c>
      <c r="P244" s="208">
        <f>INDEX(Ingredients[Case Wt.],MATCH(Production[[#This Row],[Product]],Ingredients[ProdName],0))*Production[[#This Row],[Case Total]]</f>
        <v>1710</v>
      </c>
      <c r="Q244" s="211">
        <f>IFERROR(Production[[#This Row],[SatWt]]-Production[[#This Row],[RawWt]],"")</f>
        <v>-2790</v>
      </c>
      <c r="R244" s="222" t="str">
        <f>IF(Production[[#This Row],[Species]]&lt;&gt;"",IF(SUM(Production[[#This Row],[BtTtl]:[BrTtl]])/Production[[#This Row],[SatWt]]&lt;&gt;0,SUM(Production[[#This Row],[BtTtl]:[BrTtl]])/Production[[#This Row],[SatWt]],""),"")</f>
        <v/>
      </c>
      <c r="S244" s="223" t="str">
        <f>INDEX(Ingredients[Species],MATCH(Production[[#This Row],[Product]],Ingredients[ProdName],0))</f>
        <v>Poultry</v>
      </c>
    </row>
    <row r="245" spans="1:19" ht="11.1" customHeight="1" x14ac:dyDescent="0.25">
      <c r="A245" s="207" t="str">
        <f>IFERROR(IF(Production[[#This Row],[Date]]&lt;&gt;"",TEXT(Production[[#This Row],[Date]],"yy")&amp;"-"&amp;TEXT(Production[[#This Row],[Date]]-DATE(YEAR(Production[[#This Row],[Date]]),1,0),"000"),""),"")</f>
        <v>23-164</v>
      </c>
      <c r="B245" s="209" t="str">
        <f>IFERROR(IF(INDEX(Ingredients[Ingr1],MATCH(Production[[#This Row],[Product]],Ingredients[ProdName],0))&lt;&gt;"",INDEX(Ingredients[Ingr1],MATCH(Production[[#This Row],[Product]],Ingredients[ProdName],0)),INDEX(Ingredients[Ingr2],MATCH(Production[[#This Row],[Product]],Ingredients[ProdName],0))),"")</f>
        <v>Chicken - Tenders</v>
      </c>
      <c r="C245" s="53">
        <v>45090</v>
      </c>
      <c r="D245" s="54" t="s">
        <v>14</v>
      </c>
      <c r="E245" s="55" t="s">
        <v>174</v>
      </c>
      <c r="F245" s="56">
        <v>8</v>
      </c>
      <c r="G245" s="56">
        <v>56</v>
      </c>
      <c r="H245" s="208">
        <f>IFERROR(INDEX(Tier1[Wt],MATCH(Production[[#This Row],[Type]],Tier1[Ingredient],0))*Production[[#This Row],[Blocks Used]],0)</f>
        <v>2240</v>
      </c>
      <c r="I245" s="210">
        <f>IFERROR(INDEX(Ingredients[TtlWt],MATCH(Production[[#This Row],[Product]],Ingredients[ProdName],0))*Production[[#This Row],[Lots Done]],"")</f>
        <v>497.2</v>
      </c>
      <c r="J245" s="210" t="str">
        <f>IF(INDEX(Ingredients[Batter],MATCH(Production[[#This Row],[Product]],Ingredients[ProdName],0))*Production[[#This Row],[Batter Used]]&gt;0,INDEX(Ingredients[Batter],MATCH(Production[[#This Row],[Product]],Ingredients[ProdName],0))*Production[[#This Row],[Batter Used]],"")</f>
        <v/>
      </c>
      <c r="K245" s="210" t="str">
        <f>IF(INDEX(Ingredients[Breader],MATCH(Production[[#This Row],[Product]],Ingredients[ProdName],0))*Production[[#This Row],[Breader Used]]&gt;0,INDEX(Ingredients[Breader],MATCH(Production[[#This Row],[Product]],Ingredients[ProdName],0))*Production[[#This Row],[Breader Used]],"")</f>
        <v/>
      </c>
      <c r="L245" s="56"/>
      <c r="M245" s="56"/>
      <c r="N245" s="211">
        <f>IFERROR(IF(SUM(Production[[#This Row],[Meat Wt]:[BrTtl]])&lt;&gt;0,SUM(Production[[#This Row],[Meat Wt]:[BrTtl]]),""),"")</f>
        <v>2737.2</v>
      </c>
      <c r="O245" s="55">
        <v>147</v>
      </c>
      <c r="P245" s="208">
        <f>INDEX(Ingredients[Case Wt.],MATCH(Production[[#This Row],[Product]],Ingredients[ProdName],0))*Production[[#This Row],[Case Total]]</f>
        <v>3675</v>
      </c>
      <c r="Q245" s="211">
        <f>IFERROR(Production[[#This Row],[SatWt]]-Production[[#This Row],[RawWt]],"")</f>
        <v>937.80000000000018</v>
      </c>
      <c r="R245" s="222" t="str">
        <f>IF(Production[[#This Row],[Species]]&lt;&gt;"",IF(SUM(Production[[#This Row],[BtTtl]:[BrTtl]])/Production[[#This Row],[SatWt]]&lt;&gt;0,SUM(Production[[#This Row],[BtTtl]:[BrTtl]])/Production[[#This Row],[SatWt]],""),"")</f>
        <v/>
      </c>
      <c r="S245" s="223" t="str">
        <f>INDEX(Ingredients[Species],MATCH(Production[[#This Row],[Product]],Ingredients[ProdName],0))</f>
        <v>Poultry</v>
      </c>
    </row>
    <row r="246" spans="1:19" ht="11.1" customHeight="1" x14ac:dyDescent="0.25">
      <c r="A246" s="207" t="str">
        <f>IFERROR(IF(Production[[#This Row],[Date]]&lt;&gt;"",TEXT(Production[[#This Row],[Date]],"yy")&amp;"-"&amp;TEXT(Production[[#This Row],[Date]]-DATE(YEAR(Production[[#This Row],[Date]]),1,0),"000"),""),"")</f>
        <v>23-164</v>
      </c>
      <c r="B246" s="209" t="str">
        <f>IFERROR(IF(INDEX(Ingredients[Ingr1],MATCH(Production[[#This Row],[Product]],Ingredients[ProdName],0))&lt;&gt;"",INDEX(Ingredients[Ingr1],MATCH(Production[[#This Row],[Product]],Ingredients[ProdName],0)),INDEX(Ingredients[Ingr2],MATCH(Production[[#This Row],[Product]],Ingredients[ProdName],0))),"")</f>
        <v>Chicken - Tenders</v>
      </c>
      <c r="C246" s="53">
        <v>45090</v>
      </c>
      <c r="D246" s="54" t="s">
        <v>14</v>
      </c>
      <c r="E246" s="55" t="s">
        <v>174</v>
      </c>
      <c r="F246" s="56">
        <v>2</v>
      </c>
      <c r="G246" s="56">
        <v>14</v>
      </c>
      <c r="H246" s="208">
        <f>IFERROR(INDEX(Tier1[Wt],MATCH(Production[[#This Row],[Type]],Tier1[Ingredient],0))*Production[[#This Row],[Blocks Used]],0)</f>
        <v>560</v>
      </c>
      <c r="I246" s="210">
        <f>IFERROR(INDEX(Ingredients[TtlWt],MATCH(Production[[#This Row],[Product]],Ingredients[ProdName],0))*Production[[#This Row],[Lots Done]],"")</f>
        <v>124.3</v>
      </c>
      <c r="J246" s="210" t="str">
        <f>IF(INDEX(Ingredients[Batter],MATCH(Production[[#This Row],[Product]],Ingredients[ProdName],0))*Production[[#This Row],[Batter Used]]&gt;0,INDEX(Ingredients[Batter],MATCH(Production[[#This Row],[Product]],Ingredients[ProdName],0))*Production[[#This Row],[Batter Used]],"")</f>
        <v/>
      </c>
      <c r="K246" s="210" t="str">
        <f>IF(INDEX(Ingredients[Breader],MATCH(Production[[#This Row],[Product]],Ingredients[ProdName],0))*Production[[#This Row],[Breader Used]]&gt;0,INDEX(Ingredients[Breader],MATCH(Production[[#This Row],[Product]],Ingredients[ProdName],0))*Production[[#This Row],[Breader Used]],"")</f>
        <v/>
      </c>
      <c r="L246" s="56"/>
      <c r="M246" s="56"/>
      <c r="N246" s="211">
        <f>IFERROR(IF(SUM(Production[[#This Row],[Meat Wt]:[BrTtl]])&lt;&gt;0,SUM(Production[[#This Row],[Meat Wt]:[BrTtl]]),""),"")</f>
        <v>684.3</v>
      </c>
      <c r="O246" s="55">
        <v>24</v>
      </c>
      <c r="P246" s="208">
        <f>INDEX(Ingredients[Case Wt.],MATCH(Production[[#This Row],[Product]],Ingredients[ProdName],0))*Production[[#This Row],[Case Total]]</f>
        <v>600</v>
      </c>
      <c r="Q246" s="211">
        <f>IFERROR(Production[[#This Row],[SatWt]]-Production[[#This Row],[RawWt]],"")</f>
        <v>-84.299999999999955</v>
      </c>
      <c r="R246" s="222" t="str">
        <f>IF(Production[[#This Row],[Species]]&lt;&gt;"",IF(SUM(Production[[#This Row],[BtTtl]:[BrTtl]])/Production[[#This Row],[SatWt]]&lt;&gt;0,SUM(Production[[#This Row],[BtTtl]:[BrTtl]])/Production[[#This Row],[SatWt]],""),"")</f>
        <v/>
      </c>
      <c r="S246" s="223" t="str">
        <f>INDEX(Ingredients[Species],MATCH(Production[[#This Row],[Product]],Ingredients[ProdName],0))</f>
        <v>Poultry</v>
      </c>
    </row>
    <row r="247" spans="1:19" ht="11.1" customHeight="1" x14ac:dyDescent="0.25">
      <c r="A247" s="207" t="str">
        <f>IFERROR(IF(Production[[#This Row],[Date]]&lt;&gt;"",TEXT(Production[[#This Row],[Date]],"yy")&amp;"-"&amp;TEXT(Production[[#This Row],[Date]]-DATE(YEAR(Production[[#This Row],[Date]]),1,0),"000"),""),"")</f>
        <v>23-165</v>
      </c>
      <c r="B247" s="209" t="str">
        <f>IFERROR(IF(INDEX(Ingredients[Ingr1],MATCH(Production[[#This Row],[Product]],Ingredients[ProdName],0))&lt;&gt;"",INDEX(Ingredients[Ingr1],MATCH(Production[[#This Row],[Product]],Ingredients[ProdName],0)),INDEX(Ingredients[Ingr2],MATCH(Production[[#This Row],[Product]],Ingredients[ProdName],0))),"")</f>
        <v>Chicken - Ground</v>
      </c>
      <c r="C247" s="53">
        <v>45091</v>
      </c>
      <c r="D247" s="54" t="s">
        <v>20</v>
      </c>
      <c r="E247" s="55">
        <v>918</v>
      </c>
      <c r="F247" s="56">
        <v>11</v>
      </c>
      <c r="G247" s="56">
        <v>66</v>
      </c>
      <c r="H247" s="208">
        <f>IFERROR(INDEX(Tier1[Wt],MATCH(Production[[#This Row],[Type]],Tier1[Ingredient],0))*Production[[#This Row],[Blocks Used]],0)</f>
        <v>3300</v>
      </c>
      <c r="I247" s="210">
        <f>IFERROR(INDEX(Ingredients[TtlWt],MATCH(Production[[#This Row],[Product]],Ingredients[ProdName],0))*Production[[#This Row],[Lots Done]],"")</f>
        <v>224.39999999999998</v>
      </c>
      <c r="J247" s="210" t="str">
        <f>IF(INDEX(Ingredients[Batter],MATCH(Production[[#This Row],[Product]],Ingredients[ProdName],0))*Production[[#This Row],[Batter Used]]&gt;0,INDEX(Ingredients[Batter],MATCH(Production[[#This Row],[Product]],Ingredients[ProdName],0))*Production[[#This Row],[Batter Used]],"")</f>
        <v/>
      </c>
      <c r="K247" s="210" t="str">
        <f>IF(INDEX(Ingredients[Breader],MATCH(Production[[#This Row],[Product]],Ingredients[ProdName],0))*Production[[#This Row],[Breader Used]]&gt;0,INDEX(Ingredients[Breader],MATCH(Production[[#This Row],[Product]],Ingredients[ProdName],0))*Production[[#This Row],[Breader Used]],"")</f>
        <v/>
      </c>
      <c r="L247" s="56"/>
      <c r="M247" s="56"/>
      <c r="N247" s="211">
        <f>IFERROR(IF(SUM(Production[[#This Row],[Meat Wt]:[BrTtl]])&lt;&gt;0,SUM(Production[[#This Row],[Meat Wt]:[BrTtl]]),""),"")</f>
        <v>3524.4</v>
      </c>
      <c r="O247" s="55">
        <v>199</v>
      </c>
      <c r="P247" s="208">
        <f>INDEX(Ingredients[Case Wt.],MATCH(Production[[#This Row],[Product]],Ingredients[ProdName],0))*Production[[#This Row],[Case Total]]</f>
        <v>4975</v>
      </c>
      <c r="Q247" s="211">
        <f>IFERROR(Production[[#This Row],[SatWt]]-Production[[#This Row],[RawWt]],"")</f>
        <v>1450.6</v>
      </c>
      <c r="R247" s="222" t="str">
        <f>IF(Production[[#This Row],[Species]]&lt;&gt;"",IF(SUM(Production[[#This Row],[BtTtl]:[BrTtl]])/Production[[#This Row],[SatWt]]&lt;&gt;0,SUM(Production[[#This Row],[BtTtl]:[BrTtl]])/Production[[#This Row],[SatWt]],""),"")</f>
        <v/>
      </c>
      <c r="S247" s="223" t="str">
        <f>INDEX(Ingredients[Species],MATCH(Production[[#This Row],[Product]],Ingredients[ProdName],0))</f>
        <v>Poultry</v>
      </c>
    </row>
    <row r="248" spans="1:19" ht="11.1" customHeight="1" x14ac:dyDescent="0.25">
      <c r="A248" s="207" t="str">
        <f>IFERROR(IF(Production[[#This Row],[Date]]&lt;&gt;"",TEXT(Production[[#This Row],[Date]],"yy")&amp;"-"&amp;TEXT(Production[[#This Row],[Date]]-DATE(YEAR(Production[[#This Row],[Date]]),1,0),"000"),""),"")</f>
        <v>23-166</v>
      </c>
      <c r="B248" s="209" t="str">
        <f>IFERROR(IF(INDEX(Ingredients[Ingr1],MATCH(Production[[#This Row],[Product]],Ingredients[ProdName],0))&lt;&gt;"",INDEX(Ingredients[Ingr1],MATCH(Production[[#This Row],[Product]],Ingredients[ProdName],0)),INDEX(Ingredients[Ingr2],MATCH(Production[[#This Row],[Product]],Ingredients[ProdName],0))),"")</f>
        <v>Chicken - Ground</v>
      </c>
      <c r="C248" s="53">
        <v>45092</v>
      </c>
      <c r="D248" s="54" t="s">
        <v>19</v>
      </c>
      <c r="E248" s="55">
        <v>918</v>
      </c>
      <c r="F248" s="56">
        <v>11</v>
      </c>
      <c r="G248" s="56">
        <v>66</v>
      </c>
      <c r="H248" s="208">
        <f>IFERROR(INDEX(Tier1[Wt],MATCH(Production[[#This Row],[Type]],Tier1[Ingredient],0))*Production[[#This Row],[Blocks Used]],0)</f>
        <v>3300</v>
      </c>
      <c r="I248" s="210">
        <f>IFERROR(INDEX(Ingredients[TtlWt],MATCH(Production[[#This Row],[Product]],Ingredients[ProdName],0))*Production[[#This Row],[Lots Done]],"")</f>
        <v>128.15</v>
      </c>
      <c r="J248" s="210" t="str">
        <f>IF(INDEX(Ingredients[Batter],MATCH(Production[[#This Row],[Product]],Ingredients[ProdName],0))*Production[[#This Row],[Batter Used]]&gt;0,INDEX(Ingredients[Batter],MATCH(Production[[#This Row],[Product]],Ingredients[ProdName],0))*Production[[#This Row],[Batter Used]],"")</f>
        <v/>
      </c>
      <c r="K248" s="210" t="str">
        <f>IF(INDEX(Ingredients[Breader],MATCH(Production[[#This Row],[Product]],Ingredients[ProdName],0))*Production[[#This Row],[Breader Used]]&gt;0,INDEX(Ingredients[Breader],MATCH(Production[[#This Row],[Product]],Ingredients[ProdName],0))*Production[[#This Row],[Breader Used]],"")</f>
        <v/>
      </c>
      <c r="L248" s="56"/>
      <c r="M248" s="56"/>
      <c r="N248" s="211">
        <f>IFERROR(IF(SUM(Production[[#This Row],[Meat Wt]:[BrTtl]])&lt;&gt;0,SUM(Production[[#This Row],[Meat Wt]:[BrTtl]]),""),"")</f>
        <v>3428.15</v>
      </c>
      <c r="O248" s="55">
        <v>180</v>
      </c>
      <c r="P248" s="208">
        <f>INDEX(Ingredients[Case Wt.],MATCH(Production[[#This Row],[Product]],Ingredients[ProdName],0))*Production[[#This Row],[Case Total]]</f>
        <v>4500</v>
      </c>
      <c r="Q248" s="211">
        <f>IFERROR(Production[[#This Row],[SatWt]]-Production[[#This Row],[RawWt]],"")</f>
        <v>1071.8499999999999</v>
      </c>
      <c r="R248" s="222" t="str">
        <f>IF(Production[[#This Row],[Species]]&lt;&gt;"",IF(SUM(Production[[#This Row],[BtTtl]:[BrTtl]])/Production[[#This Row],[SatWt]]&lt;&gt;0,SUM(Production[[#This Row],[BtTtl]:[BrTtl]])/Production[[#This Row],[SatWt]],""),"")</f>
        <v/>
      </c>
      <c r="S248" s="223" t="str">
        <f>INDEX(Ingredients[Species],MATCH(Production[[#This Row],[Product]],Ingredients[ProdName],0))</f>
        <v>Poultry</v>
      </c>
    </row>
    <row r="249" spans="1:19" ht="11.1" customHeight="1" x14ac:dyDescent="0.25">
      <c r="A249" s="207" t="str">
        <f>IFERROR(IF(Production[[#This Row],[Date]]&lt;&gt;"",TEXT(Production[[#This Row],[Date]],"yy")&amp;"-"&amp;TEXT(Production[[#This Row],[Date]]-DATE(YEAR(Production[[#This Row],[Date]]),1,0),"000"),""),"")</f>
        <v>23-171</v>
      </c>
      <c r="B249" s="209" t="str">
        <f>IFERROR(IF(INDEX(Ingredients[Ingr1],MATCH(Production[[#This Row],[Product]],Ingredients[ProdName],0))&lt;&gt;"",INDEX(Ingredients[Ingr1],MATCH(Production[[#This Row],[Product]],Ingredients[ProdName],0)),INDEX(Ingredients[Ingr2],MATCH(Production[[#This Row],[Product]],Ingredients[ProdName],0))),"")</f>
        <v>Chicken - Ground</v>
      </c>
      <c r="C249" s="53">
        <v>45097</v>
      </c>
      <c r="D249" s="54" t="s">
        <v>7</v>
      </c>
      <c r="E249" s="55">
        <v>918</v>
      </c>
      <c r="F249" s="56">
        <v>12</v>
      </c>
      <c r="G249" s="56">
        <v>72</v>
      </c>
      <c r="H249" s="208">
        <f>IFERROR(INDEX(Tier1[Wt],MATCH(Production[[#This Row],[Type]],Tier1[Ingredient],0))*Production[[#This Row],[Blocks Used]],0)</f>
        <v>3600</v>
      </c>
      <c r="I249" s="210">
        <f>IFERROR(INDEX(Ingredients[TtlWt],MATCH(Production[[#This Row],[Product]],Ingredients[ProdName],0))*Production[[#This Row],[Lots Done]],"")</f>
        <v>81</v>
      </c>
      <c r="J249" s="210" t="str">
        <f>IF(INDEX(Ingredients[Batter],MATCH(Production[[#This Row],[Product]],Ingredients[ProdName],0))*Production[[#This Row],[Batter Used]]&gt;0,INDEX(Ingredients[Batter],MATCH(Production[[#This Row],[Product]],Ingredients[ProdName],0))*Production[[#This Row],[Batter Used]],"")</f>
        <v/>
      </c>
      <c r="K249" s="210" t="str">
        <f>IF(INDEX(Ingredients[Breader],MATCH(Production[[#This Row],[Product]],Ingredients[ProdName],0))*Production[[#This Row],[Breader Used]]&gt;0,INDEX(Ingredients[Breader],MATCH(Production[[#This Row],[Product]],Ingredients[ProdName],0))*Production[[#This Row],[Breader Used]],"")</f>
        <v/>
      </c>
      <c r="L249" s="56"/>
      <c r="M249" s="56"/>
      <c r="N249" s="211">
        <f>IFERROR(IF(SUM(Production[[#This Row],[Meat Wt]:[BrTtl]])&lt;&gt;0,SUM(Production[[#This Row],[Meat Wt]:[BrTtl]]),""),"")</f>
        <v>3681</v>
      </c>
      <c r="O249" s="55">
        <v>191</v>
      </c>
      <c r="P249" s="208">
        <f>INDEX(Ingredients[Case Wt.],MATCH(Production[[#This Row],[Product]],Ingredients[ProdName],0))*Production[[#This Row],[Case Total]]</f>
        <v>4775</v>
      </c>
      <c r="Q249" s="211">
        <f>IFERROR(Production[[#This Row],[SatWt]]-Production[[#This Row],[RawWt]],"")</f>
        <v>1094</v>
      </c>
      <c r="R249" s="222" t="str">
        <f>IF(Production[[#This Row],[Species]]&lt;&gt;"",IF(SUM(Production[[#This Row],[BtTtl]:[BrTtl]])/Production[[#This Row],[SatWt]]&lt;&gt;0,SUM(Production[[#This Row],[BtTtl]:[BrTtl]])/Production[[#This Row],[SatWt]],""),"")</f>
        <v/>
      </c>
      <c r="S249" s="223" t="str">
        <f>INDEX(Ingredients[Species],MATCH(Production[[#This Row],[Product]],Ingredients[ProdName],0))</f>
        <v>Poultry</v>
      </c>
    </row>
    <row r="250" spans="1:19" ht="11.1" customHeight="1" x14ac:dyDescent="0.25">
      <c r="A250" s="207" t="str">
        <f>IFERROR(IF(Production[[#This Row],[Date]]&lt;&gt;"",TEXT(Production[[#This Row],[Date]],"yy")&amp;"-"&amp;TEXT(Production[[#This Row],[Date]]-DATE(YEAR(Production[[#This Row],[Date]]),1,0),"000"),""),"")</f>
        <v>23-172</v>
      </c>
      <c r="B250" s="209" t="str">
        <f>IFERROR(IF(INDEX(Ingredients[Ingr1],MATCH(Production[[#This Row],[Product]],Ingredients[ProdName],0))&lt;&gt;"",INDEX(Ingredients[Ingr1],MATCH(Production[[#This Row],[Product]],Ingredients[ProdName],0)),INDEX(Ingredients[Ingr2],MATCH(Production[[#This Row],[Product]],Ingredients[ProdName],0))),"")</f>
        <v>Chicken - Ground</v>
      </c>
      <c r="C250" s="53">
        <v>45098</v>
      </c>
      <c r="D250" s="54" t="s">
        <v>17</v>
      </c>
      <c r="E250" s="55">
        <v>918</v>
      </c>
      <c r="F250" s="56">
        <v>12</v>
      </c>
      <c r="G250" s="56">
        <v>72</v>
      </c>
      <c r="H250" s="208">
        <f>IFERROR(INDEX(Tier1[Wt],MATCH(Production[[#This Row],[Type]],Tier1[Ingredient],0))*Production[[#This Row],[Blocks Used]],0)</f>
        <v>3600</v>
      </c>
      <c r="I250" s="210">
        <f>IFERROR(INDEX(Ingredients[TtlWt],MATCH(Production[[#This Row],[Product]],Ingredients[ProdName],0))*Production[[#This Row],[Lots Done]],"")</f>
        <v>503.40000000000003</v>
      </c>
      <c r="J250" s="210" t="str">
        <f>IF(INDEX(Ingredients[Batter],MATCH(Production[[#This Row],[Product]],Ingredients[ProdName],0))*Production[[#This Row],[Batter Used]]&gt;0,INDEX(Ingredients[Batter],MATCH(Production[[#This Row],[Product]],Ingredients[ProdName],0))*Production[[#This Row],[Batter Used]],"")</f>
        <v/>
      </c>
      <c r="K250" s="210" t="str">
        <f>IF(INDEX(Ingredients[Breader],MATCH(Production[[#This Row],[Product]],Ingredients[ProdName],0))*Production[[#This Row],[Breader Used]]&gt;0,INDEX(Ingredients[Breader],MATCH(Production[[#This Row],[Product]],Ingredients[ProdName],0))*Production[[#This Row],[Breader Used]],"")</f>
        <v/>
      </c>
      <c r="L250" s="56"/>
      <c r="M250" s="56"/>
      <c r="N250" s="211">
        <f>IFERROR(IF(SUM(Production[[#This Row],[Meat Wt]:[BrTtl]])&lt;&gt;0,SUM(Production[[#This Row],[Meat Wt]:[BrTtl]]),""),"")</f>
        <v>4103.3999999999996</v>
      </c>
      <c r="O250" s="55">
        <v>230</v>
      </c>
      <c r="P250" s="208">
        <f>INDEX(Ingredients[Case Wt.],MATCH(Production[[#This Row],[Product]],Ingredients[ProdName],0))*Production[[#This Row],[Case Total]]</f>
        <v>5750</v>
      </c>
      <c r="Q250" s="211">
        <f>IFERROR(Production[[#This Row],[SatWt]]-Production[[#This Row],[RawWt]],"")</f>
        <v>1646.6000000000004</v>
      </c>
      <c r="R250" s="222" t="str">
        <f>IF(Production[[#This Row],[Species]]&lt;&gt;"",IF(SUM(Production[[#This Row],[BtTtl]:[BrTtl]])/Production[[#This Row],[SatWt]]&lt;&gt;0,SUM(Production[[#This Row],[BtTtl]:[BrTtl]])/Production[[#This Row],[SatWt]],""),"")</f>
        <v/>
      </c>
      <c r="S250" s="223" t="str">
        <f>INDEX(Ingredients[Species],MATCH(Production[[#This Row],[Product]],Ingredients[ProdName],0))</f>
        <v>Poultry</v>
      </c>
    </row>
    <row r="251" spans="1:19" ht="11.1" customHeight="1" x14ac:dyDescent="0.25">
      <c r="A251" s="207" t="str">
        <f>IFERROR(IF(Production[[#This Row],[Date]]&lt;&gt;"",TEXT(Production[[#This Row],[Date]],"yy")&amp;"-"&amp;TEXT(Production[[#This Row],[Date]]-DATE(YEAR(Production[[#This Row],[Date]]),1,0),"000"),""),"")</f>
        <v>23-177</v>
      </c>
      <c r="B251" s="209" t="str">
        <f>IFERROR(IF(INDEX(Ingredients[Ingr1],MATCH(Production[[#This Row],[Product]],Ingredients[ProdName],0))&lt;&gt;"",INDEX(Ingredients[Ingr1],MATCH(Production[[#This Row],[Product]],Ingredients[ProdName],0)),INDEX(Ingredients[Ingr2],MATCH(Production[[#This Row],[Product]],Ingredients[ProdName],0))),"")</f>
        <v>Chicken - Tenders</v>
      </c>
      <c r="C251" s="53">
        <v>45103</v>
      </c>
      <c r="D251" s="54" t="s">
        <v>14</v>
      </c>
      <c r="E251" s="55" t="s">
        <v>174</v>
      </c>
      <c r="F251" s="56">
        <v>12</v>
      </c>
      <c r="G251" s="56">
        <v>84</v>
      </c>
      <c r="H251" s="208">
        <f>IFERROR(INDEX(Tier1[Wt],MATCH(Production[[#This Row],[Type]],Tier1[Ingredient],0))*Production[[#This Row],[Blocks Used]],0)</f>
        <v>3360</v>
      </c>
      <c r="I251" s="210">
        <f>IFERROR(INDEX(Ingredients[TtlWt],MATCH(Production[[#This Row],[Product]],Ingredients[ProdName],0))*Production[[#This Row],[Lots Done]],"")</f>
        <v>745.8</v>
      </c>
      <c r="J251" s="210" t="str">
        <f>IF(INDEX(Ingredients[Batter],MATCH(Production[[#This Row],[Product]],Ingredients[ProdName],0))*Production[[#This Row],[Batter Used]]&gt;0,INDEX(Ingredients[Batter],MATCH(Production[[#This Row],[Product]],Ingredients[ProdName],0))*Production[[#This Row],[Batter Used]],"")</f>
        <v/>
      </c>
      <c r="K251" s="210" t="str">
        <f>IF(INDEX(Ingredients[Breader],MATCH(Production[[#This Row],[Product]],Ingredients[ProdName],0))*Production[[#This Row],[Breader Used]]&gt;0,INDEX(Ingredients[Breader],MATCH(Production[[#This Row],[Product]],Ingredients[ProdName],0))*Production[[#This Row],[Breader Used]],"")</f>
        <v/>
      </c>
      <c r="L251" s="56"/>
      <c r="M251" s="56"/>
      <c r="N251" s="211">
        <f>IFERROR(IF(SUM(Production[[#This Row],[Meat Wt]:[BrTtl]])&lt;&gt;0,SUM(Production[[#This Row],[Meat Wt]:[BrTtl]]),""),"")</f>
        <v>4105.8</v>
      </c>
      <c r="O251" s="55">
        <v>217</v>
      </c>
      <c r="P251" s="208">
        <f>INDEX(Ingredients[Case Wt.],MATCH(Production[[#This Row],[Product]],Ingredients[ProdName],0))*Production[[#This Row],[Case Total]]</f>
        <v>5425</v>
      </c>
      <c r="Q251" s="211">
        <f>IFERROR(Production[[#This Row],[SatWt]]-Production[[#This Row],[RawWt]],"")</f>
        <v>1319.1999999999998</v>
      </c>
      <c r="R251" s="222" t="str">
        <f>IF(Production[[#This Row],[Species]]&lt;&gt;"",IF(SUM(Production[[#This Row],[BtTtl]:[BrTtl]])/Production[[#This Row],[SatWt]]&lt;&gt;0,SUM(Production[[#This Row],[BtTtl]:[BrTtl]])/Production[[#This Row],[SatWt]],""),"")</f>
        <v/>
      </c>
      <c r="S251" s="223" t="str">
        <f>INDEX(Ingredients[Species],MATCH(Production[[#This Row],[Product]],Ingredients[ProdName],0))</f>
        <v>Poultry</v>
      </c>
    </row>
    <row r="252" spans="1:19" ht="11.1" customHeight="1" x14ac:dyDescent="0.25">
      <c r="A252" s="207" t="str">
        <f>IFERROR(IF(Production[[#This Row],[Date]]&lt;&gt;"",TEXT(Production[[#This Row],[Date]],"yy")&amp;"-"&amp;TEXT(Production[[#This Row],[Date]]-DATE(YEAR(Production[[#This Row],[Date]]),1,0),"000"),""),"")</f>
        <v>23-178</v>
      </c>
      <c r="B252" s="209" t="str">
        <f>IFERROR(IF(INDEX(Ingredients[Ingr1],MATCH(Production[[#This Row],[Product]],Ingredients[ProdName],0))&lt;&gt;"",INDEX(Ingredients[Ingr1],MATCH(Production[[#This Row],[Product]],Ingredients[ProdName],0)),INDEX(Ingredients[Ingr2],MATCH(Production[[#This Row],[Product]],Ingredients[ProdName],0))),"")</f>
        <v>Chicken - Ground</v>
      </c>
      <c r="C252" s="53">
        <v>45104</v>
      </c>
      <c r="D252" s="54" t="s">
        <v>16</v>
      </c>
      <c r="E252" s="55">
        <v>918</v>
      </c>
      <c r="F252" s="56">
        <v>10</v>
      </c>
      <c r="G252" s="56">
        <v>60</v>
      </c>
      <c r="H252" s="208">
        <f>IFERROR(INDEX(Tier1[Wt],MATCH(Production[[#This Row],[Type]],Tier1[Ingredient],0))*Production[[#This Row],[Blocks Used]],0)</f>
        <v>3000</v>
      </c>
      <c r="I252" s="210">
        <f>IFERROR(INDEX(Ingredients[TtlWt],MATCH(Production[[#This Row],[Product]],Ingredients[ProdName],0))*Production[[#This Row],[Lots Done]],"")</f>
        <v>204</v>
      </c>
      <c r="J252" s="210" t="str">
        <f>IF(INDEX(Ingredients[Batter],MATCH(Production[[#This Row],[Product]],Ingredients[ProdName],0))*Production[[#This Row],[Batter Used]]&gt;0,INDEX(Ingredients[Batter],MATCH(Production[[#This Row],[Product]],Ingredients[ProdName],0))*Production[[#This Row],[Batter Used]],"")</f>
        <v/>
      </c>
      <c r="K252" s="210" t="str">
        <f>IF(INDEX(Ingredients[Breader],MATCH(Production[[#This Row],[Product]],Ingredients[ProdName],0))*Production[[#This Row],[Breader Used]]&gt;0,INDEX(Ingredients[Breader],MATCH(Production[[#This Row],[Product]],Ingredients[ProdName],0))*Production[[#This Row],[Breader Used]],"")</f>
        <v/>
      </c>
      <c r="L252" s="56"/>
      <c r="M252" s="56"/>
      <c r="N252" s="211">
        <f>IFERROR(IF(SUM(Production[[#This Row],[Meat Wt]:[BrTtl]])&lt;&gt;0,SUM(Production[[#This Row],[Meat Wt]:[BrTtl]]),""),"")</f>
        <v>3204</v>
      </c>
      <c r="O252" s="55">
        <v>138</v>
      </c>
      <c r="P252" s="208">
        <f>INDEX(Ingredients[Case Wt.],MATCH(Production[[#This Row],[Product]],Ingredients[ProdName],0))*Production[[#This Row],[Case Total]]</f>
        <v>4140</v>
      </c>
      <c r="Q252" s="211">
        <f>IFERROR(Production[[#This Row],[SatWt]]-Production[[#This Row],[RawWt]],"")</f>
        <v>936</v>
      </c>
      <c r="R252" s="222" t="str">
        <f>IF(Production[[#This Row],[Species]]&lt;&gt;"",IF(SUM(Production[[#This Row],[BtTtl]:[BrTtl]])/Production[[#This Row],[SatWt]]&lt;&gt;0,SUM(Production[[#This Row],[BtTtl]:[BrTtl]])/Production[[#This Row],[SatWt]],""),"")</f>
        <v/>
      </c>
      <c r="S252" s="223" t="str">
        <f>INDEX(Ingredients[Species],MATCH(Production[[#This Row],[Product]],Ingredients[ProdName],0))</f>
        <v>Poultry</v>
      </c>
    </row>
    <row r="253" spans="1:19" ht="11.1" customHeight="1" x14ac:dyDescent="0.25">
      <c r="A253" s="207" t="str">
        <f>IFERROR(IF(Production[[#This Row],[Date]]&lt;&gt;"",TEXT(Production[[#This Row],[Date]],"yy")&amp;"-"&amp;TEXT(Production[[#This Row],[Date]]-DATE(YEAR(Production[[#This Row],[Date]]),1,0),"000"),""),"")</f>
        <v>23-180</v>
      </c>
      <c r="B253" s="209" t="str">
        <f>IFERROR(IF(INDEX(Ingredients[Ingr1],MATCH(Production[[#This Row],[Product]],Ingredients[ProdName],0))&lt;&gt;"",INDEX(Ingredients[Ingr1],MATCH(Production[[#This Row],[Product]],Ingredients[ProdName],0)),INDEX(Ingredients[Ingr2],MATCH(Production[[#This Row],[Product]],Ingredients[ProdName],0))),"")</f>
        <v>Chicken - Ground</v>
      </c>
      <c r="C253" s="53">
        <v>45106</v>
      </c>
      <c r="D253" s="54" t="s">
        <v>15</v>
      </c>
      <c r="E253" s="55">
        <v>918</v>
      </c>
      <c r="F253" s="56">
        <v>8</v>
      </c>
      <c r="G253" s="56">
        <v>56</v>
      </c>
      <c r="H253" s="208">
        <f>IFERROR(INDEX(Tier1[Wt],MATCH(Production[[#This Row],[Type]],Tier1[Ingredient],0))*Production[[#This Row],[Blocks Used]],0)</f>
        <v>2800</v>
      </c>
      <c r="I253" s="210">
        <f>IFERROR(INDEX(Ingredients[TtlWt],MATCH(Production[[#This Row],[Product]],Ingredients[ProdName],0))*Production[[#This Row],[Lots Done]],"")</f>
        <v>93.2</v>
      </c>
      <c r="J253" s="210" t="str">
        <f>IF(INDEX(Ingredients[Batter],MATCH(Production[[#This Row],[Product]],Ingredients[ProdName],0))*Production[[#This Row],[Batter Used]]&gt;0,INDEX(Ingredients[Batter],MATCH(Production[[#This Row],[Product]],Ingredients[ProdName],0))*Production[[#This Row],[Batter Used]],"")</f>
        <v/>
      </c>
      <c r="K253" s="210" t="str">
        <f>IF(INDEX(Ingredients[Breader],MATCH(Production[[#This Row],[Product]],Ingredients[ProdName],0))*Production[[#This Row],[Breader Used]]&gt;0,INDEX(Ingredients[Breader],MATCH(Production[[#This Row],[Product]],Ingredients[ProdName],0))*Production[[#This Row],[Breader Used]],"")</f>
        <v/>
      </c>
      <c r="L253" s="56"/>
      <c r="M253" s="56"/>
      <c r="N253" s="211">
        <f>IFERROR(IF(SUM(Production[[#This Row],[Meat Wt]:[BrTtl]])&lt;&gt;0,SUM(Production[[#This Row],[Meat Wt]:[BrTtl]]),""),"")</f>
        <v>2893.2</v>
      </c>
      <c r="O253" s="55">
        <v>107</v>
      </c>
      <c r="P253" s="208">
        <f>INDEX(Ingredients[Case Wt.],MATCH(Production[[#This Row],[Product]],Ingredients[ProdName],0))*Production[[#This Row],[Case Total]]</f>
        <v>3210</v>
      </c>
      <c r="Q253" s="211">
        <f>IFERROR(Production[[#This Row],[SatWt]]-Production[[#This Row],[RawWt]],"")</f>
        <v>316.80000000000018</v>
      </c>
      <c r="R253" s="222" t="str">
        <f>IF(Production[[#This Row],[Species]]&lt;&gt;"",IF(SUM(Production[[#This Row],[BtTtl]:[BrTtl]])/Production[[#This Row],[SatWt]]&lt;&gt;0,SUM(Production[[#This Row],[BtTtl]:[BrTtl]])/Production[[#This Row],[SatWt]],""),"")</f>
        <v/>
      </c>
      <c r="S253" s="223" t="str">
        <f>INDEX(Ingredients[Species],MATCH(Production[[#This Row],[Product]],Ingredients[ProdName],0))</f>
        <v>Poultry</v>
      </c>
    </row>
    <row r="254" spans="1:19" ht="11.1" customHeight="1" x14ac:dyDescent="0.25">
      <c r="A254" s="207" t="str">
        <f>IFERROR(IF(Production[[#This Row],[Date]]&lt;&gt;"",TEXT(Production[[#This Row],[Date]],"yy")&amp;"-"&amp;TEXT(Production[[#This Row],[Date]]-DATE(YEAR(Production[[#This Row],[Date]]),1,0),"000"),""),"")</f>
        <v>23-184</v>
      </c>
      <c r="B254" s="209" t="str">
        <f>IFERROR(IF(INDEX(Ingredients[Ingr1],MATCH(Production[[#This Row],[Product]],Ingredients[ProdName],0))&lt;&gt;"",INDEX(Ingredients[Ingr1],MATCH(Production[[#This Row],[Product]],Ingredients[ProdName],0)),INDEX(Ingredients[Ingr2],MATCH(Production[[#This Row],[Product]],Ingredients[ProdName],0))),"")</f>
        <v>Chicken - Tenders</v>
      </c>
      <c r="C254" s="53">
        <v>45110</v>
      </c>
      <c r="D254" s="54" t="s">
        <v>12</v>
      </c>
      <c r="E254" s="55" t="s">
        <v>174</v>
      </c>
      <c r="F254" s="56">
        <v>8</v>
      </c>
      <c r="G254" s="56">
        <v>56</v>
      </c>
      <c r="H254" s="208">
        <f>IFERROR(INDEX(Tier1[Wt],MATCH(Production[[#This Row],[Type]],Tier1[Ingredient],0))*Production[[#This Row],[Blocks Used]],0)</f>
        <v>2240</v>
      </c>
      <c r="I254" s="210">
        <f>IFERROR(INDEX(Ingredients[TtlWt],MATCH(Production[[#This Row],[Product]],Ingredients[ProdName],0))*Production[[#This Row],[Lots Done]],"")</f>
        <v>478.4</v>
      </c>
      <c r="J254" s="210">
        <f>IF(INDEX(Ingredients[Batter],MATCH(Production[[#This Row],[Product]],Ingredients[ProdName],0))*Production[[#This Row],[Batter Used]]&gt;0,INDEX(Ingredients[Batter],MATCH(Production[[#This Row],[Product]],Ingredients[ProdName],0))*Production[[#This Row],[Batter Used]],"")</f>
        <v>250</v>
      </c>
      <c r="K254" s="210">
        <f>IF(INDEX(Ingredients[Breader],MATCH(Production[[#This Row],[Product]],Ingredients[ProdName],0))*Production[[#This Row],[Breader Used]]&gt;0,INDEX(Ingredients[Breader],MATCH(Production[[#This Row],[Product]],Ingredients[ProdName],0))*Production[[#This Row],[Breader Used]],"")</f>
        <v>1000</v>
      </c>
      <c r="L254" s="56">
        <v>5</v>
      </c>
      <c r="M254" s="56">
        <v>20</v>
      </c>
      <c r="N254" s="211">
        <f>IFERROR(IF(SUM(Production[[#This Row],[Meat Wt]:[BrTtl]])&lt;&gt;0,SUM(Production[[#This Row],[Meat Wt]:[BrTtl]]),""),"")</f>
        <v>3968.4</v>
      </c>
      <c r="O254" s="55">
        <v>179</v>
      </c>
      <c r="P254" s="208">
        <f>INDEX(Ingredients[Case Wt.],MATCH(Production[[#This Row],[Product]],Ingredients[ProdName],0))*Production[[#This Row],[Case Total]]</f>
        <v>4475</v>
      </c>
      <c r="Q254" s="211">
        <f>IFERROR(Production[[#This Row],[SatWt]]-Production[[#This Row],[RawWt]],"")</f>
        <v>506.59999999999991</v>
      </c>
      <c r="R254" s="222">
        <f>IF(Production[[#This Row],[Species]]&lt;&gt;"",IF(SUM(Production[[#This Row],[BtTtl]:[BrTtl]])/Production[[#This Row],[SatWt]]&lt;&gt;0,SUM(Production[[#This Row],[BtTtl]:[BrTtl]])/Production[[#This Row],[SatWt]],""),"")</f>
        <v>0.27932960893854747</v>
      </c>
      <c r="S254" s="223" t="str">
        <f>INDEX(Ingredients[Species],MATCH(Production[[#This Row],[Product]],Ingredients[ProdName],0))</f>
        <v>Poultry</v>
      </c>
    </row>
    <row r="255" spans="1:19" ht="11.1" customHeight="1" x14ac:dyDescent="0.25">
      <c r="A255" s="207" t="str">
        <f>IFERROR(IF(Production[[#This Row],[Date]]&lt;&gt;"",TEXT(Production[[#This Row],[Date]],"yy")&amp;"-"&amp;TEXT(Production[[#This Row],[Date]]-DATE(YEAR(Production[[#This Row],[Date]]),1,0),"000"),""),"")</f>
        <v>23-186</v>
      </c>
      <c r="B255" s="209" t="str">
        <f>IFERROR(IF(INDEX(Ingredients[Ingr1],MATCH(Production[[#This Row],[Product]],Ingredients[ProdName],0))&lt;&gt;"",INDEX(Ingredients[Ingr1],MATCH(Production[[#This Row],[Product]],Ingredients[ProdName],0)),INDEX(Ingredients[Ingr2],MATCH(Production[[#This Row],[Product]],Ingredients[ProdName],0))),"")</f>
        <v>Chicken - Tenders</v>
      </c>
      <c r="C255" s="53">
        <v>45112</v>
      </c>
      <c r="D255" s="54" t="s">
        <v>21</v>
      </c>
      <c r="E255" s="55" t="s">
        <v>174</v>
      </c>
      <c r="F255" s="56">
        <v>8</v>
      </c>
      <c r="G255" s="56">
        <v>56</v>
      </c>
      <c r="H255" s="208">
        <f>IFERROR(INDEX(Tier1[Wt],MATCH(Production[[#This Row],[Type]],Tier1[Ingredient],0))*Production[[#This Row],[Blocks Used]],0)</f>
        <v>2240</v>
      </c>
      <c r="I255" s="210">
        <f>IFERROR(INDEX(Ingredients[TtlWt],MATCH(Production[[#This Row],[Product]],Ingredients[ProdName],0))*Production[[#This Row],[Lots Done]],"")</f>
        <v>432</v>
      </c>
      <c r="J255" s="210">
        <f>IF(INDEX(Ingredients[Batter],MATCH(Production[[#This Row],[Product]],Ingredients[ProdName],0))*Production[[#This Row],[Batter Used]]&gt;0,INDEX(Ingredients[Batter],MATCH(Production[[#This Row],[Product]],Ingredients[ProdName],0))*Production[[#This Row],[Batter Used]],"")</f>
        <v>250</v>
      </c>
      <c r="K255" s="210">
        <f>IF(INDEX(Ingredients[Breader],MATCH(Production[[#This Row],[Product]],Ingredients[ProdName],0))*Production[[#This Row],[Breader Used]]&gt;0,INDEX(Ingredients[Breader],MATCH(Production[[#This Row],[Product]],Ingredients[ProdName],0))*Production[[#This Row],[Breader Used]],"")</f>
        <v>500</v>
      </c>
      <c r="L255" s="56">
        <v>5</v>
      </c>
      <c r="M255" s="56">
        <v>10</v>
      </c>
      <c r="N255" s="211">
        <f>IFERROR(IF(SUM(Production[[#This Row],[Meat Wt]:[BrTtl]])&lt;&gt;0,SUM(Production[[#This Row],[Meat Wt]:[BrTtl]]),""),"")</f>
        <v>3422</v>
      </c>
      <c r="O255" s="55">
        <v>162</v>
      </c>
      <c r="P255" s="208">
        <f>INDEX(Ingredients[Case Wt.],MATCH(Production[[#This Row],[Product]],Ingredients[ProdName],0))*Production[[#This Row],[Case Total]]</f>
        <v>4050</v>
      </c>
      <c r="Q255" s="211">
        <f>IFERROR(Production[[#This Row],[SatWt]]-Production[[#This Row],[RawWt]],"")</f>
        <v>628</v>
      </c>
      <c r="R255" s="222">
        <f>IF(Production[[#This Row],[Species]]&lt;&gt;"",IF(SUM(Production[[#This Row],[BtTtl]:[BrTtl]])/Production[[#This Row],[SatWt]]&lt;&gt;0,SUM(Production[[#This Row],[BtTtl]:[BrTtl]])/Production[[#This Row],[SatWt]],""),"")</f>
        <v>0.18518518518518517</v>
      </c>
      <c r="S255" s="223" t="str">
        <f>INDEX(Ingredients[Species],MATCH(Production[[#This Row],[Product]],Ingredients[ProdName],0))</f>
        <v>Poultry</v>
      </c>
    </row>
    <row r="256" spans="1:19" ht="11.1" customHeight="1" x14ac:dyDescent="0.25">
      <c r="A256" s="207" t="str">
        <f>IFERROR(IF(Production[[#This Row],[Date]]&lt;&gt;"",TEXT(Production[[#This Row],[Date]],"yy")&amp;"-"&amp;TEXT(Production[[#This Row],[Date]]-DATE(YEAR(Production[[#This Row],[Date]]),1,0),"000"),""),"")</f>
        <v>23-187</v>
      </c>
      <c r="B256" s="209" t="str">
        <f>IFERROR(IF(INDEX(Ingredients[Ingr1],MATCH(Production[[#This Row],[Product]],Ingredients[ProdName],0))&lt;&gt;"",INDEX(Ingredients[Ingr1],MATCH(Production[[#This Row],[Product]],Ingredients[ProdName],0)),INDEX(Ingredients[Ingr2],MATCH(Production[[#This Row],[Product]],Ingredients[ProdName],0))),"")</f>
        <v>Chicken - Tenders</v>
      </c>
      <c r="C256" s="53">
        <v>45113</v>
      </c>
      <c r="D256" s="54" t="s">
        <v>21</v>
      </c>
      <c r="E256" s="55" t="s">
        <v>174</v>
      </c>
      <c r="F256" s="56">
        <v>8</v>
      </c>
      <c r="G256" s="56">
        <v>56</v>
      </c>
      <c r="H256" s="208">
        <f>IFERROR(INDEX(Tier1[Wt],MATCH(Production[[#This Row],[Type]],Tier1[Ingredient],0))*Production[[#This Row],[Blocks Used]],0)</f>
        <v>2240</v>
      </c>
      <c r="I256" s="210">
        <f>IFERROR(INDEX(Ingredients[TtlWt],MATCH(Production[[#This Row],[Product]],Ingredients[ProdName],0))*Production[[#This Row],[Lots Done]],"")</f>
        <v>432</v>
      </c>
      <c r="J256" s="210">
        <f>IF(INDEX(Ingredients[Batter],MATCH(Production[[#This Row],[Product]],Ingredients[ProdName],0))*Production[[#This Row],[Batter Used]]&gt;0,INDEX(Ingredients[Batter],MATCH(Production[[#This Row],[Product]],Ingredients[ProdName],0))*Production[[#This Row],[Batter Used]],"")</f>
        <v>100</v>
      </c>
      <c r="K256" s="210">
        <f>IF(INDEX(Ingredients[Breader],MATCH(Production[[#This Row],[Product]],Ingredients[ProdName],0))*Production[[#This Row],[Breader Used]]&gt;0,INDEX(Ingredients[Breader],MATCH(Production[[#This Row],[Product]],Ingredients[ProdName],0))*Production[[#This Row],[Breader Used]],"")</f>
        <v>800</v>
      </c>
      <c r="L256" s="56">
        <v>2</v>
      </c>
      <c r="M256" s="56">
        <v>16</v>
      </c>
      <c r="N256" s="211">
        <f>IFERROR(IF(SUM(Production[[#This Row],[Meat Wt]:[BrTtl]])&lt;&gt;0,SUM(Production[[#This Row],[Meat Wt]:[BrTtl]]),""),"")</f>
        <v>3572</v>
      </c>
      <c r="O256" s="55">
        <v>168</v>
      </c>
      <c r="P256" s="208">
        <f>INDEX(Ingredients[Case Wt.],MATCH(Production[[#This Row],[Product]],Ingredients[ProdName],0))*Production[[#This Row],[Case Total]]</f>
        <v>4200</v>
      </c>
      <c r="Q256" s="211">
        <f>IFERROR(Production[[#This Row],[SatWt]]-Production[[#This Row],[RawWt]],"")</f>
        <v>628</v>
      </c>
      <c r="R256" s="222">
        <f>IF(Production[[#This Row],[Species]]&lt;&gt;"",IF(SUM(Production[[#This Row],[BtTtl]:[BrTtl]])/Production[[#This Row],[SatWt]]&lt;&gt;0,SUM(Production[[#This Row],[BtTtl]:[BrTtl]])/Production[[#This Row],[SatWt]],""),"")</f>
        <v>0.21428571428571427</v>
      </c>
      <c r="S256" s="223" t="str">
        <f>INDEX(Ingredients[Species],MATCH(Production[[#This Row],[Product]],Ingredients[ProdName],0))</f>
        <v>Poultry</v>
      </c>
    </row>
    <row r="257" spans="1:19" ht="11.1" customHeight="1" x14ac:dyDescent="0.25">
      <c r="A257" s="207" t="str">
        <f>IFERROR(IF(Production[[#This Row],[Date]]&lt;&gt;"",TEXT(Production[[#This Row],[Date]],"yy")&amp;"-"&amp;TEXT(Production[[#This Row],[Date]]-DATE(YEAR(Production[[#This Row],[Date]]),1,0),"000"),""),"")</f>
        <v>23-191</v>
      </c>
      <c r="B257" s="209" t="str">
        <f>IFERROR(IF(INDEX(Ingredients[Ingr1],MATCH(Production[[#This Row],[Product]],Ingredients[ProdName],0))&lt;&gt;"",INDEX(Ingredients[Ingr1],MATCH(Production[[#This Row],[Product]],Ingredients[ProdName],0)),INDEX(Ingredients[Ingr2],MATCH(Production[[#This Row],[Product]],Ingredients[ProdName],0))),"")</f>
        <v>Chicken - Tenders</v>
      </c>
      <c r="C257" s="53">
        <v>45117</v>
      </c>
      <c r="D257" s="54" t="s">
        <v>21</v>
      </c>
      <c r="E257" s="55" t="s">
        <v>174</v>
      </c>
      <c r="F257" s="56">
        <v>8</v>
      </c>
      <c r="G257" s="56">
        <v>56</v>
      </c>
      <c r="H257" s="208">
        <f>IFERROR(INDEX(Tier1[Wt],MATCH(Production[[#This Row],[Type]],Tier1[Ingredient],0))*Production[[#This Row],[Blocks Used]],0)</f>
        <v>2240</v>
      </c>
      <c r="I257" s="210">
        <f>IFERROR(INDEX(Ingredients[TtlWt],MATCH(Production[[#This Row],[Product]],Ingredients[ProdName],0))*Production[[#This Row],[Lots Done]],"")</f>
        <v>432</v>
      </c>
      <c r="J257" s="210">
        <f>IF(INDEX(Ingredients[Batter],MATCH(Production[[#This Row],[Product]],Ingredients[ProdName],0))*Production[[#This Row],[Batter Used]]&gt;0,INDEX(Ingredients[Batter],MATCH(Production[[#This Row],[Product]],Ingredients[ProdName],0))*Production[[#This Row],[Batter Used]],"")</f>
        <v>200</v>
      </c>
      <c r="K257" s="210">
        <f>IF(INDEX(Ingredients[Breader],MATCH(Production[[#This Row],[Product]],Ingredients[ProdName],0))*Production[[#This Row],[Breader Used]]&gt;0,INDEX(Ingredients[Breader],MATCH(Production[[#This Row],[Product]],Ingredients[ProdName],0))*Production[[#This Row],[Breader Used]],"")</f>
        <v>550</v>
      </c>
      <c r="L257" s="56">
        <v>4</v>
      </c>
      <c r="M257" s="56">
        <v>11</v>
      </c>
      <c r="N257" s="211">
        <f>IFERROR(IF(SUM(Production[[#This Row],[Meat Wt]:[BrTtl]])&lt;&gt;0,SUM(Production[[#This Row],[Meat Wt]:[BrTtl]]),""),"")</f>
        <v>3422</v>
      </c>
      <c r="O257" s="55">
        <v>163</v>
      </c>
      <c r="P257" s="208">
        <f>INDEX(Ingredients[Case Wt.],MATCH(Production[[#This Row],[Product]],Ingredients[ProdName],0))*Production[[#This Row],[Case Total]]</f>
        <v>4075</v>
      </c>
      <c r="Q257" s="211">
        <f>IFERROR(Production[[#This Row],[SatWt]]-Production[[#This Row],[RawWt]],"")</f>
        <v>653</v>
      </c>
      <c r="R257" s="222">
        <f>IF(Production[[#This Row],[Species]]&lt;&gt;"",IF(SUM(Production[[#This Row],[BtTtl]:[BrTtl]])/Production[[#This Row],[SatWt]]&lt;&gt;0,SUM(Production[[#This Row],[BtTtl]:[BrTtl]])/Production[[#This Row],[SatWt]],""),"")</f>
        <v>0.18404907975460122</v>
      </c>
      <c r="S257" s="223" t="str">
        <f>INDEX(Ingredients[Species],MATCH(Production[[#This Row],[Product]],Ingredients[ProdName],0))</f>
        <v>Poultry</v>
      </c>
    </row>
    <row r="258" spans="1:19" ht="11.1" customHeight="1" x14ac:dyDescent="0.25">
      <c r="A258" s="207" t="str">
        <f>IFERROR(IF(Production[[#This Row],[Date]]&lt;&gt;"",TEXT(Production[[#This Row],[Date]],"yy")&amp;"-"&amp;TEXT(Production[[#This Row],[Date]]-DATE(YEAR(Production[[#This Row],[Date]]),1,0),"000"),""),"")</f>
        <v>23-192</v>
      </c>
      <c r="B258" s="209" t="str">
        <f>IFERROR(IF(INDEX(Ingredients[Ingr1],MATCH(Production[[#This Row],[Product]],Ingredients[ProdName],0))&lt;&gt;"",INDEX(Ingredients[Ingr1],MATCH(Production[[#This Row],[Product]],Ingredients[ProdName],0)),INDEX(Ingredients[Ingr2],MATCH(Production[[#This Row],[Product]],Ingredients[ProdName],0))),"")</f>
        <v>Chicken - Tenders</v>
      </c>
      <c r="C258" s="53">
        <v>45118</v>
      </c>
      <c r="D258" s="54" t="s">
        <v>21</v>
      </c>
      <c r="E258" s="55" t="s">
        <v>174</v>
      </c>
      <c r="F258" s="56">
        <v>8</v>
      </c>
      <c r="G258" s="56">
        <v>56</v>
      </c>
      <c r="H258" s="208">
        <f>IFERROR(INDEX(Tier1[Wt],MATCH(Production[[#This Row],[Type]],Tier1[Ingredient],0))*Production[[#This Row],[Blocks Used]],0)</f>
        <v>2240</v>
      </c>
      <c r="I258" s="210">
        <f>IFERROR(INDEX(Ingredients[TtlWt],MATCH(Production[[#This Row],[Product]],Ingredients[ProdName],0))*Production[[#This Row],[Lots Done]],"")</f>
        <v>432</v>
      </c>
      <c r="J258" s="210">
        <f>IF(INDEX(Ingredients[Batter],MATCH(Production[[#This Row],[Product]],Ingredients[ProdName],0))*Production[[#This Row],[Batter Used]]&gt;0,INDEX(Ingredients[Batter],MATCH(Production[[#This Row],[Product]],Ingredients[ProdName],0))*Production[[#This Row],[Batter Used]],"")</f>
        <v>200</v>
      </c>
      <c r="K258" s="210">
        <f>IF(INDEX(Ingredients[Breader],MATCH(Production[[#This Row],[Product]],Ingredients[ProdName],0))*Production[[#This Row],[Breader Used]]&gt;0,INDEX(Ingredients[Breader],MATCH(Production[[#This Row],[Product]],Ingredients[ProdName],0))*Production[[#This Row],[Breader Used]],"")</f>
        <v>550</v>
      </c>
      <c r="L258" s="56">
        <v>4</v>
      </c>
      <c r="M258" s="56">
        <v>11</v>
      </c>
      <c r="N258" s="211">
        <f>IFERROR(IF(SUM(Production[[#This Row],[Meat Wt]:[BrTtl]])&lt;&gt;0,SUM(Production[[#This Row],[Meat Wt]:[BrTtl]]),""),"")</f>
        <v>3422</v>
      </c>
      <c r="O258" s="55">
        <v>165</v>
      </c>
      <c r="P258" s="208">
        <f>INDEX(Ingredients[Case Wt.],MATCH(Production[[#This Row],[Product]],Ingredients[ProdName],0))*Production[[#This Row],[Case Total]]</f>
        <v>4125</v>
      </c>
      <c r="Q258" s="211">
        <f>IFERROR(Production[[#This Row],[SatWt]]-Production[[#This Row],[RawWt]],"")</f>
        <v>703</v>
      </c>
      <c r="R258" s="222">
        <f>IF(Production[[#This Row],[Species]]&lt;&gt;"",IF(SUM(Production[[#This Row],[BtTtl]:[BrTtl]])/Production[[#This Row],[SatWt]]&lt;&gt;0,SUM(Production[[#This Row],[BtTtl]:[BrTtl]])/Production[[#This Row],[SatWt]],""),"")</f>
        <v>0.18181818181818182</v>
      </c>
      <c r="S258" s="223" t="str">
        <f>INDEX(Ingredients[Species],MATCH(Production[[#This Row],[Product]],Ingredients[ProdName],0))</f>
        <v>Poultry</v>
      </c>
    </row>
    <row r="259" spans="1:19" ht="11.1" customHeight="1" x14ac:dyDescent="0.25">
      <c r="A259" s="207" t="str">
        <f>IFERROR(IF(Production[[#This Row],[Date]]&lt;&gt;"",TEXT(Production[[#This Row],[Date]],"yy")&amp;"-"&amp;TEXT(Production[[#This Row],[Date]]-DATE(YEAR(Production[[#This Row],[Date]]),1,0),"000"),""),"")</f>
        <v>23-193</v>
      </c>
      <c r="B259" s="209" t="str">
        <f>IFERROR(IF(INDEX(Ingredients[Ingr1],MATCH(Production[[#This Row],[Product]],Ingredients[ProdName],0))&lt;&gt;"",INDEX(Ingredients[Ingr1],MATCH(Production[[#This Row],[Product]],Ingredients[ProdName],0)),INDEX(Ingredients[Ingr2],MATCH(Production[[#This Row],[Product]],Ingredients[ProdName],0))),"")</f>
        <v>Chicken - Ground</v>
      </c>
      <c r="C259" s="53">
        <v>45119</v>
      </c>
      <c r="D259" s="54" t="s">
        <v>20</v>
      </c>
      <c r="E259" s="55">
        <v>1806</v>
      </c>
      <c r="F259" s="56">
        <v>10</v>
      </c>
      <c r="G259" s="56">
        <v>60</v>
      </c>
      <c r="H259" s="208">
        <f>IFERROR(INDEX(Tier1[Wt],MATCH(Production[[#This Row],[Type]],Tier1[Ingredient],0))*Production[[#This Row],[Blocks Used]],0)</f>
        <v>3000</v>
      </c>
      <c r="I259" s="210">
        <f>IFERROR(INDEX(Ingredients[TtlWt],MATCH(Production[[#This Row],[Product]],Ingredients[ProdName],0))*Production[[#This Row],[Lots Done]],"")</f>
        <v>204</v>
      </c>
      <c r="J259" s="210" t="str">
        <f>IF(INDEX(Ingredients[Batter],MATCH(Production[[#This Row],[Product]],Ingredients[ProdName],0))*Production[[#This Row],[Batter Used]]&gt;0,INDEX(Ingredients[Batter],MATCH(Production[[#This Row],[Product]],Ingredients[ProdName],0))*Production[[#This Row],[Batter Used]],"")</f>
        <v/>
      </c>
      <c r="K259" s="210" t="str">
        <f>IF(INDEX(Ingredients[Breader],MATCH(Production[[#This Row],[Product]],Ingredients[ProdName],0))*Production[[#This Row],[Breader Used]]&gt;0,INDEX(Ingredients[Breader],MATCH(Production[[#This Row],[Product]],Ingredients[ProdName],0))*Production[[#This Row],[Breader Used]],"")</f>
        <v/>
      </c>
      <c r="L259" s="56"/>
      <c r="M259" s="56"/>
      <c r="N259" s="211">
        <f>IFERROR(IF(SUM(Production[[#This Row],[Meat Wt]:[BrTtl]])&lt;&gt;0,SUM(Production[[#This Row],[Meat Wt]:[BrTtl]]),""),"")</f>
        <v>3204</v>
      </c>
      <c r="O259" s="55">
        <v>160</v>
      </c>
      <c r="P259" s="208">
        <f>INDEX(Ingredients[Case Wt.],MATCH(Production[[#This Row],[Product]],Ingredients[ProdName],0))*Production[[#This Row],[Case Total]]</f>
        <v>4000</v>
      </c>
      <c r="Q259" s="211">
        <f>IFERROR(Production[[#This Row],[SatWt]]-Production[[#This Row],[RawWt]],"")</f>
        <v>796</v>
      </c>
      <c r="R259" s="222" t="str">
        <f>IF(Production[[#This Row],[Species]]&lt;&gt;"",IF(SUM(Production[[#This Row],[BtTtl]:[BrTtl]])/Production[[#This Row],[SatWt]]&lt;&gt;0,SUM(Production[[#This Row],[BtTtl]:[BrTtl]])/Production[[#This Row],[SatWt]],""),"")</f>
        <v/>
      </c>
      <c r="S259" s="223" t="str">
        <f>INDEX(Ingredients[Species],MATCH(Production[[#This Row],[Product]],Ingredients[ProdName],0))</f>
        <v>Poultry</v>
      </c>
    </row>
    <row r="260" spans="1:19" ht="11.1" customHeight="1" x14ac:dyDescent="0.25">
      <c r="A260" s="207" t="str">
        <f>IFERROR(IF(Production[[#This Row],[Date]]&lt;&gt;"",TEXT(Production[[#This Row],[Date]],"yy")&amp;"-"&amp;TEXT(Production[[#This Row],[Date]]-DATE(YEAR(Production[[#This Row],[Date]]),1,0),"000"),""),"")</f>
        <v>23-194</v>
      </c>
      <c r="B260" s="209" t="str">
        <f>IFERROR(IF(INDEX(Ingredients[Ingr1],MATCH(Production[[#This Row],[Product]],Ingredients[ProdName],0))&lt;&gt;"",INDEX(Ingredients[Ingr1],MATCH(Production[[#This Row],[Product]],Ingredients[ProdName],0)),INDEX(Ingredients[Ingr2],MATCH(Production[[#This Row],[Product]],Ingredients[ProdName],0))),"")</f>
        <v>Chicken - Tenders</v>
      </c>
      <c r="C260" s="53">
        <v>45120</v>
      </c>
      <c r="D260" s="54" t="s">
        <v>14</v>
      </c>
      <c r="E260" s="55" t="s">
        <v>175</v>
      </c>
      <c r="F260" s="56">
        <v>8</v>
      </c>
      <c r="G260" s="56">
        <v>56</v>
      </c>
      <c r="H260" s="208">
        <f>IFERROR(INDEX(Tier1[Wt],MATCH(Production[[#This Row],[Type]],Tier1[Ingredient],0))*Production[[#This Row],[Blocks Used]],0)</f>
        <v>2240</v>
      </c>
      <c r="I260" s="210">
        <f>IFERROR(INDEX(Ingredients[TtlWt],MATCH(Production[[#This Row],[Product]],Ingredients[ProdName],0))*Production[[#This Row],[Lots Done]],"")</f>
        <v>497.2</v>
      </c>
      <c r="J260" s="210" t="str">
        <f>IF(INDEX(Ingredients[Batter],MATCH(Production[[#This Row],[Product]],Ingredients[ProdName],0))*Production[[#This Row],[Batter Used]]&gt;0,INDEX(Ingredients[Batter],MATCH(Production[[#This Row],[Product]],Ingredients[ProdName],0))*Production[[#This Row],[Batter Used]],"")</f>
        <v/>
      </c>
      <c r="K260" s="210" t="str">
        <f>IF(INDEX(Ingredients[Breader],MATCH(Production[[#This Row],[Product]],Ingredients[ProdName],0))*Production[[#This Row],[Breader Used]]&gt;0,INDEX(Ingredients[Breader],MATCH(Production[[#This Row],[Product]],Ingredients[ProdName],0))*Production[[#This Row],[Breader Used]],"")</f>
        <v/>
      </c>
      <c r="L260" s="56"/>
      <c r="M260" s="56"/>
      <c r="N260" s="211">
        <f>IFERROR(IF(SUM(Production[[#This Row],[Meat Wt]:[BrTtl]])&lt;&gt;0,SUM(Production[[#This Row],[Meat Wt]:[BrTtl]]),""),"")</f>
        <v>2737.2</v>
      </c>
      <c r="O260" s="55">
        <v>137</v>
      </c>
      <c r="P260" s="208">
        <f>INDEX(Ingredients[Case Wt.],MATCH(Production[[#This Row],[Product]],Ingredients[ProdName],0))*Production[[#This Row],[Case Total]]</f>
        <v>3425</v>
      </c>
      <c r="Q260" s="211">
        <f>IFERROR(Production[[#This Row],[SatWt]]-Production[[#This Row],[RawWt]],"")</f>
        <v>687.80000000000018</v>
      </c>
      <c r="R260" s="222" t="str">
        <f>IF(Production[[#This Row],[Species]]&lt;&gt;"",IF(SUM(Production[[#This Row],[BtTtl]:[BrTtl]])/Production[[#This Row],[SatWt]]&lt;&gt;0,SUM(Production[[#This Row],[BtTtl]:[BrTtl]])/Production[[#This Row],[SatWt]],""),"")</f>
        <v/>
      </c>
      <c r="S260" s="223" t="str">
        <f>INDEX(Ingredients[Species],MATCH(Production[[#This Row],[Product]],Ingredients[ProdName],0))</f>
        <v>Poultry</v>
      </c>
    </row>
    <row r="261" spans="1:19" ht="11.1" customHeight="1" x14ac:dyDescent="0.25">
      <c r="A261" s="207" t="str">
        <f>IFERROR(IF(Production[[#This Row],[Date]]&lt;&gt;"",TEXT(Production[[#This Row],[Date]],"yy")&amp;"-"&amp;TEXT(Production[[#This Row],[Date]]-DATE(YEAR(Production[[#This Row],[Date]]),1,0),"000"),""),"")</f>
        <v>23-198</v>
      </c>
      <c r="B261" s="209" t="str">
        <f>IFERROR(IF(INDEX(Ingredients[Ingr1],MATCH(Production[[#This Row],[Product]],Ingredients[ProdName],0))&lt;&gt;"",INDEX(Ingredients[Ingr1],MATCH(Production[[#This Row],[Product]],Ingredients[ProdName],0)),INDEX(Ingredients[Ingr2],MATCH(Production[[#This Row],[Product]],Ingredients[ProdName],0))),"")</f>
        <v>Chicken - Tenders</v>
      </c>
      <c r="C261" s="53">
        <v>45124</v>
      </c>
      <c r="D261" s="54" t="s">
        <v>12</v>
      </c>
      <c r="E261" s="55" t="s">
        <v>175</v>
      </c>
      <c r="F261" s="56">
        <v>6</v>
      </c>
      <c r="G261" s="56">
        <v>42</v>
      </c>
      <c r="H261" s="208">
        <f>IFERROR(INDEX(Tier1[Wt],MATCH(Production[[#This Row],[Type]],Tier1[Ingredient],0))*Production[[#This Row],[Blocks Used]],0)</f>
        <v>1680</v>
      </c>
      <c r="I261" s="210">
        <f>IFERROR(INDEX(Ingredients[TtlWt],MATCH(Production[[#This Row],[Product]],Ingredients[ProdName],0))*Production[[#This Row],[Lots Done]],"")</f>
        <v>358.79999999999995</v>
      </c>
      <c r="J261" s="210">
        <f>IF(INDEX(Ingredients[Batter],MATCH(Production[[#This Row],[Product]],Ingredients[ProdName],0))*Production[[#This Row],[Batter Used]]&gt;0,INDEX(Ingredients[Batter],MATCH(Production[[#This Row],[Product]],Ingredients[ProdName],0))*Production[[#This Row],[Batter Used]],"")</f>
        <v>100</v>
      </c>
      <c r="K261" s="210">
        <f>IF(INDEX(Ingredients[Breader],MATCH(Production[[#This Row],[Product]],Ingredients[ProdName],0))*Production[[#This Row],[Breader Used]]&gt;0,INDEX(Ingredients[Breader],MATCH(Production[[#This Row],[Product]],Ingredients[ProdName],0))*Production[[#This Row],[Breader Used]],"")</f>
        <v>550</v>
      </c>
      <c r="L261" s="56">
        <v>2</v>
      </c>
      <c r="M261" s="56">
        <v>11</v>
      </c>
      <c r="N261" s="211">
        <f>IFERROR(IF(SUM(Production[[#This Row],[Meat Wt]:[BrTtl]])&lt;&gt;0,SUM(Production[[#This Row],[Meat Wt]:[BrTtl]]),""),"")</f>
        <v>2688.8</v>
      </c>
      <c r="O261" s="55">
        <v>121</v>
      </c>
      <c r="P261" s="208">
        <f>INDEX(Ingredients[Case Wt.],MATCH(Production[[#This Row],[Product]],Ingredients[ProdName],0))*Production[[#This Row],[Case Total]]</f>
        <v>3025</v>
      </c>
      <c r="Q261" s="211">
        <f>IFERROR(Production[[#This Row],[SatWt]]-Production[[#This Row],[RawWt]],"")</f>
        <v>336.19999999999982</v>
      </c>
      <c r="R261" s="222">
        <f>IF(Production[[#This Row],[Species]]&lt;&gt;"",IF(SUM(Production[[#This Row],[BtTtl]:[BrTtl]])/Production[[#This Row],[SatWt]]&lt;&gt;0,SUM(Production[[#This Row],[BtTtl]:[BrTtl]])/Production[[#This Row],[SatWt]],""),"")</f>
        <v>0.21487603305785125</v>
      </c>
      <c r="S261" s="223" t="str">
        <f>INDEX(Ingredients[Species],MATCH(Production[[#This Row],[Product]],Ingredients[ProdName],0))</f>
        <v>Poultry</v>
      </c>
    </row>
    <row r="262" spans="1:19" ht="11.1" customHeight="1" x14ac:dyDescent="0.25">
      <c r="A262" s="207" t="str">
        <f>IFERROR(IF(Production[[#This Row],[Date]]&lt;&gt;"",TEXT(Production[[#This Row],[Date]],"yy")&amp;"-"&amp;TEXT(Production[[#This Row],[Date]]-DATE(YEAR(Production[[#This Row],[Date]]),1,0),"000"),""),"")</f>
        <v>23-199</v>
      </c>
      <c r="B262" s="209" t="str">
        <f>IFERROR(IF(INDEX(Ingredients[Ingr1],MATCH(Production[[#This Row],[Product]],Ingredients[ProdName],0))&lt;&gt;"",INDEX(Ingredients[Ingr1],MATCH(Production[[#This Row],[Product]],Ingredients[ProdName],0)),INDEX(Ingredients[Ingr2],MATCH(Production[[#This Row],[Product]],Ingredients[ProdName],0))),"")</f>
        <v>Chicken - Tenders</v>
      </c>
      <c r="C262" s="53">
        <v>45125</v>
      </c>
      <c r="D262" s="54" t="s">
        <v>21</v>
      </c>
      <c r="E262" s="55" t="s">
        <v>175</v>
      </c>
      <c r="F262" s="56">
        <v>8</v>
      </c>
      <c r="G262" s="56">
        <v>56</v>
      </c>
      <c r="H262" s="208">
        <f>IFERROR(INDEX(Tier1[Wt],MATCH(Production[[#This Row],[Type]],Tier1[Ingredient],0))*Production[[#This Row],[Blocks Used]],0)</f>
        <v>2240</v>
      </c>
      <c r="I262" s="210">
        <f>IFERROR(INDEX(Ingredients[TtlWt],MATCH(Production[[#This Row],[Product]],Ingredients[ProdName],0))*Production[[#This Row],[Lots Done]],"")</f>
        <v>432</v>
      </c>
      <c r="J262" s="210">
        <f>IF(INDEX(Ingredients[Batter],MATCH(Production[[#This Row],[Product]],Ingredients[ProdName],0))*Production[[#This Row],[Batter Used]]&gt;0,INDEX(Ingredients[Batter],MATCH(Production[[#This Row],[Product]],Ingredients[ProdName],0))*Production[[#This Row],[Batter Used]],"")</f>
        <v>300</v>
      </c>
      <c r="K262" s="210">
        <f>IF(INDEX(Ingredients[Breader],MATCH(Production[[#This Row],[Product]],Ingredients[ProdName],0))*Production[[#This Row],[Breader Used]]&gt;0,INDEX(Ingredients[Breader],MATCH(Production[[#This Row],[Product]],Ingredients[ProdName],0))*Production[[#This Row],[Breader Used]],"")</f>
        <v>800</v>
      </c>
      <c r="L262" s="56">
        <v>6</v>
      </c>
      <c r="M262" s="56">
        <v>16</v>
      </c>
      <c r="N262" s="211">
        <f>IFERROR(IF(SUM(Production[[#This Row],[Meat Wt]:[BrTtl]])&lt;&gt;0,SUM(Production[[#This Row],[Meat Wt]:[BrTtl]]),""),"")</f>
        <v>3772</v>
      </c>
      <c r="O262" s="55">
        <v>169</v>
      </c>
      <c r="P262" s="208">
        <f>INDEX(Ingredients[Case Wt.],MATCH(Production[[#This Row],[Product]],Ingredients[ProdName],0))*Production[[#This Row],[Case Total]]</f>
        <v>4225</v>
      </c>
      <c r="Q262" s="211">
        <f>IFERROR(Production[[#This Row],[SatWt]]-Production[[#This Row],[RawWt]],"")</f>
        <v>453</v>
      </c>
      <c r="R262" s="222">
        <f>IF(Production[[#This Row],[Species]]&lt;&gt;"",IF(SUM(Production[[#This Row],[BtTtl]:[BrTtl]])/Production[[#This Row],[SatWt]]&lt;&gt;0,SUM(Production[[#This Row],[BtTtl]:[BrTtl]])/Production[[#This Row],[SatWt]],""),"")</f>
        <v>0.26035502958579881</v>
      </c>
      <c r="S262" s="223" t="str">
        <f>INDEX(Ingredients[Species],MATCH(Production[[#This Row],[Product]],Ingredients[ProdName],0))</f>
        <v>Poultry</v>
      </c>
    </row>
    <row r="263" spans="1:19" ht="11.1" customHeight="1" x14ac:dyDescent="0.25">
      <c r="A263" s="207" t="str">
        <f>IFERROR(IF(Production[[#This Row],[Date]]&lt;&gt;"",TEXT(Production[[#This Row],[Date]],"yy")&amp;"-"&amp;TEXT(Production[[#This Row],[Date]]-DATE(YEAR(Production[[#This Row],[Date]]),1,0),"000"),""),"")</f>
        <v>23-200</v>
      </c>
      <c r="B263" s="209" t="str">
        <f>IFERROR(IF(INDEX(Ingredients[Ingr1],MATCH(Production[[#This Row],[Product]],Ingredients[ProdName],0))&lt;&gt;"",INDEX(Ingredients[Ingr1],MATCH(Production[[#This Row],[Product]],Ingredients[ProdName],0)),INDEX(Ingredients[Ingr2],MATCH(Production[[#This Row],[Product]],Ingredients[ProdName],0))),"")</f>
        <v>Chicken - Tenders</v>
      </c>
      <c r="C263" s="53">
        <v>45126</v>
      </c>
      <c r="D263" s="54" t="s">
        <v>21</v>
      </c>
      <c r="E263" s="55" t="s">
        <v>175</v>
      </c>
      <c r="F263" s="56">
        <v>8</v>
      </c>
      <c r="G263" s="56">
        <v>56</v>
      </c>
      <c r="H263" s="208">
        <f>IFERROR(INDEX(Tier1[Wt],MATCH(Production[[#This Row],[Type]],Tier1[Ingredient],0))*Production[[#This Row],[Blocks Used]],0)</f>
        <v>2240</v>
      </c>
      <c r="I263" s="210">
        <f>IFERROR(INDEX(Ingredients[TtlWt],MATCH(Production[[#This Row],[Product]],Ingredients[ProdName],0))*Production[[#This Row],[Lots Done]],"")</f>
        <v>432</v>
      </c>
      <c r="J263" s="210">
        <f>IF(INDEX(Ingredients[Batter],MATCH(Production[[#This Row],[Product]],Ingredients[ProdName],0))*Production[[#This Row],[Batter Used]]&gt;0,INDEX(Ingredients[Batter],MATCH(Production[[#This Row],[Product]],Ingredients[ProdName],0))*Production[[#This Row],[Batter Used]],"")</f>
        <v>100</v>
      </c>
      <c r="K263" s="210">
        <f>IF(INDEX(Ingredients[Breader],MATCH(Production[[#This Row],[Product]],Ingredients[ProdName],0))*Production[[#This Row],[Breader Used]]&gt;0,INDEX(Ingredients[Breader],MATCH(Production[[#This Row],[Product]],Ingredients[ProdName],0))*Production[[#This Row],[Breader Used]],"")</f>
        <v>650</v>
      </c>
      <c r="L263" s="56">
        <v>2</v>
      </c>
      <c r="M263" s="56">
        <v>13</v>
      </c>
      <c r="N263" s="211">
        <f>IFERROR(IF(SUM(Production[[#This Row],[Meat Wt]:[BrTtl]])&lt;&gt;0,SUM(Production[[#This Row],[Meat Wt]:[BrTtl]]),""),"")</f>
        <v>3422</v>
      </c>
      <c r="O263" s="55">
        <v>164</v>
      </c>
      <c r="P263" s="208">
        <f>INDEX(Ingredients[Case Wt.],MATCH(Production[[#This Row],[Product]],Ingredients[ProdName],0))*Production[[#This Row],[Case Total]]</f>
        <v>4100</v>
      </c>
      <c r="Q263" s="211">
        <f>IFERROR(Production[[#This Row],[SatWt]]-Production[[#This Row],[RawWt]],"")</f>
        <v>678</v>
      </c>
      <c r="R263" s="222">
        <f>IF(Production[[#This Row],[Species]]&lt;&gt;"",IF(SUM(Production[[#This Row],[BtTtl]:[BrTtl]])/Production[[#This Row],[SatWt]]&lt;&gt;0,SUM(Production[[#This Row],[BtTtl]:[BrTtl]])/Production[[#This Row],[SatWt]],""),"")</f>
        <v>0.18292682926829268</v>
      </c>
      <c r="S263" s="223" t="str">
        <f>INDEX(Ingredients[Species],MATCH(Production[[#This Row],[Product]],Ingredients[ProdName],0))</f>
        <v>Poultry</v>
      </c>
    </row>
    <row r="264" spans="1:19" ht="11.1" customHeight="1" x14ac:dyDescent="0.25">
      <c r="A264" s="207" t="str">
        <f>IFERROR(IF(Production[[#This Row],[Date]]&lt;&gt;"",TEXT(Production[[#This Row],[Date]],"yy")&amp;"-"&amp;TEXT(Production[[#This Row],[Date]]-DATE(YEAR(Production[[#This Row],[Date]]),1,0),"000"),""),"")</f>
        <v>23-205</v>
      </c>
      <c r="B264" s="209" t="str">
        <f>IFERROR(IF(INDEX(Ingredients[Ingr1],MATCH(Production[[#This Row],[Product]],Ingredients[ProdName],0))&lt;&gt;"",INDEX(Ingredients[Ingr1],MATCH(Production[[#This Row],[Product]],Ingredients[ProdName],0)),INDEX(Ingredients[Ingr2],MATCH(Production[[#This Row],[Product]],Ingredients[ProdName],0))),"")</f>
        <v>Chicken - Ground</v>
      </c>
      <c r="C264" s="53">
        <v>45131</v>
      </c>
      <c r="D264" s="54" t="s">
        <v>23</v>
      </c>
      <c r="E264" s="55">
        <v>1806</v>
      </c>
      <c r="F264" s="56">
        <v>10</v>
      </c>
      <c r="G264" s="56">
        <v>60</v>
      </c>
      <c r="H264" s="208">
        <f>IFERROR(INDEX(Tier1[Wt],MATCH(Production[[#This Row],[Type]],Tier1[Ingredient],0))*Production[[#This Row],[Blocks Used]],0)</f>
        <v>3000</v>
      </c>
      <c r="I264" s="210">
        <f>IFERROR(INDEX(Ingredients[TtlWt],MATCH(Production[[#This Row],[Product]],Ingredients[ProdName],0))*Production[[#This Row],[Lots Done]],"")</f>
        <v>116.5</v>
      </c>
      <c r="J264" s="210" t="str">
        <f>IF(INDEX(Ingredients[Batter],MATCH(Production[[#This Row],[Product]],Ingredients[ProdName],0))*Production[[#This Row],[Batter Used]]&gt;0,INDEX(Ingredients[Batter],MATCH(Production[[#This Row],[Product]],Ingredients[ProdName],0))*Production[[#This Row],[Batter Used]],"")</f>
        <v/>
      </c>
      <c r="K264" s="210" t="str">
        <f>IF(INDEX(Ingredients[Breader],MATCH(Production[[#This Row],[Product]],Ingredients[ProdName],0))*Production[[#This Row],[Breader Used]]&gt;0,INDEX(Ingredients[Breader],MATCH(Production[[#This Row],[Product]],Ingredients[ProdName],0))*Production[[#This Row],[Breader Used]],"")</f>
        <v/>
      </c>
      <c r="L264" s="56"/>
      <c r="M264" s="56"/>
      <c r="N264" s="211">
        <f>IFERROR(IF(SUM(Production[[#This Row],[Meat Wt]:[BrTtl]])&lt;&gt;0,SUM(Production[[#This Row],[Meat Wt]:[BrTtl]]),""),"")</f>
        <v>3116.5</v>
      </c>
      <c r="O264" s="55">
        <v>138</v>
      </c>
      <c r="P264" s="208">
        <f>INDEX(Ingredients[Case Wt.],MATCH(Production[[#This Row],[Product]],Ingredients[ProdName],0))*Production[[#This Row],[Case Total]]</f>
        <v>4140</v>
      </c>
      <c r="Q264" s="211">
        <f>IFERROR(Production[[#This Row],[SatWt]]-Production[[#This Row],[RawWt]],"")</f>
        <v>1023.5</v>
      </c>
      <c r="R264" s="222" t="str">
        <f>IF(Production[[#This Row],[Species]]&lt;&gt;"",IF(SUM(Production[[#This Row],[BtTtl]:[BrTtl]])/Production[[#This Row],[SatWt]]&lt;&gt;0,SUM(Production[[#This Row],[BtTtl]:[BrTtl]])/Production[[#This Row],[SatWt]],""),"")</f>
        <v/>
      </c>
      <c r="S264" s="223" t="str">
        <f>INDEX(Ingredients[Species],MATCH(Production[[#This Row],[Product]],Ingredients[ProdName],0))</f>
        <v>Poultry</v>
      </c>
    </row>
    <row r="265" spans="1:19" ht="11.1" customHeight="1" x14ac:dyDescent="0.25">
      <c r="A265" s="207" t="str">
        <f>IFERROR(IF(Production[[#This Row],[Date]]&lt;&gt;"",TEXT(Production[[#This Row],[Date]],"yy")&amp;"-"&amp;TEXT(Production[[#This Row],[Date]]-DATE(YEAR(Production[[#This Row],[Date]]),1,0),"000"),""),"")</f>
        <v>23-206</v>
      </c>
      <c r="B265" s="209" t="str">
        <f>IFERROR(IF(INDEX(Ingredients[Ingr1],MATCH(Production[[#This Row],[Product]],Ingredients[ProdName],0))&lt;&gt;"",INDEX(Ingredients[Ingr1],MATCH(Production[[#This Row],[Product]],Ingredients[ProdName],0)),INDEX(Ingredients[Ingr2],MATCH(Production[[#This Row],[Product]],Ingredients[ProdName],0))),"")</f>
        <v>Chicken - Ground</v>
      </c>
      <c r="C265" s="53">
        <v>45132</v>
      </c>
      <c r="D265" s="54" t="s">
        <v>23</v>
      </c>
      <c r="E265" s="55">
        <v>1806</v>
      </c>
      <c r="F265" s="56">
        <v>9</v>
      </c>
      <c r="G265" s="56">
        <v>54</v>
      </c>
      <c r="H265" s="208">
        <f>IFERROR(INDEX(Tier1[Wt],MATCH(Production[[#This Row],[Type]],Tier1[Ingredient],0))*Production[[#This Row],[Blocks Used]],0)</f>
        <v>2700</v>
      </c>
      <c r="I265" s="210">
        <f>IFERROR(INDEX(Ingredients[TtlWt],MATCH(Production[[#This Row],[Product]],Ingredients[ProdName],0))*Production[[#This Row],[Lots Done]],"")</f>
        <v>104.85000000000001</v>
      </c>
      <c r="J265" s="210" t="str">
        <f>IF(INDEX(Ingredients[Batter],MATCH(Production[[#This Row],[Product]],Ingredients[ProdName],0))*Production[[#This Row],[Batter Used]]&gt;0,INDEX(Ingredients[Batter],MATCH(Production[[#This Row],[Product]],Ingredients[ProdName],0))*Production[[#This Row],[Batter Used]],"")</f>
        <v/>
      </c>
      <c r="K265" s="210" t="str">
        <f>IF(INDEX(Ingredients[Breader],MATCH(Production[[#This Row],[Product]],Ingredients[ProdName],0))*Production[[#This Row],[Breader Used]]&gt;0,INDEX(Ingredients[Breader],MATCH(Production[[#This Row],[Product]],Ingredients[ProdName],0))*Production[[#This Row],[Breader Used]],"")</f>
        <v/>
      </c>
      <c r="L265" s="56"/>
      <c r="M265" s="56"/>
      <c r="N265" s="211">
        <f>IFERROR(IF(SUM(Production[[#This Row],[Meat Wt]:[BrTtl]])&lt;&gt;0,SUM(Production[[#This Row],[Meat Wt]:[BrTtl]]),""),"")</f>
        <v>2804.85</v>
      </c>
      <c r="O265" s="55">
        <v>121</v>
      </c>
      <c r="P265" s="208">
        <f>INDEX(Ingredients[Case Wt.],MATCH(Production[[#This Row],[Product]],Ingredients[ProdName],0))*Production[[#This Row],[Case Total]]</f>
        <v>3630</v>
      </c>
      <c r="Q265" s="211">
        <f>IFERROR(Production[[#This Row],[SatWt]]-Production[[#This Row],[RawWt]],"")</f>
        <v>825.15000000000009</v>
      </c>
      <c r="R265" s="222" t="str">
        <f>IF(Production[[#This Row],[Species]]&lt;&gt;"",IF(SUM(Production[[#This Row],[BtTtl]:[BrTtl]])/Production[[#This Row],[SatWt]]&lt;&gt;0,SUM(Production[[#This Row],[BtTtl]:[BrTtl]])/Production[[#This Row],[SatWt]],""),"")</f>
        <v/>
      </c>
      <c r="S265" s="223" t="str">
        <f>INDEX(Ingredients[Species],MATCH(Production[[#This Row],[Product]],Ingredients[ProdName],0))</f>
        <v>Poultry</v>
      </c>
    </row>
    <row r="266" spans="1:19" ht="11.1" customHeight="1" x14ac:dyDescent="0.25">
      <c r="A266" s="207" t="str">
        <f>IFERROR(IF(Production[[#This Row],[Date]]&lt;&gt;"",TEXT(Production[[#This Row],[Date]],"yy")&amp;"-"&amp;TEXT(Production[[#This Row],[Date]]-DATE(YEAR(Production[[#This Row],[Date]]),1,0),"000"),""),"")</f>
        <v>23-207</v>
      </c>
      <c r="B266" s="209" t="str">
        <f>IFERROR(IF(INDEX(Ingredients[Ingr1],MATCH(Production[[#This Row],[Product]],Ingredients[ProdName],0))&lt;&gt;"",INDEX(Ingredients[Ingr1],MATCH(Production[[#This Row],[Product]],Ingredients[ProdName],0)),INDEX(Ingredients[Ingr2],MATCH(Production[[#This Row],[Product]],Ingredients[ProdName],0))),"")</f>
        <v>Chicken - Ground</v>
      </c>
      <c r="C266" s="53">
        <v>45133</v>
      </c>
      <c r="D266" s="54" t="s">
        <v>15</v>
      </c>
      <c r="E266" s="55">
        <v>1806</v>
      </c>
      <c r="F266" s="56">
        <v>8</v>
      </c>
      <c r="G266" s="56">
        <v>48</v>
      </c>
      <c r="H266" s="208">
        <f>IFERROR(INDEX(Tier1[Wt],MATCH(Production[[#This Row],[Type]],Tier1[Ingredient],0))*Production[[#This Row],[Blocks Used]],0)</f>
        <v>2400</v>
      </c>
      <c r="I266" s="210">
        <f>IFERROR(INDEX(Ingredients[TtlWt],MATCH(Production[[#This Row],[Product]],Ingredients[ProdName],0))*Production[[#This Row],[Lots Done]],"")</f>
        <v>93.2</v>
      </c>
      <c r="J266" s="210" t="str">
        <f>IF(INDEX(Ingredients[Batter],MATCH(Production[[#This Row],[Product]],Ingredients[ProdName],0))*Production[[#This Row],[Batter Used]]&gt;0,INDEX(Ingredients[Batter],MATCH(Production[[#This Row],[Product]],Ingredients[ProdName],0))*Production[[#This Row],[Batter Used]],"")</f>
        <v/>
      </c>
      <c r="K266" s="210" t="str">
        <f>IF(INDEX(Ingredients[Breader],MATCH(Production[[#This Row],[Product]],Ingredients[ProdName],0))*Production[[#This Row],[Breader Used]]&gt;0,INDEX(Ingredients[Breader],MATCH(Production[[#This Row],[Product]],Ingredients[ProdName],0))*Production[[#This Row],[Breader Used]],"")</f>
        <v/>
      </c>
      <c r="L266" s="56"/>
      <c r="M266" s="56"/>
      <c r="N266" s="211">
        <f>IFERROR(IF(SUM(Production[[#This Row],[Meat Wt]:[BrTtl]])&lt;&gt;0,SUM(Production[[#This Row],[Meat Wt]:[BrTtl]]),""),"")</f>
        <v>2493.1999999999998</v>
      </c>
      <c r="O266" s="55">
        <v>109</v>
      </c>
      <c r="P266" s="208">
        <f>INDEX(Ingredients[Case Wt.],MATCH(Production[[#This Row],[Product]],Ingredients[ProdName],0))*Production[[#This Row],[Case Total]]</f>
        <v>3270</v>
      </c>
      <c r="Q266" s="211">
        <f>IFERROR(Production[[#This Row],[SatWt]]-Production[[#This Row],[RawWt]],"")</f>
        <v>776.80000000000018</v>
      </c>
      <c r="R266" s="222" t="str">
        <f>IF(Production[[#This Row],[Species]]&lt;&gt;"",IF(SUM(Production[[#This Row],[BtTtl]:[BrTtl]])/Production[[#This Row],[SatWt]]&lt;&gt;0,SUM(Production[[#This Row],[BtTtl]:[BrTtl]])/Production[[#This Row],[SatWt]],""),"")</f>
        <v/>
      </c>
      <c r="S266" s="223" t="str">
        <f>INDEX(Ingredients[Species],MATCH(Production[[#This Row],[Product]],Ingredients[ProdName],0))</f>
        <v>Poultry</v>
      </c>
    </row>
    <row r="267" spans="1:19" ht="11.1" customHeight="1" x14ac:dyDescent="0.25">
      <c r="A267" s="207" t="str">
        <f>IFERROR(IF(Production[[#This Row],[Date]]&lt;&gt;"",TEXT(Production[[#This Row],[Date]],"yy")&amp;"-"&amp;TEXT(Production[[#This Row],[Date]]-DATE(YEAR(Production[[#This Row],[Date]]),1,0),"000"),""),"")</f>
        <v>23-212</v>
      </c>
      <c r="B267" s="209" t="str">
        <f>IFERROR(IF(INDEX(Ingredients[Ingr1],MATCH(Production[[#This Row],[Product]],Ingredients[ProdName],0))&lt;&gt;"",INDEX(Ingredients[Ingr1],MATCH(Production[[#This Row],[Product]],Ingredients[ProdName],0)),INDEX(Ingredients[Ingr2],MATCH(Production[[#This Row],[Product]],Ingredients[ProdName],0))),"")</f>
        <v>Chicken - Ground</v>
      </c>
      <c r="C267" s="53">
        <v>45138</v>
      </c>
      <c r="D267" s="54" t="s">
        <v>13</v>
      </c>
      <c r="E267" s="55">
        <v>1806</v>
      </c>
      <c r="F267" s="56">
        <v>8</v>
      </c>
      <c r="G267" s="56">
        <v>48</v>
      </c>
      <c r="H267" s="208">
        <f>IFERROR(INDEX(Tier1[Wt],MATCH(Production[[#This Row],[Type]],Tier1[Ingredient],0))*Production[[#This Row],[Blocks Used]],0)</f>
        <v>2400</v>
      </c>
      <c r="I267" s="210">
        <f>IFERROR(INDEX(Ingredients[TtlWt],MATCH(Production[[#This Row],[Product]],Ingredients[ProdName],0))*Production[[#This Row],[Lots Done]],"")</f>
        <v>380</v>
      </c>
      <c r="J267" s="210" t="str">
        <f>IF(INDEX(Ingredients[Batter],MATCH(Production[[#This Row],[Product]],Ingredients[ProdName],0))*Production[[#This Row],[Batter Used]]&gt;0,INDEX(Ingredients[Batter],MATCH(Production[[#This Row],[Product]],Ingredients[ProdName],0))*Production[[#This Row],[Batter Used]],"")</f>
        <v/>
      </c>
      <c r="K267" s="210" t="str">
        <f>IF(INDEX(Ingredients[Breader],MATCH(Production[[#This Row],[Product]],Ingredients[ProdName],0))*Production[[#This Row],[Breader Used]]&gt;0,INDEX(Ingredients[Breader],MATCH(Production[[#This Row],[Product]],Ingredients[ProdName],0))*Production[[#This Row],[Breader Used]],"")</f>
        <v/>
      </c>
      <c r="L267" s="56"/>
      <c r="M267" s="56"/>
      <c r="N267" s="211">
        <f>IFERROR(IF(SUM(Production[[#This Row],[Meat Wt]:[BrTtl]])&lt;&gt;0,SUM(Production[[#This Row],[Meat Wt]:[BrTtl]]),""),"")</f>
        <v>2780</v>
      </c>
      <c r="O267" s="55">
        <v>116</v>
      </c>
      <c r="P267" s="208">
        <f>INDEX(Ingredients[Case Wt.],MATCH(Production[[#This Row],[Product]],Ingredients[ProdName],0))*Production[[#This Row],[Case Total]]</f>
        <v>3480</v>
      </c>
      <c r="Q267" s="211">
        <f>IFERROR(Production[[#This Row],[SatWt]]-Production[[#This Row],[RawWt]],"")</f>
        <v>700</v>
      </c>
      <c r="R267" s="222" t="str">
        <f>IF(Production[[#This Row],[Species]]&lt;&gt;"",IF(SUM(Production[[#This Row],[BtTtl]:[BrTtl]])/Production[[#This Row],[SatWt]]&lt;&gt;0,SUM(Production[[#This Row],[BtTtl]:[BrTtl]])/Production[[#This Row],[SatWt]],""),"")</f>
        <v/>
      </c>
      <c r="S267" s="223" t="str">
        <f>INDEX(Ingredients[Species],MATCH(Production[[#This Row],[Product]],Ingredients[ProdName],0))</f>
        <v>Poultry</v>
      </c>
    </row>
    <row r="268" spans="1:19" ht="11.1" customHeight="1" x14ac:dyDescent="0.25">
      <c r="A268" s="207" t="str">
        <f>IFERROR(IF(Production[[#This Row],[Date]]&lt;&gt;"",TEXT(Production[[#This Row],[Date]],"yy")&amp;"-"&amp;TEXT(Production[[#This Row],[Date]]-DATE(YEAR(Production[[#This Row],[Date]]),1,0),"000"),""),"")</f>
        <v>23-213</v>
      </c>
      <c r="B268" s="209" t="str">
        <f>IFERROR(IF(INDEX(Ingredients[Ingr1],MATCH(Production[[#This Row],[Product]],Ingredients[ProdName],0))&lt;&gt;"",INDEX(Ingredients[Ingr1],MATCH(Production[[#This Row],[Product]],Ingredients[ProdName],0)),INDEX(Ingredients[Ingr2],MATCH(Production[[#This Row],[Product]],Ingredients[ProdName],0))),"")</f>
        <v>Chicken - Ground</v>
      </c>
      <c r="C268" s="53">
        <v>45139</v>
      </c>
      <c r="D268" s="54" t="s">
        <v>15</v>
      </c>
      <c r="E268" s="55">
        <v>1806</v>
      </c>
      <c r="F268" s="56">
        <v>8</v>
      </c>
      <c r="G268" s="56">
        <v>56</v>
      </c>
      <c r="H268" s="208">
        <f>IFERROR(INDEX(Tier1[Wt],MATCH(Production[[#This Row],[Type]],Tier1[Ingredient],0))*Production[[#This Row],[Blocks Used]],0)</f>
        <v>2800</v>
      </c>
      <c r="I268" s="210">
        <f>IFERROR(INDEX(Ingredients[TtlWt],MATCH(Production[[#This Row],[Product]],Ingredients[ProdName],0))*Production[[#This Row],[Lots Done]],"")</f>
        <v>93.2</v>
      </c>
      <c r="J268" s="210" t="str">
        <f>IF(INDEX(Ingredients[Batter],MATCH(Production[[#This Row],[Product]],Ingredients[ProdName],0))*Production[[#This Row],[Batter Used]]&gt;0,INDEX(Ingredients[Batter],MATCH(Production[[#This Row],[Product]],Ingredients[ProdName],0))*Production[[#This Row],[Batter Used]],"")</f>
        <v/>
      </c>
      <c r="K268" s="210" t="str">
        <f>IF(INDEX(Ingredients[Breader],MATCH(Production[[#This Row],[Product]],Ingredients[ProdName],0))*Production[[#This Row],[Breader Used]]&gt;0,INDEX(Ingredients[Breader],MATCH(Production[[#This Row],[Product]],Ingredients[ProdName],0))*Production[[#This Row],[Breader Used]],"")</f>
        <v/>
      </c>
      <c r="L268" s="56"/>
      <c r="M268" s="56"/>
      <c r="N268" s="211">
        <f>IFERROR(IF(SUM(Production[[#This Row],[Meat Wt]:[BrTtl]])&lt;&gt;0,SUM(Production[[#This Row],[Meat Wt]:[BrTtl]]),""),"")</f>
        <v>2893.2</v>
      </c>
      <c r="O268" s="55">
        <v>105</v>
      </c>
      <c r="P268" s="208">
        <f>INDEX(Ingredients[Case Wt.],MATCH(Production[[#This Row],[Product]],Ingredients[ProdName],0))*Production[[#This Row],[Case Total]]</f>
        <v>3150</v>
      </c>
      <c r="Q268" s="211">
        <f>IFERROR(Production[[#This Row],[SatWt]]-Production[[#This Row],[RawWt]],"")</f>
        <v>256.80000000000018</v>
      </c>
      <c r="R268" s="222" t="str">
        <f>IF(Production[[#This Row],[Species]]&lt;&gt;"",IF(SUM(Production[[#This Row],[BtTtl]:[BrTtl]])/Production[[#This Row],[SatWt]]&lt;&gt;0,SUM(Production[[#This Row],[BtTtl]:[BrTtl]])/Production[[#This Row],[SatWt]],""),"")</f>
        <v/>
      </c>
      <c r="S268" s="223" t="str">
        <f>INDEX(Ingredients[Species],MATCH(Production[[#This Row],[Product]],Ingredients[ProdName],0))</f>
        <v>Poultry</v>
      </c>
    </row>
    <row r="269" spans="1:19" ht="11.1" customHeight="1" x14ac:dyDescent="0.25">
      <c r="A269" s="207" t="str">
        <f>IFERROR(IF(Production[[#This Row],[Date]]&lt;&gt;"",TEXT(Production[[#This Row],[Date]],"yy")&amp;"-"&amp;TEXT(Production[[#This Row],[Date]]-DATE(YEAR(Production[[#This Row],[Date]]),1,0),"000"),""),"")</f>
        <v>23-214</v>
      </c>
      <c r="B269" s="209" t="str">
        <f>IFERROR(IF(INDEX(Ingredients[Ingr1],MATCH(Production[[#This Row],[Product]],Ingredients[ProdName],0))&lt;&gt;"",INDEX(Ingredients[Ingr1],MATCH(Production[[#This Row],[Product]],Ingredients[ProdName],0)),INDEX(Ingredients[Ingr2],MATCH(Production[[#This Row],[Product]],Ingredients[ProdName],0))),"")</f>
        <v>Chicken - Ground</v>
      </c>
      <c r="C269" s="53">
        <v>45140</v>
      </c>
      <c r="D269" s="54" t="s">
        <v>15</v>
      </c>
      <c r="E269" s="55">
        <v>1806</v>
      </c>
      <c r="F269" s="56">
        <v>8</v>
      </c>
      <c r="G269" s="56">
        <v>48</v>
      </c>
      <c r="H269" s="208">
        <f>IFERROR(INDEX(Tier1[Wt],MATCH(Production[[#This Row],[Type]],Tier1[Ingredient],0))*Production[[#This Row],[Blocks Used]],0)</f>
        <v>2400</v>
      </c>
      <c r="I269" s="210">
        <f>IFERROR(INDEX(Ingredients[TtlWt],MATCH(Production[[#This Row],[Product]],Ingredients[ProdName],0))*Production[[#This Row],[Lots Done]],"")</f>
        <v>93.2</v>
      </c>
      <c r="J269" s="210" t="str">
        <f>IF(INDEX(Ingredients[Batter],MATCH(Production[[#This Row],[Product]],Ingredients[ProdName],0))*Production[[#This Row],[Batter Used]]&gt;0,INDEX(Ingredients[Batter],MATCH(Production[[#This Row],[Product]],Ingredients[ProdName],0))*Production[[#This Row],[Batter Used]],"")</f>
        <v/>
      </c>
      <c r="K269" s="210" t="str">
        <f>IF(INDEX(Ingredients[Breader],MATCH(Production[[#This Row],[Product]],Ingredients[ProdName],0))*Production[[#This Row],[Breader Used]]&gt;0,INDEX(Ingredients[Breader],MATCH(Production[[#This Row],[Product]],Ingredients[ProdName],0))*Production[[#This Row],[Breader Used]],"")</f>
        <v/>
      </c>
      <c r="L269" s="56"/>
      <c r="M269" s="56"/>
      <c r="N269" s="211">
        <f>IFERROR(IF(SUM(Production[[#This Row],[Meat Wt]:[BrTtl]])&lt;&gt;0,SUM(Production[[#This Row],[Meat Wt]:[BrTtl]]),""),"")</f>
        <v>2493.1999999999998</v>
      </c>
      <c r="O269" s="55">
        <v>107</v>
      </c>
      <c r="P269" s="208">
        <f>INDEX(Ingredients[Case Wt.],MATCH(Production[[#This Row],[Product]],Ingredients[ProdName],0))*Production[[#This Row],[Case Total]]</f>
        <v>3210</v>
      </c>
      <c r="Q269" s="211">
        <f>IFERROR(Production[[#This Row],[SatWt]]-Production[[#This Row],[RawWt]],"")</f>
        <v>716.80000000000018</v>
      </c>
      <c r="R269" s="222" t="str">
        <f>IF(Production[[#This Row],[Species]]&lt;&gt;"",IF(SUM(Production[[#This Row],[BtTtl]:[BrTtl]])/Production[[#This Row],[SatWt]]&lt;&gt;0,SUM(Production[[#This Row],[BtTtl]:[BrTtl]])/Production[[#This Row],[SatWt]],""),"")</f>
        <v/>
      </c>
      <c r="S269" s="223" t="str">
        <f>INDEX(Ingredients[Species],MATCH(Production[[#This Row],[Product]],Ingredients[ProdName],0))</f>
        <v>Poultry</v>
      </c>
    </row>
    <row r="270" spans="1:19" ht="11.1" customHeight="1" x14ac:dyDescent="0.25">
      <c r="A270" s="207" t="str">
        <f>IFERROR(IF(Production[[#This Row],[Date]]&lt;&gt;"",TEXT(Production[[#This Row],[Date]],"yy")&amp;"-"&amp;TEXT(Production[[#This Row],[Date]]-DATE(YEAR(Production[[#This Row],[Date]]),1,0),"000"),""),"")</f>
        <v>23-219</v>
      </c>
      <c r="B270" s="209" t="str">
        <f>IFERROR(IF(INDEX(Ingredients[Ingr1],MATCH(Production[[#This Row],[Product]],Ingredients[ProdName],0))&lt;&gt;"",INDEX(Ingredients[Ingr1],MATCH(Production[[#This Row],[Product]],Ingredients[ProdName],0)),INDEX(Ingredients[Ingr2],MATCH(Production[[#This Row],[Product]],Ingredients[ProdName],0))),"")</f>
        <v>Chicken - Ground</v>
      </c>
      <c r="C270" s="53">
        <v>45145</v>
      </c>
      <c r="D270" s="54" t="s">
        <v>7</v>
      </c>
      <c r="E270" s="55">
        <v>1806</v>
      </c>
      <c r="F270" s="56">
        <v>10</v>
      </c>
      <c r="G270" s="56">
        <v>70</v>
      </c>
      <c r="H270" s="208">
        <f>IFERROR(INDEX(Tier1[Wt],MATCH(Production[[#This Row],[Type]],Tier1[Ingredient],0))*Production[[#This Row],[Blocks Used]],0)</f>
        <v>3500</v>
      </c>
      <c r="I270" s="210">
        <f>IFERROR(INDEX(Ingredients[TtlWt],MATCH(Production[[#This Row],[Product]],Ingredients[ProdName],0))*Production[[#This Row],[Lots Done]],"")</f>
        <v>67.5</v>
      </c>
      <c r="J270" s="210" t="str">
        <f>IF(INDEX(Ingredients[Batter],MATCH(Production[[#This Row],[Product]],Ingredients[ProdName],0))*Production[[#This Row],[Batter Used]]&gt;0,INDEX(Ingredients[Batter],MATCH(Production[[#This Row],[Product]],Ingredients[ProdName],0))*Production[[#This Row],[Batter Used]],"")</f>
        <v/>
      </c>
      <c r="K270" s="210" t="str">
        <f>IF(INDEX(Ingredients[Breader],MATCH(Production[[#This Row],[Product]],Ingredients[ProdName],0))*Production[[#This Row],[Breader Used]]&gt;0,INDEX(Ingredients[Breader],MATCH(Production[[#This Row],[Product]],Ingredients[ProdName],0))*Production[[#This Row],[Breader Used]],"")</f>
        <v/>
      </c>
      <c r="L270" s="56"/>
      <c r="M270" s="56"/>
      <c r="N270" s="211">
        <f>IFERROR(IF(SUM(Production[[#This Row],[Meat Wt]:[BrTtl]])&lt;&gt;0,SUM(Production[[#This Row],[Meat Wt]:[BrTtl]]),""),"")</f>
        <v>3567.5</v>
      </c>
      <c r="O270" s="55">
        <v>156</v>
      </c>
      <c r="P270" s="208">
        <f>INDEX(Ingredients[Case Wt.],MATCH(Production[[#This Row],[Product]],Ingredients[ProdName],0))*Production[[#This Row],[Case Total]]</f>
        <v>3900</v>
      </c>
      <c r="Q270" s="211">
        <f>IFERROR(Production[[#This Row],[SatWt]]-Production[[#This Row],[RawWt]],"")</f>
        <v>332.5</v>
      </c>
      <c r="R270" s="222" t="str">
        <f>IF(Production[[#This Row],[Species]]&lt;&gt;"",IF(SUM(Production[[#This Row],[BtTtl]:[BrTtl]])/Production[[#This Row],[SatWt]]&lt;&gt;0,SUM(Production[[#This Row],[BtTtl]:[BrTtl]])/Production[[#This Row],[SatWt]],""),"")</f>
        <v/>
      </c>
      <c r="S270" s="223" t="str">
        <f>INDEX(Ingredients[Species],MATCH(Production[[#This Row],[Product]],Ingredients[ProdName],0))</f>
        <v>Poultry</v>
      </c>
    </row>
    <row r="271" spans="1:19" ht="11.1" customHeight="1" x14ac:dyDescent="0.25">
      <c r="A271" s="207" t="str">
        <f>IFERROR(IF(Production[[#This Row],[Date]]&lt;&gt;"",TEXT(Production[[#This Row],[Date]],"yy")&amp;"-"&amp;TEXT(Production[[#This Row],[Date]]-DATE(YEAR(Production[[#This Row],[Date]]),1,0),"000"),""),"")</f>
        <v>23-220</v>
      </c>
      <c r="B271" s="209" t="str">
        <f>IFERROR(IF(INDEX(Ingredients[Ingr1],MATCH(Production[[#This Row],[Product]],Ingredients[ProdName],0))&lt;&gt;"",INDEX(Ingredients[Ingr1],MATCH(Production[[#This Row],[Product]],Ingredients[ProdName],0)),INDEX(Ingredients[Ingr2],MATCH(Production[[#This Row],[Product]],Ingredients[ProdName],0))),"")</f>
        <v>Chicken - Ground</v>
      </c>
      <c r="C271" s="53">
        <v>45146</v>
      </c>
      <c r="D271" s="54" t="s">
        <v>7</v>
      </c>
      <c r="E271" s="55">
        <v>1806</v>
      </c>
      <c r="F271" s="56">
        <v>10</v>
      </c>
      <c r="G271" s="56">
        <v>60</v>
      </c>
      <c r="H271" s="208">
        <f>IFERROR(INDEX(Tier1[Wt],MATCH(Production[[#This Row],[Type]],Tier1[Ingredient],0))*Production[[#This Row],[Blocks Used]],0)</f>
        <v>3000</v>
      </c>
      <c r="I271" s="210">
        <f>IFERROR(INDEX(Ingredients[TtlWt],MATCH(Production[[#This Row],[Product]],Ingredients[ProdName],0))*Production[[#This Row],[Lots Done]],"")</f>
        <v>67.5</v>
      </c>
      <c r="J271" s="210" t="str">
        <f>IF(INDEX(Ingredients[Batter],MATCH(Production[[#This Row],[Product]],Ingredients[ProdName],0))*Production[[#This Row],[Batter Used]]&gt;0,INDEX(Ingredients[Batter],MATCH(Production[[#This Row],[Product]],Ingredients[ProdName],0))*Production[[#This Row],[Batter Used]],"")</f>
        <v/>
      </c>
      <c r="K271" s="210" t="str">
        <f>IF(INDEX(Ingredients[Breader],MATCH(Production[[#This Row],[Product]],Ingredients[ProdName],0))*Production[[#This Row],[Breader Used]]&gt;0,INDEX(Ingredients[Breader],MATCH(Production[[#This Row],[Product]],Ingredients[ProdName],0))*Production[[#This Row],[Breader Used]],"")</f>
        <v/>
      </c>
      <c r="L271" s="56"/>
      <c r="M271" s="56"/>
      <c r="N271" s="211">
        <f>IFERROR(IF(SUM(Production[[#This Row],[Meat Wt]:[BrTtl]])&lt;&gt;0,SUM(Production[[#This Row],[Meat Wt]:[BrTtl]]),""),"")</f>
        <v>3067.5</v>
      </c>
      <c r="O271" s="55">
        <v>156</v>
      </c>
      <c r="P271" s="208">
        <f>INDEX(Ingredients[Case Wt.],MATCH(Production[[#This Row],[Product]],Ingredients[ProdName],0))*Production[[#This Row],[Case Total]]</f>
        <v>3900</v>
      </c>
      <c r="Q271" s="211">
        <f>IFERROR(Production[[#This Row],[SatWt]]-Production[[#This Row],[RawWt]],"")</f>
        <v>832.5</v>
      </c>
      <c r="R271" s="222" t="str">
        <f>IF(Production[[#This Row],[Species]]&lt;&gt;"",IF(SUM(Production[[#This Row],[BtTtl]:[BrTtl]])/Production[[#This Row],[SatWt]]&lt;&gt;0,SUM(Production[[#This Row],[BtTtl]:[BrTtl]])/Production[[#This Row],[SatWt]],""),"")</f>
        <v/>
      </c>
      <c r="S271" s="223" t="str">
        <f>INDEX(Ingredients[Species],MATCH(Production[[#This Row],[Product]],Ingredients[ProdName],0))</f>
        <v>Poultry</v>
      </c>
    </row>
    <row r="272" spans="1:19" ht="11.1" customHeight="1" x14ac:dyDescent="0.25">
      <c r="A272" s="207" t="str">
        <f>IFERROR(IF(Production[[#This Row],[Date]]&lt;&gt;"",TEXT(Production[[#This Row],[Date]],"yy")&amp;"-"&amp;TEXT(Production[[#This Row],[Date]]-DATE(YEAR(Production[[#This Row],[Date]]),1,0),"000"),""),"")</f>
        <v>23-221</v>
      </c>
      <c r="B272" s="209" t="str">
        <f>IFERROR(IF(INDEX(Ingredients[Ingr1],MATCH(Production[[#This Row],[Product]],Ingredients[ProdName],0))&lt;&gt;"",INDEX(Ingredients[Ingr1],MATCH(Production[[#This Row],[Product]],Ingredients[ProdName],0)),INDEX(Ingredients[Ingr2],MATCH(Production[[#This Row],[Product]],Ingredients[ProdName],0))),"")</f>
        <v>Chicken - Ground</v>
      </c>
      <c r="C272" s="53">
        <v>45147</v>
      </c>
      <c r="D272" s="54" t="s">
        <v>19</v>
      </c>
      <c r="E272" s="55">
        <v>1806</v>
      </c>
      <c r="F272" s="56">
        <v>8</v>
      </c>
      <c r="G272" s="56">
        <v>48</v>
      </c>
      <c r="H272" s="208">
        <f>IFERROR(INDEX(Tier1[Wt],MATCH(Production[[#This Row],[Type]],Tier1[Ingredient],0))*Production[[#This Row],[Blocks Used]],0)</f>
        <v>2400</v>
      </c>
      <c r="I272" s="210">
        <f>IFERROR(INDEX(Ingredients[TtlWt],MATCH(Production[[#This Row],[Product]],Ingredients[ProdName],0))*Production[[#This Row],[Lots Done]],"")</f>
        <v>93.2</v>
      </c>
      <c r="J272" s="210" t="str">
        <f>IF(INDEX(Ingredients[Batter],MATCH(Production[[#This Row],[Product]],Ingredients[ProdName],0))*Production[[#This Row],[Batter Used]]&gt;0,INDEX(Ingredients[Batter],MATCH(Production[[#This Row],[Product]],Ingredients[ProdName],0))*Production[[#This Row],[Batter Used]],"")</f>
        <v/>
      </c>
      <c r="K272" s="210" t="str">
        <f>IF(INDEX(Ingredients[Breader],MATCH(Production[[#This Row],[Product]],Ingredients[ProdName],0))*Production[[#This Row],[Breader Used]]&gt;0,INDEX(Ingredients[Breader],MATCH(Production[[#This Row],[Product]],Ingredients[ProdName],0))*Production[[#This Row],[Breader Used]],"")</f>
        <v/>
      </c>
      <c r="L272" s="56"/>
      <c r="M272" s="56"/>
      <c r="N272" s="211">
        <f>IFERROR(IF(SUM(Production[[#This Row],[Meat Wt]:[BrTtl]])&lt;&gt;0,SUM(Production[[#This Row],[Meat Wt]:[BrTtl]]),""),"")</f>
        <v>2493.1999999999998</v>
      </c>
      <c r="O272" s="55">
        <v>130</v>
      </c>
      <c r="P272" s="208">
        <f>INDEX(Ingredients[Case Wt.],MATCH(Production[[#This Row],[Product]],Ingredients[ProdName],0))*Production[[#This Row],[Case Total]]</f>
        <v>3250</v>
      </c>
      <c r="Q272" s="211">
        <f>IFERROR(Production[[#This Row],[SatWt]]-Production[[#This Row],[RawWt]],"")</f>
        <v>756.80000000000018</v>
      </c>
      <c r="R272" s="222" t="str">
        <f>IF(Production[[#This Row],[Species]]&lt;&gt;"",IF(SUM(Production[[#This Row],[BtTtl]:[BrTtl]])/Production[[#This Row],[SatWt]]&lt;&gt;0,SUM(Production[[#This Row],[BtTtl]:[BrTtl]])/Production[[#This Row],[SatWt]],""),"")</f>
        <v/>
      </c>
      <c r="S272" s="223" t="str">
        <f>INDEX(Ingredients[Species],MATCH(Production[[#This Row],[Product]],Ingredients[ProdName],0))</f>
        <v>Poultry</v>
      </c>
    </row>
    <row r="273" spans="1:19" ht="11.1" customHeight="1" x14ac:dyDescent="0.25">
      <c r="A273" s="207" t="str">
        <f>IFERROR(IF(Production[[#This Row],[Date]]&lt;&gt;"",TEXT(Production[[#This Row],[Date]],"yy")&amp;"-"&amp;TEXT(Production[[#This Row],[Date]]-DATE(YEAR(Production[[#This Row],[Date]]),1,0),"000"),""),"")</f>
        <v>23-222</v>
      </c>
      <c r="B273" s="209" t="str">
        <f>IFERROR(IF(INDEX(Ingredients[Ingr1],MATCH(Production[[#This Row],[Product]],Ingredients[ProdName],0))&lt;&gt;"",INDEX(Ingredients[Ingr1],MATCH(Production[[#This Row],[Product]],Ingredients[ProdName],0)),INDEX(Ingredients[Ingr2],MATCH(Production[[#This Row],[Product]],Ingredients[ProdName],0))),"")</f>
        <v>Chicken - Ground</v>
      </c>
      <c r="C273" s="53">
        <v>45148</v>
      </c>
      <c r="D273" s="54" t="s">
        <v>20</v>
      </c>
      <c r="E273" s="55">
        <v>1806</v>
      </c>
      <c r="F273" s="56">
        <v>4</v>
      </c>
      <c r="G273" s="56">
        <v>24</v>
      </c>
      <c r="H273" s="208">
        <f>IFERROR(INDEX(Tier1[Wt],MATCH(Production[[#This Row],[Type]],Tier1[Ingredient],0))*Production[[#This Row],[Blocks Used]],0)</f>
        <v>1200</v>
      </c>
      <c r="I273" s="210">
        <f>IFERROR(INDEX(Ingredients[TtlWt],MATCH(Production[[#This Row],[Product]],Ingredients[ProdName],0))*Production[[#This Row],[Lots Done]],"")</f>
        <v>81.599999999999994</v>
      </c>
      <c r="J273" s="210" t="str">
        <f>IF(INDEX(Ingredients[Batter],MATCH(Production[[#This Row],[Product]],Ingredients[ProdName],0))*Production[[#This Row],[Batter Used]]&gt;0,INDEX(Ingredients[Batter],MATCH(Production[[#This Row],[Product]],Ingredients[ProdName],0))*Production[[#This Row],[Batter Used]],"")</f>
        <v/>
      </c>
      <c r="K273" s="210" t="str">
        <f>IF(INDEX(Ingredients[Breader],MATCH(Production[[#This Row],[Product]],Ingredients[ProdName],0))*Production[[#This Row],[Breader Used]]&gt;0,INDEX(Ingredients[Breader],MATCH(Production[[#This Row],[Product]],Ingredients[ProdName],0))*Production[[#This Row],[Breader Used]],"")</f>
        <v/>
      </c>
      <c r="L273" s="56"/>
      <c r="M273" s="56"/>
      <c r="N273" s="211">
        <f>IFERROR(IF(SUM(Production[[#This Row],[Meat Wt]:[BrTtl]])&lt;&gt;0,SUM(Production[[#This Row],[Meat Wt]:[BrTtl]]),""),"")</f>
        <v>1281.5999999999999</v>
      </c>
      <c r="O273" s="55">
        <v>62</v>
      </c>
      <c r="P273" s="208">
        <f>INDEX(Ingredients[Case Wt.],MATCH(Production[[#This Row],[Product]],Ingredients[ProdName],0))*Production[[#This Row],[Case Total]]</f>
        <v>1550</v>
      </c>
      <c r="Q273" s="211">
        <f>IFERROR(Production[[#This Row],[SatWt]]-Production[[#This Row],[RawWt]],"")</f>
        <v>268.40000000000009</v>
      </c>
      <c r="R273" s="222" t="str">
        <f>IF(Production[[#This Row],[Species]]&lt;&gt;"",IF(SUM(Production[[#This Row],[BtTtl]:[BrTtl]])/Production[[#This Row],[SatWt]]&lt;&gt;0,SUM(Production[[#This Row],[BtTtl]:[BrTtl]])/Production[[#This Row],[SatWt]],""),"")</f>
        <v/>
      </c>
      <c r="S273" s="223" t="str">
        <f>INDEX(Ingredients[Species],MATCH(Production[[#This Row],[Product]],Ingredients[ProdName],0))</f>
        <v>Poultry</v>
      </c>
    </row>
    <row r="274" spans="1:19" ht="11.1" customHeight="1" x14ac:dyDescent="0.25">
      <c r="A274" s="207" t="str">
        <f>IFERROR(IF(Production[[#This Row],[Date]]&lt;&gt;"",TEXT(Production[[#This Row],[Date]],"yy")&amp;"-"&amp;TEXT(Production[[#This Row],[Date]]-DATE(YEAR(Production[[#This Row],[Date]]),1,0),"000"),""),"")</f>
        <v>23-227</v>
      </c>
      <c r="B274" s="209" t="str">
        <f>IFERROR(IF(INDEX(Ingredients[Ingr1],MATCH(Production[[#This Row],[Product]],Ingredients[ProdName],0))&lt;&gt;"",INDEX(Ingredients[Ingr1],MATCH(Production[[#This Row],[Product]],Ingredients[ProdName],0)),INDEX(Ingredients[Ingr2],MATCH(Production[[#This Row],[Product]],Ingredients[ProdName],0))),"")</f>
        <v>Cornmeal</v>
      </c>
      <c r="C274" s="53">
        <v>45153</v>
      </c>
      <c r="D274" s="54" t="s">
        <v>24</v>
      </c>
      <c r="E274" s="55" t="s">
        <v>176</v>
      </c>
      <c r="F274" s="56"/>
      <c r="G274" s="56"/>
      <c r="H274" s="208">
        <f>IFERROR(INDEX(Tier1[Wt],MATCH(Production[[#This Row],[Type]],Tier1[Ingredient],0))*Production[[#This Row],[Blocks Used]],0)</f>
        <v>0</v>
      </c>
      <c r="I274" s="210" t="str">
        <f>IFERROR(INDEX(Ingredients[TtlWt],MATCH(Production[[#This Row],[Product]],Ingredients[ProdName],0))*Production[[#This Row],[Lots Done]],"")</f>
        <v/>
      </c>
      <c r="J274" s="210" t="str">
        <f>IF(INDEX(Ingredients[Batter],MATCH(Production[[#This Row],[Product]],Ingredients[ProdName],0))*Production[[#This Row],[Batter Used]]&gt;0,INDEX(Ingredients[Batter],MATCH(Production[[#This Row],[Product]],Ingredients[ProdName],0))*Production[[#This Row],[Batter Used]],"")</f>
        <v/>
      </c>
      <c r="K274" s="210" t="str">
        <f>IF(INDEX(Ingredients[Breader],MATCH(Production[[#This Row],[Product]],Ingredients[ProdName],0))*Production[[#This Row],[Breader Used]]&gt;0,INDEX(Ingredients[Breader],MATCH(Production[[#This Row],[Product]],Ingredients[ProdName],0))*Production[[#This Row],[Breader Used]],"")</f>
        <v/>
      </c>
      <c r="L274" s="56"/>
      <c r="M274" s="56"/>
      <c r="N274" s="211" t="str">
        <f>IFERROR(IF(SUM(Production[[#This Row],[Meat Wt]:[BrTtl]])&lt;&gt;0,SUM(Production[[#This Row],[Meat Wt]:[BrTtl]]),""),"")</f>
        <v/>
      </c>
      <c r="O274" s="55">
        <v>29</v>
      </c>
      <c r="P274" s="208">
        <f>INDEX(Ingredients[Case Wt.],MATCH(Production[[#This Row],[Product]],Ingredients[ProdName],0))*Production[[#This Row],[Case Total]]</f>
        <v>145</v>
      </c>
      <c r="Q274" s="211" t="str">
        <f>IFERROR(Production[[#This Row],[SatWt]]-Production[[#This Row],[RawWt]],"")</f>
        <v/>
      </c>
      <c r="R274" s="222" t="str">
        <f>IF(Production[[#This Row],[Species]]&lt;&gt;"",IF(SUM(Production[[#This Row],[BtTtl]:[BrTtl]])/Production[[#This Row],[SatWt]]&lt;&gt;0,SUM(Production[[#This Row],[BtTtl]:[BrTtl]])/Production[[#This Row],[SatWt]],""),"")</f>
        <v/>
      </c>
      <c r="S274" s="223" t="str">
        <f>INDEX(Ingredients[Species],MATCH(Production[[#This Row],[Product]],Ingredients[ProdName],0))</f>
        <v/>
      </c>
    </row>
    <row r="275" spans="1:19" ht="11.1" customHeight="1" x14ac:dyDescent="0.25">
      <c r="A275" s="207" t="str">
        <f>IFERROR(IF(Production[[#This Row],[Date]]&lt;&gt;"",TEXT(Production[[#This Row],[Date]],"yy")&amp;"-"&amp;TEXT(Production[[#This Row],[Date]]-DATE(YEAR(Production[[#This Row],[Date]]),1,0),"000"),""),"")</f>
        <v>23-228</v>
      </c>
      <c r="B275" s="209" t="str">
        <f>IFERROR(IF(INDEX(Ingredients[Ingr1],MATCH(Production[[#This Row],[Product]],Ingredients[ProdName],0))&lt;&gt;"",INDEX(Ingredients[Ingr1],MATCH(Production[[#This Row],[Product]],Ingredients[ProdName],0)),INDEX(Ingredients[Ingr2],MATCH(Production[[#This Row],[Product]],Ingredients[ProdName],0))),"")</f>
        <v>Cornmeal</v>
      </c>
      <c r="C275" s="53">
        <v>45154</v>
      </c>
      <c r="D275" s="54" t="s">
        <v>24</v>
      </c>
      <c r="E275" s="55" t="s">
        <v>177</v>
      </c>
      <c r="F275" s="56"/>
      <c r="G275" s="56"/>
      <c r="H275" s="208">
        <f>IFERROR(INDEX(Tier1[Wt],MATCH(Production[[#This Row],[Type]],Tier1[Ingredient],0))*Production[[#This Row],[Blocks Used]],0)</f>
        <v>0</v>
      </c>
      <c r="I275" s="210" t="str">
        <f>IFERROR(INDEX(Ingredients[TtlWt],MATCH(Production[[#This Row],[Product]],Ingredients[ProdName],0))*Production[[#This Row],[Lots Done]],"")</f>
        <v/>
      </c>
      <c r="J275" s="210" t="str">
        <f>IF(INDEX(Ingredients[Batter],MATCH(Production[[#This Row],[Product]],Ingredients[ProdName],0))*Production[[#This Row],[Batter Used]]&gt;0,INDEX(Ingredients[Batter],MATCH(Production[[#This Row],[Product]],Ingredients[ProdName],0))*Production[[#This Row],[Batter Used]],"")</f>
        <v/>
      </c>
      <c r="K275" s="210" t="str">
        <f>IF(INDEX(Ingredients[Breader],MATCH(Production[[#This Row],[Product]],Ingredients[ProdName],0))*Production[[#This Row],[Breader Used]]&gt;0,INDEX(Ingredients[Breader],MATCH(Production[[#This Row],[Product]],Ingredients[ProdName],0))*Production[[#This Row],[Breader Used]],"")</f>
        <v/>
      </c>
      <c r="L275" s="56"/>
      <c r="M275" s="56"/>
      <c r="N275" s="211" t="str">
        <f>IFERROR(IF(SUM(Production[[#This Row],[Meat Wt]:[BrTtl]])&lt;&gt;0,SUM(Production[[#This Row],[Meat Wt]:[BrTtl]]),""),"")</f>
        <v/>
      </c>
      <c r="O275" s="55">
        <v>31</v>
      </c>
      <c r="P275" s="208">
        <f>INDEX(Ingredients[Case Wt.],MATCH(Production[[#This Row],[Product]],Ingredients[ProdName],0))*Production[[#This Row],[Case Total]]</f>
        <v>155</v>
      </c>
      <c r="Q275" s="211" t="str">
        <f>IFERROR(Production[[#This Row],[SatWt]]-Production[[#This Row],[RawWt]],"")</f>
        <v/>
      </c>
      <c r="R275" s="222" t="str">
        <f>IF(Production[[#This Row],[Species]]&lt;&gt;"",IF(SUM(Production[[#This Row],[BtTtl]:[BrTtl]])/Production[[#This Row],[SatWt]]&lt;&gt;0,SUM(Production[[#This Row],[BtTtl]:[BrTtl]])/Production[[#This Row],[SatWt]],""),"")</f>
        <v/>
      </c>
      <c r="S275" s="223" t="str">
        <f>INDEX(Ingredients[Species],MATCH(Production[[#This Row],[Product]],Ingredients[ProdName],0))</f>
        <v/>
      </c>
    </row>
    <row r="276" spans="1:19" ht="11.1" customHeight="1" x14ac:dyDescent="0.25">
      <c r="A276" s="207" t="str">
        <f>IFERROR(IF(Production[[#This Row],[Date]]&lt;&gt;"",TEXT(Production[[#This Row],[Date]],"yy")&amp;"-"&amp;TEXT(Production[[#This Row],[Date]]-DATE(YEAR(Production[[#This Row],[Date]]),1,0),"000"),""),"")</f>
        <v>23-229</v>
      </c>
      <c r="B276" s="209" t="str">
        <f>IFERROR(IF(INDEX(Ingredients[Ingr1],MATCH(Production[[#This Row],[Product]],Ingredients[ProdName],0))&lt;&gt;"",INDEX(Ingredients[Ingr1],MATCH(Production[[#This Row],[Product]],Ingredients[ProdName],0)),INDEX(Ingredients[Ingr2],MATCH(Production[[#This Row],[Product]],Ingredients[ProdName],0))),"")</f>
        <v>Cornmeal</v>
      </c>
      <c r="C276" s="53">
        <v>45155</v>
      </c>
      <c r="D276" s="54" t="s">
        <v>24</v>
      </c>
      <c r="E276" s="55" t="s">
        <v>178</v>
      </c>
      <c r="F276" s="56"/>
      <c r="G276" s="56"/>
      <c r="H276" s="208">
        <f>IFERROR(INDEX(Tier1[Wt],MATCH(Production[[#This Row],[Type]],Tier1[Ingredient],0))*Production[[#This Row],[Blocks Used]],0)</f>
        <v>0</v>
      </c>
      <c r="I276" s="210" t="str">
        <f>IFERROR(INDEX(Ingredients[TtlWt],MATCH(Production[[#This Row],[Product]],Ingredients[ProdName],0))*Production[[#This Row],[Lots Done]],"")</f>
        <v/>
      </c>
      <c r="J276" s="210" t="str">
        <f>IF(INDEX(Ingredients[Batter],MATCH(Production[[#This Row],[Product]],Ingredients[ProdName],0))*Production[[#This Row],[Batter Used]]&gt;0,INDEX(Ingredients[Batter],MATCH(Production[[#This Row],[Product]],Ingredients[ProdName],0))*Production[[#This Row],[Batter Used]],"")</f>
        <v/>
      </c>
      <c r="K276" s="210" t="str">
        <f>IF(INDEX(Ingredients[Breader],MATCH(Production[[#This Row],[Product]],Ingredients[ProdName],0))*Production[[#This Row],[Breader Used]]&gt;0,INDEX(Ingredients[Breader],MATCH(Production[[#This Row],[Product]],Ingredients[ProdName],0))*Production[[#This Row],[Breader Used]],"")</f>
        <v/>
      </c>
      <c r="L276" s="56"/>
      <c r="M276" s="56"/>
      <c r="N276" s="211" t="str">
        <f>IFERROR(IF(SUM(Production[[#This Row],[Meat Wt]:[BrTtl]])&lt;&gt;0,SUM(Production[[#This Row],[Meat Wt]:[BrTtl]]),""),"")</f>
        <v/>
      </c>
      <c r="O276" s="55">
        <v>31</v>
      </c>
      <c r="P276" s="208">
        <f>INDEX(Ingredients[Case Wt.],MATCH(Production[[#This Row],[Product]],Ingredients[ProdName],0))*Production[[#This Row],[Case Total]]</f>
        <v>155</v>
      </c>
      <c r="Q276" s="211" t="str">
        <f>IFERROR(Production[[#This Row],[SatWt]]-Production[[#This Row],[RawWt]],"")</f>
        <v/>
      </c>
      <c r="R276" s="222" t="str">
        <f>IF(Production[[#This Row],[Species]]&lt;&gt;"",IF(SUM(Production[[#This Row],[BtTtl]:[BrTtl]])/Production[[#This Row],[SatWt]]&lt;&gt;0,SUM(Production[[#This Row],[BtTtl]:[BrTtl]])/Production[[#This Row],[SatWt]],""),"")</f>
        <v/>
      </c>
      <c r="S276" s="223" t="str">
        <f>INDEX(Ingredients[Species],MATCH(Production[[#This Row],[Product]],Ingredients[ProdName],0))</f>
        <v/>
      </c>
    </row>
    <row r="277" spans="1:19" ht="11.1" customHeight="1" x14ac:dyDescent="0.25">
      <c r="A277" s="207" t="str">
        <f>IFERROR(IF(Production[[#This Row],[Date]]&lt;&gt;"",TEXT(Production[[#This Row],[Date]],"yy")&amp;"-"&amp;TEXT(Production[[#This Row],[Date]]-DATE(YEAR(Production[[#This Row],[Date]]),1,0),"000"),""),"")</f>
        <v>23-233</v>
      </c>
      <c r="B277" s="209" t="str">
        <f>IFERROR(IF(INDEX(Ingredients[Ingr1],MATCH(Production[[#This Row],[Product]],Ingredients[ProdName],0))&lt;&gt;"",INDEX(Ingredients[Ingr1],MATCH(Production[[#This Row],[Product]],Ingredients[ProdName],0)),INDEX(Ingredients[Ingr2],MATCH(Production[[#This Row],[Product]],Ingredients[ProdName],0))),"")</f>
        <v>Cornmeal</v>
      </c>
      <c r="C277" s="53">
        <v>45159</v>
      </c>
      <c r="D277" s="54" t="s">
        <v>24</v>
      </c>
      <c r="E277" s="55" t="s">
        <v>179</v>
      </c>
      <c r="F277" s="56"/>
      <c r="G277" s="56"/>
      <c r="H277" s="208">
        <f>IFERROR(INDEX(Tier1[Wt],MATCH(Production[[#This Row],[Type]],Tier1[Ingredient],0))*Production[[#This Row],[Blocks Used]],0)</f>
        <v>0</v>
      </c>
      <c r="I277" s="210" t="str">
        <f>IFERROR(INDEX(Ingredients[TtlWt],MATCH(Production[[#This Row],[Product]],Ingredients[ProdName],0))*Production[[#This Row],[Lots Done]],"")</f>
        <v/>
      </c>
      <c r="J277" s="210" t="str">
        <f>IF(INDEX(Ingredients[Batter],MATCH(Production[[#This Row],[Product]],Ingredients[ProdName],0))*Production[[#This Row],[Batter Used]]&gt;0,INDEX(Ingredients[Batter],MATCH(Production[[#This Row],[Product]],Ingredients[ProdName],0))*Production[[#This Row],[Batter Used]],"")</f>
        <v/>
      </c>
      <c r="K277" s="210" t="str">
        <f>IF(INDEX(Ingredients[Breader],MATCH(Production[[#This Row],[Product]],Ingredients[ProdName],0))*Production[[#This Row],[Breader Used]]&gt;0,INDEX(Ingredients[Breader],MATCH(Production[[#This Row],[Product]],Ingredients[ProdName],0))*Production[[#This Row],[Breader Used]],"")</f>
        <v/>
      </c>
      <c r="L277" s="56"/>
      <c r="M277" s="56"/>
      <c r="N277" s="211" t="str">
        <f>IFERROR(IF(SUM(Production[[#This Row],[Meat Wt]:[BrTtl]])&lt;&gt;0,SUM(Production[[#This Row],[Meat Wt]:[BrTtl]]),""),"")</f>
        <v/>
      </c>
      <c r="O277" s="55">
        <v>29</v>
      </c>
      <c r="P277" s="208">
        <f>INDEX(Ingredients[Case Wt.],MATCH(Production[[#This Row],[Product]],Ingredients[ProdName],0))*Production[[#This Row],[Case Total]]</f>
        <v>145</v>
      </c>
      <c r="Q277" s="211" t="str">
        <f>IFERROR(Production[[#This Row],[SatWt]]-Production[[#This Row],[RawWt]],"")</f>
        <v/>
      </c>
      <c r="R277" s="222" t="str">
        <f>IF(Production[[#This Row],[Species]]&lt;&gt;"",IF(SUM(Production[[#This Row],[BtTtl]:[BrTtl]])/Production[[#This Row],[SatWt]]&lt;&gt;0,SUM(Production[[#This Row],[BtTtl]:[BrTtl]])/Production[[#This Row],[SatWt]],""),"")</f>
        <v/>
      </c>
      <c r="S277" s="223" t="str">
        <f>INDEX(Ingredients[Species],MATCH(Production[[#This Row],[Product]],Ingredients[ProdName],0))</f>
        <v/>
      </c>
    </row>
    <row r="278" spans="1:19" ht="11.1" customHeight="1" x14ac:dyDescent="0.25">
      <c r="A278" s="207" t="str">
        <f>IFERROR(IF(Production[[#This Row],[Date]]&lt;&gt;"",TEXT(Production[[#This Row],[Date]],"yy")&amp;"-"&amp;TEXT(Production[[#This Row],[Date]]-DATE(YEAR(Production[[#This Row],[Date]]),1,0),"000"),""),"")</f>
        <v>23-234</v>
      </c>
      <c r="B278" s="209" t="str">
        <f>IFERROR(IF(INDEX(Ingredients[Ingr1],MATCH(Production[[#This Row],[Product]],Ingredients[ProdName],0))&lt;&gt;"",INDEX(Ingredients[Ingr1],MATCH(Production[[#This Row],[Product]],Ingredients[ProdName],0)),INDEX(Ingredients[Ingr2],MATCH(Production[[#This Row],[Product]],Ingredients[ProdName],0))),"")</f>
        <v>Chicken - Ground</v>
      </c>
      <c r="C278" s="53">
        <v>45160</v>
      </c>
      <c r="D278" s="54" t="s">
        <v>15</v>
      </c>
      <c r="E278" s="55">
        <v>1806</v>
      </c>
      <c r="F278" s="56">
        <v>10</v>
      </c>
      <c r="G278" s="56">
        <v>60</v>
      </c>
      <c r="H278" s="208">
        <f>IFERROR(INDEX(Tier1[Wt],MATCH(Production[[#This Row],[Type]],Tier1[Ingredient],0))*Production[[#This Row],[Blocks Used]],0)</f>
        <v>3000</v>
      </c>
      <c r="I278" s="210">
        <f>IFERROR(INDEX(Ingredients[TtlWt],MATCH(Production[[#This Row],[Product]],Ingredients[ProdName],0))*Production[[#This Row],[Lots Done]],"")</f>
        <v>116.5</v>
      </c>
      <c r="J278" s="210" t="str">
        <f>IF(INDEX(Ingredients[Batter],MATCH(Production[[#This Row],[Product]],Ingredients[ProdName],0))*Production[[#This Row],[Batter Used]]&gt;0,INDEX(Ingredients[Batter],MATCH(Production[[#This Row],[Product]],Ingredients[ProdName],0))*Production[[#This Row],[Batter Used]],"")</f>
        <v/>
      </c>
      <c r="K278" s="210" t="str">
        <f>IF(INDEX(Ingredients[Breader],MATCH(Production[[#This Row],[Product]],Ingredients[ProdName],0))*Production[[#This Row],[Breader Used]]&gt;0,INDEX(Ingredients[Breader],MATCH(Production[[#This Row],[Product]],Ingredients[ProdName],0))*Production[[#This Row],[Breader Used]],"")</f>
        <v/>
      </c>
      <c r="L278" s="56"/>
      <c r="M278" s="56"/>
      <c r="N278" s="211">
        <f>IFERROR(IF(SUM(Production[[#This Row],[Meat Wt]:[BrTtl]])&lt;&gt;0,SUM(Production[[#This Row],[Meat Wt]:[BrTtl]]),""),"")</f>
        <v>3116.5</v>
      </c>
      <c r="O278" s="55">
        <v>129</v>
      </c>
      <c r="P278" s="208">
        <f>INDEX(Ingredients[Case Wt.],MATCH(Production[[#This Row],[Product]],Ingredients[ProdName],0))*Production[[#This Row],[Case Total]]</f>
        <v>3870</v>
      </c>
      <c r="Q278" s="211">
        <f>IFERROR(Production[[#This Row],[SatWt]]-Production[[#This Row],[RawWt]],"")</f>
        <v>753.5</v>
      </c>
      <c r="R278" s="222" t="str">
        <f>IF(Production[[#This Row],[Species]]&lt;&gt;"",IF(SUM(Production[[#This Row],[BtTtl]:[BrTtl]])/Production[[#This Row],[SatWt]]&lt;&gt;0,SUM(Production[[#This Row],[BtTtl]:[BrTtl]])/Production[[#This Row],[SatWt]],""),"")</f>
        <v/>
      </c>
      <c r="S278" s="223" t="str">
        <f>INDEX(Ingredients[Species],MATCH(Production[[#This Row],[Product]],Ingredients[ProdName],0))</f>
        <v>Poultry</v>
      </c>
    </row>
    <row r="279" spans="1:19" ht="11.1" customHeight="1" x14ac:dyDescent="0.25">
      <c r="A279" s="207" t="str">
        <f>IFERROR(IF(Production[[#This Row],[Date]]&lt;&gt;"",TEXT(Production[[#This Row],[Date]],"yy")&amp;"-"&amp;TEXT(Production[[#This Row],[Date]]-DATE(YEAR(Production[[#This Row],[Date]]),1,0),"000"),""),"")</f>
        <v>23-235</v>
      </c>
      <c r="B279" s="209" t="str">
        <f>IFERROR(IF(INDEX(Ingredients[Ingr1],MATCH(Production[[#This Row],[Product]],Ingredients[ProdName],0))&lt;&gt;"",INDEX(Ingredients[Ingr1],MATCH(Production[[#This Row],[Product]],Ingredients[ProdName],0)),INDEX(Ingredients[Ingr2],MATCH(Production[[#This Row],[Product]],Ingredients[ProdName],0))),"")</f>
        <v>Chicken - Ground</v>
      </c>
      <c r="C279" s="53">
        <v>45161</v>
      </c>
      <c r="D279" s="54" t="s">
        <v>16</v>
      </c>
      <c r="E279" s="55">
        <v>782</v>
      </c>
      <c r="F279" s="56">
        <v>10</v>
      </c>
      <c r="G279" s="56">
        <v>60</v>
      </c>
      <c r="H279" s="208">
        <f>IFERROR(INDEX(Tier1[Wt],MATCH(Production[[#This Row],[Type]],Tier1[Ingredient],0))*Production[[#This Row],[Blocks Used]],0)</f>
        <v>3000</v>
      </c>
      <c r="I279" s="210">
        <f>IFERROR(INDEX(Ingredients[TtlWt],MATCH(Production[[#This Row],[Product]],Ingredients[ProdName],0))*Production[[#This Row],[Lots Done]],"")</f>
        <v>204</v>
      </c>
      <c r="J279" s="210" t="str">
        <f>IF(INDEX(Ingredients[Batter],MATCH(Production[[#This Row],[Product]],Ingredients[ProdName],0))*Production[[#This Row],[Batter Used]]&gt;0,INDEX(Ingredients[Batter],MATCH(Production[[#This Row],[Product]],Ingredients[ProdName],0))*Production[[#This Row],[Batter Used]],"")</f>
        <v/>
      </c>
      <c r="K279" s="210" t="str">
        <f>IF(INDEX(Ingredients[Breader],MATCH(Production[[#This Row],[Product]],Ingredients[ProdName],0))*Production[[#This Row],[Breader Used]]&gt;0,INDEX(Ingredients[Breader],MATCH(Production[[#This Row],[Product]],Ingredients[ProdName],0))*Production[[#This Row],[Breader Used]],"")</f>
        <v/>
      </c>
      <c r="L279" s="56"/>
      <c r="M279" s="56"/>
      <c r="N279" s="211">
        <f>IFERROR(IF(SUM(Production[[#This Row],[Meat Wt]:[BrTtl]])&lt;&gt;0,SUM(Production[[#This Row],[Meat Wt]:[BrTtl]]),""),"")</f>
        <v>3204</v>
      </c>
      <c r="O279" s="55">
        <v>138</v>
      </c>
      <c r="P279" s="208">
        <f>INDEX(Ingredients[Case Wt.],MATCH(Production[[#This Row],[Product]],Ingredients[ProdName],0))*Production[[#This Row],[Case Total]]</f>
        <v>4140</v>
      </c>
      <c r="Q279" s="211">
        <f>IFERROR(Production[[#This Row],[SatWt]]-Production[[#This Row],[RawWt]],"")</f>
        <v>936</v>
      </c>
      <c r="R279" s="222" t="str">
        <f>IF(Production[[#This Row],[Species]]&lt;&gt;"",IF(SUM(Production[[#This Row],[BtTtl]:[BrTtl]])/Production[[#This Row],[SatWt]]&lt;&gt;0,SUM(Production[[#This Row],[BtTtl]:[BrTtl]])/Production[[#This Row],[SatWt]],""),"")</f>
        <v/>
      </c>
      <c r="S279" s="223" t="str">
        <f>INDEX(Ingredients[Species],MATCH(Production[[#This Row],[Product]],Ingredients[ProdName],0))</f>
        <v>Poultry</v>
      </c>
    </row>
    <row r="280" spans="1:19" ht="11.1" customHeight="1" x14ac:dyDescent="0.25">
      <c r="A280" s="207" t="str">
        <f>IFERROR(IF(Production[[#This Row],[Date]]&lt;&gt;"",TEXT(Production[[#This Row],[Date]],"yy")&amp;"-"&amp;TEXT(Production[[#This Row],[Date]]-DATE(YEAR(Production[[#This Row],[Date]]),1,0),"000"),""),"")</f>
        <v>23-236</v>
      </c>
      <c r="B280" s="209" t="str">
        <f>IFERROR(IF(INDEX(Ingredients[Ingr1],MATCH(Production[[#This Row],[Product]],Ingredients[ProdName],0))&lt;&gt;"",INDEX(Ingredients[Ingr1],MATCH(Production[[#This Row],[Product]],Ingredients[ProdName],0)),INDEX(Ingredients[Ingr2],MATCH(Production[[#This Row],[Product]],Ingredients[ProdName],0))),"")</f>
        <v>Chicken - Ground</v>
      </c>
      <c r="C280" s="53">
        <v>45162</v>
      </c>
      <c r="D280" s="54" t="s">
        <v>7</v>
      </c>
      <c r="E280" s="55">
        <v>782</v>
      </c>
      <c r="F280" s="56">
        <v>12</v>
      </c>
      <c r="G280" s="56">
        <v>72</v>
      </c>
      <c r="H280" s="208">
        <f>IFERROR(INDEX(Tier1[Wt],MATCH(Production[[#This Row],[Type]],Tier1[Ingredient],0))*Production[[#This Row],[Blocks Used]],0)</f>
        <v>3600</v>
      </c>
      <c r="I280" s="210">
        <f>IFERROR(INDEX(Ingredients[TtlWt],MATCH(Production[[#This Row],[Product]],Ingredients[ProdName],0))*Production[[#This Row],[Lots Done]],"")</f>
        <v>81</v>
      </c>
      <c r="J280" s="210" t="str">
        <f>IF(INDEX(Ingredients[Batter],MATCH(Production[[#This Row],[Product]],Ingredients[ProdName],0))*Production[[#This Row],[Batter Used]]&gt;0,INDEX(Ingredients[Batter],MATCH(Production[[#This Row],[Product]],Ingredients[ProdName],0))*Production[[#This Row],[Batter Used]],"")</f>
        <v/>
      </c>
      <c r="K280" s="210" t="str">
        <f>IF(INDEX(Ingredients[Breader],MATCH(Production[[#This Row],[Product]],Ingredients[ProdName],0))*Production[[#This Row],[Breader Used]]&gt;0,INDEX(Ingredients[Breader],MATCH(Production[[#This Row],[Product]],Ingredients[ProdName],0))*Production[[#This Row],[Breader Used]],"")</f>
        <v/>
      </c>
      <c r="L280" s="56"/>
      <c r="M280" s="56"/>
      <c r="N280" s="211">
        <f>IFERROR(IF(SUM(Production[[#This Row],[Meat Wt]:[BrTtl]])&lt;&gt;0,SUM(Production[[#This Row],[Meat Wt]:[BrTtl]]),""),"")</f>
        <v>3681</v>
      </c>
      <c r="O280" s="55">
        <v>187</v>
      </c>
      <c r="P280" s="208">
        <f>INDEX(Ingredients[Case Wt.],MATCH(Production[[#This Row],[Product]],Ingredients[ProdName],0))*Production[[#This Row],[Case Total]]</f>
        <v>4675</v>
      </c>
      <c r="Q280" s="211">
        <f>IFERROR(Production[[#This Row],[SatWt]]-Production[[#This Row],[RawWt]],"")</f>
        <v>994</v>
      </c>
      <c r="R280" s="222" t="str">
        <f>IF(Production[[#This Row],[Species]]&lt;&gt;"",IF(SUM(Production[[#This Row],[BtTtl]:[BrTtl]])/Production[[#This Row],[SatWt]]&lt;&gt;0,SUM(Production[[#This Row],[BtTtl]:[BrTtl]])/Production[[#This Row],[SatWt]],""),"")</f>
        <v/>
      </c>
      <c r="S280" s="223" t="str">
        <f>INDEX(Ingredients[Species],MATCH(Production[[#This Row],[Product]],Ingredients[ProdName],0))</f>
        <v>Poultry</v>
      </c>
    </row>
    <row r="281" spans="1:19" ht="11.1" customHeight="1" x14ac:dyDescent="0.25">
      <c r="A281" s="207" t="str">
        <f>IFERROR(IF(Production[[#This Row],[Date]]&lt;&gt;"",TEXT(Production[[#This Row],[Date]],"yy")&amp;"-"&amp;TEXT(Production[[#This Row],[Date]]-DATE(YEAR(Production[[#This Row],[Date]]),1,0),"000"),""),"")</f>
        <v>23-241</v>
      </c>
      <c r="B281" s="209" t="str">
        <f>IFERROR(IF(INDEX(Ingredients[Ingr1],MATCH(Production[[#This Row],[Product]],Ingredients[ProdName],0))&lt;&gt;"",INDEX(Ingredients[Ingr1],MATCH(Production[[#This Row],[Product]],Ingredients[ProdName],0)),INDEX(Ingredients[Ingr2],MATCH(Production[[#This Row],[Product]],Ingredients[ProdName],0))),"")</f>
        <v>Chicken - Tenders</v>
      </c>
      <c r="C281" s="53">
        <v>45167</v>
      </c>
      <c r="D281" s="54" t="s">
        <v>14</v>
      </c>
      <c r="E281" s="55" t="s">
        <v>175</v>
      </c>
      <c r="F281" s="56">
        <v>10</v>
      </c>
      <c r="G281" s="56">
        <v>70</v>
      </c>
      <c r="H281" s="208">
        <f>IFERROR(INDEX(Tier1[Wt],MATCH(Production[[#This Row],[Type]],Tier1[Ingredient],0))*Production[[#This Row],[Blocks Used]],0)</f>
        <v>2800</v>
      </c>
      <c r="I281" s="210">
        <f>IFERROR(INDEX(Ingredients[TtlWt],MATCH(Production[[#This Row],[Product]],Ingredients[ProdName],0))*Production[[#This Row],[Lots Done]],"")</f>
        <v>621.5</v>
      </c>
      <c r="J281" s="210" t="str">
        <f>IF(INDEX(Ingredients[Batter],MATCH(Production[[#This Row],[Product]],Ingredients[ProdName],0))*Production[[#This Row],[Batter Used]]&gt;0,INDEX(Ingredients[Batter],MATCH(Production[[#This Row],[Product]],Ingredients[ProdName],0))*Production[[#This Row],[Batter Used]],"")</f>
        <v/>
      </c>
      <c r="K281" s="210" t="str">
        <f>IF(INDEX(Ingredients[Breader],MATCH(Production[[#This Row],[Product]],Ingredients[ProdName],0))*Production[[#This Row],[Breader Used]]&gt;0,INDEX(Ingredients[Breader],MATCH(Production[[#This Row],[Product]],Ingredients[ProdName],0))*Production[[#This Row],[Breader Used]],"")</f>
        <v/>
      </c>
      <c r="L281" s="56"/>
      <c r="M281" s="56"/>
      <c r="N281" s="211">
        <f>IFERROR(IF(SUM(Production[[#This Row],[Meat Wt]:[BrTtl]])&lt;&gt;0,SUM(Production[[#This Row],[Meat Wt]:[BrTtl]]),""),"")</f>
        <v>3421.5</v>
      </c>
      <c r="O281" s="55">
        <v>171</v>
      </c>
      <c r="P281" s="208">
        <f>INDEX(Ingredients[Case Wt.],MATCH(Production[[#This Row],[Product]],Ingredients[ProdName],0))*Production[[#This Row],[Case Total]]</f>
        <v>4275</v>
      </c>
      <c r="Q281" s="211">
        <f>IFERROR(Production[[#This Row],[SatWt]]-Production[[#This Row],[RawWt]],"")</f>
        <v>853.5</v>
      </c>
      <c r="R281" s="222" t="str">
        <f>IF(Production[[#This Row],[Species]]&lt;&gt;"",IF(SUM(Production[[#This Row],[BtTtl]:[BrTtl]])/Production[[#This Row],[SatWt]]&lt;&gt;0,SUM(Production[[#This Row],[BtTtl]:[BrTtl]])/Production[[#This Row],[SatWt]],""),"")</f>
        <v/>
      </c>
      <c r="S281" s="223" t="str">
        <f>INDEX(Ingredients[Species],MATCH(Production[[#This Row],[Product]],Ingredients[ProdName],0))</f>
        <v>Poultry</v>
      </c>
    </row>
    <row r="282" spans="1:19" ht="11.1" customHeight="1" x14ac:dyDescent="0.25">
      <c r="A282" s="207" t="str">
        <f>IFERROR(IF(Production[[#This Row],[Date]]&lt;&gt;"",TEXT(Production[[#This Row],[Date]],"yy")&amp;"-"&amp;TEXT(Production[[#This Row],[Date]]-DATE(YEAR(Production[[#This Row],[Date]]),1,0),"000"),""),"")</f>
        <v>23-242</v>
      </c>
      <c r="B282" s="209" t="str">
        <f>IFERROR(IF(INDEX(Ingredients[Ingr1],MATCH(Production[[#This Row],[Product]],Ingredients[ProdName],0))&lt;&gt;"",INDEX(Ingredients[Ingr1],MATCH(Production[[#This Row],[Product]],Ingredients[ProdName],0)),INDEX(Ingredients[Ingr2],MATCH(Production[[#This Row],[Product]],Ingredients[ProdName],0))),"")</f>
        <v>Chicken - Ground</v>
      </c>
      <c r="C282" s="53">
        <v>45168</v>
      </c>
      <c r="D282" s="54" t="s">
        <v>20</v>
      </c>
      <c r="E282" s="55">
        <v>782</v>
      </c>
      <c r="F282" s="56">
        <v>12</v>
      </c>
      <c r="G282" s="56">
        <v>72</v>
      </c>
      <c r="H282" s="208">
        <f>IFERROR(INDEX(Tier1[Wt],MATCH(Production[[#This Row],[Type]],Tier1[Ingredient],0))*Production[[#This Row],[Blocks Used]],0)</f>
        <v>3600</v>
      </c>
      <c r="I282" s="210">
        <f>IFERROR(INDEX(Ingredients[TtlWt],MATCH(Production[[#This Row],[Product]],Ingredients[ProdName],0))*Production[[#This Row],[Lots Done]],"")</f>
        <v>244.79999999999998</v>
      </c>
      <c r="J282" s="210" t="str">
        <f>IF(INDEX(Ingredients[Batter],MATCH(Production[[#This Row],[Product]],Ingredients[ProdName],0))*Production[[#This Row],[Batter Used]]&gt;0,INDEX(Ingredients[Batter],MATCH(Production[[#This Row],[Product]],Ingredients[ProdName],0))*Production[[#This Row],[Batter Used]],"")</f>
        <v/>
      </c>
      <c r="K282" s="210" t="str">
        <f>IF(INDEX(Ingredients[Breader],MATCH(Production[[#This Row],[Product]],Ingredients[ProdName],0))*Production[[#This Row],[Breader Used]]&gt;0,INDEX(Ingredients[Breader],MATCH(Production[[#This Row],[Product]],Ingredients[ProdName],0))*Production[[#This Row],[Breader Used]],"")</f>
        <v/>
      </c>
      <c r="L282" s="56"/>
      <c r="M282" s="56"/>
      <c r="N282" s="211">
        <f>IFERROR(IF(SUM(Production[[#This Row],[Meat Wt]:[BrTtl]])&lt;&gt;0,SUM(Production[[#This Row],[Meat Wt]:[BrTtl]]),""),"")</f>
        <v>3844.8</v>
      </c>
      <c r="O282" s="55">
        <v>195</v>
      </c>
      <c r="P282" s="208">
        <f>INDEX(Ingredients[Case Wt.],MATCH(Production[[#This Row],[Product]],Ingredients[ProdName],0))*Production[[#This Row],[Case Total]]</f>
        <v>4875</v>
      </c>
      <c r="Q282" s="211">
        <f>IFERROR(Production[[#This Row],[SatWt]]-Production[[#This Row],[RawWt]],"")</f>
        <v>1030.1999999999998</v>
      </c>
      <c r="R282" s="222" t="str">
        <f>IF(Production[[#This Row],[Species]]&lt;&gt;"",IF(SUM(Production[[#This Row],[BtTtl]:[BrTtl]])/Production[[#This Row],[SatWt]]&lt;&gt;0,SUM(Production[[#This Row],[BtTtl]:[BrTtl]])/Production[[#This Row],[SatWt]],""),"")</f>
        <v/>
      </c>
      <c r="S282" s="223" t="str">
        <f>INDEX(Ingredients[Species],MATCH(Production[[#This Row],[Product]],Ingredients[ProdName],0))</f>
        <v>Poultry</v>
      </c>
    </row>
    <row r="283" spans="1:19" ht="11.1" customHeight="1" x14ac:dyDescent="0.25">
      <c r="A283" s="207" t="str">
        <f>IFERROR(IF(Production[[#This Row],[Date]]&lt;&gt;"",TEXT(Production[[#This Row],[Date]],"yy")&amp;"-"&amp;TEXT(Production[[#This Row],[Date]]-DATE(YEAR(Production[[#This Row],[Date]]),1,0),"000"),""),"")</f>
        <v>23-243</v>
      </c>
      <c r="B283" s="209" t="str">
        <f>IFERROR(IF(INDEX(Ingredients[Ingr1],MATCH(Production[[#This Row],[Product]],Ingredients[ProdName],0))&lt;&gt;"",INDEX(Ingredients[Ingr1],MATCH(Production[[#This Row],[Product]],Ingredients[ProdName],0)),INDEX(Ingredients[Ingr2],MATCH(Production[[#This Row],[Product]],Ingredients[ProdName],0))),"")</f>
        <v>Chicken - Ground</v>
      </c>
      <c r="C283" s="53">
        <v>45169</v>
      </c>
      <c r="D283" s="54" t="s">
        <v>13</v>
      </c>
      <c r="E283" s="55">
        <v>782</v>
      </c>
      <c r="F283" s="56">
        <v>11</v>
      </c>
      <c r="G283" s="56">
        <v>66</v>
      </c>
      <c r="H283" s="208">
        <f>IFERROR(INDEX(Tier1[Wt],MATCH(Production[[#This Row],[Type]],Tier1[Ingredient],0))*Production[[#This Row],[Blocks Used]],0)</f>
        <v>3300</v>
      </c>
      <c r="I283" s="210">
        <f>IFERROR(INDEX(Ingredients[TtlWt],MATCH(Production[[#This Row],[Product]],Ingredients[ProdName],0))*Production[[#This Row],[Lots Done]],"")</f>
        <v>522.5</v>
      </c>
      <c r="J283" s="210" t="str">
        <f>IF(INDEX(Ingredients[Batter],MATCH(Production[[#This Row],[Product]],Ingredients[ProdName],0))*Production[[#This Row],[Batter Used]]&gt;0,INDEX(Ingredients[Batter],MATCH(Production[[#This Row],[Product]],Ingredients[ProdName],0))*Production[[#This Row],[Batter Used]],"")</f>
        <v/>
      </c>
      <c r="K283" s="210" t="str">
        <f>IF(INDEX(Ingredients[Breader],MATCH(Production[[#This Row],[Product]],Ingredients[ProdName],0))*Production[[#This Row],[Breader Used]]&gt;0,INDEX(Ingredients[Breader],MATCH(Production[[#This Row],[Product]],Ingredients[ProdName],0))*Production[[#This Row],[Breader Used]],"")</f>
        <v/>
      </c>
      <c r="L283" s="56"/>
      <c r="M283" s="56"/>
      <c r="N283" s="211">
        <f>IFERROR(IF(SUM(Production[[#This Row],[Meat Wt]:[BrTtl]])&lt;&gt;0,SUM(Production[[#This Row],[Meat Wt]:[BrTtl]]),""),"")</f>
        <v>3822.5</v>
      </c>
      <c r="O283" s="55">
        <v>167</v>
      </c>
      <c r="P283" s="208">
        <f>INDEX(Ingredients[Case Wt.],MATCH(Production[[#This Row],[Product]],Ingredients[ProdName],0))*Production[[#This Row],[Case Total]]</f>
        <v>5010</v>
      </c>
      <c r="Q283" s="211">
        <f>IFERROR(Production[[#This Row],[SatWt]]-Production[[#This Row],[RawWt]],"")</f>
        <v>1187.5</v>
      </c>
      <c r="R283" s="222" t="str">
        <f>IF(Production[[#This Row],[Species]]&lt;&gt;"",IF(SUM(Production[[#This Row],[BtTtl]:[BrTtl]])/Production[[#This Row],[SatWt]]&lt;&gt;0,SUM(Production[[#This Row],[BtTtl]:[BrTtl]])/Production[[#This Row],[SatWt]],""),"")</f>
        <v/>
      </c>
      <c r="S283" s="223" t="str">
        <f>INDEX(Ingredients[Species],MATCH(Production[[#This Row],[Product]],Ingredients[ProdName],0))</f>
        <v>Poultry</v>
      </c>
    </row>
    <row r="284" spans="1:19" ht="11.1" customHeight="1" x14ac:dyDescent="0.25">
      <c r="A284" s="207" t="str">
        <f>IFERROR(IF(Production[[#This Row],[Date]]&lt;&gt;"",TEXT(Production[[#This Row],[Date]],"yy")&amp;"-"&amp;TEXT(Production[[#This Row],[Date]]-DATE(YEAR(Production[[#This Row],[Date]]),1,0),"000"),""),"")</f>
        <v>23-248</v>
      </c>
      <c r="B284" s="209" t="str">
        <f>IFERROR(IF(INDEX(Ingredients[Ingr1],MATCH(Production[[#This Row],[Product]],Ingredients[ProdName],0))&lt;&gt;"",INDEX(Ingredients[Ingr1],MATCH(Production[[#This Row],[Product]],Ingredients[ProdName],0)),INDEX(Ingredients[Ingr2],MATCH(Production[[#This Row],[Product]],Ingredients[ProdName],0))),"")</f>
        <v>Chicken - Tenders</v>
      </c>
      <c r="C284" s="53">
        <v>45174</v>
      </c>
      <c r="D284" s="54" t="s">
        <v>21</v>
      </c>
      <c r="E284" s="55" t="s">
        <v>175</v>
      </c>
      <c r="F284" s="56">
        <v>8</v>
      </c>
      <c r="G284" s="56">
        <v>56</v>
      </c>
      <c r="H284" s="208">
        <f>IFERROR(INDEX(Tier1[Wt],MATCH(Production[[#This Row],[Type]],Tier1[Ingredient],0))*Production[[#This Row],[Blocks Used]],0)</f>
        <v>2240</v>
      </c>
      <c r="I284" s="210">
        <f>IFERROR(INDEX(Ingredients[TtlWt],MATCH(Production[[#This Row],[Product]],Ingredients[ProdName],0))*Production[[#This Row],[Lots Done]],"")</f>
        <v>432</v>
      </c>
      <c r="J284" s="210">
        <f>IF(INDEX(Ingredients[Batter],MATCH(Production[[#This Row],[Product]],Ingredients[ProdName],0))*Production[[#This Row],[Batter Used]]&gt;0,INDEX(Ingredients[Batter],MATCH(Production[[#This Row],[Product]],Ingredients[ProdName],0))*Production[[#This Row],[Batter Used]],"")</f>
        <v>200</v>
      </c>
      <c r="K284" s="210">
        <f>IF(INDEX(Ingredients[Breader],MATCH(Production[[#This Row],[Product]],Ingredients[ProdName],0))*Production[[#This Row],[Breader Used]]&gt;0,INDEX(Ingredients[Breader],MATCH(Production[[#This Row],[Product]],Ingredients[ProdName],0))*Production[[#This Row],[Breader Used]],"")</f>
        <v>750</v>
      </c>
      <c r="L284" s="56">
        <v>4</v>
      </c>
      <c r="M284" s="56">
        <v>15</v>
      </c>
      <c r="N284" s="211">
        <f>IFERROR(IF(SUM(Production[[#This Row],[Meat Wt]:[BrTtl]])&lt;&gt;0,SUM(Production[[#This Row],[Meat Wt]:[BrTtl]]),""),"")</f>
        <v>3622</v>
      </c>
      <c r="O284" s="55">
        <v>169</v>
      </c>
      <c r="P284" s="208">
        <f>INDEX(Ingredients[Case Wt.],MATCH(Production[[#This Row],[Product]],Ingredients[ProdName],0))*Production[[#This Row],[Case Total]]</f>
        <v>4225</v>
      </c>
      <c r="Q284" s="211">
        <f>IFERROR(Production[[#This Row],[SatWt]]-Production[[#This Row],[RawWt]],"")</f>
        <v>603</v>
      </c>
      <c r="R284" s="222">
        <f>IF(Production[[#This Row],[Species]]&lt;&gt;"",IF(SUM(Production[[#This Row],[BtTtl]:[BrTtl]])/Production[[#This Row],[SatWt]]&lt;&gt;0,SUM(Production[[#This Row],[BtTtl]:[BrTtl]])/Production[[#This Row],[SatWt]],""),"")</f>
        <v>0.22485207100591717</v>
      </c>
      <c r="S284" s="223" t="str">
        <f>INDEX(Ingredients[Species],MATCH(Production[[#This Row],[Product]],Ingredients[ProdName],0))</f>
        <v>Poultry</v>
      </c>
    </row>
    <row r="285" spans="1:19" ht="11.1" customHeight="1" x14ac:dyDescent="0.25">
      <c r="A285" s="207" t="str">
        <f>IFERROR(IF(Production[[#This Row],[Date]]&lt;&gt;"",TEXT(Production[[#This Row],[Date]],"yy")&amp;"-"&amp;TEXT(Production[[#This Row],[Date]]-DATE(YEAR(Production[[#This Row],[Date]]),1,0),"000"),""),"")</f>
        <v>23-249</v>
      </c>
      <c r="B285" s="209" t="str">
        <f>IFERROR(IF(INDEX(Ingredients[Ingr1],MATCH(Production[[#This Row],[Product]],Ingredients[ProdName],0))&lt;&gt;"",INDEX(Ingredients[Ingr1],MATCH(Production[[#This Row],[Product]],Ingredients[ProdName],0)),INDEX(Ingredients[Ingr2],MATCH(Production[[#This Row],[Product]],Ingredients[ProdName],0))),"")</f>
        <v>Chicken - Tenders</v>
      </c>
      <c r="C285" s="53">
        <v>45175</v>
      </c>
      <c r="D285" s="54" t="s">
        <v>21</v>
      </c>
      <c r="E285" s="55" t="s">
        <v>175</v>
      </c>
      <c r="F285" s="56">
        <v>8</v>
      </c>
      <c r="G285" s="56">
        <v>56</v>
      </c>
      <c r="H285" s="208">
        <f>IFERROR(INDEX(Tier1[Wt],MATCH(Production[[#This Row],[Type]],Tier1[Ingredient],0))*Production[[#This Row],[Blocks Used]],0)</f>
        <v>2240</v>
      </c>
      <c r="I285" s="210">
        <f>IFERROR(INDEX(Ingredients[TtlWt],MATCH(Production[[#This Row],[Product]],Ingredients[ProdName],0))*Production[[#This Row],[Lots Done]],"")</f>
        <v>432</v>
      </c>
      <c r="J285" s="210">
        <f>IF(INDEX(Ingredients[Batter],MATCH(Production[[#This Row],[Product]],Ingredients[ProdName],0))*Production[[#This Row],[Batter Used]]&gt;0,INDEX(Ingredients[Batter],MATCH(Production[[#This Row],[Product]],Ingredients[ProdName],0))*Production[[#This Row],[Batter Used]],"")</f>
        <v>200</v>
      </c>
      <c r="K285" s="210">
        <f>IF(INDEX(Ingredients[Breader],MATCH(Production[[#This Row],[Product]],Ingredients[ProdName],0))*Production[[#This Row],[Breader Used]]&gt;0,INDEX(Ingredients[Breader],MATCH(Production[[#This Row],[Product]],Ingredients[ProdName],0))*Production[[#This Row],[Breader Used]],"")</f>
        <v>550</v>
      </c>
      <c r="L285" s="56">
        <v>4</v>
      </c>
      <c r="M285" s="56">
        <v>11</v>
      </c>
      <c r="N285" s="211">
        <f>IFERROR(IF(SUM(Production[[#This Row],[Meat Wt]:[BrTtl]])&lt;&gt;0,SUM(Production[[#This Row],[Meat Wt]:[BrTtl]]),""),"")</f>
        <v>3422</v>
      </c>
      <c r="O285" s="55">
        <v>146</v>
      </c>
      <c r="P285" s="208">
        <f>INDEX(Ingredients[Case Wt.],MATCH(Production[[#This Row],[Product]],Ingredients[ProdName],0))*Production[[#This Row],[Case Total]]</f>
        <v>3650</v>
      </c>
      <c r="Q285" s="211">
        <f>IFERROR(Production[[#This Row],[SatWt]]-Production[[#This Row],[RawWt]],"")</f>
        <v>228</v>
      </c>
      <c r="R285" s="222">
        <f>IF(Production[[#This Row],[Species]]&lt;&gt;"",IF(SUM(Production[[#This Row],[BtTtl]:[BrTtl]])/Production[[#This Row],[SatWt]]&lt;&gt;0,SUM(Production[[#This Row],[BtTtl]:[BrTtl]])/Production[[#This Row],[SatWt]],""),"")</f>
        <v>0.20547945205479451</v>
      </c>
      <c r="S285" s="223" t="str">
        <f>INDEX(Ingredients[Species],MATCH(Production[[#This Row],[Product]],Ingredients[ProdName],0))</f>
        <v>Poultry</v>
      </c>
    </row>
    <row r="286" spans="1:19" ht="11.1" customHeight="1" x14ac:dyDescent="0.25">
      <c r="A286" s="207" t="str">
        <f>IFERROR(IF(Production[[#This Row],[Date]]&lt;&gt;"",TEXT(Production[[#This Row],[Date]],"yy")&amp;"-"&amp;TEXT(Production[[#This Row],[Date]]-DATE(YEAR(Production[[#This Row],[Date]]),1,0),"000"),""),"")</f>
        <v>23-250</v>
      </c>
      <c r="B286" s="209" t="str">
        <f>IFERROR(IF(INDEX(Ingredients[Ingr1],MATCH(Production[[#This Row],[Product]],Ingredients[ProdName],0))&lt;&gt;"",INDEX(Ingredients[Ingr1],MATCH(Production[[#This Row],[Product]],Ingredients[ProdName],0)),INDEX(Ingredients[Ingr2],MATCH(Production[[#This Row],[Product]],Ingredients[ProdName],0))),"")</f>
        <v>Chicken - Tenders</v>
      </c>
      <c r="C286" s="53">
        <v>45176</v>
      </c>
      <c r="D286" s="54" t="s">
        <v>21</v>
      </c>
      <c r="E286" s="55" t="s">
        <v>175</v>
      </c>
      <c r="F286" s="56">
        <v>8</v>
      </c>
      <c r="G286" s="56">
        <v>56</v>
      </c>
      <c r="H286" s="208">
        <f>IFERROR(INDEX(Tier1[Wt],MATCH(Production[[#This Row],[Type]],Tier1[Ingredient],0))*Production[[#This Row],[Blocks Used]],0)</f>
        <v>2240</v>
      </c>
      <c r="I286" s="210">
        <f>IFERROR(INDEX(Ingredients[TtlWt],MATCH(Production[[#This Row],[Product]],Ingredients[ProdName],0))*Production[[#This Row],[Lots Done]],"")</f>
        <v>432</v>
      </c>
      <c r="J286" s="210">
        <f>IF(INDEX(Ingredients[Batter],MATCH(Production[[#This Row],[Product]],Ingredients[ProdName],0))*Production[[#This Row],[Batter Used]]&gt;0,INDEX(Ingredients[Batter],MATCH(Production[[#This Row],[Product]],Ingredients[ProdName],0))*Production[[#This Row],[Batter Used]],"")</f>
        <v>150</v>
      </c>
      <c r="K286" s="210">
        <f>IF(INDEX(Ingredients[Breader],MATCH(Production[[#This Row],[Product]],Ingredients[ProdName],0))*Production[[#This Row],[Breader Used]]&gt;0,INDEX(Ingredients[Breader],MATCH(Production[[#This Row],[Product]],Ingredients[ProdName],0))*Production[[#This Row],[Breader Used]],"")</f>
        <v>750</v>
      </c>
      <c r="L286" s="56">
        <v>3</v>
      </c>
      <c r="M286" s="56">
        <v>15</v>
      </c>
      <c r="N286" s="211">
        <f>IFERROR(IF(SUM(Production[[#This Row],[Meat Wt]:[BrTtl]])&lt;&gt;0,SUM(Production[[#This Row],[Meat Wt]:[BrTtl]]),""),"")</f>
        <v>3572</v>
      </c>
      <c r="O286" s="55">
        <v>149</v>
      </c>
      <c r="P286" s="208">
        <f>INDEX(Ingredients[Case Wt.],MATCH(Production[[#This Row],[Product]],Ingredients[ProdName],0))*Production[[#This Row],[Case Total]]</f>
        <v>3725</v>
      </c>
      <c r="Q286" s="211">
        <f>IFERROR(Production[[#This Row],[SatWt]]-Production[[#This Row],[RawWt]],"")</f>
        <v>153</v>
      </c>
      <c r="R286" s="222">
        <f>IF(Production[[#This Row],[Species]]&lt;&gt;"",IF(SUM(Production[[#This Row],[BtTtl]:[BrTtl]])/Production[[#This Row],[SatWt]]&lt;&gt;0,SUM(Production[[#This Row],[BtTtl]:[BrTtl]])/Production[[#This Row],[SatWt]],""),"")</f>
        <v>0.24161073825503357</v>
      </c>
      <c r="S286" s="223" t="str">
        <f>INDEX(Ingredients[Species],MATCH(Production[[#This Row],[Product]],Ingredients[ProdName],0))</f>
        <v>Poultry</v>
      </c>
    </row>
    <row r="287" spans="1:19" ht="11.1" customHeight="1" x14ac:dyDescent="0.25">
      <c r="A287" s="207" t="str">
        <f>IFERROR(IF(Production[[#This Row],[Date]]&lt;&gt;"",TEXT(Production[[#This Row],[Date]],"yy")&amp;"-"&amp;TEXT(Production[[#This Row],[Date]]-DATE(YEAR(Production[[#This Row],[Date]]),1,0),"000"),""),"")</f>
        <v>23-255</v>
      </c>
      <c r="B287" s="209" t="str">
        <f>IFERROR(IF(INDEX(Ingredients[Ingr1],MATCH(Production[[#This Row],[Product]],Ingredients[ProdName],0))&lt;&gt;"",INDEX(Ingredients[Ingr1],MATCH(Production[[#This Row],[Product]],Ingredients[ProdName],0)),INDEX(Ingredients[Ingr2],MATCH(Production[[#This Row],[Product]],Ingredients[ProdName],0))),"")</f>
        <v>Chicken - Tenders</v>
      </c>
      <c r="C287" s="53">
        <v>45181</v>
      </c>
      <c r="D287" s="54" t="s">
        <v>21</v>
      </c>
      <c r="E287" s="55" t="s">
        <v>175</v>
      </c>
      <c r="F287" s="56">
        <v>8</v>
      </c>
      <c r="G287" s="56">
        <v>56</v>
      </c>
      <c r="H287" s="208">
        <f>IFERROR(INDEX(Tier1[Wt],MATCH(Production[[#This Row],[Type]],Tier1[Ingredient],0))*Production[[#This Row],[Blocks Used]],0)</f>
        <v>2240</v>
      </c>
      <c r="I287" s="210">
        <f>IFERROR(INDEX(Ingredients[TtlWt],MATCH(Production[[#This Row],[Product]],Ingredients[ProdName],0))*Production[[#This Row],[Lots Done]],"")</f>
        <v>432</v>
      </c>
      <c r="J287" s="210">
        <f>IF(INDEX(Ingredients[Batter],MATCH(Production[[#This Row],[Product]],Ingredients[ProdName],0))*Production[[#This Row],[Batter Used]]&gt;0,INDEX(Ingredients[Batter],MATCH(Production[[#This Row],[Product]],Ingredients[ProdName],0))*Production[[#This Row],[Batter Used]],"")</f>
        <v>150</v>
      </c>
      <c r="K287" s="210">
        <f>IF(INDEX(Ingredients[Breader],MATCH(Production[[#This Row],[Product]],Ingredients[ProdName],0))*Production[[#This Row],[Breader Used]]&gt;0,INDEX(Ingredients[Breader],MATCH(Production[[#This Row],[Product]],Ingredients[ProdName],0))*Production[[#This Row],[Breader Used]],"")</f>
        <v>500</v>
      </c>
      <c r="L287" s="56">
        <v>3</v>
      </c>
      <c r="M287" s="56">
        <v>10</v>
      </c>
      <c r="N287" s="211">
        <f>IFERROR(IF(SUM(Production[[#This Row],[Meat Wt]:[BrTtl]])&lt;&gt;0,SUM(Production[[#This Row],[Meat Wt]:[BrTtl]]),""),"")</f>
        <v>3322</v>
      </c>
      <c r="O287" s="55">
        <v>161</v>
      </c>
      <c r="P287" s="208">
        <f>INDEX(Ingredients[Case Wt.],MATCH(Production[[#This Row],[Product]],Ingredients[ProdName],0))*Production[[#This Row],[Case Total]]</f>
        <v>4025</v>
      </c>
      <c r="Q287" s="211">
        <f>IFERROR(Production[[#This Row],[SatWt]]-Production[[#This Row],[RawWt]],"")</f>
        <v>703</v>
      </c>
      <c r="R287" s="222">
        <f>IF(Production[[#This Row],[Species]]&lt;&gt;"",IF(SUM(Production[[#This Row],[BtTtl]:[BrTtl]])/Production[[#This Row],[SatWt]]&lt;&gt;0,SUM(Production[[#This Row],[BtTtl]:[BrTtl]])/Production[[#This Row],[SatWt]],""),"")</f>
        <v>0.16149068322981366</v>
      </c>
      <c r="S287" s="223" t="str">
        <f>INDEX(Ingredients[Species],MATCH(Production[[#This Row],[Product]],Ingredients[ProdName],0))</f>
        <v>Poultry</v>
      </c>
    </row>
    <row r="288" spans="1:19" ht="11.1" customHeight="1" x14ac:dyDescent="0.25">
      <c r="A288" s="207" t="str">
        <f>IFERROR(IF(Production[[#This Row],[Date]]&lt;&gt;"",TEXT(Production[[#This Row],[Date]],"yy")&amp;"-"&amp;TEXT(Production[[#This Row],[Date]]-DATE(YEAR(Production[[#This Row],[Date]]),1,0),"000"),""),"")</f>
        <v>23-256</v>
      </c>
      <c r="B288" s="209" t="str">
        <f>IFERROR(IF(INDEX(Ingredients[Ingr1],MATCH(Production[[#This Row],[Product]],Ingredients[ProdName],0))&lt;&gt;"",INDEX(Ingredients[Ingr1],MATCH(Production[[#This Row],[Product]],Ingredients[ProdName],0)),INDEX(Ingredients[Ingr2],MATCH(Production[[#This Row],[Product]],Ingredients[ProdName],0))),"")</f>
        <v>Chicken - Tenders</v>
      </c>
      <c r="C288" s="53">
        <v>45182</v>
      </c>
      <c r="D288" s="54" t="s">
        <v>21</v>
      </c>
      <c r="E288" s="55" t="s">
        <v>175</v>
      </c>
      <c r="F288" s="56">
        <v>4</v>
      </c>
      <c r="G288" s="56">
        <v>28</v>
      </c>
      <c r="H288" s="208">
        <f>IFERROR(INDEX(Tier1[Wt],MATCH(Production[[#This Row],[Type]],Tier1[Ingredient],0))*Production[[#This Row],[Blocks Used]],0)</f>
        <v>1120</v>
      </c>
      <c r="I288" s="210">
        <f>IFERROR(INDEX(Ingredients[TtlWt],MATCH(Production[[#This Row],[Product]],Ingredients[ProdName],0))*Production[[#This Row],[Lots Done]],"")</f>
        <v>216</v>
      </c>
      <c r="J288" s="210">
        <f>IF(INDEX(Ingredients[Batter],MATCH(Production[[#This Row],[Product]],Ingredients[ProdName],0))*Production[[#This Row],[Batter Used]]&gt;0,INDEX(Ingredients[Batter],MATCH(Production[[#This Row],[Product]],Ingredients[ProdName],0))*Production[[#This Row],[Batter Used]],"")</f>
        <v>50</v>
      </c>
      <c r="K288" s="210">
        <f>IF(INDEX(Ingredients[Breader],MATCH(Production[[#This Row],[Product]],Ingredients[ProdName],0))*Production[[#This Row],[Breader Used]]&gt;0,INDEX(Ingredients[Breader],MATCH(Production[[#This Row],[Product]],Ingredients[ProdName],0))*Production[[#This Row],[Breader Used]],"")</f>
        <v>250</v>
      </c>
      <c r="L288" s="56">
        <v>1</v>
      </c>
      <c r="M288" s="56">
        <v>5</v>
      </c>
      <c r="N288" s="211">
        <f>IFERROR(IF(SUM(Production[[#This Row],[Meat Wt]:[BrTtl]])&lt;&gt;0,SUM(Production[[#This Row],[Meat Wt]:[BrTtl]]),""),"")</f>
        <v>1636</v>
      </c>
      <c r="O288" s="55">
        <v>69</v>
      </c>
      <c r="P288" s="208">
        <f>INDEX(Ingredients[Case Wt.],MATCH(Production[[#This Row],[Product]],Ingredients[ProdName],0))*Production[[#This Row],[Case Total]]</f>
        <v>1725</v>
      </c>
      <c r="Q288" s="211">
        <f>IFERROR(Production[[#This Row],[SatWt]]-Production[[#This Row],[RawWt]],"")</f>
        <v>89</v>
      </c>
      <c r="R288" s="222">
        <f>IF(Production[[#This Row],[Species]]&lt;&gt;"",IF(SUM(Production[[#This Row],[BtTtl]:[BrTtl]])/Production[[#This Row],[SatWt]]&lt;&gt;0,SUM(Production[[#This Row],[BtTtl]:[BrTtl]])/Production[[#This Row],[SatWt]],""),"")</f>
        <v>0.17391304347826086</v>
      </c>
      <c r="S288" s="223" t="str">
        <f>INDEX(Ingredients[Species],MATCH(Production[[#This Row],[Product]],Ingredients[ProdName],0))</f>
        <v>Poultry</v>
      </c>
    </row>
    <row r="289" spans="1:19" ht="11.1" customHeight="1" x14ac:dyDescent="0.25">
      <c r="A289" s="207" t="str">
        <f>IFERROR(IF(Production[[#This Row],[Date]]&lt;&gt;"",TEXT(Production[[#This Row],[Date]],"yy")&amp;"-"&amp;TEXT(Production[[#This Row],[Date]]-DATE(YEAR(Production[[#This Row],[Date]]),1,0),"000"),""),"")</f>
        <v>23-256</v>
      </c>
      <c r="B289" s="209" t="str">
        <f>IFERROR(IF(INDEX(Ingredients[Ingr1],MATCH(Production[[#This Row],[Product]],Ingredients[ProdName],0))&lt;&gt;"",INDEX(Ingredients[Ingr1],MATCH(Production[[#This Row],[Product]],Ingredients[ProdName],0)),INDEX(Ingredients[Ingr2],MATCH(Production[[#This Row],[Product]],Ingredients[ProdName],0))),"")</f>
        <v>Chicken - Tenders</v>
      </c>
      <c r="C289" s="53">
        <v>45182</v>
      </c>
      <c r="D289" s="54" t="s">
        <v>12</v>
      </c>
      <c r="E289" s="55" t="s">
        <v>175</v>
      </c>
      <c r="F289" s="56">
        <v>5</v>
      </c>
      <c r="G289" s="56">
        <v>35</v>
      </c>
      <c r="H289" s="208">
        <f>IFERROR(INDEX(Tier1[Wt],MATCH(Production[[#This Row],[Type]],Tier1[Ingredient],0))*Production[[#This Row],[Blocks Used]],0)</f>
        <v>1400</v>
      </c>
      <c r="I289" s="210">
        <f>IFERROR(INDEX(Ingredients[TtlWt],MATCH(Production[[#This Row],[Product]],Ingredients[ProdName],0))*Production[[#This Row],[Lots Done]],"")</f>
        <v>299</v>
      </c>
      <c r="J289" s="210">
        <f>IF(INDEX(Ingredients[Batter],MATCH(Production[[#This Row],[Product]],Ingredients[ProdName],0))*Production[[#This Row],[Batter Used]]&gt;0,INDEX(Ingredients[Batter],MATCH(Production[[#This Row],[Product]],Ingredients[ProdName],0))*Production[[#This Row],[Batter Used]],"")</f>
        <v>100</v>
      </c>
      <c r="K289" s="210">
        <f>IF(INDEX(Ingredients[Breader],MATCH(Production[[#This Row],[Product]],Ingredients[ProdName],0))*Production[[#This Row],[Breader Used]]&gt;0,INDEX(Ingredients[Breader],MATCH(Production[[#This Row],[Product]],Ingredients[ProdName],0))*Production[[#This Row],[Breader Used]],"")</f>
        <v>500</v>
      </c>
      <c r="L289" s="56">
        <v>2</v>
      </c>
      <c r="M289" s="56">
        <v>10</v>
      </c>
      <c r="N289" s="211">
        <f>IFERROR(IF(SUM(Production[[#This Row],[Meat Wt]:[BrTtl]])&lt;&gt;0,SUM(Production[[#This Row],[Meat Wt]:[BrTtl]]),""),"")</f>
        <v>2299</v>
      </c>
      <c r="O289" s="55">
        <v>105</v>
      </c>
      <c r="P289" s="208">
        <f>INDEX(Ingredients[Case Wt.],MATCH(Production[[#This Row],[Product]],Ingredients[ProdName],0))*Production[[#This Row],[Case Total]]</f>
        <v>2625</v>
      </c>
      <c r="Q289" s="211">
        <f>IFERROR(Production[[#This Row],[SatWt]]-Production[[#This Row],[RawWt]],"")</f>
        <v>326</v>
      </c>
      <c r="R289" s="222">
        <f>IF(Production[[#This Row],[Species]]&lt;&gt;"",IF(SUM(Production[[#This Row],[BtTtl]:[BrTtl]])/Production[[#This Row],[SatWt]]&lt;&gt;0,SUM(Production[[#This Row],[BtTtl]:[BrTtl]])/Production[[#This Row],[SatWt]],""),"")</f>
        <v>0.22857142857142856</v>
      </c>
      <c r="S289" s="223" t="str">
        <f>INDEX(Ingredients[Species],MATCH(Production[[#This Row],[Product]],Ingredients[ProdName],0))</f>
        <v>Poultry</v>
      </c>
    </row>
    <row r="290" spans="1:19" ht="11.1" customHeight="1" x14ac:dyDescent="0.25">
      <c r="A290" s="207" t="str">
        <f>IFERROR(IF(Production[[#This Row],[Date]]&lt;&gt;"",TEXT(Production[[#This Row],[Date]],"yy")&amp;"-"&amp;TEXT(Production[[#This Row],[Date]]-DATE(YEAR(Production[[#This Row],[Date]]),1,0),"000"),""),"")</f>
        <v>23-257</v>
      </c>
      <c r="B290" s="209" t="str">
        <f>IFERROR(IF(INDEX(Ingredients[Ingr1],MATCH(Production[[#This Row],[Product]],Ingredients[ProdName],0))&lt;&gt;"",INDEX(Ingredients[Ingr1],MATCH(Production[[#This Row],[Product]],Ingredients[ProdName],0)),INDEX(Ingredients[Ingr2],MATCH(Production[[#This Row],[Product]],Ingredients[ProdName],0))),"")</f>
        <v>Chicken - Tenders</v>
      </c>
      <c r="C290" s="53">
        <v>45183</v>
      </c>
      <c r="D290" s="54" t="s">
        <v>12</v>
      </c>
      <c r="E290" s="55" t="s">
        <v>175</v>
      </c>
      <c r="F290" s="56">
        <v>2</v>
      </c>
      <c r="G290" s="56">
        <v>14</v>
      </c>
      <c r="H290" s="208">
        <f>IFERROR(INDEX(Tier1[Wt],MATCH(Production[[#This Row],[Type]],Tier1[Ingredient],0))*Production[[#This Row],[Blocks Used]],0)</f>
        <v>560</v>
      </c>
      <c r="I290" s="210">
        <f>IFERROR(INDEX(Ingredients[TtlWt],MATCH(Production[[#This Row],[Product]],Ingredients[ProdName],0))*Production[[#This Row],[Lots Done]],"")</f>
        <v>119.6</v>
      </c>
      <c r="J290" s="210">
        <f>IF(INDEX(Ingredients[Batter],MATCH(Production[[#This Row],[Product]],Ingredients[ProdName],0))*Production[[#This Row],[Batter Used]]&gt;0,INDEX(Ingredients[Batter],MATCH(Production[[#This Row],[Product]],Ingredients[ProdName],0))*Production[[#This Row],[Batter Used]],"")</f>
        <v>50</v>
      </c>
      <c r="K290" s="210">
        <f>IF(INDEX(Ingredients[Breader],MATCH(Production[[#This Row],[Product]],Ingredients[ProdName],0))*Production[[#This Row],[Breader Used]]&gt;0,INDEX(Ingredients[Breader],MATCH(Production[[#This Row],[Product]],Ingredients[ProdName],0))*Production[[#This Row],[Breader Used]],"")</f>
        <v>100</v>
      </c>
      <c r="L290" s="56">
        <v>1</v>
      </c>
      <c r="M290" s="56">
        <v>2</v>
      </c>
      <c r="N290" s="211">
        <f>IFERROR(IF(SUM(Production[[#This Row],[Meat Wt]:[BrTtl]])&lt;&gt;0,SUM(Production[[#This Row],[Meat Wt]:[BrTtl]]),""),"")</f>
        <v>829.6</v>
      </c>
      <c r="O290" s="55">
        <v>42</v>
      </c>
      <c r="P290" s="208">
        <f>INDEX(Ingredients[Case Wt.],MATCH(Production[[#This Row],[Product]],Ingredients[ProdName],0))*Production[[#This Row],[Case Total]]</f>
        <v>1050</v>
      </c>
      <c r="Q290" s="211">
        <f>IFERROR(Production[[#This Row],[SatWt]]-Production[[#This Row],[RawWt]],"")</f>
        <v>220.39999999999998</v>
      </c>
      <c r="R290" s="222">
        <f>IF(Production[[#This Row],[Species]]&lt;&gt;"",IF(SUM(Production[[#This Row],[BtTtl]:[BrTtl]])/Production[[#This Row],[SatWt]]&lt;&gt;0,SUM(Production[[#This Row],[BtTtl]:[BrTtl]])/Production[[#This Row],[SatWt]],""),"")</f>
        <v>0.14285714285714285</v>
      </c>
      <c r="S290" s="223" t="str">
        <f>INDEX(Ingredients[Species],MATCH(Production[[#This Row],[Product]],Ingredients[ProdName],0))</f>
        <v>Poultry</v>
      </c>
    </row>
    <row r="291" spans="1:19" ht="11.1" customHeight="1" x14ac:dyDescent="0.25">
      <c r="A291" s="207" t="str">
        <f>IFERROR(IF(Production[[#This Row],[Date]]&lt;&gt;"",TEXT(Production[[#This Row],[Date]],"yy")&amp;"-"&amp;TEXT(Production[[#This Row],[Date]]-DATE(YEAR(Production[[#This Row],[Date]]),1,0),"000"),""),"")</f>
        <v>23-257</v>
      </c>
      <c r="B291" s="209" t="str">
        <f>IFERROR(IF(INDEX(Ingredients[Ingr1],MATCH(Production[[#This Row],[Product]],Ingredients[ProdName],0))&lt;&gt;"",INDEX(Ingredients[Ingr1],MATCH(Production[[#This Row],[Product]],Ingredients[ProdName],0)),INDEX(Ingredients[Ingr2],MATCH(Production[[#This Row],[Product]],Ingredients[ProdName],0))),"")</f>
        <v>Chicken - Tenders</v>
      </c>
      <c r="C291" s="53">
        <v>45183</v>
      </c>
      <c r="D291" s="54" t="s">
        <v>12</v>
      </c>
      <c r="E291" s="55" t="s">
        <v>175</v>
      </c>
      <c r="F291" s="56">
        <v>7</v>
      </c>
      <c r="G291" s="56">
        <v>49</v>
      </c>
      <c r="H291" s="208">
        <f>IFERROR(INDEX(Tier1[Wt],MATCH(Production[[#This Row],[Type]],Tier1[Ingredient],0))*Production[[#This Row],[Blocks Used]],0)</f>
        <v>1960</v>
      </c>
      <c r="I291" s="210">
        <f>IFERROR(INDEX(Ingredients[TtlWt],MATCH(Production[[#This Row],[Product]],Ingredients[ProdName],0))*Production[[#This Row],[Lots Done]],"")</f>
        <v>418.59999999999997</v>
      </c>
      <c r="J291" s="210">
        <f>IF(INDEX(Ingredients[Batter],MATCH(Production[[#This Row],[Product]],Ingredients[ProdName],0))*Production[[#This Row],[Batter Used]]&gt;0,INDEX(Ingredients[Batter],MATCH(Production[[#This Row],[Product]],Ingredients[ProdName],0))*Production[[#This Row],[Batter Used]],"")</f>
        <v>50</v>
      </c>
      <c r="K291" s="210">
        <f>IF(INDEX(Ingredients[Breader],MATCH(Production[[#This Row],[Product]],Ingredients[ProdName],0))*Production[[#This Row],[Breader Used]]&gt;0,INDEX(Ingredients[Breader],MATCH(Production[[#This Row],[Product]],Ingredients[ProdName],0))*Production[[#This Row],[Breader Used]],"")</f>
        <v>750</v>
      </c>
      <c r="L291" s="56">
        <v>1</v>
      </c>
      <c r="M291" s="56">
        <v>15</v>
      </c>
      <c r="N291" s="211">
        <f>IFERROR(IF(SUM(Production[[#This Row],[Meat Wt]:[BrTtl]])&lt;&gt;0,SUM(Production[[#This Row],[Meat Wt]:[BrTtl]]),""),"")</f>
        <v>3178.6</v>
      </c>
      <c r="O291" s="55">
        <v>140</v>
      </c>
      <c r="P291" s="208">
        <f>INDEX(Ingredients[Case Wt.],MATCH(Production[[#This Row],[Product]],Ingredients[ProdName],0))*Production[[#This Row],[Case Total]]</f>
        <v>3500</v>
      </c>
      <c r="Q291" s="211">
        <f>IFERROR(Production[[#This Row],[SatWt]]-Production[[#This Row],[RawWt]],"")</f>
        <v>321.40000000000009</v>
      </c>
      <c r="R291" s="222">
        <f>IF(Production[[#This Row],[Species]]&lt;&gt;"",IF(SUM(Production[[#This Row],[BtTtl]:[BrTtl]])/Production[[#This Row],[SatWt]]&lt;&gt;0,SUM(Production[[#This Row],[BtTtl]:[BrTtl]])/Production[[#This Row],[SatWt]],""),"")</f>
        <v>0.22857142857142856</v>
      </c>
      <c r="S291" s="223" t="str">
        <f>INDEX(Ingredients[Species],MATCH(Production[[#This Row],[Product]],Ingredients[ProdName],0))</f>
        <v>Poultry</v>
      </c>
    </row>
    <row r="292" spans="1:19" ht="11.1" customHeight="1" x14ac:dyDescent="0.25">
      <c r="A292" s="207" t="str">
        <f>IFERROR(IF(Production[[#This Row],[Date]]&lt;&gt;"",TEXT(Production[[#This Row],[Date]],"yy")&amp;"-"&amp;TEXT(Production[[#This Row],[Date]]-DATE(YEAR(Production[[#This Row],[Date]]),1,0),"000"),""),"")</f>
        <v>23-262</v>
      </c>
      <c r="B292" s="209" t="str">
        <f>IFERROR(IF(INDEX(Ingredients[Ingr1],MATCH(Production[[#This Row],[Product]],Ingredients[ProdName],0))&lt;&gt;"",INDEX(Ingredients[Ingr1],MATCH(Production[[#This Row],[Product]],Ingredients[ProdName],0)),INDEX(Ingredients[Ingr2],MATCH(Production[[#This Row],[Product]],Ingredients[ProdName],0))),"")</f>
        <v>Chicken - Ground</v>
      </c>
      <c r="C292" s="53">
        <v>45188</v>
      </c>
      <c r="D292" s="54" t="s">
        <v>9</v>
      </c>
      <c r="E292" s="55">
        <v>782</v>
      </c>
      <c r="F292" s="56">
        <v>4</v>
      </c>
      <c r="G292" s="56">
        <v>28</v>
      </c>
      <c r="H292" s="208">
        <f>IFERROR(INDEX(Tier1[Wt],MATCH(Production[[#This Row],[Type]],Tier1[Ingredient],0))*Production[[#This Row],[Blocks Used]],0)</f>
        <v>1400</v>
      </c>
      <c r="I292" s="210" t="str">
        <f>IFERROR(INDEX(Ingredients[TtlWt],MATCH(Production[[#This Row],[Product]],Ingredients[ProdName],0))*Production[[#This Row],[Lots Done]],"")</f>
        <v/>
      </c>
      <c r="J292" s="210" t="str">
        <f>IF(INDEX(Ingredients[Batter],MATCH(Production[[#This Row],[Product]],Ingredients[ProdName],0))*Production[[#This Row],[Batter Used]]&gt;0,INDEX(Ingredients[Batter],MATCH(Production[[#This Row],[Product]],Ingredients[ProdName],0))*Production[[#This Row],[Batter Used]],"")</f>
        <v/>
      </c>
      <c r="K292" s="210" t="str">
        <f>IF(INDEX(Ingredients[Breader],MATCH(Production[[#This Row],[Product]],Ingredients[ProdName],0))*Production[[#This Row],[Breader Used]]&gt;0,INDEX(Ingredients[Breader],MATCH(Production[[#This Row],[Product]],Ingredients[ProdName],0))*Production[[#This Row],[Breader Used]],"")</f>
        <v/>
      </c>
      <c r="L292" s="56"/>
      <c r="M292" s="56"/>
      <c r="N292" s="211">
        <f>IFERROR(IF(SUM(Production[[#This Row],[Meat Wt]:[BrTtl]])&lt;&gt;0,SUM(Production[[#This Row],[Meat Wt]:[BrTtl]]),""),"")</f>
        <v>1400</v>
      </c>
      <c r="O292" s="55">
        <v>45</v>
      </c>
      <c r="P292" s="208">
        <f>INDEX(Ingredients[Case Wt.],MATCH(Production[[#This Row],[Product]],Ingredients[ProdName],0))*Production[[#This Row],[Case Total]]</f>
        <v>1350</v>
      </c>
      <c r="Q292" s="211">
        <f>IFERROR(Production[[#This Row],[SatWt]]-Production[[#This Row],[RawWt]],"")</f>
        <v>-50</v>
      </c>
      <c r="R292" s="222" t="str">
        <f>IF(Production[[#This Row],[Species]]&lt;&gt;"",IF(SUM(Production[[#This Row],[BtTtl]:[BrTtl]])/Production[[#This Row],[SatWt]]&lt;&gt;0,SUM(Production[[#This Row],[BtTtl]:[BrTtl]])/Production[[#This Row],[SatWt]],""),"")</f>
        <v/>
      </c>
      <c r="S292" s="223" t="str">
        <f>INDEX(Ingredients[Species],MATCH(Production[[#This Row],[Product]],Ingredients[ProdName],0))</f>
        <v>Poultry</v>
      </c>
    </row>
    <row r="293" spans="1:19" ht="11.1" customHeight="1" x14ac:dyDescent="0.25">
      <c r="A293" s="207" t="str">
        <f>IFERROR(IF(Production[[#This Row],[Date]]&lt;&gt;"",TEXT(Production[[#This Row],[Date]],"yy")&amp;"-"&amp;TEXT(Production[[#This Row],[Date]]-DATE(YEAR(Production[[#This Row],[Date]]),1,0),"000"),""),"")</f>
        <v>23-262</v>
      </c>
      <c r="B293" s="209" t="str">
        <f>IFERROR(IF(INDEX(Ingredients[Ingr1],MATCH(Production[[#This Row],[Product]],Ingredients[ProdName],0))&lt;&gt;"",INDEX(Ingredients[Ingr1],MATCH(Production[[#This Row],[Product]],Ingredients[ProdName],0)),INDEX(Ingredients[Ingr2],MATCH(Production[[#This Row],[Product]],Ingredients[ProdName],0))),"")</f>
        <v>Chicken - Ground</v>
      </c>
      <c r="C293" s="53">
        <v>45188</v>
      </c>
      <c r="D293" s="54" t="s">
        <v>17</v>
      </c>
      <c r="E293" s="55">
        <v>782</v>
      </c>
      <c r="F293" s="56">
        <v>4</v>
      </c>
      <c r="G293" s="56">
        <v>28</v>
      </c>
      <c r="H293" s="208">
        <f>IFERROR(INDEX(Tier1[Wt],MATCH(Production[[#This Row],[Type]],Tier1[Ingredient],0))*Production[[#This Row],[Blocks Used]],0)</f>
        <v>1400</v>
      </c>
      <c r="I293" s="210">
        <f>IFERROR(INDEX(Ingredients[TtlWt],MATCH(Production[[#This Row],[Product]],Ingredients[ProdName],0))*Production[[#This Row],[Lots Done]],"")</f>
        <v>167.8</v>
      </c>
      <c r="J293" s="210" t="str">
        <f>IF(INDEX(Ingredients[Batter],MATCH(Production[[#This Row],[Product]],Ingredients[ProdName],0))*Production[[#This Row],[Batter Used]]&gt;0,INDEX(Ingredients[Batter],MATCH(Production[[#This Row],[Product]],Ingredients[ProdName],0))*Production[[#This Row],[Batter Used]],"")</f>
        <v/>
      </c>
      <c r="K293" s="210" t="str">
        <f>IF(INDEX(Ingredients[Breader],MATCH(Production[[#This Row],[Product]],Ingredients[ProdName],0))*Production[[#This Row],[Breader Used]]&gt;0,INDEX(Ingredients[Breader],MATCH(Production[[#This Row],[Product]],Ingredients[ProdName],0))*Production[[#This Row],[Breader Used]],"")</f>
        <v/>
      </c>
      <c r="L293" s="56"/>
      <c r="M293" s="56"/>
      <c r="N293" s="211">
        <f>IFERROR(IF(SUM(Production[[#This Row],[Meat Wt]:[BrTtl]])&lt;&gt;0,SUM(Production[[#This Row],[Meat Wt]:[BrTtl]]),""),"")</f>
        <v>1567.8</v>
      </c>
      <c r="O293" s="55">
        <v>65</v>
      </c>
      <c r="P293" s="208">
        <f>INDEX(Ingredients[Case Wt.],MATCH(Production[[#This Row],[Product]],Ingredients[ProdName],0))*Production[[#This Row],[Case Total]]</f>
        <v>1625</v>
      </c>
      <c r="Q293" s="211">
        <f>IFERROR(Production[[#This Row],[SatWt]]-Production[[#This Row],[RawWt]],"")</f>
        <v>57.200000000000045</v>
      </c>
      <c r="R293" s="222" t="str">
        <f>IF(Production[[#This Row],[Species]]&lt;&gt;"",IF(SUM(Production[[#This Row],[BtTtl]:[BrTtl]])/Production[[#This Row],[SatWt]]&lt;&gt;0,SUM(Production[[#This Row],[BtTtl]:[BrTtl]])/Production[[#This Row],[SatWt]],""),"")</f>
        <v/>
      </c>
      <c r="S293" s="223" t="str">
        <f>INDEX(Ingredients[Species],MATCH(Production[[#This Row],[Product]],Ingredients[ProdName],0))</f>
        <v>Poultry</v>
      </c>
    </row>
    <row r="294" spans="1:19" ht="11.1" customHeight="1" x14ac:dyDescent="0.25">
      <c r="A294" s="207" t="str">
        <f>IFERROR(IF(Production[[#This Row],[Date]]&lt;&gt;"",TEXT(Production[[#This Row],[Date]],"yy")&amp;"-"&amp;TEXT(Production[[#This Row],[Date]]-DATE(YEAR(Production[[#This Row],[Date]]),1,0),"000"),""),"")</f>
        <v>23-262</v>
      </c>
      <c r="B294" s="209" t="str">
        <f>IFERROR(IF(INDEX(Ingredients[Ingr1],MATCH(Production[[#This Row],[Product]],Ingredients[ProdName],0))&lt;&gt;"",INDEX(Ingredients[Ingr1],MATCH(Production[[#This Row],[Product]],Ingredients[ProdName],0)),INDEX(Ingredients[Ingr2],MATCH(Production[[#This Row],[Product]],Ingredients[ProdName],0))),"")</f>
        <v>Chicken - Ground</v>
      </c>
      <c r="C294" s="53">
        <v>45188</v>
      </c>
      <c r="D294" s="54" t="s">
        <v>8</v>
      </c>
      <c r="E294" s="55">
        <v>782</v>
      </c>
      <c r="F294" s="56">
        <v>4</v>
      </c>
      <c r="G294" s="56">
        <v>28</v>
      </c>
      <c r="H294" s="208">
        <f>IFERROR(INDEX(Tier1[Wt],MATCH(Production[[#This Row],[Type]],Tier1[Ingredient],0))*Production[[#This Row],[Blocks Used]],0)</f>
        <v>1400</v>
      </c>
      <c r="I294" s="210">
        <f>IFERROR(INDEX(Ingredients[TtlWt],MATCH(Production[[#This Row],[Product]],Ingredients[ProdName],0))*Production[[#This Row],[Lots Done]],"")</f>
        <v>260.8</v>
      </c>
      <c r="J294" s="210" t="str">
        <f>IF(INDEX(Ingredients[Batter],MATCH(Production[[#This Row],[Product]],Ingredients[ProdName],0))*Production[[#This Row],[Batter Used]]&gt;0,INDEX(Ingredients[Batter],MATCH(Production[[#This Row],[Product]],Ingredients[ProdName],0))*Production[[#This Row],[Batter Used]],"")</f>
        <v/>
      </c>
      <c r="K294" s="210" t="str">
        <f>IF(INDEX(Ingredients[Breader],MATCH(Production[[#This Row],[Product]],Ingredients[ProdName],0))*Production[[#This Row],[Breader Used]]&gt;0,INDEX(Ingredients[Breader],MATCH(Production[[#This Row],[Product]],Ingredients[ProdName],0))*Production[[#This Row],[Breader Used]],"")</f>
        <v/>
      </c>
      <c r="L294" s="56"/>
      <c r="M294" s="56"/>
      <c r="N294" s="211">
        <f>IFERROR(IF(SUM(Production[[#This Row],[Meat Wt]:[BrTtl]])&lt;&gt;0,SUM(Production[[#This Row],[Meat Wt]:[BrTtl]]),""),"")</f>
        <v>1660.8</v>
      </c>
      <c r="O294" s="55">
        <v>85</v>
      </c>
      <c r="P294" s="208">
        <f>INDEX(Ingredients[Case Wt.],MATCH(Production[[#This Row],[Product]],Ingredients[ProdName],0))*Production[[#This Row],[Case Total]]</f>
        <v>2125</v>
      </c>
      <c r="Q294" s="211">
        <f>IFERROR(Production[[#This Row],[SatWt]]-Production[[#This Row],[RawWt]],"")</f>
        <v>464.20000000000005</v>
      </c>
      <c r="R294" s="222" t="str">
        <f>IF(Production[[#This Row],[Species]]&lt;&gt;"",IF(SUM(Production[[#This Row],[BtTtl]:[BrTtl]])/Production[[#This Row],[SatWt]]&lt;&gt;0,SUM(Production[[#This Row],[BtTtl]:[BrTtl]])/Production[[#This Row],[SatWt]],""),"")</f>
        <v/>
      </c>
      <c r="S294" s="223" t="str">
        <f>INDEX(Ingredients[Species],MATCH(Production[[#This Row],[Product]],Ingredients[ProdName],0))</f>
        <v>Poultry</v>
      </c>
    </row>
    <row r="295" spans="1:19" ht="11.1" customHeight="1" x14ac:dyDescent="0.25">
      <c r="A295" s="207" t="str">
        <f>IFERROR(IF(Production[[#This Row],[Date]]&lt;&gt;"",TEXT(Production[[#This Row],[Date]],"yy")&amp;"-"&amp;TEXT(Production[[#This Row],[Date]]-DATE(YEAR(Production[[#This Row],[Date]]),1,0),"000"),""),"")</f>
        <v>23-263</v>
      </c>
      <c r="B295" s="209" t="str">
        <f>IFERROR(IF(INDEX(Ingredients[Ingr1],MATCH(Production[[#This Row],[Product]],Ingredients[ProdName],0))&lt;&gt;"",INDEX(Ingredients[Ingr1],MATCH(Production[[#This Row],[Product]],Ingredients[ProdName],0)),INDEX(Ingredients[Ingr2],MATCH(Production[[#This Row],[Product]],Ingredients[ProdName],0))),"")</f>
        <v>Chicken - Ground</v>
      </c>
      <c r="C295" s="53">
        <v>45189</v>
      </c>
      <c r="D295" s="54" t="s">
        <v>19</v>
      </c>
      <c r="E295" s="55">
        <v>782</v>
      </c>
      <c r="F295" s="56">
        <v>12</v>
      </c>
      <c r="G295" s="56">
        <v>72</v>
      </c>
      <c r="H295" s="208">
        <f>IFERROR(INDEX(Tier1[Wt],MATCH(Production[[#This Row],[Type]],Tier1[Ingredient],0))*Production[[#This Row],[Blocks Used]],0)</f>
        <v>3600</v>
      </c>
      <c r="I295" s="210">
        <f>IFERROR(INDEX(Ingredients[TtlWt],MATCH(Production[[#This Row],[Product]],Ingredients[ProdName],0))*Production[[#This Row],[Lots Done]],"")</f>
        <v>139.80000000000001</v>
      </c>
      <c r="J295" s="210" t="str">
        <f>IF(INDEX(Ingredients[Batter],MATCH(Production[[#This Row],[Product]],Ingredients[ProdName],0))*Production[[#This Row],[Batter Used]]&gt;0,INDEX(Ingredients[Batter],MATCH(Production[[#This Row],[Product]],Ingredients[ProdName],0))*Production[[#This Row],[Batter Used]],"")</f>
        <v/>
      </c>
      <c r="K295" s="210" t="str">
        <f>IF(INDEX(Ingredients[Breader],MATCH(Production[[#This Row],[Product]],Ingredients[ProdName],0))*Production[[#This Row],[Breader Used]]&gt;0,INDEX(Ingredients[Breader],MATCH(Production[[#This Row],[Product]],Ingredients[ProdName],0))*Production[[#This Row],[Breader Used]],"")</f>
        <v/>
      </c>
      <c r="L295" s="56"/>
      <c r="M295" s="56"/>
      <c r="N295" s="211">
        <f>IFERROR(IF(SUM(Production[[#This Row],[Meat Wt]:[BrTtl]])&lt;&gt;0,SUM(Production[[#This Row],[Meat Wt]:[BrTtl]]),""),"")</f>
        <v>3739.8</v>
      </c>
      <c r="O295" s="55">
        <v>197</v>
      </c>
      <c r="P295" s="208">
        <f>INDEX(Ingredients[Case Wt.],MATCH(Production[[#This Row],[Product]],Ingredients[ProdName],0))*Production[[#This Row],[Case Total]]</f>
        <v>4925</v>
      </c>
      <c r="Q295" s="211">
        <f>IFERROR(Production[[#This Row],[SatWt]]-Production[[#This Row],[RawWt]],"")</f>
        <v>1185.1999999999998</v>
      </c>
      <c r="R295" s="222" t="str">
        <f>IF(Production[[#This Row],[Species]]&lt;&gt;"",IF(SUM(Production[[#This Row],[BtTtl]:[BrTtl]])/Production[[#This Row],[SatWt]]&lt;&gt;0,SUM(Production[[#This Row],[BtTtl]:[BrTtl]])/Production[[#This Row],[SatWt]],""),"")</f>
        <v/>
      </c>
      <c r="S295" s="223" t="str">
        <f>INDEX(Ingredients[Species],MATCH(Production[[#This Row],[Product]],Ingredients[ProdName],0))</f>
        <v>Poultry</v>
      </c>
    </row>
    <row r="296" spans="1:19" ht="11.1" customHeight="1" x14ac:dyDescent="0.25">
      <c r="A296" s="207" t="str">
        <f>IFERROR(IF(Production[[#This Row],[Date]]&lt;&gt;"",TEXT(Production[[#This Row],[Date]],"yy")&amp;"-"&amp;TEXT(Production[[#This Row],[Date]]-DATE(YEAR(Production[[#This Row],[Date]]),1,0),"000"),""),"")</f>
        <v>23-264</v>
      </c>
      <c r="B296" s="209" t="str">
        <f>IFERROR(IF(INDEX(Ingredients[Ingr1],MATCH(Production[[#This Row],[Product]],Ingredients[ProdName],0))&lt;&gt;"",INDEX(Ingredients[Ingr1],MATCH(Production[[#This Row],[Product]],Ingredients[ProdName],0)),INDEX(Ingredients[Ingr2],MATCH(Production[[#This Row],[Product]],Ingredients[ProdName],0))),"")</f>
        <v>Chicken - Tenders</v>
      </c>
      <c r="C296" s="53">
        <v>45190</v>
      </c>
      <c r="D296" s="54" t="s">
        <v>14</v>
      </c>
      <c r="E296" s="55" t="s">
        <v>175</v>
      </c>
      <c r="F296" s="56">
        <v>15</v>
      </c>
      <c r="G296" s="56">
        <v>105</v>
      </c>
      <c r="H296" s="208">
        <f>IFERROR(INDEX(Tier1[Wt],MATCH(Production[[#This Row],[Type]],Tier1[Ingredient],0))*Production[[#This Row],[Blocks Used]],0)</f>
        <v>4200</v>
      </c>
      <c r="I296" s="210">
        <f>IFERROR(INDEX(Ingredients[TtlWt],MATCH(Production[[#This Row],[Product]],Ingredients[ProdName],0))*Production[[#This Row],[Lots Done]],"")</f>
        <v>932.25</v>
      </c>
      <c r="J296" s="210" t="str">
        <f>IF(INDEX(Ingredients[Batter],MATCH(Production[[#This Row],[Product]],Ingredients[ProdName],0))*Production[[#This Row],[Batter Used]]&gt;0,INDEX(Ingredients[Batter],MATCH(Production[[#This Row],[Product]],Ingredients[ProdName],0))*Production[[#This Row],[Batter Used]],"")</f>
        <v/>
      </c>
      <c r="K296" s="210" t="str">
        <f>IF(INDEX(Ingredients[Breader],MATCH(Production[[#This Row],[Product]],Ingredients[ProdName],0))*Production[[#This Row],[Breader Used]]&gt;0,INDEX(Ingredients[Breader],MATCH(Production[[#This Row],[Product]],Ingredients[ProdName],0))*Production[[#This Row],[Breader Used]],"")</f>
        <v/>
      </c>
      <c r="L296" s="56"/>
      <c r="M296" s="56"/>
      <c r="N296" s="211">
        <f>IFERROR(IF(SUM(Production[[#This Row],[Meat Wt]:[BrTtl]])&lt;&gt;0,SUM(Production[[#This Row],[Meat Wt]:[BrTtl]]),""),"")</f>
        <v>5132.25</v>
      </c>
      <c r="O296" s="55">
        <v>262</v>
      </c>
      <c r="P296" s="208">
        <f>INDEX(Ingredients[Case Wt.],MATCH(Production[[#This Row],[Product]],Ingredients[ProdName],0))*Production[[#This Row],[Case Total]]</f>
        <v>6550</v>
      </c>
      <c r="Q296" s="211">
        <f>IFERROR(Production[[#This Row],[SatWt]]-Production[[#This Row],[RawWt]],"")</f>
        <v>1417.75</v>
      </c>
      <c r="R296" s="222" t="str">
        <f>IF(Production[[#This Row],[Species]]&lt;&gt;"",IF(SUM(Production[[#This Row],[BtTtl]:[BrTtl]])/Production[[#This Row],[SatWt]]&lt;&gt;0,SUM(Production[[#This Row],[BtTtl]:[BrTtl]])/Production[[#This Row],[SatWt]],""),"")</f>
        <v/>
      </c>
      <c r="S296" s="223" t="str">
        <f>INDEX(Ingredients[Species],MATCH(Production[[#This Row],[Product]],Ingredients[ProdName],0))</f>
        <v>Poultry</v>
      </c>
    </row>
    <row r="297" spans="1:19" ht="11.1" customHeight="1" x14ac:dyDescent="0.25">
      <c r="A297" s="207" t="str">
        <f>IFERROR(IF(Production[[#This Row],[Date]]&lt;&gt;"",TEXT(Production[[#This Row],[Date]],"yy")&amp;"-"&amp;TEXT(Production[[#This Row],[Date]]-DATE(YEAR(Production[[#This Row],[Date]]),1,0),"000"),""),"")</f>
        <v>23-268</v>
      </c>
      <c r="B297" s="209" t="str">
        <f>IFERROR(IF(INDEX(Ingredients[Ingr1],MATCH(Production[[#This Row],[Product]],Ingredients[ProdName],0))&lt;&gt;"",INDEX(Ingredients[Ingr1],MATCH(Production[[#This Row],[Product]],Ingredients[ProdName],0)),INDEX(Ingredients[Ingr2],MATCH(Production[[#This Row],[Product]],Ingredients[ProdName],0))),"")</f>
        <v>Chicken - Ground</v>
      </c>
      <c r="C297" s="53">
        <v>45194</v>
      </c>
      <c r="D297" s="54" t="s">
        <v>15</v>
      </c>
      <c r="E297" s="55">
        <v>782</v>
      </c>
      <c r="F297" s="56">
        <v>7</v>
      </c>
      <c r="G297" s="56">
        <v>42</v>
      </c>
      <c r="H297" s="208">
        <f>IFERROR(INDEX(Tier1[Wt],MATCH(Production[[#This Row],[Type]],Tier1[Ingredient],0))*Production[[#This Row],[Blocks Used]],0)</f>
        <v>2100</v>
      </c>
      <c r="I297" s="210">
        <f>IFERROR(INDEX(Ingredients[TtlWt],MATCH(Production[[#This Row],[Product]],Ingredients[ProdName],0))*Production[[#This Row],[Lots Done]],"")</f>
        <v>81.55</v>
      </c>
      <c r="J297" s="210" t="str">
        <f>IF(INDEX(Ingredients[Batter],MATCH(Production[[#This Row],[Product]],Ingredients[ProdName],0))*Production[[#This Row],[Batter Used]]&gt;0,INDEX(Ingredients[Batter],MATCH(Production[[#This Row],[Product]],Ingredients[ProdName],0))*Production[[#This Row],[Batter Used]],"")</f>
        <v/>
      </c>
      <c r="K297" s="210" t="str">
        <f>IF(INDEX(Ingredients[Breader],MATCH(Production[[#This Row],[Product]],Ingredients[ProdName],0))*Production[[#This Row],[Breader Used]]&gt;0,INDEX(Ingredients[Breader],MATCH(Production[[#This Row],[Product]],Ingredients[ProdName],0))*Production[[#This Row],[Breader Used]],"")</f>
        <v/>
      </c>
      <c r="L297" s="56"/>
      <c r="M297" s="56"/>
      <c r="N297" s="211">
        <f>IFERROR(IF(SUM(Production[[#This Row],[Meat Wt]:[BrTtl]])&lt;&gt;0,SUM(Production[[#This Row],[Meat Wt]:[BrTtl]]),""),"")</f>
        <v>2181.5500000000002</v>
      </c>
      <c r="O297" s="55">
        <v>91</v>
      </c>
      <c r="P297" s="208">
        <f>INDEX(Ingredients[Case Wt.],MATCH(Production[[#This Row],[Product]],Ingredients[ProdName],0))*Production[[#This Row],[Case Total]]</f>
        <v>2730</v>
      </c>
      <c r="Q297" s="211">
        <f>IFERROR(Production[[#This Row],[SatWt]]-Production[[#This Row],[RawWt]],"")</f>
        <v>548.44999999999982</v>
      </c>
      <c r="R297" s="222" t="str">
        <f>IF(Production[[#This Row],[Species]]&lt;&gt;"",IF(SUM(Production[[#This Row],[BtTtl]:[BrTtl]])/Production[[#This Row],[SatWt]]&lt;&gt;0,SUM(Production[[#This Row],[BtTtl]:[BrTtl]])/Production[[#This Row],[SatWt]],""),"")</f>
        <v/>
      </c>
      <c r="S297" s="223" t="str">
        <f>INDEX(Ingredients[Species],MATCH(Production[[#This Row],[Product]],Ingredients[ProdName],0))</f>
        <v>Poultry</v>
      </c>
    </row>
    <row r="298" spans="1:19" ht="11.1" customHeight="1" x14ac:dyDescent="0.25">
      <c r="A298" s="207" t="str">
        <f>IFERROR(IF(Production[[#This Row],[Date]]&lt;&gt;"",TEXT(Production[[#This Row],[Date]],"yy")&amp;"-"&amp;TEXT(Production[[#This Row],[Date]]-DATE(YEAR(Production[[#This Row],[Date]]),1,0),"000"),""),"")</f>
        <v>23-268</v>
      </c>
      <c r="B298" s="209" t="str">
        <f>IFERROR(IF(INDEX(Ingredients[Ingr1],MATCH(Production[[#This Row],[Product]],Ingredients[ProdName],0))&lt;&gt;"",INDEX(Ingredients[Ingr1],MATCH(Production[[#This Row],[Product]],Ingredients[ProdName],0)),INDEX(Ingredients[Ingr2],MATCH(Production[[#This Row],[Product]],Ingredients[ProdName],0))),"")</f>
        <v>Chicken - Tenders</v>
      </c>
      <c r="C298" s="53">
        <v>45194</v>
      </c>
      <c r="D298" s="54" t="s">
        <v>14</v>
      </c>
      <c r="E298" s="55" t="s">
        <v>175</v>
      </c>
      <c r="F298" s="56">
        <v>5</v>
      </c>
      <c r="G298" s="56">
        <v>35</v>
      </c>
      <c r="H298" s="208">
        <f>IFERROR(INDEX(Tier1[Wt],MATCH(Production[[#This Row],[Type]],Tier1[Ingredient],0))*Production[[#This Row],[Blocks Used]],0)</f>
        <v>1400</v>
      </c>
      <c r="I298" s="210">
        <f>IFERROR(INDEX(Ingredients[TtlWt],MATCH(Production[[#This Row],[Product]],Ingredients[ProdName],0))*Production[[#This Row],[Lots Done]],"")</f>
        <v>310.75</v>
      </c>
      <c r="J298" s="210" t="str">
        <f>IF(INDEX(Ingredients[Batter],MATCH(Production[[#This Row],[Product]],Ingredients[ProdName],0))*Production[[#This Row],[Batter Used]]&gt;0,INDEX(Ingredients[Batter],MATCH(Production[[#This Row],[Product]],Ingredients[ProdName],0))*Production[[#This Row],[Batter Used]],"")</f>
        <v/>
      </c>
      <c r="K298" s="210" t="str">
        <f>IF(INDEX(Ingredients[Breader],MATCH(Production[[#This Row],[Product]],Ingredients[ProdName],0))*Production[[#This Row],[Breader Used]]&gt;0,INDEX(Ingredients[Breader],MATCH(Production[[#This Row],[Product]],Ingredients[ProdName],0))*Production[[#This Row],[Breader Used]],"")</f>
        <v/>
      </c>
      <c r="L298" s="56"/>
      <c r="M298" s="56"/>
      <c r="N298" s="211">
        <f>IFERROR(IF(SUM(Production[[#This Row],[Meat Wt]:[BrTtl]])&lt;&gt;0,SUM(Production[[#This Row],[Meat Wt]:[BrTtl]]),""),"")</f>
        <v>1710.75</v>
      </c>
      <c r="O298" s="55">
        <v>92</v>
      </c>
      <c r="P298" s="208">
        <f>INDEX(Ingredients[Case Wt.],MATCH(Production[[#This Row],[Product]],Ingredients[ProdName],0))*Production[[#This Row],[Case Total]]</f>
        <v>2300</v>
      </c>
      <c r="Q298" s="211">
        <f>IFERROR(Production[[#This Row],[SatWt]]-Production[[#This Row],[RawWt]],"")</f>
        <v>589.25</v>
      </c>
      <c r="R298" s="222" t="str">
        <f>IF(Production[[#This Row],[Species]]&lt;&gt;"",IF(SUM(Production[[#This Row],[BtTtl]:[BrTtl]])/Production[[#This Row],[SatWt]]&lt;&gt;0,SUM(Production[[#This Row],[BtTtl]:[BrTtl]])/Production[[#This Row],[SatWt]],""),"")</f>
        <v/>
      </c>
      <c r="S298" s="223" t="str">
        <f>INDEX(Ingredients[Species],MATCH(Production[[#This Row],[Product]],Ingredients[ProdName],0))</f>
        <v>Poultry</v>
      </c>
    </row>
    <row r="299" spans="1:19" ht="11.1" customHeight="1" x14ac:dyDescent="0.25">
      <c r="A299" s="207" t="str">
        <f>IFERROR(IF(Production[[#This Row],[Date]]&lt;&gt;"",TEXT(Production[[#This Row],[Date]],"yy")&amp;"-"&amp;TEXT(Production[[#This Row],[Date]]-DATE(YEAR(Production[[#This Row],[Date]]),1,0),"000"),""),"")</f>
        <v>23-271</v>
      </c>
      <c r="B299" s="209" t="str">
        <f>IFERROR(IF(INDEX(Ingredients[Ingr1],MATCH(Production[[#This Row],[Product]],Ingredients[ProdName],0))&lt;&gt;"",INDEX(Ingredients[Ingr1],MATCH(Production[[#This Row],[Product]],Ingredients[ProdName],0)),INDEX(Ingredients[Ingr2],MATCH(Production[[#This Row],[Product]],Ingredients[ProdName],0))),"")</f>
        <v>Chicken - Tenders</v>
      </c>
      <c r="C299" s="53">
        <v>45197</v>
      </c>
      <c r="D299" s="54" t="s">
        <v>21</v>
      </c>
      <c r="E299" s="55" t="s">
        <v>175</v>
      </c>
      <c r="F299" s="56">
        <v>12</v>
      </c>
      <c r="G299" s="56">
        <v>84</v>
      </c>
      <c r="H299" s="208">
        <f>IFERROR(INDEX(Tier1[Wt],MATCH(Production[[#This Row],[Type]],Tier1[Ingredient],0))*Production[[#This Row],[Blocks Used]],0)</f>
        <v>3360</v>
      </c>
      <c r="I299" s="210">
        <f>IFERROR(INDEX(Ingredients[TtlWt],MATCH(Production[[#This Row],[Product]],Ingredients[ProdName],0))*Production[[#This Row],[Lots Done]],"")</f>
        <v>648</v>
      </c>
      <c r="J299" s="210">
        <f>IF(INDEX(Ingredients[Batter],MATCH(Production[[#This Row],[Product]],Ingredients[ProdName],0))*Production[[#This Row],[Batter Used]]&gt;0,INDEX(Ingredients[Batter],MATCH(Production[[#This Row],[Product]],Ingredients[ProdName],0))*Production[[#This Row],[Batter Used]],"")</f>
        <v>100</v>
      </c>
      <c r="K299" s="210">
        <f>IF(INDEX(Ingredients[Breader],MATCH(Production[[#This Row],[Product]],Ingredients[ProdName],0))*Production[[#This Row],[Breader Used]]&gt;0,INDEX(Ingredients[Breader],MATCH(Production[[#This Row],[Product]],Ingredients[ProdName],0))*Production[[#This Row],[Breader Used]],"")</f>
        <v>600</v>
      </c>
      <c r="L299" s="56">
        <v>2</v>
      </c>
      <c r="M299" s="56">
        <v>12</v>
      </c>
      <c r="N299" s="211">
        <f>IFERROR(IF(SUM(Production[[#This Row],[Meat Wt]:[BrTtl]])&lt;&gt;0,SUM(Production[[#This Row],[Meat Wt]:[BrTtl]]),""),"")</f>
        <v>4708</v>
      </c>
      <c r="O299" s="55">
        <v>236</v>
      </c>
      <c r="P299" s="208">
        <f>INDEX(Ingredients[Case Wt.],MATCH(Production[[#This Row],[Product]],Ingredients[ProdName],0))*Production[[#This Row],[Case Total]]</f>
        <v>5900</v>
      </c>
      <c r="Q299" s="211">
        <f>IFERROR(Production[[#This Row],[SatWt]]-Production[[#This Row],[RawWt]],"")</f>
        <v>1192</v>
      </c>
      <c r="R299" s="222">
        <f>IF(Production[[#This Row],[Species]]&lt;&gt;"",IF(SUM(Production[[#This Row],[BtTtl]:[BrTtl]])/Production[[#This Row],[SatWt]]&lt;&gt;0,SUM(Production[[#This Row],[BtTtl]:[BrTtl]])/Production[[#This Row],[SatWt]],""),"")</f>
        <v>0.11864406779661017</v>
      </c>
      <c r="S299" s="223" t="str">
        <f>INDEX(Ingredients[Species],MATCH(Production[[#This Row],[Product]],Ingredients[ProdName],0))</f>
        <v>Poultry</v>
      </c>
    </row>
    <row r="300" spans="1:19" ht="11.1" customHeight="1" x14ac:dyDescent="0.25">
      <c r="A300" s="207" t="str">
        <f>IFERROR(IF(Production[[#This Row],[Date]]&lt;&gt;"",TEXT(Production[[#This Row],[Date]],"yy")&amp;"-"&amp;TEXT(Production[[#This Row],[Date]]-DATE(YEAR(Production[[#This Row],[Date]]),1,0),"000"),""),"")</f>
        <v>23-275</v>
      </c>
      <c r="B300" s="209" t="str">
        <f>IFERROR(IF(INDEX(Ingredients[Ingr1],MATCH(Production[[#This Row],[Product]],Ingredients[ProdName],0))&lt;&gt;"",INDEX(Ingredients[Ingr1],MATCH(Production[[#This Row],[Product]],Ingredients[ProdName],0)),INDEX(Ingredients[Ingr2],MATCH(Production[[#This Row],[Product]],Ingredients[ProdName],0))),"")</f>
        <v>Cheese - Gouda</v>
      </c>
      <c r="C300" s="53">
        <v>45201</v>
      </c>
      <c r="D300" s="54" t="s">
        <v>46</v>
      </c>
      <c r="E300" s="55" t="s">
        <v>180</v>
      </c>
      <c r="F300" s="56">
        <v>12</v>
      </c>
      <c r="G300" s="56"/>
      <c r="H300" s="208">
        <f>IFERROR(INDEX(Tier1[Wt],MATCH(Production[[#This Row],[Type]],Tier1[Ingredient],0))*Production[[#This Row],[Blocks Used]],0)</f>
        <v>0</v>
      </c>
      <c r="I300" s="210">
        <f>IFERROR(INDEX(Ingredients[TtlWt],MATCH(Production[[#This Row],[Product]],Ingredients[ProdName],0))*Production[[#This Row],[Lots Done]],"")</f>
        <v>1980</v>
      </c>
      <c r="J300" s="210">
        <f>IF(INDEX(Ingredients[Batter],MATCH(Production[[#This Row],[Product]],Ingredients[ProdName],0))*Production[[#This Row],[Batter Used]]&gt;0,INDEX(Ingredients[Batter],MATCH(Production[[#This Row],[Product]],Ingredients[ProdName],0))*Production[[#This Row],[Batter Used]],"")</f>
        <v>100</v>
      </c>
      <c r="K300" s="210">
        <f>IF(INDEX(Ingredients[Breader],MATCH(Production[[#This Row],[Product]],Ingredients[ProdName],0))*Production[[#This Row],[Breader Used]]&gt;0,INDEX(Ingredients[Breader],MATCH(Production[[#This Row],[Product]],Ingredients[ProdName],0))*Production[[#This Row],[Breader Used]],"")</f>
        <v>550</v>
      </c>
      <c r="L300" s="56">
        <v>2</v>
      </c>
      <c r="M300" s="56">
        <v>11</v>
      </c>
      <c r="N300" s="211">
        <f>IFERROR(IF(SUM(Production[[#This Row],[Meat Wt]:[BrTtl]])&lt;&gt;0,SUM(Production[[#This Row],[Meat Wt]:[BrTtl]]),""),"")</f>
        <v>2630</v>
      </c>
      <c r="O300" s="55">
        <v>146</v>
      </c>
      <c r="P300" s="208">
        <f>INDEX(Ingredients[Case Wt.],MATCH(Production[[#This Row],[Product]],Ingredients[ProdName],0))*Production[[#This Row],[Case Total]]</f>
        <v>3650</v>
      </c>
      <c r="Q300" s="211">
        <f>IFERROR(Production[[#This Row],[SatWt]]-Production[[#This Row],[RawWt]],"")</f>
        <v>1020</v>
      </c>
      <c r="R300" s="222" t="str">
        <f>IF(Production[[#This Row],[Species]]&lt;&gt;"",IF(SUM(Production[[#This Row],[BtTtl]:[BrTtl]])/Production[[#This Row],[SatWt]]&lt;&gt;0,SUM(Production[[#This Row],[BtTtl]:[BrTtl]])/Production[[#This Row],[SatWt]],""),"")</f>
        <v/>
      </c>
      <c r="S300" s="223" t="str">
        <f>INDEX(Ingredients[Species],MATCH(Production[[#This Row],[Product]],Ingredients[ProdName],0))</f>
        <v/>
      </c>
    </row>
    <row r="301" spans="1:19" ht="11.1" customHeight="1" x14ac:dyDescent="0.25">
      <c r="A301" s="207" t="str">
        <f>IFERROR(IF(Production[[#This Row],[Date]]&lt;&gt;"",TEXT(Production[[#This Row],[Date]],"yy")&amp;"-"&amp;TEXT(Production[[#This Row],[Date]]-DATE(YEAR(Production[[#This Row],[Date]]),1,0),"000"),""),"")</f>
        <v>23-276</v>
      </c>
      <c r="B301" s="209" t="str">
        <f>IFERROR(IF(INDEX(Ingredients[Ingr1],MATCH(Production[[#This Row],[Product]],Ingredients[ProdName],0))&lt;&gt;"",INDEX(Ingredients[Ingr1],MATCH(Production[[#This Row],[Product]],Ingredients[ProdName],0)),INDEX(Ingredients[Ingr2],MATCH(Production[[#This Row],[Product]],Ingredients[ProdName],0))),"")</f>
        <v>Pork - Trim</v>
      </c>
      <c r="C301" s="53">
        <v>45202</v>
      </c>
      <c r="D301" s="54" t="s">
        <v>22</v>
      </c>
      <c r="E301" s="55">
        <v>4204</v>
      </c>
      <c r="F301" s="56">
        <v>8</v>
      </c>
      <c r="G301" s="56">
        <v>40</v>
      </c>
      <c r="H301" s="208">
        <f>IFERROR(INDEX(Tier1[Wt],MATCH(Production[[#This Row],[Type]],Tier1[Ingredient],0))*Production[[#This Row],[Blocks Used]],0)</f>
        <v>2400</v>
      </c>
      <c r="I301" s="210">
        <f>IFERROR(INDEX(Ingredients[TtlWt],MATCH(Production[[#This Row],[Product]],Ingredients[ProdName],0))*Production[[#This Row],[Lots Done]],"")</f>
        <v>326.39999999999998</v>
      </c>
      <c r="J301" s="210">
        <f>IF(INDEX(Ingredients[Batter],MATCH(Production[[#This Row],[Product]],Ingredients[ProdName],0))*Production[[#This Row],[Batter Used]]&gt;0,INDEX(Ingredients[Batter],MATCH(Production[[#This Row],[Product]],Ingredients[ProdName],0))*Production[[#This Row],[Batter Used]],"")</f>
        <v>100</v>
      </c>
      <c r="K301" s="210">
        <f>IF(INDEX(Ingredients[Breader],MATCH(Production[[#This Row],[Product]],Ingredients[ProdName],0))*Production[[#This Row],[Breader Used]]&gt;0,INDEX(Ingredients[Breader],MATCH(Production[[#This Row],[Product]],Ingredients[ProdName],0))*Production[[#This Row],[Breader Used]],"")</f>
        <v>175</v>
      </c>
      <c r="L301" s="56">
        <v>2</v>
      </c>
      <c r="M301" s="56">
        <v>7</v>
      </c>
      <c r="N301" s="211">
        <f>IFERROR(IF(SUM(Production[[#This Row],[Meat Wt]:[BrTtl]])&lt;&gt;0,SUM(Production[[#This Row],[Meat Wt]:[BrTtl]]),""),"")</f>
        <v>3001.4</v>
      </c>
      <c r="O301" s="55">
        <v>148</v>
      </c>
      <c r="P301" s="208">
        <f>INDEX(Ingredients[Case Wt.],MATCH(Production[[#This Row],[Product]],Ingredients[ProdName],0))*Production[[#This Row],[Case Total]]</f>
        <v>3700</v>
      </c>
      <c r="Q301" s="211">
        <f>IFERROR(Production[[#This Row],[SatWt]]-Production[[#This Row],[RawWt]],"")</f>
        <v>698.59999999999991</v>
      </c>
      <c r="R301" s="222">
        <f>IF(Production[[#This Row],[Species]]&lt;&gt;"",IF(SUM(Production[[#This Row],[BtTtl]:[BrTtl]])/Production[[#This Row],[SatWt]]&lt;&gt;0,SUM(Production[[#This Row],[BtTtl]:[BrTtl]])/Production[[#This Row],[SatWt]],""),"")</f>
        <v>7.4324324324324328E-2</v>
      </c>
      <c r="S301" s="223" t="str">
        <f>INDEX(Ingredients[Species],MATCH(Production[[#This Row],[Product]],Ingredients[ProdName],0))</f>
        <v>Meat</v>
      </c>
    </row>
    <row r="302" spans="1:19" ht="11.1" customHeight="1" x14ac:dyDescent="0.25">
      <c r="A302" s="207" t="str">
        <f>IFERROR(IF(Production[[#This Row],[Date]]&lt;&gt;"",TEXT(Production[[#This Row],[Date]],"yy")&amp;"-"&amp;TEXT(Production[[#This Row],[Date]]-DATE(YEAR(Production[[#This Row],[Date]]),1,0),"000"),""),"")</f>
        <v>23-277</v>
      </c>
      <c r="B302" s="209" t="str">
        <f>IFERROR(IF(INDEX(Ingredients[Ingr1],MATCH(Production[[#This Row],[Product]],Ingredients[ProdName],0))&lt;&gt;"",INDEX(Ingredients[Ingr1],MATCH(Production[[#This Row],[Product]],Ingredients[ProdName],0)),INDEX(Ingredients[Ingr2],MATCH(Production[[#This Row],[Product]],Ingredients[ProdName],0))),"")</f>
        <v>Pork - Trim</v>
      </c>
      <c r="C302" s="53">
        <v>45203</v>
      </c>
      <c r="D302" s="54" t="s">
        <v>11</v>
      </c>
      <c r="E302" s="55">
        <v>4204</v>
      </c>
      <c r="F302" s="56">
        <v>12</v>
      </c>
      <c r="G302" s="56">
        <v>60</v>
      </c>
      <c r="H302" s="211">
        <f>IFERROR(INDEX(Tier1[Wt],MATCH(Production[[#This Row],[Type]],Tier1[Ingredient],0))*Production[[#This Row],[Blocks Used]],0)</f>
        <v>3600</v>
      </c>
      <c r="I302" s="210">
        <f>IFERROR(INDEX(Ingredients[TtlWt],MATCH(Production[[#This Row],[Product]],Ingredients[ProdName],0))*Production[[#This Row],[Lots Done]],"")</f>
        <v>489.59999999999997</v>
      </c>
      <c r="J302" s="210" t="str">
        <f>IF(INDEX(Ingredients[Batter],MATCH(Production[[#This Row],[Product]],Ingredients[ProdName],0))*Production[[#This Row],[Batter Used]]&gt;0,INDEX(Ingredients[Batter],MATCH(Production[[#This Row],[Product]],Ingredients[ProdName],0))*Production[[#This Row],[Batter Used]],"")</f>
        <v/>
      </c>
      <c r="K302" s="210" t="str">
        <f>IF(INDEX(Ingredients[Breader],MATCH(Production[[#This Row],[Product]],Ingredients[ProdName],0))*Production[[#This Row],[Breader Used]]&gt;0,INDEX(Ingredients[Breader],MATCH(Production[[#This Row],[Product]],Ingredients[ProdName],0))*Production[[#This Row],[Breader Used]],"")</f>
        <v/>
      </c>
      <c r="L302" s="56"/>
      <c r="M302" s="56"/>
      <c r="N302" s="211">
        <f>IFERROR(IF(SUM(Production[[#This Row],[Meat Wt]:[BrTtl]])&lt;&gt;0,SUM(Production[[#This Row],[Meat Wt]:[BrTtl]]),""),"")</f>
        <v>4089.6</v>
      </c>
      <c r="O302" s="55">
        <v>201</v>
      </c>
      <c r="P302" s="208">
        <f>INDEX(Ingredients[Case Wt.],MATCH(Production[[#This Row],[Product]],Ingredients[ProdName],0))*Production[[#This Row],[Case Total]]</f>
        <v>5025</v>
      </c>
      <c r="Q302" s="211">
        <f>IFERROR(Production[[#This Row],[SatWt]]-Production[[#This Row],[RawWt]],"")</f>
        <v>935.40000000000009</v>
      </c>
      <c r="R302" s="222" t="str">
        <f>IF(Production[[#This Row],[Species]]&lt;&gt;"",IF(SUM(Production[[#This Row],[BtTtl]:[BrTtl]])/Production[[#This Row],[SatWt]]&lt;&gt;0,SUM(Production[[#This Row],[BtTtl]:[BrTtl]])/Production[[#This Row],[SatWt]],""),"")</f>
        <v/>
      </c>
      <c r="S302" s="223" t="str">
        <f>INDEX(Ingredients[Species],MATCH(Production[[#This Row],[Product]],Ingredients[ProdName],0))</f>
        <v>Meat</v>
      </c>
    </row>
    <row r="303" spans="1:19" ht="11.1" customHeight="1" x14ac:dyDescent="0.25">
      <c r="A303" s="207" t="str">
        <f>IFERROR(IF(Production[[#This Row],[Date]]&lt;&gt;"",TEXT(Production[[#This Row],[Date]],"yy")&amp;"-"&amp;TEXT(Production[[#This Row],[Date]]-DATE(YEAR(Production[[#This Row],[Date]]),1,0),"000"),""),"")</f>
        <v>23-278</v>
      </c>
      <c r="B303" s="209" t="str">
        <f>IFERROR(IF(INDEX(Ingredients[Ingr1],MATCH(Production[[#This Row],[Product]],Ingredients[ProdName],0))&lt;&gt;"",INDEX(Ingredients[Ingr1],MATCH(Production[[#This Row],[Product]],Ingredients[ProdName],0)),INDEX(Ingredients[Ingr2],MATCH(Production[[#This Row],[Product]],Ingredients[ProdName],0))),"")</f>
        <v>Chicken - Ground</v>
      </c>
      <c r="C303" s="53">
        <v>45204</v>
      </c>
      <c r="D303" s="54" t="s">
        <v>8</v>
      </c>
      <c r="E303" s="55">
        <v>2222</v>
      </c>
      <c r="F303" s="56">
        <v>12</v>
      </c>
      <c r="G303" s="56">
        <v>72</v>
      </c>
      <c r="H303" s="208">
        <f>IFERROR(INDEX(Tier1[Wt],MATCH(Production[[#This Row],[Type]],Tier1[Ingredient],0))*Production[[#This Row],[Blocks Used]],0)</f>
        <v>3600</v>
      </c>
      <c r="I303" s="210">
        <f>IFERROR(INDEX(Ingredients[TtlWt],MATCH(Production[[#This Row],[Product]],Ingredients[ProdName],0))*Production[[#This Row],[Lots Done]],"")</f>
        <v>782.40000000000009</v>
      </c>
      <c r="J303" s="210" t="str">
        <f>IF(INDEX(Ingredients[Batter],MATCH(Production[[#This Row],[Product]],Ingredients[ProdName],0))*Production[[#This Row],[Batter Used]]&gt;0,INDEX(Ingredients[Batter],MATCH(Production[[#This Row],[Product]],Ingredients[ProdName],0))*Production[[#This Row],[Batter Used]],"")</f>
        <v/>
      </c>
      <c r="K303" s="210" t="str">
        <f>IF(INDEX(Ingredients[Breader],MATCH(Production[[#This Row],[Product]],Ingredients[ProdName],0))*Production[[#This Row],[Breader Used]]&gt;0,INDEX(Ingredients[Breader],MATCH(Production[[#This Row],[Product]],Ingredients[ProdName],0))*Production[[#This Row],[Breader Used]],"")</f>
        <v/>
      </c>
      <c r="L303" s="56"/>
      <c r="M303" s="56"/>
      <c r="N303" s="211">
        <f>IFERROR(IF(SUM(Production[[#This Row],[Meat Wt]:[BrTtl]])&lt;&gt;0,SUM(Production[[#This Row],[Meat Wt]:[BrTtl]]),""),"")</f>
        <v>4382.3999999999996</v>
      </c>
      <c r="O303" s="55">
        <v>239</v>
      </c>
      <c r="P303" s="208">
        <f>INDEX(Ingredients[Case Wt.],MATCH(Production[[#This Row],[Product]],Ingredients[ProdName],0))*Production[[#This Row],[Case Total]]</f>
        <v>5975</v>
      </c>
      <c r="Q303" s="211">
        <f>IFERROR(Production[[#This Row],[SatWt]]-Production[[#This Row],[RawWt]],"")</f>
        <v>1592.6000000000004</v>
      </c>
      <c r="R303" s="222" t="str">
        <f>IF(Production[[#This Row],[Species]]&lt;&gt;"",IF(SUM(Production[[#This Row],[BtTtl]:[BrTtl]])/Production[[#This Row],[SatWt]]&lt;&gt;0,SUM(Production[[#This Row],[BtTtl]:[BrTtl]])/Production[[#This Row],[SatWt]],""),"")</f>
        <v/>
      </c>
      <c r="S303" s="223" t="str">
        <f>INDEX(Ingredients[Species],MATCH(Production[[#This Row],[Product]],Ingredients[ProdName],0))</f>
        <v>Poultry</v>
      </c>
    </row>
    <row r="304" spans="1:19" ht="11.1" customHeight="1" x14ac:dyDescent="0.25">
      <c r="A304" s="207" t="str">
        <f>IFERROR(IF(Production[[#This Row],[Date]]&lt;&gt;"",TEXT(Production[[#This Row],[Date]],"yy")&amp;"-"&amp;TEXT(Production[[#This Row],[Date]]-DATE(YEAR(Production[[#This Row],[Date]]),1,0),"000"),""),"")</f>
        <v>23-283</v>
      </c>
      <c r="B304" s="209" t="str">
        <f>IFERROR(IF(INDEX(Ingredients[Ingr1],MATCH(Production[[#This Row],[Product]],Ingredients[ProdName],0))&lt;&gt;"",INDEX(Ingredients[Ingr1],MATCH(Production[[#This Row],[Product]],Ingredients[ProdName],0)),INDEX(Ingredients[Ingr2],MATCH(Production[[#This Row],[Product]],Ingredients[ProdName],0))),"")</f>
        <v>Chicken - Ground</v>
      </c>
      <c r="C304" s="53">
        <v>45209</v>
      </c>
      <c r="D304" s="54" t="s">
        <v>7</v>
      </c>
      <c r="E304" s="55">
        <v>2222</v>
      </c>
      <c r="F304" s="56">
        <v>12</v>
      </c>
      <c r="G304" s="56">
        <v>72</v>
      </c>
      <c r="H304" s="208">
        <f>IFERROR(INDEX(Tier1[Wt],MATCH(Production[[#This Row],[Type]],Tier1[Ingredient],0))*Production[[#This Row],[Blocks Used]],0)</f>
        <v>3600</v>
      </c>
      <c r="I304" s="210">
        <f>IFERROR(INDEX(Ingredients[TtlWt],MATCH(Production[[#This Row],[Product]],Ingredients[ProdName],0))*Production[[#This Row],[Lots Done]],"")</f>
        <v>81</v>
      </c>
      <c r="J304" s="210" t="str">
        <f>IF(INDEX(Ingredients[Batter],MATCH(Production[[#This Row],[Product]],Ingredients[ProdName],0))*Production[[#This Row],[Batter Used]]&gt;0,INDEX(Ingredients[Batter],MATCH(Production[[#This Row],[Product]],Ingredients[ProdName],0))*Production[[#This Row],[Batter Used]],"")</f>
        <v/>
      </c>
      <c r="K304" s="210" t="str">
        <f>IF(INDEX(Ingredients[Breader],MATCH(Production[[#This Row],[Product]],Ingredients[ProdName],0))*Production[[#This Row],[Breader Used]]&gt;0,INDEX(Ingredients[Breader],MATCH(Production[[#This Row],[Product]],Ingredients[ProdName],0))*Production[[#This Row],[Breader Used]],"")</f>
        <v/>
      </c>
      <c r="L304" s="56"/>
      <c r="M304" s="56"/>
      <c r="N304" s="211">
        <f>IFERROR(IF(SUM(Production[[#This Row],[Meat Wt]:[BrTtl]])&lt;&gt;0,SUM(Production[[#This Row],[Meat Wt]:[BrTtl]]),""),"")</f>
        <v>3681</v>
      </c>
      <c r="O304" s="55">
        <v>185</v>
      </c>
      <c r="P304" s="208">
        <f>INDEX(Ingredients[Case Wt.],MATCH(Production[[#This Row],[Product]],Ingredients[ProdName],0))*Production[[#This Row],[Case Total]]</f>
        <v>4625</v>
      </c>
      <c r="Q304" s="211">
        <f>IFERROR(Production[[#This Row],[SatWt]]-Production[[#This Row],[RawWt]],"")</f>
        <v>944</v>
      </c>
      <c r="R304" s="222" t="str">
        <f>IF(Production[[#This Row],[Species]]&lt;&gt;"",IF(SUM(Production[[#This Row],[BtTtl]:[BrTtl]])/Production[[#This Row],[SatWt]]&lt;&gt;0,SUM(Production[[#This Row],[BtTtl]:[BrTtl]])/Production[[#This Row],[SatWt]],""),"")</f>
        <v/>
      </c>
      <c r="S304" s="223" t="str">
        <f>INDEX(Ingredients[Species],MATCH(Production[[#This Row],[Product]],Ingredients[ProdName],0))</f>
        <v>Poultry</v>
      </c>
    </row>
    <row r="305" spans="1:19" ht="11.1" customHeight="1" x14ac:dyDescent="0.25">
      <c r="A305" s="207" t="str">
        <f>IFERROR(IF(Production[[#This Row],[Date]]&lt;&gt;"",TEXT(Production[[#This Row],[Date]],"yy")&amp;"-"&amp;TEXT(Production[[#This Row],[Date]]-DATE(YEAR(Production[[#This Row],[Date]]),1,0),"000"),""),"")</f>
        <v>23-285</v>
      </c>
      <c r="B305" s="209" t="str">
        <f>IFERROR(IF(INDEX(Ingredients[Ingr1],MATCH(Production[[#This Row],[Product]],Ingredients[ProdName],0))&lt;&gt;"",INDEX(Ingredients[Ingr1],MATCH(Production[[#This Row],[Product]],Ingredients[ProdName],0)),INDEX(Ingredients[Ingr2],MATCH(Production[[#This Row],[Product]],Ingredients[ProdName],0))),"")</f>
        <v>Chicken - Ground</v>
      </c>
      <c r="C305" s="53">
        <v>45211</v>
      </c>
      <c r="D305" s="54" t="s">
        <v>15</v>
      </c>
      <c r="E305" s="55">
        <v>2222</v>
      </c>
      <c r="F305" s="56">
        <v>12</v>
      </c>
      <c r="G305" s="56">
        <v>72</v>
      </c>
      <c r="H305" s="208">
        <f>IFERROR(INDEX(Tier1[Wt],MATCH(Production[[#This Row],[Type]],Tier1[Ingredient],0))*Production[[#This Row],[Blocks Used]],0)</f>
        <v>3600</v>
      </c>
      <c r="I305" s="210">
        <f>IFERROR(INDEX(Ingredients[TtlWt],MATCH(Production[[#This Row],[Product]],Ingredients[ProdName],0))*Production[[#This Row],[Lots Done]],"")</f>
        <v>139.80000000000001</v>
      </c>
      <c r="J305" s="210" t="str">
        <f>IF(INDEX(Ingredients[Batter],MATCH(Production[[#This Row],[Product]],Ingredients[ProdName],0))*Production[[#This Row],[Batter Used]]&gt;0,INDEX(Ingredients[Batter],MATCH(Production[[#This Row],[Product]],Ingredients[ProdName],0))*Production[[#This Row],[Batter Used]],"")</f>
        <v/>
      </c>
      <c r="K305" s="210" t="str">
        <f>IF(INDEX(Ingredients[Breader],MATCH(Production[[#This Row],[Product]],Ingredients[ProdName],0))*Production[[#This Row],[Breader Used]]&gt;0,INDEX(Ingredients[Breader],MATCH(Production[[#This Row],[Product]],Ingredients[ProdName],0))*Production[[#This Row],[Breader Used]],"")</f>
        <v/>
      </c>
      <c r="L305" s="56"/>
      <c r="M305" s="56"/>
      <c r="N305" s="211">
        <f>IFERROR(IF(SUM(Production[[#This Row],[Meat Wt]:[BrTtl]])&lt;&gt;0,SUM(Production[[#This Row],[Meat Wt]:[BrTtl]]),""),"")</f>
        <v>3739.8</v>
      </c>
      <c r="O305" s="55">
        <v>147</v>
      </c>
      <c r="P305" s="208">
        <f>INDEX(Ingredients[Case Wt.],MATCH(Production[[#This Row],[Product]],Ingredients[ProdName],0))*Production[[#This Row],[Case Total]]</f>
        <v>4410</v>
      </c>
      <c r="Q305" s="211">
        <f>IFERROR(Production[[#This Row],[SatWt]]-Production[[#This Row],[RawWt]],"")</f>
        <v>670.19999999999982</v>
      </c>
      <c r="R305" s="222" t="str">
        <f>IF(Production[[#This Row],[Species]]&lt;&gt;"",IF(SUM(Production[[#This Row],[BtTtl]:[BrTtl]])/Production[[#This Row],[SatWt]]&lt;&gt;0,SUM(Production[[#This Row],[BtTtl]:[BrTtl]])/Production[[#This Row],[SatWt]],""),"")</f>
        <v/>
      </c>
      <c r="S305" s="223" t="str">
        <f>INDEX(Ingredients[Species],MATCH(Production[[#This Row],[Product]],Ingredients[ProdName],0))</f>
        <v>Poultry</v>
      </c>
    </row>
    <row r="306" spans="1:19" ht="11.1" customHeight="1" x14ac:dyDescent="0.25">
      <c r="A306" s="207" t="str">
        <f>IFERROR(IF(Production[[#This Row],[Date]]&lt;&gt;"",TEXT(Production[[#This Row],[Date]],"yy")&amp;"-"&amp;TEXT(Production[[#This Row],[Date]]-DATE(YEAR(Production[[#This Row],[Date]]),1,0),"000"),""),"")</f>
        <v>23-289</v>
      </c>
      <c r="B306" s="209" t="str">
        <f>IFERROR(IF(INDEX(Ingredients[Ingr1],MATCH(Production[[#This Row],[Product]],Ingredients[ProdName],0))&lt;&gt;"",INDEX(Ingredients[Ingr1],MATCH(Production[[#This Row],[Product]],Ingredients[ProdName],0)),INDEX(Ingredients[Ingr2],MATCH(Production[[#This Row],[Product]],Ingredients[ProdName],0))),"")</f>
        <v>Chicken - Ground</v>
      </c>
      <c r="C306" s="53">
        <v>45215</v>
      </c>
      <c r="D306" s="54" t="s">
        <v>9</v>
      </c>
      <c r="E306" s="55">
        <v>2222</v>
      </c>
      <c r="F306" s="56">
        <v>10</v>
      </c>
      <c r="G306" s="56">
        <v>60</v>
      </c>
      <c r="H306" s="208">
        <f>IFERROR(INDEX(Tier1[Wt],MATCH(Production[[#This Row],[Type]],Tier1[Ingredient],0))*Production[[#This Row],[Blocks Used]],0)</f>
        <v>3000</v>
      </c>
      <c r="I306" s="210" t="str">
        <f>IFERROR(INDEX(Ingredients[TtlWt],MATCH(Production[[#This Row],[Product]],Ingredients[ProdName],0))*Production[[#This Row],[Lots Done]],"")</f>
        <v/>
      </c>
      <c r="J306" s="210" t="str">
        <f>IF(INDEX(Ingredients[Batter],MATCH(Production[[#This Row],[Product]],Ingredients[ProdName],0))*Production[[#This Row],[Batter Used]]&gt;0,INDEX(Ingredients[Batter],MATCH(Production[[#This Row],[Product]],Ingredients[ProdName],0))*Production[[#This Row],[Batter Used]],"")</f>
        <v/>
      </c>
      <c r="K306" s="210" t="str">
        <f>IF(INDEX(Ingredients[Breader],MATCH(Production[[#This Row],[Product]],Ingredients[ProdName],0))*Production[[#This Row],[Breader Used]]&gt;0,INDEX(Ingredients[Breader],MATCH(Production[[#This Row],[Product]],Ingredients[ProdName],0))*Production[[#This Row],[Breader Used]],"")</f>
        <v/>
      </c>
      <c r="L306" s="56"/>
      <c r="M306" s="56"/>
      <c r="N306" s="211">
        <f>IFERROR(IF(SUM(Production[[#This Row],[Meat Wt]:[BrTtl]])&lt;&gt;0,SUM(Production[[#This Row],[Meat Wt]:[BrTtl]]),""),"")</f>
        <v>3000</v>
      </c>
      <c r="O306" s="55">
        <v>98</v>
      </c>
      <c r="P306" s="208">
        <f>INDEX(Ingredients[Case Wt.],MATCH(Production[[#This Row],[Product]],Ingredients[ProdName],0))*Production[[#This Row],[Case Total]]</f>
        <v>2940</v>
      </c>
      <c r="Q306" s="211">
        <f>IFERROR(Production[[#This Row],[SatWt]]-Production[[#This Row],[RawWt]],"")</f>
        <v>-60</v>
      </c>
      <c r="R306" s="222" t="str">
        <f>IF(Production[[#This Row],[Species]]&lt;&gt;"",IF(SUM(Production[[#This Row],[BtTtl]:[BrTtl]])/Production[[#This Row],[SatWt]]&lt;&gt;0,SUM(Production[[#This Row],[BtTtl]:[BrTtl]])/Production[[#This Row],[SatWt]],""),"")</f>
        <v/>
      </c>
      <c r="S306" s="223" t="str">
        <f>INDEX(Ingredients[Species],MATCH(Production[[#This Row],[Product]],Ingredients[ProdName],0))</f>
        <v>Poultry</v>
      </c>
    </row>
    <row r="307" spans="1:19" ht="11.1" customHeight="1" x14ac:dyDescent="0.25">
      <c r="A307" s="207" t="str">
        <f>IFERROR(IF(Production[[#This Row],[Date]]&lt;&gt;"",TEXT(Production[[#This Row],[Date]],"yy")&amp;"-"&amp;TEXT(Production[[#This Row],[Date]]-DATE(YEAR(Production[[#This Row],[Date]]),1,0),"000"),""),"")</f>
        <v>23-289</v>
      </c>
      <c r="B307" s="209" t="str">
        <f>IFERROR(IF(INDEX(Ingredients[Ingr1],MATCH(Production[[#This Row],[Product]],Ingredients[ProdName],0))&lt;&gt;"",INDEX(Ingredients[Ingr1],MATCH(Production[[#This Row],[Product]],Ingredients[ProdName],0)),INDEX(Ingredients[Ingr2],MATCH(Production[[#This Row],[Product]],Ingredients[ProdName],0))),"")</f>
        <v>Chicken - Ground</v>
      </c>
      <c r="C307" s="53">
        <v>45215</v>
      </c>
      <c r="D307" s="54" t="s">
        <v>9</v>
      </c>
      <c r="E307" s="55">
        <v>2222</v>
      </c>
      <c r="F307" s="56">
        <v>6</v>
      </c>
      <c r="G307" s="56">
        <v>36</v>
      </c>
      <c r="H307" s="208">
        <f>IFERROR(INDEX(Tier1[Wt],MATCH(Production[[#This Row],[Type]],Tier1[Ingredient],0))*Production[[#This Row],[Blocks Used]],0)</f>
        <v>1800</v>
      </c>
      <c r="I307" s="210" t="str">
        <f>IFERROR(INDEX(Ingredients[TtlWt],MATCH(Production[[#This Row],[Product]],Ingredients[ProdName],0))*Production[[#This Row],[Lots Done]],"")</f>
        <v/>
      </c>
      <c r="J307" s="210" t="str">
        <f>IF(INDEX(Ingredients[Batter],MATCH(Production[[#This Row],[Product]],Ingredients[ProdName],0))*Production[[#This Row],[Batter Used]]&gt;0,INDEX(Ingredients[Batter],MATCH(Production[[#This Row],[Product]],Ingredients[ProdName],0))*Production[[#This Row],[Batter Used]],"")</f>
        <v/>
      </c>
      <c r="K307" s="210" t="str">
        <f>IF(INDEX(Ingredients[Breader],MATCH(Production[[#This Row],[Product]],Ingredients[ProdName],0))*Production[[#This Row],[Breader Used]]&gt;0,INDEX(Ingredients[Breader],MATCH(Production[[#This Row],[Product]],Ingredients[ProdName],0))*Production[[#This Row],[Breader Used]],"")</f>
        <v/>
      </c>
      <c r="L307" s="56"/>
      <c r="M307" s="56"/>
      <c r="N307" s="211">
        <f>IFERROR(IF(SUM(Production[[#This Row],[Meat Wt]:[BrTtl]])&lt;&gt;0,SUM(Production[[#This Row],[Meat Wt]:[BrTtl]]),""),"")</f>
        <v>1800</v>
      </c>
      <c r="O307" s="55">
        <v>63</v>
      </c>
      <c r="P307" s="208">
        <f>INDEX(Ingredients[Case Wt.],MATCH(Production[[#This Row],[Product]],Ingredients[ProdName],0))*Production[[#This Row],[Case Total]]</f>
        <v>1890</v>
      </c>
      <c r="Q307" s="211">
        <f>IFERROR(Production[[#This Row],[SatWt]]-Production[[#This Row],[RawWt]],"")</f>
        <v>90</v>
      </c>
      <c r="R307" s="222" t="str">
        <f>IF(Production[[#This Row],[Species]]&lt;&gt;"",IF(SUM(Production[[#This Row],[BtTtl]:[BrTtl]])/Production[[#This Row],[SatWt]]&lt;&gt;0,SUM(Production[[#This Row],[BtTtl]:[BrTtl]])/Production[[#This Row],[SatWt]],""),"")</f>
        <v/>
      </c>
      <c r="S307" s="223" t="str">
        <f>INDEX(Ingredients[Species],MATCH(Production[[#This Row],[Product]],Ingredients[ProdName],0))</f>
        <v>Poultry</v>
      </c>
    </row>
    <row r="308" spans="1:19" ht="11.1" customHeight="1" x14ac:dyDescent="0.25">
      <c r="A308" s="207" t="str">
        <f>IFERROR(IF(Production[[#This Row],[Date]]&lt;&gt;"",TEXT(Production[[#This Row],[Date]],"yy")&amp;"-"&amp;TEXT(Production[[#This Row],[Date]]-DATE(YEAR(Production[[#This Row],[Date]]),1,0),"000"),""),"")</f>
        <v>23-291</v>
      </c>
      <c r="B308" s="209" t="str">
        <f>IFERROR(IF(INDEX(Ingredients[Ingr1],MATCH(Production[[#This Row],[Product]],Ingredients[ProdName],0))&lt;&gt;"",INDEX(Ingredients[Ingr1],MATCH(Production[[#This Row],[Product]],Ingredients[ProdName],0)),INDEX(Ingredients[Ingr2],MATCH(Production[[#This Row],[Product]],Ingredients[ProdName],0))),"")</f>
        <v>Chicken - Ground</v>
      </c>
      <c r="C308" s="53">
        <v>45217</v>
      </c>
      <c r="D308" s="54" t="s">
        <v>9</v>
      </c>
      <c r="E308" s="55">
        <v>2222</v>
      </c>
      <c r="F308" s="56">
        <v>2</v>
      </c>
      <c r="G308" s="56">
        <v>12</v>
      </c>
      <c r="H308" s="208">
        <f>IFERROR(INDEX(Tier1[Wt],MATCH(Production[[#This Row],[Type]],Tier1[Ingredient],0))*Production[[#This Row],[Blocks Used]],0)</f>
        <v>600</v>
      </c>
      <c r="I308" s="210" t="str">
        <f>IFERROR(INDEX(Ingredients[TtlWt],MATCH(Production[[#This Row],[Product]],Ingredients[ProdName],0))*Production[[#This Row],[Lots Done]],"")</f>
        <v/>
      </c>
      <c r="J308" s="210" t="str">
        <f>IF(INDEX(Ingredients[Batter],MATCH(Production[[#This Row],[Product]],Ingredients[ProdName],0))*Production[[#This Row],[Batter Used]]&gt;0,INDEX(Ingredients[Batter],MATCH(Production[[#This Row],[Product]],Ingredients[ProdName],0))*Production[[#This Row],[Batter Used]],"")</f>
        <v/>
      </c>
      <c r="K308" s="210" t="str">
        <f>IF(INDEX(Ingredients[Breader],MATCH(Production[[#This Row],[Product]],Ingredients[ProdName],0))*Production[[#This Row],[Breader Used]]&gt;0,INDEX(Ingredients[Breader],MATCH(Production[[#This Row],[Product]],Ingredients[ProdName],0))*Production[[#This Row],[Breader Used]],"")</f>
        <v/>
      </c>
      <c r="L308" s="56"/>
      <c r="M308" s="56"/>
      <c r="N308" s="211">
        <f>IFERROR(IF(SUM(Production[[#This Row],[Meat Wt]:[BrTtl]])&lt;&gt;0,SUM(Production[[#This Row],[Meat Wt]:[BrTtl]]),""),"")</f>
        <v>600</v>
      </c>
      <c r="O308" s="55">
        <v>33</v>
      </c>
      <c r="P308" s="208">
        <f>INDEX(Ingredients[Case Wt.],MATCH(Production[[#This Row],[Product]],Ingredients[ProdName],0))*Production[[#This Row],[Case Total]]</f>
        <v>990</v>
      </c>
      <c r="Q308" s="211">
        <f>IFERROR(Production[[#This Row],[SatWt]]-Production[[#This Row],[RawWt]],"")</f>
        <v>390</v>
      </c>
      <c r="R308" s="222" t="str">
        <f>IF(Production[[#This Row],[Species]]&lt;&gt;"",IF(SUM(Production[[#This Row],[BtTtl]:[BrTtl]])/Production[[#This Row],[SatWt]]&lt;&gt;0,SUM(Production[[#This Row],[BtTtl]:[BrTtl]])/Production[[#This Row],[SatWt]],""),"")</f>
        <v/>
      </c>
      <c r="S308" s="223" t="str">
        <f>INDEX(Ingredients[Species],MATCH(Production[[#This Row],[Product]],Ingredients[ProdName],0))</f>
        <v>Poultry</v>
      </c>
    </row>
    <row r="309" spans="1:19" ht="11.1" customHeight="1" x14ac:dyDescent="0.25">
      <c r="A309" s="207" t="str">
        <f>IFERROR(IF(Production[[#This Row],[Date]]&lt;&gt;"",TEXT(Production[[#This Row],[Date]],"yy")&amp;"-"&amp;TEXT(Production[[#This Row],[Date]]-DATE(YEAR(Production[[#This Row],[Date]]),1,0),"000"),""),"")</f>
        <v>23-292</v>
      </c>
      <c r="B309" s="209" t="str">
        <f>IFERROR(IF(INDEX(Ingredients[Ingr1],MATCH(Production[[#This Row],[Product]],Ingredients[ProdName],0))&lt;&gt;"",INDEX(Ingredients[Ingr1],MATCH(Production[[#This Row],[Product]],Ingredients[ProdName],0)),INDEX(Ingredients[Ingr2],MATCH(Production[[#This Row],[Product]],Ingredients[ProdName],0))),"")</f>
        <v>Chicken - Ground</v>
      </c>
      <c r="C309" s="53">
        <v>45218</v>
      </c>
      <c r="D309" s="54" t="s">
        <v>9</v>
      </c>
      <c r="E309" s="55">
        <v>2222</v>
      </c>
      <c r="F309" s="56">
        <v>15</v>
      </c>
      <c r="G309" s="56">
        <v>90</v>
      </c>
      <c r="H309" s="208">
        <f>IFERROR(INDEX(Tier1[Wt],MATCH(Production[[#This Row],[Type]],Tier1[Ingredient],0))*Production[[#This Row],[Blocks Used]],0)</f>
        <v>4500</v>
      </c>
      <c r="I309" s="210" t="str">
        <f>IFERROR(INDEX(Ingredients[TtlWt],MATCH(Production[[#This Row],[Product]],Ingredients[ProdName],0))*Production[[#This Row],[Lots Done]],"")</f>
        <v/>
      </c>
      <c r="J309" s="210" t="str">
        <f>IF(INDEX(Ingredients[Batter],MATCH(Production[[#This Row],[Product]],Ingredients[ProdName],0))*Production[[#This Row],[Batter Used]]&gt;0,INDEX(Ingredients[Batter],MATCH(Production[[#This Row],[Product]],Ingredients[ProdName],0))*Production[[#This Row],[Batter Used]],"")</f>
        <v/>
      </c>
      <c r="K309" s="210" t="str">
        <f>IF(INDEX(Ingredients[Breader],MATCH(Production[[#This Row],[Product]],Ingredients[ProdName],0))*Production[[#This Row],[Breader Used]]&gt;0,INDEX(Ingredients[Breader],MATCH(Production[[#This Row],[Product]],Ingredients[ProdName],0))*Production[[#This Row],[Breader Used]],"")</f>
        <v/>
      </c>
      <c r="L309" s="56"/>
      <c r="M309" s="56"/>
      <c r="N309" s="211">
        <f>IFERROR(IF(SUM(Production[[#This Row],[Meat Wt]:[BrTtl]])&lt;&gt;0,SUM(Production[[#This Row],[Meat Wt]:[BrTtl]]),""),"")</f>
        <v>4500</v>
      </c>
      <c r="O309" s="55">
        <v>207</v>
      </c>
      <c r="P309" s="208">
        <f>INDEX(Ingredients[Case Wt.],MATCH(Production[[#This Row],[Product]],Ingredients[ProdName],0))*Production[[#This Row],[Case Total]]</f>
        <v>6210</v>
      </c>
      <c r="Q309" s="211">
        <f>IFERROR(Production[[#This Row],[SatWt]]-Production[[#This Row],[RawWt]],"")</f>
        <v>1710</v>
      </c>
      <c r="R309" s="222" t="str">
        <f>IF(Production[[#This Row],[Species]]&lt;&gt;"",IF(SUM(Production[[#This Row],[BtTtl]:[BrTtl]])/Production[[#This Row],[SatWt]]&lt;&gt;0,SUM(Production[[#This Row],[BtTtl]:[BrTtl]])/Production[[#This Row],[SatWt]],""),"")</f>
        <v/>
      </c>
      <c r="S309" s="223" t="str">
        <f>INDEX(Ingredients[Species],MATCH(Production[[#This Row],[Product]],Ingredients[ProdName],0))</f>
        <v>Poultry</v>
      </c>
    </row>
    <row r="310" spans="1:19" ht="11.1" customHeight="1" x14ac:dyDescent="0.25">
      <c r="A310" s="207" t="str">
        <f>IFERROR(IF(Production[[#This Row],[Date]]&lt;&gt;"",TEXT(Production[[#This Row],[Date]],"yy")&amp;"-"&amp;TEXT(Production[[#This Row],[Date]]-DATE(YEAR(Production[[#This Row],[Date]]),1,0),"000"),""),"")</f>
        <v>23-296</v>
      </c>
      <c r="B310" s="209" t="str">
        <f>IFERROR(IF(INDEX(Ingredients[Ingr1],MATCH(Production[[#This Row],[Product]],Ingredients[ProdName],0))&lt;&gt;"",INDEX(Ingredients[Ingr1],MATCH(Production[[#This Row],[Product]],Ingredients[ProdName],0)),INDEX(Ingredients[Ingr2],MATCH(Production[[#This Row],[Product]],Ingredients[ProdName],0))),"")</f>
        <v>Chicken - Ground</v>
      </c>
      <c r="C310" s="53">
        <v>45222</v>
      </c>
      <c r="D310" s="54" t="s">
        <v>17</v>
      </c>
      <c r="E310" s="55">
        <v>2222</v>
      </c>
      <c r="F310" s="56">
        <v>15</v>
      </c>
      <c r="G310" s="56">
        <v>90</v>
      </c>
      <c r="H310" s="208">
        <f>IFERROR(INDEX(Tier1[Wt],MATCH(Production[[#This Row],[Type]],Tier1[Ingredient],0))*Production[[#This Row],[Blocks Used]],0)</f>
        <v>4500</v>
      </c>
      <c r="I310" s="210">
        <f>IFERROR(INDEX(Ingredients[TtlWt],MATCH(Production[[#This Row],[Product]],Ingredients[ProdName],0))*Production[[#This Row],[Lots Done]],"")</f>
        <v>629.25</v>
      </c>
      <c r="J310" s="210" t="str">
        <f>IF(INDEX(Ingredients[Batter],MATCH(Production[[#This Row],[Product]],Ingredients[ProdName],0))*Production[[#This Row],[Batter Used]]&gt;0,INDEX(Ingredients[Batter],MATCH(Production[[#This Row],[Product]],Ingredients[ProdName],0))*Production[[#This Row],[Batter Used]],"")</f>
        <v/>
      </c>
      <c r="K310" s="210" t="str">
        <f>IF(INDEX(Ingredients[Breader],MATCH(Production[[#This Row],[Product]],Ingredients[ProdName],0))*Production[[#This Row],[Breader Used]]&gt;0,INDEX(Ingredients[Breader],MATCH(Production[[#This Row],[Product]],Ingredients[ProdName],0))*Production[[#This Row],[Breader Used]],"")</f>
        <v/>
      </c>
      <c r="L310" s="56"/>
      <c r="M310" s="56"/>
      <c r="N310" s="211">
        <f>IFERROR(IF(SUM(Production[[#This Row],[Meat Wt]:[BrTtl]])&lt;&gt;0,SUM(Production[[#This Row],[Meat Wt]:[BrTtl]]),""),"")</f>
        <v>5129.25</v>
      </c>
      <c r="O310" s="55">
        <v>263</v>
      </c>
      <c r="P310" s="208">
        <f>INDEX(Ingredients[Case Wt.],MATCH(Production[[#This Row],[Product]],Ingredients[ProdName],0))*Production[[#This Row],[Case Total]]</f>
        <v>6575</v>
      </c>
      <c r="Q310" s="211">
        <f>IFERROR(Production[[#This Row],[SatWt]]-Production[[#This Row],[RawWt]],"")</f>
        <v>1445.75</v>
      </c>
      <c r="R310" s="222" t="str">
        <f>IF(Production[[#This Row],[Species]]&lt;&gt;"",IF(SUM(Production[[#This Row],[BtTtl]:[BrTtl]])/Production[[#This Row],[SatWt]]&lt;&gt;0,SUM(Production[[#This Row],[BtTtl]:[BrTtl]])/Production[[#This Row],[SatWt]],""),"")</f>
        <v/>
      </c>
      <c r="S310" s="223" t="str">
        <f>INDEX(Ingredients[Species],MATCH(Production[[#This Row],[Product]],Ingredients[ProdName],0))</f>
        <v>Poultry</v>
      </c>
    </row>
    <row r="311" spans="1:19" ht="11.1" customHeight="1" x14ac:dyDescent="0.25">
      <c r="A311" s="207" t="str">
        <f>IFERROR(IF(Production[[#This Row],[Date]]&lt;&gt;"",TEXT(Production[[#This Row],[Date]],"yy")&amp;"-"&amp;TEXT(Production[[#This Row],[Date]]-DATE(YEAR(Production[[#This Row],[Date]]),1,0),"000"),""),"")</f>
        <v>23-297</v>
      </c>
      <c r="B311" s="209" t="str">
        <f>IFERROR(IF(INDEX(Ingredients[Ingr1],MATCH(Production[[#This Row],[Product]],Ingredients[ProdName],0))&lt;&gt;"",INDEX(Ingredients[Ingr1],MATCH(Production[[#This Row],[Product]],Ingredients[ProdName],0)),INDEX(Ingredients[Ingr2],MATCH(Production[[#This Row],[Product]],Ingredients[ProdName],0))),"")</f>
        <v>Chicken - Tenders</v>
      </c>
      <c r="C311" s="53">
        <v>45223</v>
      </c>
      <c r="D311" s="54" t="s">
        <v>14</v>
      </c>
      <c r="E311" s="55" t="s">
        <v>175</v>
      </c>
      <c r="F311" s="56">
        <v>12</v>
      </c>
      <c r="G311" s="56">
        <v>84</v>
      </c>
      <c r="H311" s="208">
        <f>IFERROR(INDEX(Tier1[Wt],MATCH(Production[[#This Row],[Type]],Tier1[Ingredient],0))*Production[[#This Row],[Blocks Used]],0)</f>
        <v>3360</v>
      </c>
      <c r="I311" s="210">
        <f>IFERROR(INDEX(Ingredients[TtlWt],MATCH(Production[[#This Row],[Product]],Ingredients[ProdName],0))*Production[[#This Row],[Lots Done]],"")</f>
        <v>745.8</v>
      </c>
      <c r="J311" s="210" t="str">
        <f>IF(INDEX(Ingredients[Batter],MATCH(Production[[#This Row],[Product]],Ingredients[ProdName],0))*Production[[#This Row],[Batter Used]]&gt;0,INDEX(Ingredients[Batter],MATCH(Production[[#This Row],[Product]],Ingredients[ProdName],0))*Production[[#This Row],[Batter Used]],"")</f>
        <v/>
      </c>
      <c r="K311" s="210" t="str">
        <f>IF(INDEX(Ingredients[Breader],MATCH(Production[[#This Row],[Product]],Ingredients[ProdName],0))*Production[[#This Row],[Breader Used]]&gt;0,INDEX(Ingredients[Breader],MATCH(Production[[#This Row],[Product]],Ingredients[ProdName],0))*Production[[#This Row],[Breader Used]],"")</f>
        <v/>
      </c>
      <c r="L311" s="56"/>
      <c r="M311" s="56"/>
      <c r="N311" s="211">
        <f>IFERROR(IF(SUM(Production[[#This Row],[Meat Wt]:[BrTtl]])&lt;&gt;0,SUM(Production[[#This Row],[Meat Wt]:[BrTtl]]),""),"")</f>
        <v>4105.8</v>
      </c>
      <c r="O311" s="55">
        <v>219</v>
      </c>
      <c r="P311" s="208">
        <f>INDEX(Ingredients[Case Wt.],MATCH(Production[[#This Row],[Product]],Ingredients[ProdName],0))*Production[[#This Row],[Case Total]]</f>
        <v>5475</v>
      </c>
      <c r="Q311" s="211">
        <f>IFERROR(Production[[#This Row],[SatWt]]-Production[[#This Row],[RawWt]],"")</f>
        <v>1369.1999999999998</v>
      </c>
      <c r="R311" s="222" t="str">
        <f>IF(Production[[#This Row],[Species]]&lt;&gt;"",IF(SUM(Production[[#This Row],[BtTtl]:[BrTtl]])/Production[[#This Row],[SatWt]]&lt;&gt;0,SUM(Production[[#This Row],[BtTtl]:[BrTtl]])/Production[[#This Row],[SatWt]],""),"")</f>
        <v/>
      </c>
      <c r="S311" s="223" t="str">
        <f>INDEX(Ingredients[Species],MATCH(Production[[#This Row],[Product]],Ingredients[ProdName],0))</f>
        <v>Poultry</v>
      </c>
    </row>
    <row r="312" spans="1:19" ht="11.1" customHeight="1" x14ac:dyDescent="0.25">
      <c r="A312" s="207" t="str">
        <f>IFERROR(IF(Production[[#This Row],[Date]]&lt;&gt;"",TEXT(Production[[#This Row],[Date]],"yy")&amp;"-"&amp;TEXT(Production[[#This Row],[Date]]-DATE(YEAR(Production[[#This Row],[Date]]),1,0),"000"),""),"")</f>
        <v>23-298</v>
      </c>
      <c r="B312" s="209" t="str">
        <f>IFERROR(IF(INDEX(Ingredients[Ingr1],MATCH(Production[[#This Row],[Product]],Ingredients[ProdName],0))&lt;&gt;"",INDEX(Ingredients[Ingr1],MATCH(Production[[#This Row],[Product]],Ingredients[ProdName],0)),INDEX(Ingredients[Ingr2],MATCH(Production[[#This Row],[Product]],Ingredients[ProdName],0))),"")</f>
        <v>Chicken - Ground</v>
      </c>
      <c r="C312" s="53">
        <v>45224</v>
      </c>
      <c r="D312" s="54" t="s">
        <v>15</v>
      </c>
      <c r="E312" s="55">
        <v>2222</v>
      </c>
      <c r="F312" s="56">
        <v>12</v>
      </c>
      <c r="G312" s="56">
        <v>72</v>
      </c>
      <c r="H312" s="208">
        <f>IFERROR(INDEX(Tier1[Wt],MATCH(Production[[#This Row],[Type]],Tier1[Ingredient],0))*Production[[#This Row],[Blocks Used]],0)</f>
        <v>3600</v>
      </c>
      <c r="I312" s="210">
        <f>IFERROR(INDEX(Ingredients[TtlWt],MATCH(Production[[#This Row],[Product]],Ingredients[ProdName],0))*Production[[#This Row],[Lots Done]],"")</f>
        <v>139.80000000000001</v>
      </c>
      <c r="J312" s="210" t="str">
        <f>IF(INDEX(Ingredients[Batter],MATCH(Production[[#This Row],[Product]],Ingredients[ProdName],0))*Production[[#This Row],[Batter Used]]&gt;0,INDEX(Ingredients[Batter],MATCH(Production[[#This Row],[Product]],Ingredients[ProdName],0))*Production[[#This Row],[Batter Used]],"")</f>
        <v/>
      </c>
      <c r="K312" s="210" t="str">
        <f>IF(INDEX(Ingredients[Breader],MATCH(Production[[#This Row],[Product]],Ingredients[ProdName],0))*Production[[#This Row],[Breader Used]]&gt;0,INDEX(Ingredients[Breader],MATCH(Production[[#This Row],[Product]],Ingredients[ProdName],0))*Production[[#This Row],[Breader Used]],"")</f>
        <v/>
      </c>
      <c r="L312" s="56"/>
      <c r="M312" s="56"/>
      <c r="N312" s="211">
        <f>IFERROR(IF(SUM(Production[[#This Row],[Meat Wt]:[BrTtl]])&lt;&gt;0,SUM(Production[[#This Row],[Meat Wt]:[BrTtl]]),""),"")</f>
        <v>3739.8</v>
      </c>
      <c r="O312" s="55">
        <v>162</v>
      </c>
      <c r="P312" s="208">
        <f>INDEX(Ingredients[Case Wt.],MATCH(Production[[#This Row],[Product]],Ingredients[ProdName],0))*Production[[#This Row],[Case Total]]</f>
        <v>4860</v>
      </c>
      <c r="Q312" s="211">
        <f>IFERROR(Production[[#This Row],[SatWt]]-Production[[#This Row],[RawWt]],"")</f>
        <v>1120.1999999999998</v>
      </c>
      <c r="R312" s="222" t="str">
        <f>IF(Production[[#This Row],[Species]]&lt;&gt;"",IF(SUM(Production[[#This Row],[BtTtl]:[BrTtl]])/Production[[#This Row],[SatWt]]&lt;&gt;0,SUM(Production[[#This Row],[BtTtl]:[BrTtl]])/Production[[#This Row],[SatWt]],""),"")</f>
        <v/>
      </c>
      <c r="S312" s="223" t="str">
        <f>INDEX(Ingredients[Species],MATCH(Production[[#This Row],[Product]],Ingredients[ProdName],0))</f>
        <v>Poultry</v>
      </c>
    </row>
    <row r="313" spans="1:19" ht="11.1" customHeight="1" x14ac:dyDescent="0.25">
      <c r="A313" s="207" t="str">
        <f>IFERROR(IF(Production[[#This Row],[Date]]&lt;&gt;"",TEXT(Production[[#This Row],[Date]],"yy")&amp;"-"&amp;TEXT(Production[[#This Row],[Date]]-DATE(YEAR(Production[[#This Row],[Date]]),1,0),"000"),""),"")</f>
        <v>23-299</v>
      </c>
      <c r="B313" s="209" t="str">
        <f>IFERROR(IF(INDEX(Ingredients[Ingr1],MATCH(Production[[#This Row],[Product]],Ingredients[ProdName],0))&lt;&gt;"",INDEX(Ingredients[Ingr1],MATCH(Production[[#This Row],[Product]],Ingredients[ProdName],0)),INDEX(Ingredients[Ingr2],MATCH(Production[[#This Row],[Product]],Ingredients[ProdName],0))),"")</f>
        <v>Chicken - Ground</v>
      </c>
      <c r="C313" s="53">
        <v>45225</v>
      </c>
      <c r="D313" s="54" t="s">
        <v>20</v>
      </c>
      <c r="E313" s="55">
        <v>2222</v>
      </c>
      <c r="F313" s="56">
        <v>6</v>
      </c>
      <c r="G313" s="56">
        <v>42</v>
      </c>
      <c r="H313" s="208">
        <f>IFERROR(INDEX(Tier1[Wt],MATCH(Production[[#This Row],[Type]],Tier1[Ingredient],0))*Production[[#This Row],[Blocks Used]],0)</f>
        <v>2100</v>
      </c>
      <c r="I313" s="210">
        <f>IFERROR(INDEX(Ingredients[TtlWt],MATCH(Production[[#This Row],[Product]],Ingredients[ProdName],0))*Production[[#This Row],[Lots Done]],"")</f>
        <v>122.39999999999999</v>
      </c>
      <c r="J313" s="210" t="str">
        <f>IF(INDEX(Ingredients[Batter],MATCH(Production[[#This Row],[Product]],Ingredients[ProdName],0))*Production[[#This Row],[Batter Used]]&gt;0,INDEX(Ingredients[Batter],MATCH(Production[[#This Row],[Product]],Ingredients[ProdName],0))*Production[[#This Row],[Batter Used]],"")</f>
        <v/>
      </c>
      <c r="K313" s="210" t="str">
        <f>IF(INDEX(Ingredients[Breader],MATCH(Production[[#This Row],[Product]],Ingredients[ProdName],0))*Production[[#This Row],[Breader Used]]&gt;0,INDEX(Ingredients[Breader],MATCH(Production[[#This Row],[Product]],Ingredients[ProdName],0))*Production[[#This Row],[Breader Used]],"")</f>
        <v/>
      </c>
      <c r="L313" s="56"/>
      <c r="M313" s="56"/>
      <c r="N313" s="211">
        <f>IFERROR(IF(SUM(Production[[#This Row],[Meat Wt]:[BrTtl]])&lt;&gt;0,SUM(Production[[#This Row],[Meat Wt]:[BrTtl]]),""),"")</f>
        <v>2222.4</v>
      </c>
      <c r="O313" s="55">
        <v>106</v>
      </c>
      <c r="P313" s="208">
        <f>INDEX(Ingredients[Case Wt.],MATCH(Production[[#This Row],[Product]],Ingredients[ProdName],0))*Production[[#This Row],[Case Total]]</f>
        <v>2650</v>
      </c>
      <c r="Q313" s="211">
        <f>IFERROR(Production[[#This Row],[SatWt]]-Production[[#This Row],[RawWt]],"")</f>
        <v>427.59999999999991</v>
      </c>
      <c r="R313" s="222" t="str">
        <f>IF(Production[[#This Row],[Species]]&lt;&gt;"",IF(SUM(Production[[#This Row],[BtTtl]:[BrTtl]])/Production[[#This Row],[SatWt]]&lt;&gt;0,SUM(Production[[#This Row],[BtTtl]:[BrTtl]])/Production[[#This Row],[SatWt]],""),"")</f>
        <v/>
      </c>
      <c r="S313" s="223" t="str">
        <f>INDEX(Ingredients[Species],MATCH(Production[[#This Row],[Product]],Ingredients[ProdName],0))</f>
        <v>Poultry</v>
      </c>
    </row>
    <row r="314" spans="1:19" ht="11.1" customHeight="1" x14ac:dyDescent="0.25">
      <c r="A314" s="207" t="str">
        <f>IFERROR(IF(Production[[#This Row],[Date]]&lt;&gt;"",TEXT(Production[[#This Row],[Date]],"yy")&amp;"-"&amp;TEXT(Production[[#This Row],[Date]]-DATE(YEAR(Production[[#This Row],[Date]]),1,0),"000"),""),"")</f>
        <v>23-299</v>
      </c>
      <c r="B314" s="209" t="str">
        <f>IFERROR(IF(INDEX(Ingredients[Ingr1],MATCH(Production[[#This Row],[Product]],Ingredients[ProdName],0))&lt;&gt;"",INDEX(Ingredients[Ingr1],MATCH(Production[[#This Row],[Product]],Ingredients[ProdName],0)),INDEX(Ingredients[Ingr2],MATCH(Production[[#This Row],[Product]],Ingredients[ProdName],0))),"")</f>
        <v>Chicken - Ground</v>
      </c>
      <c r="C314" s="53">
        <v>45225</v>
      </c>
      <c r="D314" s="54" t="s">
        <v>20</v>
      </c>
      <c r="E314" s="55">
        <v>2222</v>
      </c>
      <c r="F314" s="56">
        <v>6</v>
      </c>
      <c r="G314" s="56">
        <v>42</v>
      </c>
      <c r="H314" s="208">
        <f>IFERROR(INDEX(Tier1[Wt],MATCH(Production[[#This Row],[Type]],Tier1[Ingredient],0))*Production[[#This Row],[Blocks Used]],0)</f>
        <v>2100</v>
      </c>
      <c r="I314" s="210">
        <f>IFERROR(INDEX(Ingredients[TtlWt],MATCH(Production[[#This Row],[Product]],Ingredients[ProdName],0))*Production[[#This Row],[Lots Done]],"")</f>
        <v>122.39999999999999</v>
      </c>
      <c r="J314" s="210" t="str">
        <f>IF(INDEX(Ingredients[Batter],MATCH(Production[[#This Row],[Product]],Ingredients[ProdName],0))*Production[[#This Row],[Batter Used]]&gt;0,INDEX(Ingredients[Batter],MATCH(Production[[#This Row],[Product]],Ingredients[ProdName],0))*Production[[#This Row],[Batter Used]],"")</f>
        <v/>
      </c>
      <c r="K314" s="210" t="str">
        <f>IF(INDEX(Ingredients[Breader],MATCH(Production[[#This Row],[Product]],Ingredients[ProdName],0))*Production[[#This Row],[Breader Used]]&gt;0,INDEX(Ingredients[Breader],MATCH(Production[[#This Row],[Product]],Ingredients[ProdName],0))*Production[[#This Row],[Breader Used]],"")</f>
        <v/>
      </c>
      <c r="L314" s="56"/>
      <c r="M314" s="56"/>
      <c r="N314" s="211">
        <f>IFERROR(IF(SUM(Production[[#This Row],[Meat Wt]:[BrTtl]])&lt;&gt;0,SUM(Production[[#This Row],[Meat Wt]:[BrTtl]]),""),"")</f>
        <v>2222.4</v>
      </c>
      <c r="O314" s="55">
        <v>98</v>
      </c>
      <c r="P314" s="208">
        <f>INDEX(Ingredients[Case Wt.],MATCH(Production[[#This Row],[Product]],Ingredients[ProdName],0))*Production[[#This Row],[Case Total]]</f>
        <v>2450</v>
      </c>
      <c r="Q314" s="211">
        <f>IFERROR(Production[[#This Row],[SatWt]]-Production[[#This Row],[RawWt]],"")</f>
        <v>227.59999999999991</v>
      </c>
      <c r="R314" s="222" t="str">
        <f>IF(Production[[#This Row],[Species]]&lt;&gt;"",IF(SUM(Production[[#This Row],[BtTtl]:[BrTtl]])/Production[[#This Row],[SatWt]]&lt;&gt;0,SUM(Production[[#This Row],[BtTtl]:[BrTtl]])/Production[[#This Row],[SatWt]],""),"")</f>
        <v/>
      </c>
      <c r="S314" s="223" t="str">
        <f>INDEX(Ingredients[Species],MATCH(Production[[#This Row],[Product]],Ingredients[ProdName],0))</f>
        <v>Poultry</v>
      </c>
    </row>
    <row r="315" spans="1:19" ht="11.1" customHeight="1" x14ac:dyDescent="0.25">
      <c r="A315" s="207" t="str">
        <f>IFERROR(IF(Production[[#This Row],[Date]]&lt;&gt;"",TEXT(Production[[#This Row],[Date]],"yy")&amp;"-"&amp;TEXT(Production[[#This Row],[Date]]-DATE(YEAR(Production[[#This Row],[Date]]),1,0),"000"),""),"")</f>
        <v>23-303</v>
      </c>
      <c r="B315" s="209" t="str">
        <f>IFERROR(IF(INDEX(Ingredients[Ingr1],MATCH(Production[[#This Row],[Product]],Ingredients[ProdName],0))&lt;&gt;"",INDEX(Ingredients[Ingr1],MATCH(Production[[#This Row],[Product]],Ingredients[ProdName],0)),INDEX(Ingredients[Ingr2],MATCH(Production[[#This Row],[Product]],Ingredients[ProdName],0))),"")</f>
        <v>Chicken - Ground</v>
      </c>
      <c r="C315" s="53">
        <v>45229</v>
      </c>
      <c r="D315" s="54" t="s">
        <v>13</v>
      </c>
      <c r="E315" s="55">
        <v>2222</v>
      </c>
      <c r="F315" s="56">
        <v>12</v>
      </c>
      <c r="G315" s="56">
        <v>72</v>
      </c>
      <c r="H315" s="208">
        <f>IFERROR(INDEX(Tier1[Wt],MATCH(Production[[#This Row],[Type]],Tier1[Ingredient],0))*Production[[#This Row],[Blocks Used]],0)</f>
        <v>3600</v>
      </c>
      <c r="I315" s="210">
        <f>IFERROR(INDEX(Ingredients[TtlWt],MATCH(Production[[#This Row],[Product]],Ingredients[ProdName],0))*Production[[#This Row],[Lots Done]],"")</f>
        <v>570</v>
      </c>
      <c r="J315" s="210" t="str">
        <f>IF(INDEX(Ingredients[Batter],MATCH(Production[[#This Row],[Product]],Ingredients[ProdName],0))*Production[[#This Row],[Batter Used]]&gt;0,INDEX(Ingredients[Batter],MATCH(Production[[#This Row],[Product]],Ingredients[ProdName],0))*Production[[#This Row],[Batter Used]],"")</f>
        <v/>
      </c>
      <c r="K315" s="210" t="str">
        <f>IF(INDEX(Ingredients[Breader],MATCH(Production[[#This Row],[Product]],Ingredients[ProdName],0))*Production[[#This Row],[Breader Used]]&gt;0,INDEX(Ingredients[Breader],MATCH(Production[[#This Row],[Product]],Ingredients[ProdName],0))*Production[[#This Row],[Breader Used]],"")</f>
        <v/>
      </c>
      <c r="L315" s="56"/>
      <c r="M315" s="56"/>
      <c r="N315" s="211">
        <f>IFERROR(IF(SUM(Production[[#This Row],[Meat Wt]:[BrTtl]])&lt;&gt;0,SUM(Production[[#This Row],[Meat Wt]:[BrTtl]]),""),"")</f>
        <v>4170</v>
      </c>
      <c r="O315" s="55">
        <v>177</v>
      </c>
      <c r="P315" s="208">
        <f>INDEX(Ingredients[Case Wt.],MATCH(Production[[#This Row],[Product]],Ingredients[ProdName],0))*Production[[#This Row],[Case Total]]</f>
        <v>5310</v>
      </c>
      <c r="Q315" s="211">
        <f>IFERROR(Production[[#This Row],[SatWt]]-Production[[#This Row],[RawWt]],"")</f>
        <v>1140</v>
      </c>
      <c r="R315" s="222" t="str">
        <f>IF(Production[[#This Row],[Species]]&lt;&gt;"",IF(SUM(Production[[#This Row],[BtTtl]:[BrTtl]])/Production[[#This Row],[SatWt]]&lt;&gt;0,SUM(Production[[#This Row],[BtTtl]:[BrTtl]])/Production[[#This Row],[SatWt]],""),"")</f>
        <v/>
      </c>
      <c r="S315" s="223" t="str">
        <f>INDEX(Ingredients[Species],MATCH(Production[[#This Row],[Product]],Ingredients[ProdName],0))</f>
        <v>Poultry</v>
      </c>
    </row>
    <row r="316" spans="1:19" ht="11.1" customHeight="1" x14ac:dyDescent="0.25">
      <c r="A316" s="207" t="str">
        <f>IFERROR(IF(Production[[#This Row],[Date]]&lt;&gt;"",TEXT(Production[[#This Row],[Date]],"yy")&amp;"-"&amp;TEXT(Production[[#This Row],[Date]]-DATE(YEAR(Production[[#This Row],[Date]]),1,0),"000"),""),"")</f>
        <v>23-304</v>
      </c>
      <c r="B316" s="209" t="str">
        <f>IFERROR(IF(INDEX(Ingredients[Ingr1],MATCH(Production[[#This Row],[Product]],Ingredients[ProdName],0))&lt;&gt;"",INDEX(Ingredients[Ingr1],MATCH(Production[[#This Row],[Product]],Ingredients[ProdName],0)),INDEX(Ingredients[Ingr2],MATCH(Production[[#This Row],[Product]],Ingredients[ProdName],0))),"")</f>
        <v>Chicken - Tenders</v>
      </c>
      <c r="C316" s="53">
        <v>45230</v>
      </c>
      <c r="D316" s="54" t="s">
        <v>21</v>
      </c>
      <c r="E316" s="55" t="s">
        <v>175</v>
      </c>
      <c r="F316" s="56">
        <v>2</v>
      </c>
      <c r="G316" s="56">
        <v>14</v>
      </c>
      <c r="H316" s="208">
        <f>IFERROR(INDEX(Tier1[Wt],MATCH(Production[[#This Row],[Type]],Tier1[Ingredient],0))*Production[[#This Row],[Blocks Used]],0)</f>
        <v>560</v>
      </c>
      <c r="I316" s="210">
        <f>IFERROR(INDEX(Ingredients[TtlWt],MATCH(Production[[#This Row],[Product]],Ingredients[ProdName],0))*Production[[#This Row],[Lots Done]],"")</f>
        <v>108</v>
      </c>
      <c r="J316" s="210">
        <f>IF(INDEX(Ingredients[Batter],MATCH(Production[[#This Row],[Product]],Ingredients[ProdName],0))*Production[[#This Row],[Batter Used]]&gt;0,INDEX(Ingredients[Batter],MATCH(Production[[#This Row],[Product]],Ingredients[ProdName],0))*Production[[#This Row],[Batter Used]],"")</f>
        <v>50</v>
      </c>
      <c r="K316" s="210">
        <f>IF(INDEX(Ingredients[Breader],MATCH(Production[[#This Row],[Product]],Ingredients[ProdName],0))*Production[[#This Row],[Breader Used]]&gt;0,INDEX(Ingredients[Breader],MATCH(Production[[#This Row],[Product]],Ingredients[ProdName],0))*Production[[#This Row],[Breader Used]],"")</f>
        <v>150</v>
      </c>
      <c r="L316" s="56">
        <v>1</v>
      </c>
      <c r="M316" s="56">
        <v>3</v>
      </c>
      <c r="N316" s="211">
        <f>IFERROR(IF(SUM(Production[[#This Row],[Meat Wt]:[BrTtl]])&lt;&gt;0,SUM(Production[[#This Row],[Meat Wt]:[BrTtl]]),""),"")</f>
        <v>868</v>
      </c>
      <c r="O316" s="55">
        <v>40</v>
      </c>
      <c r="P316" s="208">
        <f>INDEX(Ingredients[Case Wt.],MATCH(Production[[#This Row],[Product]],Ingredients[ProdName],0))*Production[[#This Row],[Case Total]]</f>
        <v>1000</v>
      </c>
      <c r="Q316" s="211">
        <f>IFERROR(Production[[#This Row],[SatWt]]-Production[[#This Row],[RawWt]],"")</f>
        <v>132</v>
      </c>
      <c r="R316" s="222">
        <f>IF(Production[[#This Row],[Species]]&lt;&gt;"",IF(SUM(Production[[#This Row],[BtTtl]:[BrTtl]])/Production[[#This Row],[SatWt]]&lt;&gt;0,SUM(Production[[#This Row],[BtTtl]:[BrTtl]])/Production[[#This Row],[SatWt]],""),"")</f>
        <v>0.2</v>
      </c>
      <c r="S316" s="223" t="str">
        <f>INDEX(Ingredients[Species],MATCH(Production[[#This Row],[Product]],Ingredients[ProdName],0))</f>
        <v>Poultry</v>
      </c>
    </row>
    <row r="317" spans="1:19" ht="11.1" customHeight="1" x14ac:dyDescent="0.25">
      <c r="A317" s="207" t="str">
        <f>IFERROR(IF(Production[[#This Row],[Date]]&lt;&gt;"",TEXT(Production[[#This Row],[Date]],"yy")&amp;"-"&amp;TEXT(Production[[#This Row],[Date]]-DATE(YEAR(Production[[#This Row],[Date]]),1,0),"000"),""),"")</f>
        <v>23-304</v>
      </c>
      <c r="B317" s="209" t="str">
        <f>IFERROR(IF(INDEX(Ingredients[Ingr1],MATCH(Production[[#This Row],[Product]],Ingredients[ProdName],0))&lt;&gt;"",INDEX(Ingredients[Ingr1],MATCH(Production[[#This Row],[Product]],Ingredients[ProdName],0)),INDEX(Ingredients[Ingr2],MATCH(Production[[#This Row],[Product]],Ingredients[ProdName],0))),"")</f>
        <v>Chicken - Tenders</v>
      </c>
      <c r="C317" s="53">
        <v>45230</v>
      </c>
      <c r="D317" s="54" t="s">
        <v>21</v>
      </c>
      <c r="E317" s="55" t="s">
        <v>175</v>
      </c>
      <c r="F317" s="56">
        <v>11</v>
      </c>
      <c r="G317" s="56">
        <v>77</v>
      </c>
      <c r="H317" s="208">
        <f>IFERROR(INDEX(Tier1[Wt],MATCH(Production[[#This Row],[Type]],Tier1[Ingredient],0))*Production[[#This Row],[Blocks Used]],0)</f>
        <v>3080</v>
      </c>
      <c r="I317" s="210">
        <f>IFERROR(INDEX(Ingredients[TtlWt],MATCH(Production[[#This Row],[Product]],Ingredients[ProdName],0))*Production[[#This Row],[Lots Done]],"")</f>
        <v>594</v>
      </c>
      <c r="J317" s="210">
        <f>IF(INDEX(Ingredients[Batter],MATCH(Production[[#This Row],[Product]],Ingredients[ProdName],0))*Production[[#This Row],[Batter Used]]&gt;0,INDEX(Ingredients[Batter],MATCH(Production[[#This Row],[Product]],Ingredients[ProdName],0))*Production[[#This Row],[Batter Used]],"")</f>
        <v>250</v>
      </c>
      <c r="K317" s="210">
        <f>IF(INDEX(Ingredients[Breader],MATCH(Production[[#This Row],[Product]],Ingredients[ProdName],0))*Production[[#This Row],[Breader Used]]&gt;0,INDEX(Ingredients[Breader],MATCH(Production[[#This Row],[Product]],Ingredients[ProdName],0))*Production[[#This Row],[Breader Used]],"")</f>
        <v>550</v>
      </c>
      <c r="L317" s="56">
        <v>5</v>
      </c>
      <c r="M317" s="56">
        <v>11</v>
      </c>
      <c r="N317" s="211">
        <f>IFERROR(IF(SUM(Production[[#This Row],[Meat Wt]:[BrTtl]])&lt;&gt;0,SUM(Production[[#This Row],[Meat Wt]:[BrTtl]]),""),"")</f>
        <v>4474</v>
      </c>
      <c r="O317" s="55">
        <v>196</v>
      </c>
      <c r="P317" s="208">
        <f>INDEX(Ingredients[Case Wt.],MATCH(Production[[#This Row],[Product]],Ingredients[ProdName],0))*Production[[#This Row],[Case Total]]</f>
        <v>4900</v>
      </c>
      <c r="Q317" s="211">
        <f>IFERROR(Production[[#This Row],[SatWt]]-Production[[#This Row],[RawWt]],"")</f>
        <v>426</v>
      </c>
      <c r="R317" s="222">
        <f>IF(Production[[#This Row],[Species]]&lt;&gt;"",IF(SUM(Production[[#This Row],[BtTtl]:[BrTtl]])/Production[[#This Row],[SatWt]]&lt;&gt;0,SUM(Production[[#This Row],[BtTtl]:[BrTtl]])/Production[[#This Row],[SatWt]],""),"")</f>
        <v>0.16326530612244897</v>
      </c>
      <c r="S317" s="223" t="str">
        <f>INDEX(Ingredients[Species],MATCH(Production[[#This Row],[Product]],Ingredients[ProdName],0))</f>
        <v>Poultry</v>
      </c>
    </row>
    <row r="318" spans="1:19" ht="11.1" customHeight="1" x14ac:dyDescent="0.25">
      <c r="A318" s="207" t="str">
        <f>IFERROR(IF(Production[[#This Row],[Date]]&lt;&gt;"",TEXT(Production[[#This Row],[Date]],"yy")&amp;"-"&amp;TEXT(Production[[#This Row],[Date]]-DATE(YEAR(Production[[#This Row],[Date]]),1,0),"000"),""),"")</f>
        <v>23-306</v>
      </c>
      <c r="B318" s="209" t="str">
        <f>IFERROR(IF(INDEX(Ingredients[Ingr1],MATCH(Production[[#This Row],[Product]],Ingredients[ProdName],0))&lt;&gt;"",INDEX(Ingredients[Ingr1],MATCH(Production[[#This Row],[Product]],Ingredients[ProdName],0)),INDEX(Ingredients[Ingr2],MATCH(Production[[#This Row],[Product]],Ingredients[ProdName],0))),"")</f>
        <v>Chicken - Tenders</v>
      </c>
      <c r="C318" s="53">
        <v>45232</v>
      </c>
      <c r="D318" s="54" t="s">
        <v>21</v>
      </c>
      <c r="E318" s="55" t="s">
        <v>175</v>
      </c>
      <c r="F318" s="56">
        <v>12</v>
      </c>
      <c r="G318" s="56">
        <v>84</v>
      </c>
      <c r="H318" s="208">
        <f>IFERROR(INDEX(Tier1[Wt],MATCH(Production[[#This Row],[Type]],Tier1[Ingredient],0))*Production[[#This Row],[Blocks Used]],0)</f>
        <v>3360</v>
      </c>
      <c r="I318" s="210">
        <f>IFERROR(INDEX(Ingredients[TtlWt],MATCH(Production[[#This Row],[Product]],Ingredients[ProdName],0))*Production[[#This Row],[Lots Done]],"")</f>
        <v>648</v>
      </c>
      <c r="J318" s="210">
        <f>IF(INDEX(Ingredients[Batter],MATCH(Production[[#This Row],[Product]],Ingredients[ProdName],0))*Production[[#This Row],[Batter Used]]&gt;0,INDEX(Ingredients[Batter],MATCH(Production[[#This Row],[Product]],Ingredients[ProdName],0))*Production[[#This Row],[Batter Used]],"")</f>
        <v>250</v>
      </c>
      <c r="K318" s="210">
        <f>IF(INDEX(Ingredients[Breader],MATCH(Production[[#This Row],[Product]],Ingredients[ProdName],0))*Production[[#This Row],[Breader Used]]&gt;0,INDEX(Ingredients[Breader],MATCH(Production[[#This Row],[Product]],Ingredients[ProdName],0))*Production[[#This Row],[Breader Used]],"")</f>
        <v>750</v>
      </c>
      <c r="L318" s="56">
        <v>5</v>
      </c>
      <c r="M318" s="56">
        <v>15</v>
      </c>
      <c r="N318" s="211">
        <f>IFERROR(IF(SUM(Production[[#This Row],[Meat Wt]:[BrTtl]])&lt;&gt;0,SUM(Production[[#This Row],[Meat Wt]:[BrTtl]]),""),"")</f>
        <v>5008</v>
      </c>
      <c r="O318" s="55">
        <v>227</v>
      </c>
      <c r="P318" s="208">
        <f>INDEX(Ingredients[Case Wt.],MATCH(Production[[#This Row],[Product]],Ingredients[ProdName],0))*Production[[#This Row],[Case Total]]</f>
        <v>5675</v>
      </c>
      <c r="Q318" s="211">
        <f>IFERROR(Production[[#This Row],[SatWt]]-Production[[#This Row],[RawWt]],"")</f>
        <v>667</v>
      </c>
      <c r="R318" s="222">
        <f>IF(Production[[#This Row],[Species]]&lt;&gt;"",IF(SUM(Production[[#This Row],[BtTtl]:[BrTtl]])/Production[[#This Row],[SatWt]]&lt;&gt;0,SUM(Production[[#This Row],[BtTtl]:[BrTtl]])/Production[[#This Row],[SatWt]],""),"")</f>
        <v>0.1762114537444934</v>
      </c>
      <c r="S318" s="223" t="str">
        <f>INDEX(Ingredients[Species],MATCH(Production[[#This Row],[Product]],Ingredients[ProdName],0))</f>
        <v>Poultry</v>
      </c>
    </row>
    <row r="319" spans="1:19" ht="11.1" customHeight="1" x14ac:dyDescent="0.25">
      <c r="A319" s="207" t="str">
        <f>IFERROR(IF(Production[[#This Row],[Date]]&lt;&gt;"",TEXT(Production[[#This Row],[Date]],"yy")&amp;"-"&amp;TEXT(Production[[#This Row],[Date]]-DATE(YEAR(Production[[#This Row],[Date]]),1,0),"000"),""),"")</f>
        <v>23-310</v>
      </c>
      <c r="B319" s="209" t="str">
        <f>IFERROR(IF(INDEX(Ingredients[Ingr1],MATCH(Production[[#This Row],[Product]],Ingredients[ProdName],0))&lt;&gt;"",INDEX(Ingredients[Ingr1],MATCH(Production[[#This Row],[Product]],Ingredients[ProdName],0)),INDEX(Ingredients[Ingr2],MATCH(Production[[#This Row],[Product]],Ingredients[ProdName],0))),"")</f>
        <v>Chicken - Tenders</v>
      </c>
      <c r="C319" s="53">
        <v>45236</v>
      </c>
      <c r="D319" s="54" t="s">
        <v>21</v>
      </c>
      <c r="E319" s="55" t="s">
        <v>175</v>
      </c>
      <c r="F319" s="56">
        <v>2</v>
      </c>
      <c r="G319" s="56">
        <v>14</v>
      </c>
      <c r="H319" s="208">
        <f>IFERROR(INDEX(Tier1[Wt],MATCH(Production[[#This Row],[Type]],Tier1[Ingredient],0))*Production[[#This Row],[Blocks Used]],0)</f>
        <v>560</v>
      </c>
      <c r="I319" s="210">
        <f>IFERROR(INDEX(Ingredients[TtlWt],MATCH(Production[[#This Row],[Product]],Ingredients[ProdName],0))*Production[[#This Row],[Lots Done]],"")</f>
        <v>108</v>
      </c>
      <c r="J319" s="210">
        <f>IF(INDEX(Ingredients[Batter],MATCH(Production[[#This Row],[Product]],Ingredients[ProdName],0))*Production[[#This Row],[Batter Used]]&gt;0,INDEX(Ingredients[Batter],MATCH(Production[[#This Row],[Product]],Ingredients[ProdName],0))*Production[[#This Row],[Batter Used]],"")</f>
        <v>50</v>
      </c>
      <c r="K319" s="210">
        <f>IF(INDEX(Ingredients[Breader],MATCH(Production[[#This Row],[Product]],Ingredients[ProdName],0))*Production[[#This Row],[Breader Used]]&gt;0,INDEX(Ingredients[Breader],MATCH(Production[[#This Row],[Product]],Ingredients[ProdName],0))*Production[[#This Row],[Breader Used]],"")</f>
        <v>100</v>
      </c>
      <c r="L319" s="56">
        <v>1</v>
      </c>
      <c r="M319" s="56">
        <v>2</v>
      </c>
      <c r="N319" s="211">
        <f>IFERROR(IF(SUM(Production[[#This Row],[Meat Wt]:[BrTtl]])&lt;&gt;0,SUM(Production[[#This Row],[Meat Wt]:[BrTtl]]),""),"")</f>
        <v>818</v>
      </c>
      <c r="O319" s="55">
        <v>30</v>
      </c>
      <c r="P319" s="208">
        <f>INDEX(Ingredients[Case Wt.],MATCH(Production[[#This Row],[Product]],Ingredients[ProdName],0))*Production[[#This Row],[Case Total]]</f>
        <v>750</v>
      </c>
      <c r="Q319" s="211">
        <f>IFERROR(Production[[#This Row],[SatWt]]-Production[[#This Row],[RawWt]],"")</f>
        <v>-68</v>
      </c>
      <c r="R319" s="222">
        <f>IF(Production[[#This Row],[Species]]&lt;&gt;"",IF(SUM(Production[[#This Row],[BtTtl]:[BrTtl]])/Production[[#This Row],[SatWt]]&lt;&gt;0,SUM(Production[[#This Row],[BtTtl]:[BrTtl]])/Production[[#This Row],[SatWt]],""),"")</f>
        <v>0.2</v>
      </c>
      <c r="S319" s="223" t="str">
        <f>INDEX(Ingredients[Species],MATCH(Production[[#This Row],[Product]],Ingredients[ProdName],0))</f>
        <v>Poultry</v>
      </c>
    </row>
    <row r="320" spans="1:19" ht="11.1" customHeight="1" x14ac:dyDescent="0.25">
      <c r="A320" s="207" t="str">
        <f>IFERROR(IF(Production[[#This Row],[Date]]&lt;&gt;"",TEXT(Production[[#This Row],[Date]],"yy")&amp;"-"&amp;TEXT(Production[[#This Row],[Date]]-DATE(YEAR(Production[[#This Row],[Date]]),1,0),"000"),""),"")</f>
        <v>23-310</v>
      </c>
      <c r="B320" s="209" t="str">
        <f>IFERROR(IF(INDEX(Ingredients[Ingr1],MATCH(Production[[#This Row],[Product]],Ingredients[ProdName],0))&lt;&gt;"",INDEX(Ingredients[Ingr1],MATCH(Production[[#This Row],[Product]],Ingredients[ProdName],0)),INDEX(Ingredients[Ingr2],MATCH(Production[[#This Row],[Product]],Ingredients[ProdName],0))),"")</f>
        <v>Chicken - Tenders</v>
      </c>
      <c r="C320" s="53">
        <v>45236</v>
      </c>
      <c r="D320" s="54" t="s">
        <v>12</v>
      </c>
      <c r="E320" s="55" t="s">
        <v>175</v>
      </c>
      <c r="F320" s="56">
        <v>10</v>
      </c>
      <c r="G320" s="56">
        <v>70</v>
      </c>
      <c r="H320" s="208">
        <f>IFERROR(INDEX(Tier1[Wt],MATCH(Production[[#This Row],[Type]],Tier1[Ingredient],0))*Production[[#This Row],[Blocks Used]],0)</f>
        <v>2800</v>
      </c>
      <c r="I320" s="210">
        <f>IFERROR(INDEX(Ingredients[TtlWt],MATCH(Production[[#This Row],[Product]],Ingredients[ProdName],0))*Production[[#This Row],[Lots Done]],"")</f>
        <v>598</v>
      </c>
      <c r="J320" s="210">
        <f>IF(INDEX(Ingredients[Batter],MATCH(Production[[#This Row],[Product]],Ingredients[ProdName],0))*Production[[#This Row],[Batter Used]]&gt;0,INDEX(Ingredients[Batter],MATCH(Production[[#This Row],[Product]],Ingredients[ProdName],0))*Production[[#This Row],[Batter Used]],"")</f>
        <v>100</v>
      </c>
      <c r="K320" s="210">
        <f>IF(INDEX(Ingredients[Breader],MATCH(Production[[#This Row],[Product]],Ingredients[ProdName],0))*Production[[#This Row],[Breader Used]]&gt;0,INDEX(Ingredients[Breader],MATCH(Production[[#This Row],[Product]],Ingredients[ProdName],0))*Production[[#This Row],[Breader Used]],"")</f>
        <v>500</v>
      </c>
      <c r="L320" s="56">
        <v>2</v>
      </c>
      <c r="M320" s="56">
        <v>10</v>
      </c>
      <c r="N320" s="211">
        <f>IFERROR(IF(SUM(Production[[#This Row],[Meat Wt]:[BrTtl]])&lt;&gt;0,SUM(Production[[#This Row],[Meat Wt]:[BrTtl]]),""),"")</f>
        <v>3998</v>
      </c>
      <c r="O320" s="55">
        <v>201</v>
      </c>
      <c r="P320" s="208">
        <f>INDEX(Ingredients[Case Wt.],MATCH(Production[[#This Row],[Product]],Ingredients[ProdName],0))*Production[[#This Row],[Case Total]]</f>
        <v>5025</v>
      </c>
      <c r="Q320" s="211">
        <f>IFERROR(Production[[#This Row],[SatWt]]-Production[[#This Row],[RawWt]],"")</f>
        <v>1027</v>
      </c>
      <c r="R320" s="222">
        <f>IF(Production[[#This Row],[Species]]&lt;&gt;"",IF(SUM(Production[[#This Row],[BtTtl]:[BrTtl]])/Production[[#This Row],[SatWt]]&lt;&gt;0,SUM(Production[[#This Row],[BtTtl]:[BrTtl]])/Production[[#This Row],[SatWt]],""),"")</f>
        <v>0.11940298507462686</v>
      </c>
      <c r="S320" s="223" t="str">
        <f>INDEX(Ingredients[Species],MATCH(Production[[#This Row],[Product]],Ingredients[ProdName],0))</f>
        <v>Poultry</v>
      </c>
    </row>
    <row r="321" spans="1:19" ht="11.1" customHeight="1" x14ac:dyDescent="0.25">
      <c r="A321" s="207" t="str">
        <f>IFERROR(IF(Production[[#This Row],[Date]]&lt;&gt;"",TEXT(Production[[#This Row],[Date]],"yy")&amp;"-"&amp;TEXT(Production[[#This Row],[Date]]-DATE(YEAR(Production[[#This Row],[Date]]),1,0),"000"),""),"")</f>
        <v>23-312</v>
      </c>
      <c r="B321" s="209" t="str">
        <f>IFERROR(IF(INDEX(Ingredients[Ingr1],MATCH(Production[[#This Row],[Product]],Ingredients[ProdName],0))&lt;&gt;"",INDEX(Ingredients[Ingr1],MATCH(Production[[#This Row],[Product]],Ingredients[ProdName],0)),INDEX(Ingredients[Ingr2],MATCH(Production[[#This Row],[Product]],Ingredients[ProdName],0))),"")</f>
        <v>Fish - Imitation Crab</v>
      </c>
      <c r="C321" s="53">
        <v>45238</v>
      </c>
      <c r="D321" s="54" t="s">
        <v>47</v>
      </c>
      <c r="E321" s="55">
        <v>7113</v>
      </c>
      <c r="F321" s="56">
        <v>5</v>
      </c>
      <c r="G321" s="56"/>
      <c r="H321" s="208">
        <f>IFERROR(INDEX(Tier1[Wt],MATCH(Production[[#This Row],[Type]],Tier1[Ingredient],0))*Production[[#This Row],[Blocks Used]],0)</f>
        <v>0</v>
      </c>
      <c r="I321" s="210">
        <f>IFERROR(INDEX(Ingredients[TtlWt],MATCH(Production[[#This Row],[Product]],Ingredients[ProdName],0))*Production[[#This Row],[Lots Done]],"")</f>
        <v>150</v>
      </c>
      <c r="J321" s="210">
        <f>IF(INDEX(Ingredients[Batter],MATCH(Production[[#This Row],[Product]],Ingredients[ProdName],0))*Production[[#This Row],[Batter Used]]&gt;0,INDEX(Ingredients[Batter],MATCH(Production[[#This Row],[Product]],Ingredients[ProdName],0))*Production[[#This Row],[Batter Used]],"")</f>
        <v>200</v>
      </c>
      <c r="K321" s="210">
        <f>IF(INDEX(Ingredients[Breader],MATCH(Production[[#This Row],[Product]],Ingredients[ProdName],0))*Production[[#This Row],[Breader Used]]&gt;0,INDEX(Ingredients[Breader],MATCH(Production[[#This Row],[Product]],Ingredients[ProdName],0))*Production[[#This Row],[Breader Used]],"")</f>
        <v>250</v>
      </c>
      <c r="L321" s="56">
        <v>4</v>
      </c>
      <c r="M321" s="56">
        <v>5</v>
      </c>
      <c r="N321" s="211">
        <f>IFERROR(IF(SUM(Production[[#This Row],[Meat Wt]:[BrTtl]])&lt;&gt;0,SUM(Production[[#This Row],[Meat Wt]:[BrTtl]]),""),"")</f>
        <v>600</v>
      </c>
      <c r="O321" s="55">
        <v>93</v>
      </c>
      <c r="P321" s="208">
        <f>INDEX(Ingredients[Case Wt.],MATCH(Production[[#This Row],[Product]],Ingredients[ProdName],0))*Production[[#This Row],[Case Total]]</f>
        <v>2325</v>
      </c>
      <c r="Q321" s="211">
        <f>IFERROR(Production[[#This Row],[SatWt]]-Production[[#This Row],[RawWt]],"")</f>
        <v>1725</v>
      </c>
      <c r="R321" s="222" t="str">
        <f>IF(Production[[#This Row],[Species]]&lt;&gt;"",IF(SUM(Production[[#This Row],[BtTtl]:[BrTtl]])/Production[[#This Row],[SatWt]]&lt;&gt;0,SUM(Production[[#This Row],[BtTtl]:[BrTtl]])/Production[[#This Row],[SatWt]],""),"")</f>
        <v/>
      </c>
      <c r="S321" s="223" t="str">
        <f>INDEX(Ingredients[Species],MATCH(Production[[#This Row],[Product]],Ingredients[ProdName],0))</f>
        <v/>
      </c>
    </row>
    <row r="322" spans="1:19" ht="11.1" customHeight="1" x14ac:dyDescent="0.25">
      <c r="A322" s="207" t="str">
        <f>IFERROR(IF(Production[[#This Row],[Date]]&lt;&gt;"",TEXT(Production[[#This Row],[Date]],"yy")&amp;"-"&amp;TEXT(Production[[#This Row],[Date]]-DATE(YEAR(Production[[#This Row],[Date]]),1,0),"000"),""),"")</f>
        <v>23-317</v>
      </c>
      <c r="B322" s="209" t="str">
        <f>IFERROR(IF(INDEX(Ingredients[Ingr1],MATCH(Production[[#This Row],[Product]],Ingredients[ProdName],0))&lt;&gt;"",INDEX(Ingredients[Ingr1],MATCH(Production[[#This Row],[Product]],Ingredients[ProdName],0)),INDEX(Ingredients[Ingr2],MATCH(Production[[#This Row],[Product]],Ingredients[ProdName],0))),"")</f>
        <v>Fish - Imitation Crab</v>
      </c>
      <c r="C322" s="53">
        <v>45243</v>
      </c>
      <c r="D322" s="54" t="s">
        <v>47</v>
      </c>
      <c r="E322" s="55">
        <v>7113</v>
      </c>
      <c r="F322" s="56">
        <v>9</v>
      </c>
      <c r="G322" s="56"/>
      <c r="H322" s="208">
        <f>IFERROR(INDEX(Tier1[Wt],MATCH(Production[[#This Row],[Type]],Tier1[Ingredient],0))*Production[[#This Row],[Blocks Used]],0)</f>
        <v>0</v>
      </c>
      <c r="I322" s="210">
        <f>IFERROR(INDEX(Ingredients[TtlWt],MATCH(Production[[#This Row],[Product]],Ingredients[ProdName],0))*Production[[#This Row],[Lots Done]],"")</f>
        <v>270</v>
      </c>
      <c r="J322" s="210">
        <f>IF(INDEX(Ingredients[Batter],MATCH(Production[[#This Row],[Product]],Ingredients[ProdName],0))*Production[[#This Row],[Batter Used]]&gt;0,INDEX(Ingredients[Batter],MATCH(Production[[#This Row],[Product]],Ingredients[ProdName],0))*Production[[#This Row],[Batter Used]],"")</f>
        <v>150</v>
      </c>
      <c r="K322" s="210">
        <f>IF(INDEX(Ingredients[Breader],MATCH(Production[[#This Row],[Product]],Ingredients[ProdName],0))*Production[[#This Row],[Breader Used]]&gt;0,INDEX(Ingredients[Breader],MATCH(Production[[#This Row],[Product]],Ingredients[ProdName],0))*Production[[#This Row],[Breader Used]],"")</f>
        <v>600</v>
      </c>
      <c r="L322" s="56">
        <v>3</v>
      </c>
      <c r="M322" s="56">
        <v>12</v>
      </c>
      <c r="N322" s="211">
        <f>IFERROR(IF(SUM(Production[[#This Row],[Meat Wt]:[BrTtl]])&lt;&gt;0,SUM(Production[[#This Row],[Meat Wt]:[BrTtl]]),""),"")</f>
        <v>1020</v>
      </c>
      <c r="O322" s="55">
        <v>192</v>
      </c>
      <c r="P322" s="208">
        <f>INDEX(Ingredients[Case Wt.],MATCH(Production[[#This Row],[Product]],Ingredients[ProdName],0))*Production[[#This Row],[Case Total]]</f>
        <v>4800</v>
      </c>
      <c r="Q322" s="211">
        <f>IFERROR(Production[[#This Row],[SatWt]]-Production[[#This Row],[RawWt]],"")</f>
        <v>3780</v>
      </c>
      <c r="R322" s="222" t="str">
        <f>IF(Production[[#This Row],[Species]]&lt;&gt;"",IF(SUM(Production[[#This Row],[BtTtl]:[BrTtl]])/Production[[#This Row],[SatWt]]&lt;&gt;0,SUM(Production[[#This Row],[BtTtl]:[BrTtl]])/Production[[#This Row],[SatWt]],""),"")</f>
        <v/>
      </c>
      <c r="S322" s="223" t="str">
        <f>INDEX(Ingredients[Species],MATCH(Production[[#This Row],[Product]],Ingredients[ProdName],0))</f>
        <v/>
      </c>
    </row>
    <row r="323" spans="1:19" ht="11.1" customHeight="1" x14ac:dyDescent="0.25">
      <c r="A323" s="207" t="str">
        <f>IFERROR(IF(Production[[#This Row],[Date]]&lt;&gt;"",TEXT(Production[[#This Row],[Date]],"yy")&amp;"-"&amp;TEXT(Production[[#This Row],[Date]]-DATE(YEAR(Production[[#This Row],[Date]]),1,0),"000"),""),"")</f>
        <v>23-319</v>
      </c>
      <c r="B323" s="209" t="str">
        <f>IFERROR(IF(INDEX(Ingredients[Ingr1],MATCH(Production[[#This Row],[Product]],Ingredients[ProdName],0))&lt;&gt;"",INDEX(Ingredients[Ingr1],MATCH(Production[[#This Row],[Product]],Ingredients[ProdName],0)),INDEX(Ingredients[Ingr2],MATCH(Production[[#This Row],[Product]],Ingredients[ProdName],0))),"")</f>
        <v>Chicken - Ground</v>
      </c>
      <c r="C323" s="53">
        <v>45245</v>
      </c>
      <c r="D323" s="54" t="s">
        <v>7</v>
      </c>
      <c r="E323" s="55">
        <v>2222</v>
      </c>
      <c r="F323" s="56">
        <v>12</v>
      </c>
      <c r="G323" s="56">
        <v>72</v>
      </c>
      <c r="H323" s="208">
        <f>IFERROR(INDEX(Tier1[Wt],MATCH(Production[[#This Row],[Type]],Tier1[Ingredient],0))*Production[[#This Row],[Blocks Used]],0)</f>
        <v>3600</v>
      </c>
      <c r="I323" s="210">
        <f>IFERROR(INDEX(Ingredients[TtlWt],MATCH(Production[[#This Row],[Product]],Ingredients[ProdName],0))*Production[[#This Row],[Lots Done]],"")</f>
        <v>81</v>
      </c>
      <c r="J323" s="210" t="str">
        <f>IF(INDEX(Ingredients[Batter],MATCH(Production[[#This Row],[Product]],Ingredients[ProdName],0))*Production[[#This Row],[Batter Used]]&gt;0,INDEX(Ingredients[Batter],MATCH(Production[[#This Row],[Product]],Ingredients[ProdName],0))*Production[[#This Row],[Batter Used]],"")</f>
        <v/>
      </c>
      <c r="K323" s="210" t="str">
        <f>IF(INDEX(Ingredients[Breader],MATCH(Production[[#This Row],[Product]],Ingredients[ProdName],0))*Production[[#This Row],[Breader Used]]&gt;0,INDEX(Ingredients[Breader],MATCH(Production[[#This Row],[Product]],Ingredients[ProdName],0))*Production[[#This Row],[Breader Used]],"")</f>
        <v/>
      </c>
      <c r="L323" s="56"/>
      <c r="M323" s="56"/>
      <c r="N323" s="211">
        <f>IFERROR(IF(SUM(Production[[#This Row],[Meat Wt]:[BrTtl]])&lt;&gt;0,SUM(Production[[#This Row],[Meat Wt]:[BrTtl]]),""),"")</f>
        <v>3681</v>
      </c>
      <c r="O323" s="55">
        <v>192</v>
      </c>
      <c r="P323" s="208">
        <f>INDEX(Ingredients[Case Wt.],MATCH(Production[[#This Row],[Product]],Ingredients[ProdName],0))*Production[[#This Row],[Case Total]]</f>
        <v>4800</v>
      </c>
      <c r="Q323" s="211">
        <f>IFERROR(Production[[#This Row],[SatWt]]-Production[[#This Row],[RawWt]],"")</f>
        <v>1119</v>
      </c>
      <c r="R323" s="222" t="str">
        <f>IF(Production[[#This Row],[Species]]&lt;&gt;"",IF(SUM(Production[[#This Row],[BtTtl]:[BrTtl]])/Production[[#This Row],[SatWt]]&lt;&gt;0,SUM(Production[[#This Row],[BtTtl]:[BrTtl]])/Production[[#This Row],[SatWt]],""),"")</f>
        <v/>
      </c>
      <c r="S323" s="223" t="str">
        <f>INDEX(Ingredients[Species],MATCH(Production[[#This Row],[Product]],Ingredients[ProdName],0))</f>
        <v>Poultry</v>
      </c>
    </row>
    <row r="324" spans="1:19" ht="11.1" customHeight="1" x14ac:dyDescent="0.25">
      <c r="A324" s="207" t="str">
        <f>IFERROR(IF(Production[[#This Row],[Date]]&lt;&gt;"",TEXT(Production[[#This Row],[Date]],"yy")&amp;"-"&amp;TEXT(Production[[#This Row],[Date]]-DATE(YEAR(Production[[#This Row],[Date]]),1,0),"000"),""),"")</f>
        <v>23-320</v>
      </c>
      <c r="B324" s="209" t="str">
        <f>IFERROR(IF(INDEX(Ingredients[Ingr1],MATCH(Production[[#This Row],[Product]],Ingredients[ProdName],0))&lt;&gt;"",INDEX(Ingredients[Ingr1],MATCH(Production[[#This Row],[Product]],Ingredients[ProdName],0)),INDEX(Ingredients[Ingr2],MATCH(Production[[#This Row],[Product]],Ingredients[ProdName],0))),"")</f>
        <v>Chicken - Ground</v>
      </c>
      <c r="C324" s="53">
        <v>45246</v>
      </c>
      <c r="D324" s="54" t="s">
        <v>16</v>
      </c>
      <c r="E324" s="55">
        <v>2222</v>
      </c>
      <c r="F324" s="56">
        <v>12</v>
      </c>
      <c r="G324" s="56">
        <v>72</v>
      </c>
      <c r="H324" s="208">
        <f>IFERROR(INDEX(Tier1[Wt],MATCH(Production[[#This Row],[Type]],Tier1[Ingredient],0))*Production[[#This Row],[Blocks Used]],0)</f>
        <v>3600</v>
      </c>
      <c r="I324" s="210">
        <f>IFERROR(INDEX(Ingredients[TtlWt],MATCH(Production[[#This Row],[Product]],Ingredients[ProdName],0))*Production[[#This Row],[Lots Done]],"")</f>
        <v>244.79999999999998</v>
      </c>
      <c r="J324" s="210" t="str">
        <f>IF(INDEX(Ingredients[Batter],MATCH(Production[[#This Row],[Product]],Ingredients[ProdName],0))*Production[[#This Row],[Batter Used]]&gt;0,INDEX(Ingredients[Batter],MATCH(Production[[#This Row],[Product]],Ingredients[ProdName],0))*Production[[#This Row],[Batter Used]],"")</f>
        <v/>
      </c>
      <c r="K324" s="210" t="str">
        <f>IF(INDEX(Ingredients[Breader],MATCH(Production[[#This Row],[Product]],Ingredients[ProdName],0))*Production[[#This Row],[Breader Used]]&gt;0,INDEX(Ingredients[Breader],MATCH(Production[[#This Row],[Product]],Ingredients[ProdName],0))*Production[[#This Row],[Breader Used]],"")</f>
        <v/>
      </c>
      <c r="L324" s="56"/>
      <c r="M324" s="56"/>
      <c r="N324" s="211">
        <f>IFERROR(IF(SUM(Production[[#This Row],[Meat Wt]:[BrTtl]])&lt;&gt;0,SUM(Production[[#This Row],[Meat Wt]:[BrTtl]]),""),"")</f>
        <v>3844.8</v>
      </c>
      <c r="O324" s="55">
        <v>153</v>
      </c>
      <c r="P324" s="208">
        <f>INDEX(Ingredients[Case Wt.],MATCH(Production[[#This Row],[Product]],Ingredients[ProdName],0))*Production[[#This Row],[Case Total]]</f>
        <v>4590</v>
      </c>
      <c r="Q324" s="211">
        <f>IFERROR(Production[[#This Row],[SatWt]]-Production[[#This Row],[RawWt]],"")</f>
        <v>745.19999999999982</v>
      </c>
      <c r="R324" s="222" t="str">
        <f>IF(Production[[#This Row],[Species]]&lt;&gt;"",IF(SUM(Production[[#This Row],[BtTtl]:[BrTtl]])/Production[[#This Row],[SatWt]]&lt;&gt;0,SUM(Production[[#This Row],[BtTtl]:[BrTtl]])/Production[[#This Row],[SatWt]],""),"")</f>
        <v/>
      </c>
      <c r="S324" s="223" t="str">
        <f>INDEX(Ingredients[Species],MATCH(Production[[#This Row],[Product]],Ingredients[ProdName],0))</f>
        <v>Poultry</v>
      </c>
    </row>
    <row r="325" spans="1:19" ht="11.1" customHeight="1" x14ac:dyDescent="0.25">
      <c r="A325" s="207" t="str">
        <f>IFERROR(IF(Production[[#This Row],[Date]]&lt;&gt;"",TEXT(Production[[#This Row],[Date]],"yy")&amp;"-"&amp;TEXT(Production[[#This Row],[Date]]-DATE(YEAR(Production[[#This Row],[Date]]),1,0),"000"),""),"")</f>
        <v>23-324</v>
      </c>
      <c r="B325" s="209" t="str">
        <f>IFERROR(IF(INDEX(Ingredients[Ingr1],MATCH(Production[[#This Row],[Product]],Ingredients[ProdName],0))&lt;&gt;"",INDEX(Ingredients[Ingr1],MATCH(Production[[#This Row],[Product]],Ingredients[ProdName],0)),INDEX(Ingredients[Ingr2],MATCH(Production[[#This Row],[Product]],Ingredients[ProdName],0))),"")</f>
        <v>Chicken - Ground</v>
      </c>
      <c r="C325" s="53">
        <v>45250</v>
      </c>
      <c r="D325" s="54" t="s">
        <v>15</v>
      </c>
      <c r="E325" s="55">
        <v>2222</v>
      </c>
      <c r="F325" s="56">
        <v>4</v>
      </c>
      <c r="G325" s="56">
        <v>28</v>
      </c>
      <c r="H325" s="208">
        <f>IFERROR(INDEX(Tier1[Wt],MATCH(Production[[#This Row],[Type]],Tier1[Ingredient],0))*Production[[#This Row],[Blocks Used]],0)</f>
        <v>1400</v>
      </c>
      <c r="I325" s="210">
        <f>IFERROR(INDEX(Ingredients[TtlWt],MATCH(Production[[#This Row],[Product]],Ingredients[ProdName],0))*Production[[#This Row],[Lots Done]],"")</f>
        <v>46.6</v>
      </c>
      <c r="J325" s="210" t="str">
        <f>IF(INDEX(Ingredients[Batter],MATCH(Production[[#This Row],[Product]],Ingredients[ProdName],0))*Production[[#This Row],[Batter Used]]&gt;0,INDEX(Ingredients[Batter],MATCH(Production[[#This Row],[Product]],Ingredients[ProdName],0))*Production[[#This Row],[Batter Used]],"")</f>
        <v/>
      </c>
      <c r="K325" s="210" t="str">
        <f>IF(INDEX(Ingredients[Breader],MATCH(Production[[#This Row],[Product]],Ingredients[ProdName],0))*Production[[#This Row],[Breader Used]]&gt;0,INDEX(Ingredients[Breader],MATCH(Production[[#This Row],[Product]],Ingredients[ProdName],0))*Production[[#This Row],[Breader Used]],"")</f>
        <v/>
      </c>
      <c r="L325" s="56"/>
      <c r="M325" s="56"/>
      <c r="N325" s="211">
        <f>IFERROR(IF(SUM(Production[[#This Row],[Meat Wt]:[BrTtl]])&lt;&gt;0,SUM(Production[[#This Row],[Meat Wt]:[BrTtl]]),""),"")</f>
        <v>1446.6</v>
      </c>
      <c r="O325" s="55">
        <v>67</v>
      </c>
      <c r="P325" s="208">
        <f>INDEX(Ingredients[Case Wt.],MATCH(Production[[#This Row],[Product]],Ingredients[ProdName],0))*Production[[#This Row],[Case Total]]</f>
        <v>2010</v>
      </c>
      <c r="Q325" s="211">
        <f>IFERROR(Production[[#This Row],[SatWt]]-Production[[#This Row],[RawWt]],"")</f>
        <v>563.40000000000009</v>
      </c>
      <c r="R325" s="222" t="str">
        <f>IF(Production[[#This Row],[Species]]&lt;&gt;"",IF(SUM(Production[[#This Row],[BtTtl]:[BrTtl]])/Production[[#This Row],[SatWt]]&lt;&gt;0,SUM(Production[[#This Row],[BtTtl]:[BrTtl]])/Production[[#This Row],[SatWt]],""),"")</f>
        <v/>
      </c>
      <c r="S325" s="223" t="str">
        <f>INDEX(Ingredients[Species],MATCH(Production[[#This Row],[Product]],Ingredients[ProdName],0))</f>
        <v>Poultry</v>
      </c>
    </row>
    <row r="326" spans="1:19" ht="11.1" customHeight="1" x14ac:dyDescent="0.25">
      <c r="A326" s="207" t="str">
        <f>IFERROR(IF(Production[[#This Row],[Date]]&lt;&gt;"",TEXT(Production[[#This Row],[Date]],"yy")&amp;"-"&amp;TEXT(Production[[#This Row],[Date]]-DATE(YEAR(Production[[#This Row],[Date]]),1,0),"000"),""),"")</f>
        <v>23-324</v>
      </c>
      <c r="B326" s="209" t="str">
        <f>IFERROR(IF(INDEX(Ingredients[Ingr1],MATCH(Production[[#This Row],[Product]],Ingredients[ProdName],0))&lt;&gt;"",INDEX(Ingredients[Ingr1],MATCH(Production[[#This Row],[Product]],Ingredients[ProdName],0)),INDEX(Ingredients[Ingr2],MATCH(Production[[#This Row],[Product]],Ingredients[ProdName],0))),"")</f>
        <v>Chicken - Ground</v>
      </c>
      <c r="C326" s="53">
        <v>45250</v>
      </c>
      <c r="D326" s="54" t="s">
        <v>15</v>
      </c>
      <c r="E326" s="55">
        <v>2222</v>
      </c>
      <c r="F326" s="56">
        <v>8</v>
      </c>
      <c r="G326" s="56">
        <v>56</v>
      </c>
      <c r="H326" s="208">
        <f>IFERROR(INDEX(Tier1[Wt],MATCH(Production[[#This Row],[Type]],Tier1[Ingredient],0))*Production[[#This Row],[Blocks Used]],0)</f>
        <v>2800</v>
      </c>
      <c r="I326" s="210">
        <f>IFERROR(INDEX(Ingredients[TtlWt],MATCH(Production[[#This Row],[Product]],Ingredients[ProdName],0))*Production[[#This Row],[Lots Done]],"")</f>
        <v>93.2</v>
      </c>
      <c r="J326" s="210" t="str">
        <f>IF(INDEX(Ingredients[Batter],MATCH(Production[[#This Row],[Product]],Ingredients[ProdName],0))*Production[[#This Row],[Batter Used]]&gt;0,INDEX(Ingredients[Batter],MATCH(Production[[#This Row],[Product]],Ingredients[ProdName],0))*Production[[#This Row],[Batter Used]],"")</f>
        <v/>
      </c>
      <c r="K326" s="210" t="str">
        <f>IF(INDEX(Ingredients[Breader],MATCH(Production[[#This Row],[Product]],Ingredients[ProdName],0))*Production[[#This Row],[Breader Used]]&gt;0,INDEX(Ingredients[Breader],MATCH(Production[[#This Row],[Product]],Ingredients[ProdName],0))*Production[[#This Row],[Breader Used]],"")</f>
        <v/>
      </c>
      <c r="L326" s="56"/>
      <c r="M326" s="56"/>
      <c r="N326" s="211">
        <f>IFERROR(IF(SUM(Production[[#This Row],[Meat Wt]:[BrTtl]])&lt;&gt;0,SUM(Production[[#This Row],[Meat Wt]:[BrTtl]]),""),"")</f>
        <v>2893.2</v>
      </c>
      <c r="O326" s="55">
        <v>100</v>
      </c>
      <c r="P326" s="208">
        <f>INDEX(Ingredients[Case Wt.],MATCH(Production[[#This Row],[Product]],Ingredients[ProdName],0))*Production[[#This Row],[Case Total]]</f>
        <v>3000</v>
      </c>
      <c r="Q326" s="211">
        <f>IFERROR(Production[[#This Row],[SatWt]]-Production[[#This Row],[RawWt]],"")</f>
        <v>106.80000000000018</v>
      </c>
      <c r="R326" s="222" t="str">
        <f>IF(Production[[#This Row],[Species]]&lt;&gt;"",IF(SUM(Production[[#This Row],[BtTtl]:[BrTtl]])/Production[[#This Row],[SatWt]]&lt;&gt;0,SUM(Production[[#This Row],[BtTtl]:[BrTtl]])/Production[[#This Row],[SatWt]],""),"")</f>
        <v/>
      </c>
      <c r="S326" s="223" t="str">
        <f>INDEX(Ingredients[Species],MATCH(Production[[#This Row],[Product]],Ingredients[ProdName],0))</f>
        <v>Poultry</v>
      </c>
    </row>
    <row r="327" spans="1:19" ht="11.1" customHeight="1" x14ac:dyDescent="0.25">
      <c r="A327" s="207" t="str">
        <f>IFERROR(IF(Production[[#This Row],[Date]]&lt;&gt;"",TEXT(Production[[#This Row],[Date]],"yy")&amp;"-"&amp;TEXT(Production[[#This Row],[Date]]-DATE(YEAR(Production[[#This Row],[Date]]),1,0),"000"),""),"")</f>
        <v>23-331</v>
      </c>
      <c r="B327" s="209" t="str">
        <f>IFERROR(IF(INDEX(Ingredients[Ingr1],MATCH(Production[[#This Row],[Product]],Ingredients[ProdName],0))&lt;&gt;"",INDEX(Ingredients[Ingr1],MATCH(Production[[#This Row],[Product]],Ingredients[ProdName],0)),INDEX(Ingredients[Ingr2],MATCH(Production[[#This Row],[Product]],Ingredients[ProdName],0))),"")</f>
        <v>Chicken - Ground</v>
      </c>
      <c r="C327" s="53">
        <v>45257</v>
      </c>
      <c r="D327" s="54" t="s">
        <v>20</v>
      </c>
      <c r="E327" s="55">
        <v>2222</v>
      </c>
      <c r="F327" s="56">
        <v>12</v>
      </c>
      <c r="G327" s="56">
        <v>72</v>
      </c>
      <c r="H327" s="208">
        <f>IFERROR(INDEX(Tier1[Wt],MATCH(Production[[#This Row],[Type]],Tier1[Ingredient],0))*Production[[#This Row],[Blocks Used]],0)</f>
        <v>3600</v>
      </c>
      <c r="I327" s="210">
        <f>IFERROR(INDEX(Ingredients[TtlWt],MATCH(Production[[#This Row],[Product]],Ingredients[ProdName],0))*Production[[#This Row],[Lots Done]],"")</f>
        <v>244.79999999999998</v>
      </c>
      <c r="J327" s="210" t="str">
        <f>IF(INDEX(Ingredients[Batter],MATCH(Production[[#This Row],[Product]],Ingredients[ProdName],0))*Production[[#This Row],[Batter Used]]&gt;0,INDEX(Ingredients[Batter],MATCH(Production[[#This Row],[Product]],Ingredients[ProdName],0))*Production[[#This Row],[Batter Used]],"")</f>
        <v/>
      </c>
      <c r="K327" s="210" t="str">
        <f>IF(INDEX(Ingredients[Breader],MATCH(Production[[#This Row],[Product]],Ingredients[ProdName],0))*Production[[#This Row],[Breader Used]]&gt;0,INDEX(Ingredients[Breader],MATCH(Production[[#This Row],[Product]],Ingredients[ProdName],0))*Production[[#This Row],[Breader Used]],"")</f>
        <v/>
      </c>
      <c r="L327" s="56"/>
      <c r="M327" s="56"/>
      <c r="N327" s="211">
        <f>IFERROR(IF(SUM(Production[[#This Row],[Meat Wt]:[BrTtl]])&lt;&gt;0,SUM(Production[[#This Row],[Meat Wt]:[BrTtl]]),""),"")</f>
        <v>3844.8</v>
      </c>
      <c r="O327" s="55">
        <v>203</v>
      </c>
      <c r="P327" s="208">
        <f>INDEX(Ingredients[Case Wt.],MATCH(Production[[#This Row],[Product]],Ingredients[ProdName],0))*Production[[#This Row],[Case Total]]</f>
        <v>5075</v>
      </c>
      <c r="Q327" s="211">
        <f>IFERROR(Production[[#This Row],[SatWt]]-Production[[#This Row],[RawWt]],"")</f>
        <v>1230.1999999999998</v>
      </c>
      <c r="R327" s="222" t="str">
        <f>IF(Production[[#This Row],[Species]]&lt;&gt;"",IF(SUM(Production[[#This Row],[BtTtl]:[BrTtl]])/Production[[#This Row],[SatWt]]&lt;&gt;0,SUM(Production[[#This Row],[BtTtl]:[BrTtl]])/Production[[#This Row],[SatWt]],""),"")</f>
        <v/>
      </c>
      <c r="S327" s="223" t="str">
        <f>INDEX(Ingredients[Species],MATCH(Production[[#This Row],[Product]],Ingredients[ProdName],0))</f>
        <v>Poultry</v>
      </c>
    </row>
    <row r="328" spans="1:19" ht="11.1" customHeight="1" x14ac:dyDescent="0.25">
      <c r="A328" s="207" t="str">
        <f>IFERROR(IF(Production[[#This Row],[Date]]&lt;&gt;"",TEXT(Production[[#This Row],[Date]],"yy")&amp;"-"&amp;TEXT(Production[[#This Row],[Date]]-DATE(YEAR(Production[[#This Row],[Date]]),1,0),"000"),""),"")</f>
        <v>23-332</v>
      </c>
      <c r="B328" s="209" t="str">
        <f>IFERROR(IF(INDEX(Ingredients[Ingr1],MATCH(Production[[#This Row],[Product]],Ingredients[ProdName],0))&lt;&gt;"",INDEX(Ingredients[Ingr1],MATCH(Production[[#This Row],[Product]],Ingredients[ProdName],0)),INDEX(Ingredients[Ingr2],MATCH(Production[[#This Row],[Product]],Ingredients[ProdName],0))),"")</f>
        <v>Chicken - Ground</v>
      </c>
      <c r="C328" s="53">
        <v>45258</v>
      </c>
      <c r="D328" s="54" t="s">
        <v>20</v>
      </c>
      <c r="E328" s="55">
        <v>2222</v>
      </c>
      <c r="F328" s="56">
        <v>4</v>
      </c>
      <c r="G328" s="56">
        <v>24</v>
      </c>
      <c r="H328" s="208">
        <f>IFERROR(INDEX(Tier1[Wt],MATCH(Production[[#This Row],[Type]],Tier1[Ingredient],0))*Production[[#This Row],[Blocks Used]],0)</f>
        <v>1200</v>
      </c>
      <c r="I328" s="210">
        <f>IFERROR(INDEX(Ingredients[TtlWt],MATCH(Production[[#This Row],[Product]],Ingredients[ProdName],0))*Production[[#This Row],[Lots Done]],"")</f>
        <v>81.599999999999994</v>
      </c>
      <c r="J328" s="210" t="str">
        <f>IF(INDEX(Ingredients[Batter],MATCH(Production[[#This Row],[Product]],Ingredients[ProdName],0))*Production[[#This Row],[Batter Used]]&gt;0,INDEX(Ingredients[Batter],MATCH(Production[[#This Row],[Product]],Ingredients[ProdName],0))*Production[[#This Row],[Batter Used]],"")</f>
        <v/>
      </c>
      <c r="K328" s="210" t="str">
        <f>IF(INDEX(Ingredients[Breader],MATCH(Production[[#This Row],[Product]],Ingredients[ProdName],0))*Production[[#This Row],[Breader Used]]&gt;0,INDEX(Ingredients[Breader],MATCH(Production[[#This Row],[Product]],Ingredients[ProdName],0))*Production[[#This Row],[Breader Used]],"")</f>
        <v/>
      </c>
      <c r="L328" s="56"/>
      <c r="M328" s="56"/>
      <c r="N328" s="211">
        <f>IFERROR(IF(SUM(Production[[#This Row],[Meat Wt]:[BrTtl]])&lt;&gt;0,SUM(Production[[#This Row],[Meat Wt]:[BrTtl]]),""),"")</f>
        <v>1281.5999999999999</v>
      </c>
      <c r="O328" s="55">
        <v>63</v>
      </c>
      <c r="P328" s="208">
        <f>INDEX(Ingredients[Case Wt.],MATCH(Production[[#This Row],[Product]],Ingredients[ProdName],0))*Production[[#This Row],[Case Total]]</f>
        <v>1575</v>
      </c>
      <c r="Q328" s="211">
        <f>IFERROR(Production[[#This Row],[SatWt]]-Production[[#This Row],[RawWt]],"")</f>
        <v>293.40000000000009</v>
      </c>
      <c r="R328" s="222" t="str">
        <f>IF(Production[[#This Row],[Species]]&lt;&gt;"",IF(SUM(Production[[#This Row],[BtTtl]:[BrTtl]])/Production[[#This Row],[SatWt]]&lt;&gt;0,SUM(Production[[#This Row],[BtTtl]:[BrTtl]])/Production[[#This Row],[SatWt]],""),"")</f>
        <v/>
      </c>
      <c r="S328" s="223" t="str">
        <f>INDEX(Ingredients[Species],MATCH(Production[[#This Row],[Product]],Ingredients[ProdName],0))</f>
        <v>Poultry</v>
      </c>
    </row>
    <row r="329" spans="1:19" ht="11.1" customHeight="1" x14ac:dyDescent="0.25">
      <c r="A329" s="207" t="str">
        <f>IFERROR(IF(Production[[#This Row],[Date]]&lt;&gt;"",TEXT(Production[[#This Row],[Date]],"yy")&amp;"-"&amp;TEXT(Production[[#This Row],[Date]]-DATE(YEAR(Production[[#This Row],[Date]]),1,0),"000"),""),"")</f>
        <v>23-332</v>
      </c>
      <c r="B329" s="209" t="str">
        <f>IFERROR(IF(INDEX(Ingredients[Ingr1],MATCH(Production[[#This Row],[Product]],Ingredients[ProdName],0))&lt;&gt;"",INDEX(Ingredients[Ingr1],MATCH(Production[[#This Row],[Product]],Ingredients[ProdName],0)),INDEX(Ingredients[Ingr2],MATCH(Production[[#This Row],[Product]],Ingredients[ProdName],0))),"")</f>
        <v>Chicken - Ground</v>
      </c>
      <c r="C329" s="53">
        <v>45258</v>
      </c>
      <c r="D329" s="54" t="s">
        <v>20</v>
      </c>
      <c r="E329" s="55">
        <v>2222</v>
      </c>
      <c r="F329" s="56">
        <v>6</v>
      </c>
      <c r="G329" s="56">
        <v>36</v>
      </c>
      <c r="H329" s="208">
        <f>IFERROR(INDEX(Tier1[Wt],MATCH(Production[[#This Row],[Type]],Tier1[Ingredient],0))*Production[[#This Row],[Blocks Used]],0)</f>
        <v>1800</v>
      </c>
      <c r="I329" s="210">
        <f>IFERROR(INDEX(Ingredients[TtlWt],MATCH(Production[[#This Row],[Product]],Ingredients[ProdName],0))*Production[[#This Row],[Lots Done]],"")</f>
        <v>122.39999999999999</v>
      </c>
      <c r="J329" s="210" t="str">
        <f>IF(INDEX(Ingredients[Batter],MATCH(Production[[#This Row],[Product]],Ingredients[ProdName],0))*Production[[#This Row],[Batter Used]]&gt;0,INDEX(Ingredients[Batter],MATCH(Production[[#This Row],[Product]],Ingredients[ProdName],0))*Production[[#This Row],[Batter Used]],"")</f>
        <v/>
      </c>
      <c r="K329" s="210" t="str">
        <f>IF(INDEX(Ingredients[Breader],MATCH(Production[[#This Row],[Product]],Ingredients[ProdName],0))*Production[[#This Row],[Breader Used]]&gt;0,INDEX(Ingredients[Breader],MATCH(Production[[#This Row],[Product]],Ingredients[ProdName],0))*Production[[#This Row],[Breader Used]],"")</f>
        <v/>
      </c>
      <c r="L329" s="56"/>
      <c r="M329" s="56"/>
      <c r="N329" s="211">
        <f>IFERROR(IF(SUM(Production[[#This Row],[Meat Wt]:[BrTtl]])&lt;&gt;0,SUM(Production[[#This Row],[Meat Wt]:[BrTtl]]),""),"")</f>
        <v>1922.4</v>
      </c>
      <c r="O329" s="55">
        <v>98</v>
      </c>
      <c r="P329" s="208">
        <f>INDEX(Ingredients[Case Wt.],MATCH(Production[[#This Row],[Product]],Ingredients[ProdName],0))*Production[[#This Row],[Case Total]]</f>
        <v>2450</v>
      </c>
      <c r="Q329" s="211">
        <f>IFERROR(Production[[#This Row],[SatWt]]-Production[[#This Row],[RawWt]],"")</f>
        <v>527.59999999999991</v>
      </c>
      <c r="R329" s="222" t="str">
        <f>IF(Production[[#This Row],[Species]]&lt;&gt;"",IF(SUM(Production[[#This Row],[BtTtl]:[BrTtl]])/Production[[#This Row],[SatWt]]&lt;&gt;0,SUM(Production[[#This Row],[BtTtl]:[BrTtl]])/Production[[#This Row],[SatWt]],""),"")</f>
        <v/>
      </c>
      <c r="S329" s="223" t="str">
        <f>INDEX(Ingredients[Species],MATCH(Production[[#This Row],[Product]],Ingredients[ProdName],0))</f>
        <v>Poultry</v>
      </c>
    </row>
    <row r="330" spans="1:19" ht="11.1" customHeight="1" x14ac:dyDescent="0.25">
      <c r="A330" s="207" t="str">
        <f>IFERROR(IF(Production[[#This Row],[Date]]&lt;&gt;"",TEXT(Production[[#This Row],[Date]],"yy")&amp;"-"&amp;TEXT(Production[[#This Row],[Date]]-DATE(YEAR(Production[[#This Row],[Date]]),1,0),"000"),""),"")</f>
        <v>23-334</v>
      </c>
      <c r="B330" s="209" t="str">
        <f>IFERROR(IF(INDEX(Ingredients[Ingr1],MATCH(Production[[#This Row],[Product]],Ingredients[ProdName],0))&lt;&gt;"",INDEX(Ingredients[Ingr1],MATCH(Production[[#This Row],[Product]],Ingredients[ProdName],0)),INDEX(Ingredients[Ingr2],MATCH(Production[[#This Row],[Product]],Ingredients[ProdName],0))),"")</f>
        <v>Chicken - Ground</v>
      </c>
      <c r="C330" s="53">
        <v>45260</v>
      </c>
      <c r="D330" s="54" t="s">
        <v>19</v>
      </c>
      <c r="E330" s="55">
        <v>2222</v>
      </c>
      <c r="F330" s="56">
        <v>9</v>
      </c>
      <c r="G330" s="56">
        <v>54</v>
      </c>
      <c r="H330" s="208">
        <f>IFERROR(INDEX(Tier1[Wt],MATCH(Production[[#This Row],[Type]],Tier1[Ingredient],0))*Production[[#This Row],[Blocks Used]],0)</f>
        <v>2700</v>
      </c>
      <c r="I330" s="210">
        <f>IFERROR(INDEX(Ingredients[TtlWt],MATCH(Production[[#This Row],[Product]],Ingredients[ProdName],0))*Production[[#This Row],[Lots Done]],"")</f>
        <v>104.85000000000001</v>
      </c>
      <c r="J330" s="210" t="str">
        <f>IF(INDEX(Ingredients[Batter],MATCH(Production[[#This Row],[Product]],Ingredients[ProdName],0))*Production[[#This Row],[Batter Used]]&gt;0,INDEX(Ingredients[Batter],MATCH(Production[[#This Row],[Product]],Ingredients[ProdName],0))*Production[[#This Row],[Batter Used]],"")</f>
        <v/>
      </c>
      <c r="K330" s="210" t="str">
        <f>IF(INDEX(Ingredients[Breader],MATCH(Production[[#This Row],[Product]],Ingredients[ProdName],0))*Production[[#This Row],[Breader Used]]&gt;0,INDEX(Ingredients[Breader],MATCH(Production[[#This Row],[Product]],Ingredients[ProdName],0))*Production[[#This Row],[Breader Used]],"")</f>
        <v/>
      </c>
      <c r="L330" s="56"/>
      <c r="M330" s="56"/>
      <c r="N330" s="211">
        <f>IFERROR(IF(SUM(Production[[#This Row],[Meat Wt]:[BrTtl]])&lt;&gt;0,SUM(Production[[#This Row],[Meat Wt]:[BrTtl]]),""),"")</f>
        <v>2804.85</v>
      </c>
      <c r="O330" s="55">
        <v>150</v>
      </c>
      <c r="P330" s="208">
        <f>INDEX(Ingredients[Case Wt.],MATCH(Production[[#This Row],[Product]],Ingredients[ProdName],0))*Production[[#This Row],[Case Total]]</f>
        <v>3750</v>
      </c>
      <c r="Q330" s="211">
        <f>IFERROR(Production[[#This Row],[SatWt]]-Production[[#This Row],[RawWt]],"")</f>
        <v>945.15000000000009</v>
      </c>
      <c r="R330" s="222" t="str">
        <f>IF(Production[[#This Row],[Species]]&lt;&gt;"",IF(SUM(Production[[#This Row],[BtTtl]:[BrTtl]])/Production[[#This Row],[SatWt]]&lt;&gt;0,SUM(Production[[#This Row],[BtTtl]:[BrTtl]])/Production[[#This Row],[SatWt]],""),"")</f>
        <v/>
      </c>
      <c r="S330" s="223" t="str">
        <f>INDEX(Ingredients[Species],MATCH(Production[[#This Row],[Product]],Ingredients[ProdName],0))</f>
        <v>Poultry</v>
      </c>
    </row>
    <row r="331" spans="1:19" ht="11.1" customHeight="1" x14ac:dyDescent="0.25">
      <c r="A331" s="207" t="str">
        <f>IFERROR(IF(Production[[#This Row],[Date]]&lt;&gt;"",TEXT(Production[[#This Row],[Date]],"yy")&amp;"-"&amp;TEXT(Production[[#This Row],[Date]]-DATE(YEAR(Production[[#This Row],[Date]]),1,0),"000"),""),"")</f>
        <v>23-340</v>
      </c>
      <c r="B331" s="209" t="str">
        <f>IFERROR(IF(INDEX(Ingredients[Ingr1],MATCH(Production[[#This Row],[Product]],Ingredients[ProdName],0))&lt;&gt;"",INDEX(Ingredients[Ingr1],MATCH(Production[[#This Row],[Product]],Ingredients[ProdName],0)),INDEX(Ingredients[Ingr2],MATCH(Production[[#This Row],[Product]],Ingredients[ProdName],0))),"")</f>
        <v>Chicken - Tenders</v>
      </c>
      <c r="C331" s="53">
        <v>45266</v>
      </c>
      <c r="D331" s="54" t="s">
        <v>14</v>
      </c>
      <c r="E331" s="55" t="s">
        <v>175</v>
      </c>
      <c r="F331" s="56">
        <v>12</v>
      </c>
      <c r="G331" s="56">
        <v>84</v>
      </c>
      <c r="H331" s="208">
        <f>IFERROR(INDEX(Tier1[Wt],MATCH(Production[[#This Row],[Type]],Tier1[Ingredient],0))*Production[[#This Row],[Blocks Used]],0)</f>
        <v>3360</v>
      </c>
      <c r="I331" s="210">
        <f>IFERROR(INDEX(Ingredients[TtlWt],MATCH(Production[[#This Row],[Product]],Ingredients[ProdName],0))*Production[[#This Row],[Lots Done]],"")</f>
        <v>745.8</v>
      </c>
      <c r="J331" s="210" t="str">
        <f>IF(INDEX(Ingredients[Batter],MATCH(Production[[#This Row],[Product]],Ingredients[ProdName],0))*Production[[#This Row],[Batter Used]]&gt;0,INDEX(Ingredients[Batter],MATCH(Production[[#This Row],[Product]],Ingredients[ProdName],0))*Production[[#This Row],[Batter Used]],"")</f>
        <v/>
      </c>
      <c r="K331" s="210" t="str">
        <f>IF(INDEX(Ingredients[Breader],MATCH(Production[[#This Row],[Product]],Ingredients[ProdName],0))*Production[[#This Row],[Breader Used]]&gt;0,INDEX(Ingredients[Breader],MATCH(Production[[#This Row],[Product]],Ingredients[ProdName],0))*Production[[#This Row],[Breader Used]],"")</f>
        <v/>
      </c>
      <c r="L331" s="56"/>
      <c r="M331" s="56"/>
      <c r="N331" s="211">
        <f>IFERROR(IF(SUM(Production[[#This Row],[Meat Wt]:[BrTtl]])&lt;&gt;0,SUM(Production[[#This Row],[Meat Wt]:[BrTtl]]),""),"")</f>
        <v>4105.8</v>
      </c>
      <c r="O331" s="55">
        <v>196</v>
      </c>
      <c r="P331" s="208">
        <f>INDEX(Ingredients[Case Wt.],MATCH(Production[[#This Row],[Product]],Ingredients[ProdName],0))*Production[[#This Row],[Case Total]]</f>
        <v>4900</v>
      </c>
      <c r="Q331" s="211">
        <f>IFERROR(Production[[#This Row],[SatWt]]-Production[[#This Row],[RawWt]],"")</f>
        <v>794.19999999999982</v>
      </c>
      <c r="R331" s="222" t="str">
        <f>IF(Production[[#This Row],[Species]]&lt;&gt;"",IF(SUM(Production[[#This Row],[BtTtl]:[BrTtl]])/Production[[#This Row],[SatWt]]&lt;&gt;0,SUM(Production[[#This Row],[BtTtl]:[BrTtl]])/Production[[#This Row],[SatWt]],""),"")</f>
        <v/>
      </c>
      <c r="S331" s="223" t="str">
        <f>INDEX(Ingredients[Species],MATCH(Production[[#This Row],[Product]],Ingredients[ProdName],0))</f>
        <v>Poultry</v>
      </c>
    </row>
    <row r="332" spans="1:19" ht="11.1" customHeight="1" x14ac:dyDescent="0.25">
      <c r="A332" s="207" t="str">
        <f>IFERROR(IF(Production[[#This Row],[Date]]&lt;&gt;"",TEXT(Production[[#This Row],[Date]],"yy")&amp;"-"&amp;TEXT(Production[[#This Row],[Date]]-DATE(YEAR(Production[[#This Row],[Date]]),1,0),"000"),""),"")</f>
        <v>23-341</v>
      </c>
      <c r="B332" s="209" t="str">
        <f>IFERROR(IF(INDEX(Ingredients[Ingr1],MATCH(Production[[#This Row],[Product]],Ingredients[ProdName],0))&lt;&gt;"",INDEX(Ingredients[Ingr1],MATCH(Production[[#This Row],[Product]],Ingredients[ProdName],0)),INDEX(Ingredients[Ingr2],MATCH(Production[[#This Row],[Product]],Ingredients[ProdName],0))),"")</f>
        <v>Chicken - Ground</v>
      </c>
      <c r="C332" s="53">
        <v>45267</v>
      </c>
      <c r="D332" s="54" t="s">
        <v>9</v>
      </c>
      <c r="E332" s="55">
        <v>2222</v>
      </c>
      <c r="F332" s="56">
        <v>10</v>
      </c>
      <c r="G332" s="56">
        <v>60</v>
      </c>
      <c r="H332" s="208">
        <f>IFERROR(INDEX(Tier1[Wt],MATCH(Production[[#This Row],[Type]],Tier1[Ingredient],0))*Production[[#This Row],[Blocks Used]],0)</f>
        <v>3000</v>
      </c>
      <c r="I332" s="210" t="str">
        <f>IFERROR(INDEX(Ingredients[TtlWt],MATCH(Production[[#This Row],[Product]],Ingredients[ProdName],0))*Production[[#This Row],[Lots Done]],"")</f>
        <v/>
      </c>
      <c r="J332" s="210" t="str">
        <f>IF(INDEX(Ingredients[Batter],MATCH(Production[[#This Row],[Product]],Ingredients[ProdName],0))*Production[[#This Row],[Batter Used]]&gt;0,INDEX(Ingredients[Batter],MATCH(Production[[#This Row],[Product]],Ingredients[ProdName],0))*Production[[#This Row],[Batter Used]],"")</f>
        <v/>
      </c>
      <c r="K332" s="210" t="str">
        <f>IF(INDEX(Ingredients[Breader],MATCH(Production[[#This Row],[Product]],Ingredients[ProdName],0))*Production[[#This Row],[Breader Used]]&gt;0,INDEX(Ingredients[Breader],MATCH(Production[[#This Row],[Product]],Ingredients[ProdName],0))*Production[[#This Row],[Breader Used]],"")</f>
        <v/>
      </c>
      <c r="L332" s="56"/>
      <c r="M332" s="56"/>
      <c r="N332" s="211">
        <f>IFERROR(IF(SUM(Production[[#This Row],[Meat Wt]:[BrTtl]])&lt;&gt;0,SUM(Production[[#This Row],[Meat Wt]:[BrTtl]]),""),"")</f>
        <v>3000</v>
      </c>
      <c r="O332" s="55">
        <v>133</v>
      </c>
      <c r="P332" s="208">
        <f>INDEX(Ingredients[Case Wt.],MATCH(Production[[#This Row],[Product]],Ingredients[ProdName],0))*Production[[#This Row],[Case Total]]</f>
        <v>3990</v>
      </c>
      <c r="Q332" s="211">
        <f>IFERROR(Production[[#This Row],[SatWt]]-Production[[#This Row],[RawWt]],"")</f>
        <v>990</v>
      </c>
      <c r="R332" s="222" t="str">
        <f>IF(Production[[#This Row],[Species]]&lt;&gt;"",IF(SUM(Production[[#This Row],[BtTtl]:[BrTtl]])/Production[[#This Row],[SatWt]]&lt;&gt;0,SUM(Production[[#This Row],[BtTtl]:[BrTtl]])/Production[[#This Row],[SatWt]],""),"")</f>
        <v/>
      </c>
      <c r="S332" s="223" t="str">
        <f>INDEX(Ingredients[Species],MATCH(Production[[#This Row],[Product]],Ingredients[ProdName],0))</f>
        <v>Poultry</v>
      </c>
    </row>
    <row r="333" spans="1:19" ht="11.1" customHeight="1" x14ac:dyDescent="0.25">
      <c r="A333" s="207" t="str">
        <f>IFERROR(IF(Production[[#This Row],[Date]]&lt;&gt;"",TEXT(Production[[#This Row],[Date]],"yy")&amp;"-"&amp;TEXT(Production[[#This Row],[Date]]-DATE(YEAR(Production[[#This Row],[Date]]),1,0),"000"),""),"")</f>
        <v>23-341</v>
      </c>
      <c r="B333" s="209" t="str">
        <f>IFERROR(IF(INDEX(Ingredients[Ingr1],MATCH(Production[[#This Row],[Product]],Ingredients[ProdName],0))&lt;&gt;"",INDEX(Ingredients[Ingr1],MATCH(Production[[#This Row],[Product]],Ingredients[ProdName],0)),INDEX(Ingredients[Ingr2],MATCH(Production[[#This Row],[Product]],Ingredients[ProdName],0))),"")</f>
        <v>Chicken - Ground</v>
      </c>
      <c r="C333" s="53">
        <v>45267</v>
      </c>
      <c r="D333" s="54" t="s">
        <v>13</v>
      </c>
      <c r="E333" s="55">
        <v>2222</v>
      </c>
      <c r="F333" s="56">
        <v>10</v>
      </c>
      <c r="G333" s="56">
        <v>60</v>
      </c>
      <c r="H333" s="208">
        <f>IFERROR(INDEX(Tier1[Wt],MATCH(Production[[#This Row],[Type]],Tier1[Ingredient],0))*Production[[#This Row],[Blocks Used]],0)</f>
        <v>3000</v>
      </c>
      <c r="I333" s="210">
        <f>IFERROR(INDEX(Ingredients[TtlWt],MATCH(Production[[#This Row],[Product]],Ingredients[ProdName],0))*Production[[#This Row],[Lots Done]],"")</f>
        <v>475</v>
      </c>
      <c r="J333" s="210" t="str">
        <f>IF(INDEX(Ingredients[Batter],MATCH(Production[[#This Row],[Product]],Ingredients[ProdName],0))*Production[[#This Row],[Batter Used]]&gt;0,INDEX(Ingredients[Batter],MATCH(Production[[#This Row],[Product]],Ingredients[ProdName],0))*Production[[#This Row],[Batter Used]],"")</f>
        <v/>
      </c>
      <c r="K333" s="210" t="str">
        <f>IF(INDEX(Ingredients[Breader],MATCH(Production[[#This Row],[Product]],Ingredients[ProdName],0))*Production[[#This Row],[Breader Used]]&gt;0,INDEX(Ingredients[Breader],MATCH(Production[[#This Row],[Product]],Ingredients[ProdName],0))*Production[[#This Row],[Breader Used]],"")</f>
        <v/>
      </c>
      <c r="L333" s="56"/>
      <c r="M333" s="56"/>
      <c r="N333" s="211">
        <f>IFERROR(IF(SUM(Production[[#This Row],[Meat Wt]:[BrTtl]])&lt;&gt;0,SUM(Production[[#This Row],[Meat Wt]:[BrTtl]]),""),"")</f>
        <v>3475</v>
      </c>
      <c r="O333" s="55">
        <v>153</v>
      </c>
      <c r="P333" s="208">
        <f>INDEX(Ingredients[Case Wt.],MATCH(Production[[#This Row],[Product]],Ingredients[ProdName],0))*Production[[#This Row],[Case Total]]</f>
        <v>4590</v>
      </c>
      <c r="Q333" s="211">
        <f>IFERROR(Production[[#This Row],[SatWt]]-Production[[#This Row],[RawWt]],"")</f>
        <v>1115</v>
      </c>
      <c r="R333" s="222" t="str">
        <f>IF(Production[[#This Row],[Species]]&lt;&gt;"",IF(SUM(Production[[#This Row],[BtTtl]:[BrTtl]])/Production[[#This Row],[SatWt]]&lt;&gt;0,SUM(Production[[#This Row],[BtTtl]:[BrTtl]])/Production[[#This Row],[SatWt]],""),"")</f>
        <v/>
      </c>
      <c r="S333" s="223" t="str">
        <f>INDEX(Ingredients[Species],MATCH(Production[[#This Row],[Product]],Ingredients[ProdName],0))</f>
        <v>Poultry</v>
      </c>
    </row>
    <row r="334" spans="1:19" ht="11.1" customHeight="1" x14ac:dyDescent="0.25">
      <c r="A334" s="207" t="str">
        <f>IFERROR(IF(Production[[#This Row],[Date]]&lt;&gt;"",TEXT(Production[[#This Row],[Date]],"yy")&amp;"-"&amp;TEXT(Production[[#This Row],[Date]]-DATE(YEAR(Production[[#This Row],[Date]]),1,0),"000"),""),"")</f>
        <v>23-345</v>
      </c>
      <c r="B334" s="209" t="str">
        <f>IFERROR(IF(INDEX(Ingredients[Ingr1],MATCH(Production[[#This Row],[Product]],Ingredients[ProdName],0))&lt;&gt;"",INDEX(Ingredients[Ingr1],MATCH(Production[[#This Row],[Product]],Ingredients[ProdName],0)),INDEX(Ingredients[Ingr2],MATCH(Production[[#This Row],[Product]],Ingredients[ProdName],0))),"")</f>
        <v>Chicken - Tenders</v>
      </c>
      <c r="C334" s="53">
        <v>45271</v>
      </c>
      <c r="D334" s="54" t="s">
        <v>21</v>
      </c>
      <c r="E334" s="55" t="s">
        <v>175</v>
      </c>
      <c r="F334" s="56">
        <v>10</v>
      </c>
      <c r="G334" s="56">
        <v>70</v>
      </c>
      <c r="H334" s="208">
        <f>IFERROR(INDEX(Tier1[Wt],MATCH(Production[[#This Row],[Type]],Tier1[Ingredient],0))*Production[[#This Row],[Blocks Used]],0)</f>
        <v>2800</v>
      </c>
      <c r="I334" s="210">
        <f>IFERROR(INDEX(Ingredients[TtlWt],MATCH(Production[[#This Row],[Product]],Ingredients[ProdName],0))*Production[[#This Row],[Lots Done]],"")</f>
        <v>540</v>
      </c>
      <c r="J334" s="210">
        <f>IF(INDEX(Ingredients[Batter],MATCH(Production[[#This Row],[Product]],Ingredients[ProdName],0))*Production[[#This Row],[Batter Used]]&gt;0,INDEX(Ingredients[Batter],MATCH(Production[[#This Row],[Product]],Ingredients[ProdName],0))*Production[[#This Row],[Batter Used]],"")</f>
        <v>150</v>
      </c>
      <c r="K334" s="210">
        <f>IF(INDEX(Ingredients[Breader],MATCH(Production[[#This Row],[Product]],Ingredients[ProdName],0))*Production[[#This Row],[Breader Used]]&gt;0,INDEX(Ingredients[Breader],MATCH(Production[[#This Row],[Product]],Ingredients[ProdName],0))*Production[[#This Row],[Breader Used]],"")</f>
        <v>800</v>
      </c>
      <c r="L334" s="56">
        <v>3</v>
      </c>
      <c r="M334" s="56">
        <v>16</v>
      </c>
      <c r="N334" s="211">
        <f>IFERROR(IF(SUM(Production[[#This Row],[Meat Wt]:[BrTtl]])&lt;&gt;0,SUM(Production[[#This Row],[Meat Wt]:[BrTtl]]),""),"")</f>
        <v>4290</v>
      </c>
      <c r="O334" s="55">
        <v>218</v>
      </c>
      <c r="P334" s="208">
        <f>INDEX(Ingredients[Case Wt.],MATCH(Production[[#This Row],[Product]],Ingredients[ProdName],0))*Production[[#This Row],[Case Total]]</f>
        <v>5450</v>
      </c>
      <c r="Q334" s="211">
        <f>IFERROR(Production[[#This Row],[SatWt]]-Production[[#This Row],[RawWt]],"")</f>
        <v>1160</v>
      </c>
      <c r="R334" s="222">
        <f>IF(Production[[#This Row],[Species]]&lt;&gt;"",IF(SUM(Production[[#This Row],[BtTtl]:[BrTtl]])/Production[[#This Row],[SatWt]]&lt;&gt;0,SUM(Production[[#This Row],[BtTtl]:[BrTtl]])/Production[[#This Row],[SatWt]],""),"")</f>
        <v>0.1743119266055046</v>
      </c>
      <c r="S334" s="223" t="str">
        <f>INDEX(Ingredients[Species],MATCH(Production[[#This Row],[Product]],Ingredients[ProdName],0))</f>
        <v>Poultry</v>
      </c>
    </row>
    <row r="335" spans="1:19" ht="11.1" customHeight="1" x14ac:dyDescent="0.25">
      <c r="A335" s="207" t="str">
        <f>IFERROR(IF(Production[[#This Row],[Date]]&lt;&gt;"",TEXT(Production[[#This Row],[Date]],"yy")&amp;"-"&amp;TEXT(Production[[#This Row],[Date]]-DATE(YEAR(Production[[#This Row],[Date]]),1,0),"000"),""),"")</f>
        <v>23-346</v>
      </c>
      <c r="B335" s="209" t="str">
        <f>IFERROR(IF(INDEX(Ingredients[Ingr1],MATCH(Production[[#This Row],[Product]],Ingredients[ProdName],0))&lt;&gt;"",INDEX(Ingredients[Ingr1],MATCH(Production[[#This Row],[Product]],Ingredients[ProdName],0)),INDEX(Ingredients[Ingr2],MATCH(Production[[#This Row],[Product]],Ingredients[ProdName],0))),"")</f>
        <v>Chicken - Tenders</v>
      </c>
      <c r="C335" s="53">
        <v>45272</v>
      </c>
      <c r="D335" s="54" t="s">
        <v>21</v>
      </c>
      <c r="E335" s="55" t="s">
        <v>175</v>
      </c>
      <c r="F335" s="56">
        <v>12</v>
      </c>
      <c r="G335" s="56">
        <v>84</v>
      </c>
      <c r="H335" s="208">
        <f>IFERROR(INDEX(Tier1[Wt],MATCH(Production[[#This Row],[Type]],Tier1[Ingredient],0))*Production[[#This Row],[Blocks Used]],0)</f>
        <v>3360</v>
      </c>
      <c r="I335" s="210">
        <f>IFERROR(INDEX(Ingredients[TtlWt],MATCH(Production[[#This Row],[Product]],Ingredients[ProdName],0))*Production[[#This Row],[Lots Done]],"")</f>
        <v>648</v>
      </c>
      <c r="J335" s="210">
        <f>IF(INDEX(Ingredients[Batter],MATCH(Production[[#This Row],[Product]],Ingredients[ProdName],0))*Production[[#This Row],[Batter Used]]&gt;0,INDEX(Ingredients[Batter],MATCH(Production[[#This Row],[Product]],Ingredients[ProdName],0))*Production[[#This Row],[Batter Used]],"")</f>
        <v>200</v>
      </c>
      <c r="K335" s="210">
        <f>IF(INDEX(Ingredients[Breader],MATCH(Production[[#This Row],[Product]],Ingredients[ProdName],0))*Production[[#This Row],[Breader Used]]&gt;0,INDEX(Ingredients[Breader],MATCH(Production[[#This Row],[Product]],Ingredients[ProdName],0))*Production[[#This Row],[Breader Used]],"")</f>
        <v>1100</v>
      </c>
      <c r="L335" s="56">
        <v>4</v>
      </c>
      <c r="M335" s="56">
        <v>22</v>
      </c>
      <c r="N335" s="211">
        <f>IFERROR(IF(SUM(Production[[#This Row],[Meat Wt]:[BrTtl]])&lt;&gt;0,SUM(Production[[#This Row],[Meat Wt]:[BrTtl]]),""),"")</f>
        <v>5308</v>
      </c>
      <c r="O335" s="55">
        <v>261</v>
      </c>
      <c r="P335" s="208">
        <f>INDEX(Ingredients[Case Wt.],MATCH(Production[[#This Row],[Product]],Ingredients[ProdName],0))*Production[[#This Row],[Case Total]]</f>
        <v>6525</v>
      </c>
      <c r="Q335" s="211">
        <f>IFERROR(Production[[#This Row],[SatWt]]-Production[[#This Row],[RawWt]],"")</f>
        <v>1217</v>
      </c>
      <c r="R335" s="222">
        <f>IF(Production[[#This Row],[Species]]&lt;&gt;"",IF(SUM(Production[[#This Row],[BtTtl]:[BrTtl]])/Production[[#This Row],[SatWt]]&lt;&gt;0,SUM(Production[[#This Row],[BtTtl]:[BrTtl]])/Production[[#This Row],[SatWt]],""),"")</f>
        <v>0.19923371647509577</v>
      </c>
      <c r="S335" s="223" t="str">
        <f>INDEX(Ingredients[Species],MATCH(Production[[#This Row],[Product]],Ingredients[ProdName],0))</f>
        <v>Poultry</v>
      </c>
    </row>
    <row r="336" spans="1:19" ht="11.1" customHeight="1" x14ac:dyDescent="0.25">
      <c r="A336" s="207" t="str">
        <f>IFERROR(IF(Production[[#This Row],[Date]]&lt;&gt;"",TEXT(Production[[#This Row],[Date]],"yy")&amp;"-"&amp;TEXT(Production[[#This Row],[Date]]-DATE(YEAR(Production[[#This Row],[Date]]),1,0),"000"),""),"")</f>
        <v>23-347</v>
      </c>
      <c r="B336" s="209" t="str">
        <f>IFERROR(IF(INDEX(Ingredients[Ingr1],MATCH(Production[[#This Row],[Product]],Ingredients[ProdName],0))&lt;&gt;"",INDEX(Ingredients[Ingr1],MATCH(Production[[#This Row],[Product]],Ingredients[ProdName],0)),INDEX(Ingredients[Ingr2],MATCH(Production[[#This Row],[Product]],Ingredients[ProdName],0))),"")</f>
        <v>Chicken - Tenders</v>
      </c>
      <c r="C336" s="53">
        <v>45273</v>
      </c>
      <c r="D336" s="54" t="s">
        <v>12</v>
      </c>
      <c r="E336" s="55" t="s">
        <v>175</v>
      </c>
      <c r="F336" s="56">
        <v>10</v>
      </c>
      <c r="G336" s="56">
        <v>70</v>
      </c>
      <c r="H336" s="208">
        <f>IFERROR(INDEX(Tier1[Wt],MATCH(Production[[#This Row],[Type]],Tier1[Ingredient],0))*Production[[#This Row],[Blocks Used]],0)</f>
        <v>2800</v>
      </c>
      <c r="I336" s="210">
        <f>IFERROR(INDEX(Ingredients[TtlWt],MATCH(Production[[#This Row],[Product]],Ingredients[ProdName],0))*Production[[#This Row],[Lots Done]],"")</f>
        <v>598</v>
      </c>
      <c r="J336" s="210">
        <f>IF(INDEX(Ingredients[Batter],MATCH(Production[[#This Row],[Product]],Ingredients[ProdName],0))*Production[[#This Row],[Batter Used]]&gt;0,INDEX(Ingredients[Batter],MATCH(Production[[#This Row],[Product]],Ingredients[ProdName],0))*Production[[#This Row],[Batter Used]],"")</f>
        <v>100</v>
      </c>
      <c r="K336" s="210">
        <f>IF(INDEX(Ingredients[Breader],MATCH(Production[[#This Row],[Product]],Ingredients[ProdName],0))*Production[[#This Row],[Breader Used]]&gt;0,INDEX(Ingredients[Breader],MATCH(Production[[#This Row],[Product]],Ingredients[ProdName],0))*Production[[#This Row],[Breader Used]],"")</f>
        <v>600</v>
      </c>
      <c r="L336" s="56">
        <v>2</v>
      </c>
      <c r="M336" s="56">
        <v>12</v>
      </c>
      <c r="N336" s="211">
        <f>IFERROR(IF(SUM(Production[[#This Row],[Meat Wt]:[BrTtl]])&lt;&gt;0,SUM(Production[[#This Row],[Meat Wt]:[BrTtl]]),""),"")</f>
        <v>4098</v>
      </c>
      <c r="O336" s="55">
        <v>208</v>
      </c>
      <c r="P336" s="208">
        <f>INDEX(Ingredients[Case Wt.],MATCH(Production[[#This Row],[Product]],Ingredients[ProdName],0))*Production[[#This Row],[Case Total]]</f>
        <v>5200</v>
      </c>
      <c r="Q336" s="211">
        <f>IFERROR(Production[[#This Row],[SatWt]]-Production[[#This Row],[RawWt]],"")</f>
        <v>1102</v>
      </c>
      <c r="R336" s="222">
        <f>IF(Production[[#This Row],[Species]]&lt;&gt;"",IF(SUM(Production[[#This Row],[BtTtl]:[BrTtl]])/Production[[#This Row],[SatWt]]&lt;&gt;0,SUM(Production[[#This Row],[BtTtl]:[BrTtl]])/Production[[#This Row],[SatWt]],""),"")</f>
        <v>0.13461538461538461</v>
      </c>
      <c r="S336" s="223" t="str">
        <f>INDEX(Ingredients[Species],MATCH(Production[[#This Row],[Product]],Ingredients[ProdName],0))</f>
        <v>Poultry</v>
      </c>
    </row>
    <row r="337" spans="1:19" ht="11.1" customHeight="1" x14ac:dyDescent="0.25">
      <c r="A337" s="207" t="str">
        <f>IFERROR(IF(Production[[#This Row],[Date]]&lt;&gt;"",TEXT(Production[[#This Row],[Date]],"yy")&amp;"-"&amp;TEXT(Production[[#This Row],[Date]]-DATE(YEAR(Production[[#This Row],[Date]]),1,0),"000"),""),"")</f>
        <v>23-352</v>
      </c>
      <c r="B337" s="209" t="str">
        <f>IFERROR(IF(INDEX(Ingredients[Ingr1],MATCH(Production[[#This Row],[Product]],Ingredients[ProdName],0))&lt;&gt;"",INDEX(Ingredients[Ingr1],MATCH(Production[[#This Row],[Product]],Ingredients[ProdName],0)),INDEX(Ingredients[Ingr2],MATCH(Production[[#This Row],[Product]],Ingredients[ProdName],0))),"")</f>
        <v>Pork - Trim</v>
      </c>
      <c r="C337" s="53">
        <v>45278</v>
      </c>
      <c r="D337" s="54" t="s">
        <v>22</v>
      </c>
      <c r="E337" s="55">
        <v>4204</v>
      </c>
      <c r="F337" s="56">
        <v>12</v>
      </c>
      <c r="G337" s="56">
        <v>60</v>
      </c>
      <c r="H337" s="208">
        <f>IFERROR(INDEX(Tier1[Wt],MATCH(Production[[#This Row],[Type]],Tier1[Ingredient],0))*Production[[#This Row],[Blocks Used]],0)</f>
        <v>3600</v>
      </c>
      <c r="I337" s="210">
        <f>IFERROR(INDEX(Ingredients[TtlWt],MATCH(Production[[#This Row],[Product]],Ingredients[ProdName],0))*Production[[#This Row],[Lots Done]],"")</f>
        <v>489.59999999999997</v>
      </c>
      <c r="J337" s="210">
        <f>IF(INDEX(Ingredients[Batter],MATCH(Production[[#This Row],[Product]],Ingredients[ProdName],0))*Production[[#This Row],[Batter Used]]&gt;0,INDEX(Ingredients[Batter],MATCH(Production[[#This Row],[Product]],Ingredients[ProdName],0))*Production[[#This Row],[Batter Used]],"")</f>
        <v>300</v>
      </c>
      <c r="K337" s="210">
        <f>IF(INDEX(Ingredients[Breader],MATCH(Production[[#This Row],[Product]],Ingredients[ProdName],0))*Production[[#This Row],[Breader Used]]&gt;0,INDEX(Ingredients[Breader],MATCH(Production[[#This Row],[Product]],Ingredients[ProdName],0))*Production[[#This Row],[Breader Used]],"")</f>
        <v>750</v>
      </c>
      <c r="L337" s="56">
        <v>6</v>
      </c>
      <c r="M337" s="56">
        <v>30</v>
      </c>
      <c r="N337" s="211">
        <f>IFERROR(IF(SUM(Production[[#This Row],[Meat Wt]:[BrTtl]])&lt;&gt;0,SUM(Production[[#This Row],[Meat Wt]:[BrTtl]]),""),"")</f>
        <v>5139.6000000000004</v>
      </c>
      <c r="O337" s="55">
        <v>236</v>
      </c>
      <c r="P337" s="208">
        <f>INDEX(Ingredients[Case Wt.],MATCH(Production[[#This Row],[Product]],Ingredients[ProdName],0))*Production[[#This Row],[Case Total]]</f>
        <v>5900</v>
      </c>
      <c r="Q337" s="211">
        <f>IFERROR(Production[[#This Row],[SatWt]]-Production[[#This Row],[RawWt]],"")</f>
        <v>760.39999999999964</v>
      </c>
      <c r="R337" s="222">
        <f>IF(Production[[#This Row],[Species]]&lt;&gt;"",IF(SUM(Production[[#This Row],[BtTtl]:[BrTtl]])/Production[[#This Row],[SatWt]]&lt;&gt;0,SUM(Production[[#This Row],[BtTtl]:[BrTtl]])/Production[[#This Row],[SatWt]],""),"")</f>
        <v>0.17796610169491525</v>
      </c>
      <c r="S337" s="223" t="str">
        <f>INDEX(Ingredients[Species],MATCH(Production[[#This Row],[Product]],Ingredients[ProdName],0))</f>
        <v>Meat</v>
      </c>
    </row>
    <row r="338" spans="1:19" ht="11.1" customHeight="1" x14ac:dyDescent="0.25">
      <c r="A338" s="207" t="str">
        <f>IFERROR(IF(Production[[#This Row],[Date]]&lt;&gt;"",TEXT(Production[[#This Row],[Date]],"yy")&amp;"-"&amp;TEXT(Production[[#This Row],[Date]]-DATE(YEAR(Production[[#This Row],[Date]]),1,0),"000"),""),"")</f>
        <v>23-353</v>
      </c>
      <c r="B338" s="209" t="str">
        <f>IFERROR(IF(INDEX(Ingredients[Ingr1],MATCH(Production[[#This Row],[Product]],Ingredients[ProdName],0))&lt;&gt;"",INDEX(Ingredients[Ingr1],MATCH(Production[[#This Row],[Product]],Ingredients[ProdName],0)),INDEX(Ingredients[Ingr2],MATCH(Production[[#This Row],[Product]],Ingredients[ProdName],0))),"")</f>
        <v>Chicken - Ground</v>
      </c>
      <c r="C338" s="53">
        <v>45279</v>
      </c>
      <c r="D338" s="54" t="s">
        <v>7</v>
      </c>
      <c r="E338" s="55">
        <v>2222</v>
      </c>
      <c r="F338" s="56">
        <v>12</v>
      </c>
      <c r="G338" s="56">
        <v>72</v>
      </c>
      <c r="H338" s="208">
        <f>IFERROR(INDEX(Tier1[Wt],MATCH(Production[[#This Row],[Type]],Tier1[Ingredient],0))*Production[[#This Row],[Blocks Used]],0)</f>
        <v>3600</v>
      </c>
      <c r="I338" s="210">
        <f>IFERROR(INDEX(Ingredients[TtlWt],MATCH(Production[[#This Row],[Product]],Ingredients[ProdName],0))*Production[[#This Row],[Lots Done]],"")</f>
        <v>81</v>
      </c>
      <c r="J338" s="210" t="str">
        <f>IF(INDEX(Ingredients[Batter],MATCH(Production[[#This Row],[Product]],Ingredients[ProdName],0))*Production[[#This Row],[Batter Used]]&gt;0,INDEX(Ingredients[Batter],MATCH(Production[[#This Row],[Product]],Ingredients[ProdName],0))*Production[[#This Row],[Batter Used]],"")</f>
        <v/>
      </c>
      <c r="K338" s="210" t="str">
        <f>IF(INDEX(Ingredients[Breader],MATCH(Production[[#This Row],[Product]],Ingredients[ProdName],0))*Production[[#This Row],[Breader Used]]&gt;0,INDEX(Ingredients[Breader],MATCH(Production[[#This Row],[Product]],Ingredients[ProdName],0))*Production[[#This Row],[Breader Used]],"")</f>
        <v/>
      </c>
      <c r="L338" s="56"/>
      <c r="M338" s="56"/>
      <c r="N338" s="211">
        <f>IFERROR(IF(SUM(Production[[#This Row],[Meat Wt]:[BrTtl]])&lt;&gt;0,SUM(Production[[#This Row],[Meat Wt]:[BrTtl]]),""),"")</f>
        <v>3681</v>
      </c>
      <c r="O338" s="55">
        <v>188</v>
      </c>
      <c r="P338" s="208">
        <f>INDEX(Ingredients[Case Wt.],MATCH(Production[[#This Row],[Product]],Ingredients[ProdName],0))*Production[[#This Row],[Case Total]]</f>
        <v>4700</v>
      </c>
      <c r="Q338" s="211">
        <f>IFERROR(Production[[#This Row],[SatWt]]-Production[[#This Row],[RawWt]],"")</f>
        <v>1019</v>
      </c>
      <c r="R338" s="222" t="str">
        <f>IF(Production[[#This Row],[Species]]&lt;&gt;"",IF(SUM(Production[[#This Row],[BtTtl]:[BrTtl]])/Production[[#This Row],[SatWt]]&lt;&gt;0,SUM(Production[[#This Row],[BtTtl]:[BrTtl]])/Production[[#This Row],[SatWt]],""),"")</f>
        <v/>
      </c>
      <c r="S338" s="223" t="str">
        <f>INDEX(Ingredients[Species],MATCH(Production[[#This Row],[Product]],Ingredients[ProdName],0))</f>
        <v>Poultry</v>
      </c>
    </row>
    <row r="339" spans="1:19" ht="11.1" customHeight="1" x14ac:dyDescent="0.25">
      <c r="A339" s="207" t="str">
        <f>IFERROR(IF(Production[[#This Row],[Date]]&lt;&gt;"",TEXT(Production[[#This Row],[Date]],"yy")&amp;"-"&amp;TEXT(Production[[#This Row],[Date]]-DATE(YEAR(Production[[#This Row],[Date]]),1,0),"000"),""),"")</f>
        <v>23-354</v>
      </c>
      <c r="B339" s="209" t="str">
        <f>IFERROR(IF(INDEX(Ingredients[Ingr1],MATCH(Production[[#This Row],[Product]],Ingredients[ProdName],0))&lt;&gt;"",INDEX(Ingredients[Ingr1],MATCH(Production[[#This Row],[Product]],Ingredients[ProdName],0)),INDEX(Ingredients[Ingr2],MATCH(Production[[#This Row],[Product]],Ingredients[ProdName],0))),"")</f>
        <v>Chicken - Ground</v>
      </c>
      <c r="C339" s="53">
        <v>45280</v>
      </c>
      <c r="D339" s="54" t="s">
        <v>15</v>
      </c>
      <c r="E339" s="55">
        <v>2222</v>
      </c>
      <c r="F339" s="56">
        <v>12</v>
      </c>
      <c r="G339" s="56">
        <v>72</v>
      </c>
      <c r="H339" s="208">
        <f>IFERROR(INDEX(Tier1[Wt],MATCH(Production[[#This Row],[Type]],Tier1[Ingredient],0))*Production[[#This Row],[Blocks Used]],0)</f>
        <v>3600</v>
      </c>
      <c r="I339" s="210">
        <f>IFERROR(INDEX(Ingredients[TtlWt],MATCH(Production[[#This Row],[Product]],Ingredients[ProdName],0))*Production[[#This Row],[Lots Done]],"")</f>
        <v>139.80000000000001</v>
      </c>
      <c r="J339" s="210" t="str">
        <f>IF(INDEX(Ingredients[Batter],MATCH(Production[[#This Row],[Product]],Ingredients[ProdName],0))*Production[[#This Row],[Batter Used]]&gt;0,INDEX(Ingredients[Batter],MATCH(Production[[#This Row],[Product]],Ingredients[ProdName],0))*Production[[#This Row],[Batter Used]],"")</f>
        <v/>
      </c>
      <c r="K339" s="210" t="str">
        <f>IF(INDEX(Ingredients[Breader],MATCH(Production[[#This Row],[Product]],Ingredients[ProdName],0))*Production[[#This Row],[Breader Used]]&gt;0,INDEX(Ingredients[Breader],MATCH(Production[[#This Row],[Product]],Ingredients[ProdName],0))*Production[[#This Row],[Breader Used]],"")</f>
        <v/>
      </c>
      <c r="L339" s="56"/>
      <c r="M339" s="56"/>
      <c r="N339" s="211">
        <f>IFERROR(IF(SUM(Production[[#This Row],[Meat Wt]:[BrTtl]])&lt;&gt;0,SUM(Production[[#This Row],[Meat Wt]:[BrTtl]]),""),"")</f>
        <v>3739.8</v>
      </c>
      <c r="O339" s="55">
        <v>152</v>
      </c>
      <c r="P339" s="208">
        <f>INDEX(Ingredients[Case Wt.],MATCH(Production[[#This Row],[Product]],Ingredients[ProdName],0))*Production[[#This Row],[Case Total]]</f>
        <v>4560</v>
      </c>
      <c r="Q339" s="211">
        <f>IFERROR(Production[[#This Row],[SatWt]]-Production[[#This Row],[RawWt]],"")</f>
        <v>820.19999999999982</v>
      </c>
      <c r="R339" s="222" t="str">
        <f>IF(Production[[#This Row],[Species]]&lt;&gt;"",IF(SUM(Production[[#This Row],[BtTtl]:[BrTtl]])/Production[[#This Row],[SatWt]]&lt;&gt;0,SUM(Production[[#This Row],[BtTtl]:[BrTtl]])/Production[[#This Row],[SatWt]],""),"")</f>
        <v/>
      </c>
      <c r="S339" s="223" t="str">
        <f>INDEX(Ingredients[Species],MATCH(Production[[#This Row],[Product]],Ingredients[ProdName],0))</f>
        <v>Poultry</v>
      </c>
    </row>
    <row r="340" spans="1:19" ht="11.1" customHeight="1" x14ac:dyDescent="0.25">
      <c r="A340" s="207" t="str">
        <f>IFERROR(IF(Production[[#This Row],[Date]]&lt;&gt;"",TEXT(Production[[#This Row],[Date]],"yy")&amp;"-"&amp;TEXT(Production[[#This Row],[Date]]-DATE(YEAR(Production[[#This Row],[Date]]),1,0),"000"),""),"")</f>
        <v>23-355</v>
      </c>
      <c r="B340" s="209" t="str">
        <f>IFERROR(IF(INDEX(Ingredients[Ingr1],MATCH(Production[[#This Row],[Product]],Ingredients[ProdName],0))&lt;&gt;"",INDEX(Ingredients[Ingr1],MATCH(Production[[#This Row],[Product]],Ingredients[ProdName],0)),INDEX(Ingredients[Ingr2],MATCH(Production[[#This Row],[Product]],Ingredients[ProdName],0))),"")</f>
        <v>Chicken - Ground</v>
      </c>
      <c r="C340" s="53">
        <v>45281</v>
      </c>
      <c r="D340" s="54" t="s">
        <v>17</v>
      </c>
      <c r="E340" s="55">
        <v>2222</v>
      </c>
      <c r="F340" s="56">
        <v>12</v>
      </c>
      <c r="G340" s="56">
        <v>72</v>
      </c>
      <c r="H340" s="208">
        <f>IFERROR(INDEX(Tier1[Wt],MATCH(Production[[#This Row],[Type]],Tier1[Ingredient],0))*Production[[#This Row],[Blocks Used]],0)</f>
        <v>3600</v>
      </c>
      <c r="I340" s="210">
        <f>IFERROR(INDEX(Ingredients[TtlWt],MATCH(Production[[#This Row],[Product]],Ingredients[ProdName],0))*Production[[#This Row],[Lots Done]],"")</f>
        <v>503.40000000000003</v>
      </c>
      <c r="J340" s="210" t="str">
        <f>IF(INDEX(Ingredients[Batter],MATCH(Production[[#This Row],[Product]],Ingredients[ProdName],0))*Production[[#This Row],[Batter Used]]&gt;0,INDEX(Ingredients[Batter],MATCH(Production[[#This Row],[Product]],Ingredients[ProdName],0))*Production[[#This Row],[Batter Used]],"")</f>
        <v/>
      </c>
      <c r="K340" s="210" t="str">
        <f>IF(INDEX(Ingredients[Breader],MATCH(Production[[#This Row],[Product]],Ingredients[ProdName],0))*Production[[#This Row],[Breader Used]]&gt;0,INDEX(Ingredients[Breader],MATCH(Production[[#This Row],[Product]],Ingredients[ProdName],0))*Production[[#This Row],[Breader Used]],"")</f>
        <v/>
      </c>
      <c r="L340" s="56"/>
      <c r="M340" s="56"/>
      <c r="N340" s="211">
        <f>IFERROR(IF(SUM(Production[[#This Row],[Meat Wt]:[BrTtl]])&lt;&gt;0,SUM(Production[[#This Row],[Meat Wt]:[BrTtl]]),""),"")</f>
        <v>4103.3999999999996</v>
      </c>
      <c r="O340" s="55">
        <v>233</v>
      </c>
      <c r="P340" s="208">
        <f>INDEX(Ingredients[Case Wt.],MATCH(Production[[#This Row],[Product]],Ingredients[ProdName],0))*Production[[#This Row],[Case Total]]</f>
        <v>5825</v>
      </c>
      <c r="Q340" s="211">
        <f>IFERROR(Production[[#This Row],[SatWt]]-Production[[#This Row],[RawWt]],"")</f>
        <v>1721.6000000000004</v>
      </c>
      <c r="R340" s="222" t="str">
        <f>IF(Production[[#This Row],[Species]]&lt;&gt;"",IF(SUM(Production[[#This Row],[BtTtl]:[BrTtl]])/Production[[#This Row],[SatWt]]&lt;&gt;0,SUM(Production[[#This Row],[BtTtl]:[BrTtl]])/Production[[#This Row],[SatWt]],""),"")</f>
        <v/>
      </c>
      <c r="S340" s="223" t="str">
        <f>INDEX(Ingredients[Species],MATCH(Production[[#This Row],[Product]],Ingredients[ProdName],0))</f>
        <v>Poultry</v>
      </c>
    </row>
    <row r="341" spans="1:19" ht="11.1" customHeight="1" x14ac:dyDescent="0.25">
      <c r="A341" s="207" t="str">
        <f>IFERROR(IF(Production[[#This Row],[Date]]&lt;&gt;"",TEXT(Production[[#This Row],[Date]],"yy")&amp;"-"&amp;TEXT(Production[[#This Row],[Date]]-DATE(YEAR(Production[[#This Row],[Date]]),1,0),"000"),""),"")</f>
        <v>23-360</v>
      </c>
      <c r="B341" s="209" t="str">
        <f>IFERROR(IF(INDEX(Ingredients[Ingr1],MATCH(Production[[#This Row],[Product]],Ingredients[ProdName],0))&lt;&gt;"",INDEX(Ingredients[Ingr1],MATCH(Production[[#This Row],[Product]],Ingredients[ProdName],0)),INDEX(Ingredients[Ingr2],MATCH(Production[[#This Row],[Product]],Ingredients[ProdName],0))),"")</f>
        <v>Chicken - Ground</v>
      </c>
      <c r="C341" s="53">
        <v>45286</v>
      </c>
      <c r="D341" s="54" t="s">
        <v>15</v>
      </c>
      <c r="E341" s="55">
        <v>2222</v>
      </c>
      <c r="F341" s="56">
        <v>4</v>
      </c>
      <c r="G341" s="56">
        <v>24</v>
      </c>
      <c r="H341" s="208">
        <f>IFERROR(INDEX(Tier1[Wt],MATCH(Production[[#This Row],[Type]],Tier1[Ingredient],0))*Production[[#This Row],[Blocks Used]],0)</f>
        <v>1200</v>
      </c>
      <c r="I341" s="210">
        <f>IFERROR(INDEX(Ingredients[TtlWt],MATCH(Production[[#This Row],[Product]],Ingredients[ProdName],0))*Production[[#This Row],[Lots Done]],"")</f>
        <v>46.6</v>
      </c>
      <c r="J341" s="210" t="str">
        <f>IF(INDEX(Ingredients[Batter],MATCH(Production[[#This Row],[Product]],Ingredients[ProdName],0))*Production[[#This Row],[Batter Used]]&gt;0,INDEX(Ingredients[Batter],MATCH(Production[[#This Row],[Product]],Ingredients[ProdName],0))*Production[[#This Row],[Batter Used]],"")</f>
        <v/>
      </c>
      <c r="K341" s="210" t="str">
        <f>IF(INDEX(Ingredients[Breader],MATCH(Production[[#This Row],[Product]],Ingredients[ProdName],0))*Production[[#This Row],[Breader Used]]&gt;0,INDEX(Ingredients[Breader],MATCH(Production[[#This Row],[Product]],Ingredients[ProdName],0))*Production[[#This Row],[Breader Used]],"")</f>
        <v/>
      </c>
      <c r="L341" s="56"/>
      <c r="M341" s="56"/>
      <c r="N341" s="211">
        <f>IFERROR(IF(SUM(Production[[#This Row],[Meat Wt]:[BrTtl]])&lt;&gt;0,SUM(Production[[#This Row],[Meat Wt]:[BrTtl]]),""),"")</f>
        <v>1246.5999999999999</v>
      </c>
      <c r="O341" s="55">
        <v>48</v>
      </c>
      <c r="P341" s="208">
        <f>INDEX(Ingredients[Case Wt.],MATCH(Production[[#This Row],[Product]],Ingredients[ProdName],0))*Production[[#This Row],[Case Total]]</f>
        <v>1440</v>
      </c>
      <c r="Q341" s="211">
        <f>IFERROR(Production[[#This Row],[SatWt]]-Production[[#This Row],[RawWt]],"")</f>
        <v>193.40000000000009</v>
      </c>
      <c r="R341" s="222" t="str">
        <f>IF(Production[[#This Row],[Species]]&lt;&gt;"",IF(SUM(Production[[#This Row],[BtTtl]:[BrTtl]])/Production[[#This Row],[SatWt]]&lt;&gt;0,SUM(Production[[#This Row],[BtTtl]:[BrTtl]])/Production[[#This Row],[SatWt]],""),"")</f>
        <v/>
      </c>
      <c r="S341" s="223" t="str">
        <f>INDEX(Ingredients[Species],MATCH(Production[[#This Row],[Product]],Ingredients[ProdName],0))</f>
        <v>Poultry</v>
      </c>
    </row>
    <row r="342" spans="1:19" ht="11.1" customHeight="1" x14ac:dyDescent="0.25">
      <c r="A342" s="207" t="str">
        <f>IFERROR(IF(Production[[#This Row],[Date]]&lt;&gt;"",TEXT(Production[[#This Row],[Date]],"yy")&amp;"-"&amp;TEXT(Production[[#This Row],[Date]]-DATE(YEAR(Production[[#This Row],[Date]]),1,0),"000"),""),"")</f>
        <v>23-361</v>
      </c>
      <c r="B342" s="209" t="str">
        <f>IFERROR(IF(INDEX(Ingredients[Ingr1],MATCH(Production[[#This Row],[Product]],Ingredients[ProdName],0))&lt;&gt;"",INDEX(Ingredients[Ingr1],MATCH(Production[[#This Row],[Product]],Ingredients[ProdName],0)),INDEX(Ingredients[Ingr2],MATCH(Production[[#This Row],[Product]],Ingredients[ProdName],0))),"")</f>
        <v>Chicken - Ground</v>
      </c>
      <c r="C342" s="53">
        <v>45287</v>
      </c>
      <c r="D342" s="54" t="s">
        <v>15</v>
      </c>
      <c r="E342" s="55">
        <v>2222</v>
      </c>
      <c r="F342" s="56">
        <v>12</v>
      </c>
      <c r="G342" s="56">
        <v>72</v>
      </c>
      <c r="H342" s="208">
        <f>IFERROR(INDEX(Tier1[Wt],MATCH(Production[[#This Row],[Type]],Tier1[Ingredient],0))*Production[[#This Row],[Blocks Used]],0)</f>
        <v>3600</v>
      </c>
      <c r="I342" s="210">
        <f>IFERROR(INDEX(Ingredients[TtlWt],MATCH(Production[[#This Row],[Product]],Ingredients[ProdName],0))*Production[[#This Row],[Lots Done]],"")</f>
        <v>139.80000000000001</v>
      </c>
      <c r="J342" s="210" t="str">
        <f>IF(INDEX(Ingredients[Batter],MATCH(Production[[#This Row],[Product]],Ingredients[ProdName],0))*Production[[#This Row],[Batter Used]]&gt;0,INDEX(Ingredients[Batter],MATCH(Production[[#This Row],[Product]],Ingredients[ProdName],0))*Production[[#This Row],[Batter Used]],"")</f>
        <v/>
      </c>
      <c r="K342" s="210" t="str">
        <f>IF(INDEX(Ingredients[Breader],MATCH(Production[[#This Row],[Product]],Ingredients[ProdName],0))*Production[[#This Row],[Breader Used]]&gt;0,INDEX(Ingredients[Breader],MATCH(Production[[#This Row],[Product]],Ingredients[ProdName],0))*Production[[#This Row],[Breader Used]],"")</f>
        <v/>
      </c>
      <c r="L342" s="56"/>
      <c r="M342" s="56"/>
      <c r="N342" s="211">
        <f>IFERROR(IF(SUM(Production[[#This Row],[Meat Wt]:[BrTtl]])&lt;&gt;0,SUM(Production[[#This Row],[Meat Wt]:[BrTtl]]),""),"")</f>
        <v>3739.8</v>
      </c>
      <c r="O342" s="55">
        <v>152</v>
      </c>
      <c r="P342" s="208">
        <f>INDEX(Ingredients[Case Wt.],MATCH(Production[[#This Row],[Product]],Ingredients[ProdName],0))*Production[[#This Row],[Case Total]]</f>
        <v>4560</v>
      </c>
      <c r="Q342" s="211">
        <f>IFERROR(Production[[#This Row],[SatWt]]-Production[[#This Row],[RawWt]],"")</f>
        <v>820.19999999999982</v>
      </c>
      <c r="R342" s="222" t="str">
        <f>IF(Production[[#This Row],[Species]]&lt;&gt;"",IF(SUM(Production[[#This Row],[BtTtl]:[BrTtl]])/Production[[#This Row],[SatWt]]&lt;&gt;0,SUM(Production[[#This Row],[BtTtl]:[BrTtl]])/Production[[#This Row],[SatWt]],""),"")</f>
        <v/>
      </c>
      <c r="S342" s="223" t="str">
        <f>INDEX(Ingredients[Species],MATCH(Production[[#This Row],[Product]],Ingredients[ProdName],0))</f>
        <v>Poultry</v>
      </c>
    </row>
    <row r="343" spans="1:19" ht="11.1" customHeight="1" x14ac:dyDescent="0.25">
      <c r="A343" s="207" t="str">
        <f>IFERROR(IF(Production[[#This Row],[Date]]&lt;&gt;"",TEXT(Production[[#This Row],[Date]],"yy")&amp;"-"&amp;TEXT(Production[[#This Row],[Date]]-DATE(YEAR(Production[[#This Row],[Date]]),1,0),"000"),""),"")</f>
        <v>23-362</v>
      </c>
      <c r="B343" s="209" t="str">
        <f>IFERROR(IF(INDEX(Ingredients[Ingr1],MATCH(Production[[#This Row],[Product]],Ingredients[ProdName],0))&lt;&gt;"",INDEX(Ingredients[Ingr1],MATCH(Production[[#This Row],[Product]],Ingredients[ProdName],0)),INDEX(Ingredients[Ingr2],MATCH(Production[[#This Row],[Product]],Ingredients[ProdName],0))),"")</f>
        <v>Chicken - Tenders</v>
      </c>
      <c r="C343" s="53">
        <v>45288</v>
      </c>
      <c r="D343" s="54" t="s">
        <v>14</v>
      </c>
      <c r="E343" s="55" t="s">
        <v>175</v>
      </c>
      <c r="F343" s="56">
        <v>12</v>
      </c>
      <c r="G343" s="56">
        <v>84</v>
      </c>
      <c r="H343" s="208">
        <f>IFERROR(INDEX(Tier1[Wt],MATCH(Production[[#This Row],[Type]],Tier1[Ingredient],0))*Production[[#This Row],[Blocks Used]],0)</f>
        <v>3360</v>
      </c>
      <c r="I343" s="210">
        <f>IFERROR(INDEX(Ingredients[TtlWt],MATCH(Production[[#This Row],[Product]],Ingredients[ProdName],0))*Production[[#This Row],[Lots Done]],"")</f>
        <v>745.8</v>
      </c>
      <c r="J343" s="210" t="str">
        <f>IF(INDEX(Ingredients[Batter],MATCH(Production[[#This Row],[Product]],Ingredients[ProdName],0))*Production[[#This Row],[Batter Used]]&gt;0,INDEX(Ingredients[Batter],MATCH(Production[[#This Row],[Product]],Ingredients[ProdName],0))*Production[[#This Row],[Batter Used]],"")</f>
        <v/>
      </c>
      <c r="K343" s="210" t="str">
        <f>IF(INDEX(Ingredients[Breader],MATCH(Production[[#This Row],[Product]],Ingredients[ProdName],0))*Production[[#This Row],[Breader Used]]&gt;0,INDEX(Ingredients[Breader],MATCH(Production[[#This Row],[Product]],Ingredients[ProdName],0))*Production[[#This Row],[Breader Used]],"")</f>
        <v/>
      </c>
      <c r="L343" s="56"/>
      <c r="M343" s="56"/>
      <c r="N343" s="211">
        <f>IFERROR(IF(SUM(Production[[#This Row],[Meat Wt]:[BrTtl]])&lt;&gt;0,SUM(Production[[#This Row],[Meat Wt]:[BrTtl]]),""),"")</f>
        <v>4105.8</v>
      </c>
      <c r="O343" s="55">
        <v>209</v>
      </c>
      <c r="P343" s="208">
        <f>INDEX(Ingredients[Case Wt.],MATCH(Production[[#This Row],[Product]],Ingredients[ProdName],0))*Production[[#This Row],[Case Total]]</f>
        <v>5225</v>
      </c>
      <c r="Q343" s="211">
        <f>IFERROR(Production[[#This Row],[SatWt]]-Production[[#This Row],[RawWt]],"")</f>
        <v>1119.1999999999998</v>
      </c>
      <c r="R343" s="222" t="str">
        <f>IF(Production[[#This Row],[Species]]&lt;&gt;"",IF(SUM(Production[[#This Row],[BtTtl]:[BrTtl]])/Production[[#This Row],[SatWt]]&lt;&gt;0,SUM(Production[[#This Row],[BtTtl]:[BrTtl]])/Production[[#This Row],[SatWt]],""),"")</f>
        <v/>
      </c>
      <c r="S343" s="223" t="str">
        <f>INDEX(Ingredients[Species],MATCH(Production[[#This Row],[Product]],Ingredients[ProdName],0))</f>
        <v>Poultry</v>
      </c>
    </row>
    <row r="344" spans="1:19" ht="11.1" customHeight="1" x14ac:dyDescent="0.25">
      <c r="A344" s="208" t="str">
        <f>IFERROR(IF(Production[[#This Row],[Date]]&lt;&gt;"",TEXT(Production[[#This Row],[Date]],"yy")&amp;"-"&amp;TEXT(Production[[#This Row],[Date]]-DATE(YEAR(Production[[#This Row],[Date]]),1,0),"000"),""),"")</f>
        <v>24-002</v>
      </c>
      <c r="B344" s="209" t="str">
        <f>IFERROR(IF(INDEX(Ingredients[Ingr1],MATCH(Production[[#This Row],[Product]],Ingredients[ProdName],0))&lt;&gt;"",INDEX(Ingredients[Ingr1],MATCH(Production[[#This Row],[Product]],Ingredients[ProdName],0)),INDEX(Ingredients[Ingr2],MATCH(Production[[#This Row],[Product]],Ingredients[ProdName],0))),"")</f>
        <v>Chicken - Ground</v>
      </c>
      <c r="C344" s="53">
        <v>45293</v>
      </c>
      <c r="D344" s="54" t="s">
        <v>7</v>
      </c>
      <c r="E344" s="55">
        <v>1025</v>
      </c>
      <c r="F344" s="56">
        <v>12</v>
      </c>
      <c r="G344" s="56">
        <v>72</v>
      </c>
      <c r="H344" s="208">
        <f>IFERROR(INDEX(Tier1[Wt],MATCH(Production[[#This Row],[Type]],Tier1[Ingredient],0))*Production[[#This Row],[Blocks Used]],0)</f>
        <v>3600</v>
      </c>
      <c r="I344" s="210">
        <f>IFERROR(INDEX(Ingredients[TtlWt],MATCH(Production[[#This Row],[Product]],Ingredients[ProdName],0))*Production[[#This Row],[Lots Done]],"")</f>
        <v>81</v>
      </c>
      <c r="J344" s="210" t="str">
        <f>IF(INDEX(Ingredients[Batter],MATCH(Production[[#This Row],[Product]],Ingredients[ProdName],0))*Production[[#This Row],[Batter Used]]&gt;0,INDEX(Ingredients[Batter],MATCH(Production[[#This Row],[Product]],Ingredients[ProdName],0))*Production[[#This Row],[Batter Used]],"")</f>
        <v/>
      </c>
      <c r="K344" s="210" t="str">
        <f>IF(INDEX(Ingredients[Breader],MATCH(Production[[#This Row],[Product]],Ingredients[ProdName],0))*Production[[#This Row],[Breader Used]]&gt;0,INDEX(Ingredients[Breader],MATCH(Production[[#This Row],[Product]],Ingredients[ProdName],0))*Production[[#This Row],[Breader Used]],"")</f>
        <v/>
      </c>
      <c r="L344" s="56"/>
      <c r="M344" s="56"/>
      <c r="N344" s="211">
        <f>IFERROR(IF(SUM(Production[[#This Row],[Meat Wt]:[BrTtl]])&lt;&gt;0,SUM(Production[[#This Row],[Meat Wt]:[BrTtl]]),""),"")</f>
        <v>3681</v>
      </c>
      <c r="O344" s="55">
        <v>192</v>
      </c>
      <c r="P344" s="208">
        <f>INDEX(Ingredients[Case Wt.],MATCH(Production[[#This Row],[Product]],Ingredients[ProdName],0))*Production[[#This Row],[Case Total]]</f>
        <v>4800</v>
      </c>
      <c r="Q344" s="211">
        <f>IFERROR(Production[[#This Row],[SatWt]]-Production[[#This Row],[RawWt]],"")</f>
        <v>1119</v>
      </c>
      <c r="R344" s="222" t="str">
        <f>IF(Production[[#This Row],[Species]]&lt;&gt;"",IF(SUM(Production[[#This Row],[BtTtl]:[BrTtl]])/Production[[#This Row],[SatWt]]&lt;&gt;0,SUM(Production[[#This Row],[BtTtl]:[BrTtl]])/Production[[#This Row],[SatWt]],""),"")</f>
        <v/>
      </c>
      <c r="S344" s="223" t="str">
        <f>INDEX(Ingredients[Species],MATCH(Production[[#This Row],[Product]],Ingredients[ProdName],0))</f>
        <v>Poultry</v>
      </c>
    </row>
    <row r="345" spans="1:19" ht="11.1" customHeight="1" x14ac:dyDescent="0.25">
      <c r="A345" s="208" t="str">
        <f>IFERROR(IF(Production[[#This Row],[Date]]&lt;&gt;"",TEXT(Production[[#This Row],[Date]],"yy")&amp;"-"&amp;TEXT(Production[[#This Row],[Date]]-DATE(YEAR(Production[[#This Row],[Date]]),1,0),"000"),""),"")</f>
        <v>24-003</v>
      </c>
      <c r="B345" s="209" t="str">
        <f>IFERROR(IF(INDEX(Ingredients[Ingr1],MATCH(Production[[#This Row],[Product]],Ingredients[ProdName],0))&lt;&gt;"",INDEX(Ingredients[Ingr1],MATCH(Production[[#This Row],[Product]],Ingredients[ProdName],0)),INDEX(Ingredients[Ingr2],MATCH(Production[[#This Row],[Product]],Ingredients[ProdName],0))),"")</f>
        <v>Chicken - Ground</v>
      </c>
      <c r="C345" s="53">
        <v>45294</v>
      </c>
      <c r="D345" s="54" t="s">
        <v>8</v>
      </c>
      <c r="E345" s="55">
        <v>8285</v>
      </c>
      <c r="F345" s="56">
        <v>12</v>
      </c>
      <c r="G345" s="56">
        <v>72</v>
      </c>
      <c r="H345" s="208">
        <f>IFERROR(INDEX(Tier1[Wt],MATCH(Production[[#This Row],[Type]],Tier1[Ingredient],0))*Production[[#This Row],[Blocks Used]],0)</f>
        <v>3600</v>
      </c>
      <c r="I345" s="210">
        <f>IFERROR(INDEX(Ingredients[TtlWt],MATCH(Production[[#This Row],[Product]],Ingredients[ProdName],0))*Production[[#This Row],[Lots Done]],"")</f>
        <v>782.40000000000009</v>
      </c>
      <c r="J345" s="210" t="str">
        <f>IF(INDEX(Ingredients[Batter],MATCH(Production[[#This Row],[Product]],Ingredients[ProdName],0))*Production[[#This Row],[Batter Used]]&gt;0,INDEX(Ingredients[Batter],MATCH(Production[[#This Row],[Product]],Ingredients[ProdName],0))*Production[[#This Row],[Batter Used]],"")</f>
        <v/>
      </c>
      <c r="K345" s="210" t="str">
        <f>IF(INDEX(Ingredients[Breader],MATCH(Production[[#This Row],[Product]],Ingredients[ProdName],0))*Production[[#This Row],[Breader Used]]&gt;0,INDEX(Ingredients[Breader],MATCH(Production[[#This Row],[Product]],Ingredients[ProdName],0))*Production[[#This Row],[Breader Used]],"")</f>
        <v/>
      </c>
      <c r="L345" s="56"/>
      <c r="M345" s="56"/>
      <c r="N345" s="211">
        <f>IFERROR(IF(SUM(Production[[#This Row],[Meat Wt]:[BrTtl]])&lt;&gt;0,SUM(Production[[#This Row],[Meat Wt]:[BrTtl]]),""),"")</f>
        <v>4382.3999999999996</v>
      </c>
      <c r="O345" s="55">
        <v>231</v>
      </c>
      <c r="P345" s="208">
        <f>INDEX(Ingredients[Case Wt.],MATCH(Production[[#This Row],[Product]],Ingredients[ProdName],0))*Production[[#This Row],[Case Total]]</f>
        <v>5775</v>
      </c>
      <c r="Q345" s="211">
        <f>IFERROR(Production[[#This Row],[SatWt]]-Production[[#This Row],[RawWt]],"")</f>
        <v>1392.6000000000004</v>
      </c>
      <c r="R345" s="222" t="str">
        <f>IF(Production[[#This Row],[Species]]&lt;&gt;"",IF(SUM(Production[[#This Row],[BtTtl]:[BrTtl]])/Production[[#This Row],[SatWt]]&lt;&gt;0,SUM(Production[[#This Row],[BtTtl]:[BrTtl]])/Production[[#This Row],[SatWt]],""),"")</f>
        <v/>
      </c>
      <c r="S345" s="223" t="str">
        <f>INDEX(Ingredients[Species],MATCH(Production[[#This Row],[Product]],Ingredients[ProdName],0))</f>
        <v>Poultry</v>
      </c>
    </row>
    <row r="346" spans="1:19" ht="11.1" customHeight="1" x14ac:dyDescent="0.25">
      <c r="A346" s="208" t="str">
        <f>IFERROR(IF(Production[[#This Row],[Date]]&lt;&gt;"",TEXT(Production[[#This Row],[Date]],"yy")&amp;"-"&amp;TEXT(Production[[#This Row],[Date]]-DATE(YEAR(Production[[#This Row],[Date]]),1,0),"000"),""),"")</f>
        <v>24-004</v>
      </c>
      <c r="B346" s="209" t="str">
        <f>IFERROR(IF(INDEX(Ingredients[Ingr1],MATCH(Production[[#This Row],[Product]],Ingredients[ProdName],0))&lt;&gt;"",INDEX(Ingredients[Ingr1],MATCH(Production[[#This Row],[Product]],Ingredients[ProdName],0)),INDEX(Ingredients[Ingr2],MATCH(Production[[#This Row],[Product]],Ingredients[ProdName],0))),"")</f>
        <v>Chicken - Ground</v>
      </c>
      <c r="C346" s="53">
        <v>45295</v>
      </c>
      <c r="D346" s="54" t="s">
        <v>9</v>
      </c>
      <c r="E346" s="55">
        <v>8285</v>
      </c>
      <c r="F346" s="56">
        <v>12</v>
      </c>
      <c r="G346" s="56">
        <v>72</v>
      </c>
      <c r="H346" s="208">
        <f>IFERROR(INDEX(Tier1[Wt],MATCH(Production[[#This Row],[Type]],Tier1[Ingredient],0))*Production[[#This Row],[Blocks Used]],0)</f>
        <v>3600</v>
      </c>
      <c r="I346" s="210" t="str">
        <f>IFERROR(INDEX(Ingredients[TtlWt],MATCH(Production[[#This Row],[Product]],Ingredients[ProdName],0))*Production[[#This Row],[Lots Done]],"")</f>
        <v/>
      </c>
      <c r="J346" s="210" t="str">
        <f>IF(INDEX(Ingredients[Batter],MATCH(Production[[#This Row],[Product]],Ingredients[ProdName],0))*Production[[#This Row],[Batter Used]]&gt;0,INDEX(Ingredients[Batter],MATCH(Production[[#This Row],[Product]],Ingredients[ProdName],0))*Production[[#This Row],[Batter Used]],"")</f>
        <v/>
      </c>
      <c r="K346" s="210" t="str">
        <f>IF(INDEX(Ingredients[Breader],MATCH(Production[[#This Row],[Product]],Ingredients[ProdName],0))*Production[[#This Row],[Breader Used]]&gt;0,INDEX(Ingredients[Breader],MATCH(Production[[#This Row],[Product]],Ingredients[ProdName],0))*Production[[#This Row],[Breader Used]],"")</f>
        <v/>
      </c>
      <c r="L346" s="56"/>
      <c r="M346" s="56"/>
      <c r="N346" s="211">
        <f>IFERROR(IF(SUM(Production[[#This Row],[Meat Wt]:[BrTtl]])&lt;&gt;0,SUM(Production[[#This Row],[Meat Wt]:[BrTtl]]),""),"")</f>
        <v>3600</v>
      </c>
      <c r="O346" s="55">
        <v>158</v>
      </c>
      <c r="P346" s="208">
        <f>INDEX(Ingredients[Case Wt.],MATCH(Production[[#This Row],[Product]],Ingredients[ProdName],0))*Production[[#This Row],[Case Total]]</f>
        <v>4740</v>
      </c>
      <c r="Q346" s="211">
        <f>IFERROR(Production[[#This Row],[SatWt]]-Production[[#This Row],[RawWt]],"")</f>
        <v>1140</v>
      </c>
      <c r="R346" s="222" t="str">
        <f>IF(Production[[#This Row],[Species]]&lt;&gt;"",IF(SUM(Production[[#This Row],[BtTtl]:[BrTtl]])/Production[[#This Row],[SatWt]]&lt;&gt;0,SUM(Production[[#This Row],[BtTtl]:[BrTtl]])/Production[[#This Row],[SatWt]],""),"")</f>
        <v/>
      </c>
      <c r="S346" s="223" t="str">
        <f>INDEX(Ingredients[Species],MATCH(Production[[#This Row],[Product]],Ingredients[ProdName],0))</f>
        <v>Poultry</v>
      </c>
    </row>
    <row r="347" spans="1:19" ht="11.1" customHeight="1" x14ac:dyDescent="0.25">
      <c r="A347" s="208" t="str">
        <f>IFERROR(IF(Production[[#This Row],[Date]]&lt;&gt;"",TEXT(Production[[#This Row],[Date]],"yy")&amp;"-"&amp;TEXT(Production[[#This Row],[Date]]-DATE(YEAR(Production[[#This Row],[Date]]),1,0),"000"),""),"")</f>
        <v>24-008</v>
      </c>
      <c r="B347" s="209" t="str">
        <f>IFERROR(IF(INDEX(Ingredients[Ingr1],MATCH(Production[[#This Row],[Product]],Ingredients[ProdName],0))&lt;&gt;"",INDEX(Ingredients[Ingr1],MATCH(Production[[#This Row],[Product]],Ingredients[ProdName],0)),INDEX(Ingredients[Ingr2],MATCH(Production[[#This Row],[Product]],Ingredients[ProdName],0))),"")</f>
        <v>Chicken - Ground</v>
      </c>
      <c r="C347" s="53">
        <v>45299</v>
      </c>
      <c r="D347" s="54" t="s">
        <v>9</v>
      </c>
      <c r="E347" s="55">
        <v>8285</v>
      </c>
      <c r="F347" s="56">
        <v>12</v>
      </c>
      <c r="G347" s="56">
        <v>72</v>
      </c>
      <c r="H347" s="208">
        <f>IFERROR(INDEX(Tier1[Wt],MATCH(Production[[#This Row],[Type]],Tier1[Ingredient],0))*Production[[#This Row],[Blocks Used]],0)</f>
        <v>3600</v>
      </c>
      <c r="I347" s="210" t="str">
        <f>IFERROR(INDEX(Ingredients[TtlWt],MATCH(Production[[#This Row],[Product]],Ingredients[ProdName],0))*Production[[#This Row],[Lots Done]],"")</f>
        <v/>
      </c>
      <c r="J347" s="210" t="str">
        <f>IF(INDEX(Ingredients[Batter],MATCH(Production[[#This Row],[Product]],Ingredients[ProdName],0))*Production[[#This Row],[Batter Used]]&gt;0,INDEX(Ingredients[Batter],MATCH(Production[[#This Row],[Product]],Ingredients[ProdName],0))*Production[[#This Row],[Batter Used]],"")</f>
        <v/>
      </c>
      <c r="K347" s="210" t="str">
        <f>IF(INDEX(Ingredients[Breader],MATCH(Production[[#This Row],[Product]],Ingredients[ProdName],0))*Production[[#This Row],[Breader Used]]&gt;0,INDEX(Ingredients[Breader],MATCH(Production[[#This Row],[Product]],Ingredients[ProdName],0))*Production[[#This Row],[Breader Used]],"")</f>
        <v/>
      </c>
      <c r="L347" s="56"/>
      <c r="M347" s="56"/>
      <c r="N347" s="211">
        <f>IFERROR(IF(SUM(Production[[#This Row],[Meat Wt]:[BrTtl]])&lt;&gt;0,SUM(Production[[#This Row],[Meat Wt]:[BrTtl]]),""),"")</f>
        <v>3600</v>
      </c>
      <c r="O347" s="55">
        <v>163</v>
      </c>
      <c r="P347" s="208">
        <f>INDEX(Ingredients[Case Wt.],MATCH(Production[[#This Row],[Product]],Ingredients[ProdName],0))*Production[[#This Row],[Case Total]]</f>
        <v>4890</v>
      </c>
      <c r="Q347" s="211">
        <f>IFERROR(Production[[#This Row],[SatWt]]-Production[[#This Row],[RawWt]],"")</f>
        <v>1290</v>
      </c>
      <c r="R347" s="222" t="str">
        <f>IF(Production[[#This Row],[Species]]&lt;&gt;"",IF(SUM(Production[[#This Row],[BtTtl]:[BrTtl]])/Production[[#This Row],[SatWt]]&lt;&gt;0,SUM(Production[[#This Row],[BtTtl]:[BrTtl]])/Production[[#This Row],[SatWt]],""),"")</f>
        <v/>
      </c>
      <c r="S347" s="223" t="str">
        <f>INDEX(Ingredients[Species],MATCH(Production[[#This Row],[Product]],Ingredients[ProdName],0))</f>
        <v>Poultry</v>
      </c>
    </row>
    <row r="348" spans="1:19" ht="11.1" customHeight="1" x14ac:dyDescent="0.25">
      <c r="A348" s="208" t="str">
        <f>IFERROR(IF(Production[[#This Row],[Date]]&lt;&gt;"",TEXT(Production[[#This Row],[Date]],"yy")&amp;"-"&amp;TEXT(Production[[#This Row],[Date]]-DATE(YEAR(Production[[#This Row],[Date]]),1,0),"000"),""),"")</f>
        <v>24-009</v>
      </c>
      <c r="B348" s="209" t="str">
        <f>IFERROR(IF(INDEX(Ingredients[Ingr1],MATCH(Production[[#This Row],[Product]],Ingredients[ProdName],0))&lt;&gt;"",INDEX(Ingredients[Ingr1],MATCH(Production[[#This Row],[Product]],Ingredients[ProdName],0)),INDEX(Ingredients[Ingr2],MATCH(Production[[#This Row],[Product]],Ingredients[ProdName],0))),"")</f>
        <v>Beans - Pinto</v>
      </c>
      <c r="C348" s="53">
        <v>45300</v>
      </c>
      <c r="D348" s="54" t="s">
        <v>10</v>
      </c>
      <c r="E348" s="55" t="s">
        <v>124</v>
      </c>
      <c r="F348" s="56">
        <v>7</v>
      </c>
      <c r="G348" s="56">
        <v>49</v>
      </c>
      <c r="H348" s="208">
        <f>IFERROR(INDEX(Tier1[Wt],MATCH(Production[[#This Row],[Type]],Tier1[Ingredient],0))*Production[[#This Row],[Blocks Used]],0)</f>
        <v>49</v>
      </c>
      <c r="I348" s="210">
        <f>IFERROR(INDEX(Ingredients[TtlWt],MATCH(Production[[#This Row],[Product]],Ingredients[ProdName],0))*Production[[#This Row],[Lots Done]],"")</f>
        <v>245</v>
      </c>
      <c r="J348" s="210" t="str">
        <f>IF(INDEX(Ingredients[Batter],MATCH(Production[[#This Row],[Product]],Ingredients[ProdName],0))*Production[[#This Row],[Batter Used]]&gt;0,INDEX(Ingredients[Batter],MATCH(Production[[#This Row],[Product]],Ingredients[ProdName],0))*Production[[#This Row],[Batter Used]],"")</f>
        <v/>
      </c>
      <c r="K348" s="210" t="str">
        <f>IF(INDEX(Ingredients[Breader],MATCH(Production[[#This Row],[Product]],Ingredients[ProdName],0))*Production[[#This Row],[Breader Used]]&gt;0,INDEX(Ingredients[Breader],MATCH(Production[[#This Row],[Product]],Ingredients[ProdName],0))*Production[[#This Row],[Breader Used]],"")</f>
        <v/>
      </c>
      <c r="L348" s="56"/>
      <c r="M348" s="56"/>
      <c r="N348" s="211">
        <f>IFERROR(IF(SUM(Production[[#This Row],[Meat Wt]:[BrTtl]])&lt;&gt;0,SUM(Production[[#This Row],[Meat Wt]:[BrTtl]]),""),"")</f>
        <v>294</v>
      </c>
      <c r="O348" s="55">
        <v>114</v>
      </c>
      <c r="P348" s="208">
        <f>INDEX(Ingredients[Case Wt.],MATCH(Production[[#This Row],[Product]],Ingredients[ProdName],0))*Production[[#This Row],[Case Total]]</f>
        <v>2850</v>
      </c>
      <c r="Q348" s="211">
        <f>IFERROR(Production[[#This Row],[SatWt]]-Production[[#This Row],[RawWt]],"")</f>
        <v>2556</v>
      </c>
      <c r="R348" s="222" t="str">
        <f>IF(Production[[#This Row],[Species]]&lt;&gt;"",IF(SUM(Production[[#This Row],[BtTtl]:[BrTtl]])/Production[[#This Row],[SatWt]]&lt;&gt;0,SUM(Production[[#This Row],[BtTtl]:[BrTtl]])/Production[[#This Row],[SatWt]],""),"")</f>
        <v/>
      </c>
      <c r="S348" s="223" t="str">
        <f>INDEX(Ingredients[Species],MATCH(Production[[#This Row],[Product]],Ingredients[ProdName],0))</f>
        <v/>
      </c>
    </row>
    <row r="349" spans="1:19" ht="11.1" customHeight="1" x14ac:dyDescent="0.25">
      <c r="A349" s="208" t="str">
        <f>IFERROR(IF(Production[[#This Row],[Date]]&lt;&gt;"",TEXT(Production[[#This Row],[Date]],"yy")&amp;"-"&amp;TEXT(Production[[#This Row],[Date]]-DATE(YEAR(Production[[#This Row],[Date]]),1,0),"000"),""),"")</f>
        <v>24-010</v>
      </c>
      <c r="B349" s="209" t="str">
        <f>IFERROR(IF(INDEX(Ingredients[Ingr1],MATCH(Production[[#This Row],[Product]],Ingredients[ProdName],0))&lt;&gt;"",INDEX(Ingredients[Ingr1],MATCH(Production[[#This Row],[Product]],Ingredients[ProdName],0)),INDEX(Ingredients[Ingr2],MATCH(Production[[#This Row],[Product]],Ingredients[ProdName],0))),"")</f>
        <v>Pork - Trim</v>
      </c>
      <c r="C349" s="53">
        <v>45301</v>
      </c>
      <c r="D349" s="54" t="s">
        <v>11</v>
      </c>
      <c r="E349" s="55">
        <v>4204</v>
      </c>
      <c r="F349" s="56">
        <v>12</v>
      </c>
      <c r="G349" s="56">
        <v>72</v>
      </c>
      <c r="H349" s="211">
        <f>IFERROR(INDEX(Tier1[Wt],MATCH(Production[[#This Row],[Type]],Tier1[Ingredient],0))*Production[[#This Row],[Blocks Used]],0)</f>
        <v>4320</v>
      </c>
      <c r="I349" s="210">
        <f>IFERROR(INDEX(Ingredients[TtlWt],MATCH(Production[[#This Row],[Product]],Ingredients[ProdName],0))*Production[[#This Row],[Lots Done]],"")</f>
        <v>489.59999999999997</v>
      </c>
      <c r="J349" s="210" t="str">
        <f>IF(INDEX(Ingredients[Batter],MATCH(Production[[#This Row],[Product]],Ingredients[ProdName],0))*Production[[#This Row],[Batter Used]]&gt;0,INDEX(Ingredients[Batter],MATCH(Production[[#This Row],[Product]],Ingredients[ProdName],0))*Production[[#This Row],[Batter Used]],"")</f>
        <v/>
      </c>
      <c r="K349" s="210" t="str">
        <f>IF(INDEX(Ingredients[Breader],MATCH(Production[[#This Row],[Product]],Ingredients[ProdName],0))*Production[[#This Row],[Breader Used]]&gt;0,INDEX(Ingredients[Breader],MATCH(Production[[#This Row],[Product]],Ingredients[ProdName],0))*Production[[#This Row],[Breader Used]],"")</f>
        <v/>
      </c>
      <c r="L349" s="56"/>
      <c r="M349" s="56"/>
      <c r="N349" s="211">
        <f>IFERROR(IF(SUM(Production[[#This Row],[Meat Wt]:[BrTtl]])&lt;&gt;0,SUM(Production[[#This Row],[Meat Wt]:[BrTtl]]),""),"")</f>
        <v>4809.6000000000004</v>
      </c>
      <c r="O349" s="55">
        <v>206</v>
      </c>
      <c r="P349" s="208">
        <f>INDEX(Ingredients[Case Wt.],MATCH(Production[[#This Row],[Product]],Ingredients[ProdName],0))*Production[[#This Row],[Case Total]]</f>
        <v>5150</v>
      </c>
      <c r="Q349" s="211">
        <f>IFERROR(Production[[#This Row],[SatWt]]-Production[[#This Row],[RawWt]],"")</f>
        <v>340.39999999999964</v>
      </c>
      <c r="R349" s="222" t="str">
        <f>IF(Production[[#This Row],[Species]]&lt;&gt;"",IF(SUM(Production[[#This Row],[BtTtl]:[BrTtl]])/Production[[#This Row],[SatWt]]&lt;&gt;0,SUM(Production[[#This Row],[BtTtl]:[BrTtl]])/Production[[#This Row],[SatWt]],""),"")</f>
        <v/>
      </c>
      <c r="S349" s="223" t="str">
        <f>INDEX(Ingredients[Species],MATCH(Production[[#This Row],[Product]],Ingredients[ProdName],0))</f>
        <v>Meat</v>
      </c>
    </row>
    <row r="350" spans="1:19" ht="11.1" customHeight="1" x14ac:dyDescent="0.25">
      <c r="A350" s="208" t="str">
        <f>IFERROR(IF(Production[[#This Row],[Date]]&lt;&gt;"",TEXT(Production[[#This Row],[Date]],"yy")&amp;"-"&amp;TEXT(Production[[#This Row],[Date]]-DATE(YEAR(Production[[#This Row],[Date]]),1,0),"000"),""),"")</f>
        <v>24-017</v>
      </c>
      <c r="B350" s="209" t="str">
        <f>IFERROR(IF(INDEX(Ingredients[Ingr1],MATCH(Production[[#This Row],[Product]],Ingredients[ProdName],0))&lt;&gt;"",INDEX(Ingredients[Ingr1],MATCH(Production[[#This Row],[Product]],Ingredients[ProdName],0)),INDEX(Ingredients[Ingr2],MATCH(Production[[#This Row],[Product]],Ingredients[ProdName],0))),"")</f>
        <v>Chicken - Tenders</v>
      </c>
      <c r="C350" s="53">
        <v>45308</v>
      </c>
      <c r="D350" s="54" t="s">
        <v>21</v>
      </c>
      <c r="E350" s="55" t="s">
        <v>208</v>
      </c>
      <c r="F350" s="56">
        <v>5</v>
      </c>
      <c r="G350" s="56">
        <v>35</v>
      </c>
      <c r="H350" s="211">
        <f>IFERROR(INDEX(Tier1[Wt],MATCH(Production[[#This Row],[Type]],Tier1[Ingredient],0))*Production[[#This Row],[Blocks Used]],0)</f>
        <v>1400</v>
      </c>
      <c r="I350" s="210"/>
      <c r="J350" s="210">
        <f>IF(INDEX(Ingredients[Batter],MATCH(Production[[#This Row],[Product]],Ingredients[ProdName],0))*Production[[#This Row],[Batter Used]]&gt;0,INDEX(Ingredients[Batter],MATCH(Production[[#This Row],[Product]],Ingredients[ProdName],0))*Production[[#This Row],[Batter Used]],"")</f>
        <v>100</v>
      </c>
      <c r="K350" s="210">
        <f>IF(INDEX(Ingredients[Breader],MATCH(Production[[#This Row],[Product]],Ingredients[ProdName],0))*Production[[#This Row],[Breader Used]]&gt;0,INDEX(Ingredients[Breader],MATCH(Production[[#This Row],[Product]],Ingredients[ProdName],0))*Production[[#This Row],[Breader Used]],"")</f>
        <v>350</v>
      </c>
      <c r="L350" s="56">
        <v>2</v>
      </c>
      <c r="M350" s="56">
        <v>7</v>
      </c>
      <c r="N350" s="211">
        <f>IFERROR(IF(SUM(Production[[#This Row],[Meat Wt]:[BrTtl]])&lt;&gt;0,SUM(Production[[#This Row],[Meat Wt]:[BrTtl]]),""),"")</f>
        <v>1850</v>
      </c>
      <c r="O350" s="55">
        <v>109</v>
      </c>
      <c r="P350" s="208">
        <f>INDEX(Ingredients[Case Wt.],MATCH(Production[[#This Row],[Product]],Ingredients[ProdName],0))*Production[[#This Row],[Case Total]]</f>
        <v>2725</v>
      </c>
      <c r="Q350" s="211">
        <f>IFERROR(Production[[#This Row],[SatWt]]-Production[[#This Row],[RawWt]],"")</f>
        <v>875</v>
      </c>
      <c r="R350" s="222">
        <f>IF(Production[[#This Row],[Species]]&lt;&gt;"",IF(SUM(Production[[#This Row],[BtTtl]:[BrTtl]])/Production[[#This Row],[SatWt]]&lt;&gt;0,SUM(Production[[#This Row],[BtTtl]:[BrTtl]])/Production[[#This Row],[SatWt]],""),"")</f>
        <v>0.16513761467889909</v>
      </c>
      <c r="S350" s="223" t="str">
        <f>INDEX(Ingredients[Species],MATCH(Production[[#This Row],[Product]],Ingredients[ProdName],0))</f>
        <v>Poultry</v>
      </c>
    </row>
    <row r="351" spans="1:19" ht="11.1" customHeight="1" x14ac:dyDescent="0.25">
      <c r="A351" s="208" t="str">
        <f>IFERROR(IF(Production[[#This Row],[Date]]&lt;&gt;"",TEXT(Production[[#This Row],[Date]],"yy")&amp;"-"&amp;TEXT(Production[[#This Row],[Date]]-DATE(YEAR(Production[[#This Row],[Date]]),1,0),"000"),""),"")</f>
        <v>24-018</v>
      </c>
      <c r="B351" s="209" t="str">
        <f>IFERROR(IF(INDEX(Ingredients[Ingr1],MATCH(Production[[#This Row],[Product]],Ingredients[ProdName],0))&lt;&gt;"",INDEX(Ingredients[Ingr1],MATCH(Production[[#This Row],[Product]],Ingredients[ProdName],0)),INDEX(Ingredients[Ingr2],MATCH(Production[[#This Row],[Product]],Ingredients[ProdName],0))),"")</f>
        <v>Chicken - Tenders</v>
      </c>
      <c r="C351" s="53">
        <v>45309</v>
      </c>
      <c r="D351" s="54" t="s">
        <v>21</v>
      </c>
      <c r="E351" s="55" t="s">
        <v>208</v>
      </c>
      <c r="F351" s="56">
        <v>12</v>
      </c>
      <c r="G351" s="56">
        <v>84</v>
      </c>
      <c r="H351" s="211">
        <f>IFERROR(INDEX(Tier1[Wt],MATCH(Production[[#This Row],[Type]],Tier1[Ingredient],0))*Production[[#This Row],[Blocks Used]],0)</f>
        <v>3360</v>
      </c>
      <c r="I351" s="210"/>
      <c r="J351" s="210">
        <f>IF(INDEX(Ingredients[Batter],MATCH(Production[[#This Row],[Product]],Ingredients[ProdName],0))*Production[[#This Row],[Batter Used]]&gt;0,INDEX(Ingredients[Batter],MATCH(Production[[#This Row],[Product]],Ingredients[ProdName],0))*Production[[#This Row],[Batter Used]],"")</f>
        <v>300</v>
      </c>
      <c r="K351" s="210">
        <f>IF(INDEX(Ingredients[Breader],MATCH(Production[[#This Row],[Product]],Ingredients[ProdName],0))*Production[[#This Row],[Breader Used]]&gt;0,INDEX(Ingredients[Breader],MATCH(Production[[#This Row],[Product]],Ingredients[ProdName],0))*Production[[#This Row],[Breader Used]],"")</f>
        <v>700</v>
      </c>
      <c r="L351" s="56">
        <v>6</v>
      </c>
      <c r="M351" s="56">
        <v>14</v>
      </c>
      <c r="N351" s="211">
        <f>IFERROR(IF(SUM(Production[[#This Row],[Meat Wt]:[BrTtl]])&lt;&gt;0,SUM(Production[[#This Row],[Meat Wt]:[BrTtl]]),""),"")</f>
        <v>4360</v>
      </c>
      <c r="O351" s="55">
        <v>259</v>
      </c>
      <c r="P351" s="208">
        <f>INDEX(Ingredients[Case Wt.],MATCH(Production[[#This Row],[Product]],Ingredients[ProdName],0))*Production[[#This Row],[Case Total]]</f>
        <v>6475</v>
      </c>
      <c r="Q351" s="211">
        <f>IFERROR(Production[[#This Row],[SatWt]]-Production[[#This Row],[RawWt]],"")</f>
        <v>2115</v>
      </c>
      <c r="R351" s="222">
        <f>IF(Production[[#This Row],[Species]]&lt;&gt;"",IF(SUM(Production[[#This Row],[BtTtl]:[BrTtl]])/Production[[#This Row],[SatWt]]&lt;&gt;0,SUM(Production[[#This Row],[BtTtl]:[BrTtl]])/Production[[#This Row],[SatWt]],""),"")</f>
        <v>0.15444015444015444</v>
      </c>
      <c r="S351" s="223" t="str">
        <f>INDEX(Ingredients[Species],MATCH(Production[[#This Row],[Product]],Ingredients[ProdName],0))</f>
        <v>Poultry</v>
      </c>
    </row>
    <row r="352" spans="1:19" ht="11.1" customHeight="1" x14ac:dyDescent="0.25">
      <c r="A352" s="208" t="str">
        <f>IFERROR(IF(Production[[#This Row],[Date]]&lt;&gt;"",TEXT(Production[[#This Row],[Date]],"yy")&amp;"-"&amp;TEXT(Production[[#This Row],[Date]]-DATE(YEAR(Production[[#This Row],[Date]]),1,0),"000"),""),"")</f>
        <v>24-022</v>
      </c>
      <c r="B352" s="209" t="str">
        <f>IFERROR(IF(INDEX(Ingredients[Ingr1],MATCH(Production[[#This Row],[Product]],Ingredients[ProdName],0))&lt;&gt;"",INDEX(Ingredients[Ingr1],MATCH(Production[[#This Row],[Product]],Ingredients[ProdName],0)),INDEX(Ingredients[Ingr2],MATCH(Production[[#This Row],[Product]],Ingredients[ProdName],0))),"")</f>
        <v>Chicken - Tenders</v>
      </c>
      <c r="C352" s="53">
        <v>45313</v>
      </c>
      <c r="D352" s="54" t="s">
        <v>21</v>
      </c>
      <c r="E352" s="55" t="s">
        <v>208</v>
      </c>
      <c r="F352" s="56">
        <v>10</v>
      </c>
      <c r="G352" s="56">
        <v>70</v>
      </c>
      <c r="H352" s="211">
        <f>IFERROR(INDEX(Tier1[Wt],MATCH(Production[[#This Row],[Type]],Tier1[Ingredient],0))*Production[[#This Row],[Blocks Used]],0)</f>
        <v>2800</v>
      </c>
      <c r="I352" s="210"/>
      <c r="J352" s="210">
        <f>IF(INDEX(Ingredients[Batter],MATCH(Production[[#This Row],[Product]],Ingredients[ProdName],0))*Production[[#This Row],[Batter Used]]&gt;0,INDEX(Ingredients[Batter],MATCH(Production[[#This Row],[Product]],Ingredients[ProdName],0))*Production[[#This Row],[Batter Used]],"")</f>
        <v>150</v>
      </c>
      <c r="K352" s="210">
        <f>IF(INDEX(Ingredients[Breader],MATCH(Production[[#This Row],[Product]],Ingredients[ProdName],0))*Production[[#This Row],[Breader Used]]&gt;0,INDEX(Ingredients[Breader],MATCH(Production[[#This Row],[Product]],Ingredients[ProdName],0))*Production[[#This Row],[Breader Used]],"")</f>
        <v>500</v>
      </c>
      <c r="L352" s="56">
        <v>3</v>
      </c>
      <c r="M352" s="56">
        <v>10</v>
      </c>
      <c r="N352" s="211">
        <f>IFERROR(IF(SUM(Production[[#This Row],[Meat Wt]:[BrTtl]])&lt;&gt;0,SUM(Production[[#This Row],[Meat Wt]:[BrTtl]]),""),"")</f>
        <v>3450</v>
      </c>
      <c r="O352" s="55">
        <v>208</v>
      </c>
      <c r="P352" s="208">
        <f>INDEX(Ingredients[Case Wt.],MATCH(Production[[#This Row],[Product]],Ingredients[ProdName],0))*Production[[#This Row],[Case Total]]</f>
        <v>5200</v>
      </c>
      <c r="Q352" s="211">
        <f>IFERROR(Production[[#This Row],[SatWt]]-Production[[#This Row],[RawWt]],"")</f>
        <v>1750</v>
      </c>
      <c r="R352" s="222">
        <f>IF(Production[[#This Row],[Species]]&lt;&gt;"",IF(SUM(Production[[#This Row],[BtTtl]:[BrTtl]])/Production[[#This Row],[SatWt]]&lt;&gt;0,SUM(Production[[#This Row],[BtTtl]:[BrTtl]])/Production[[#This Row],[SatWt]],""),"")</f>
        <v>0.125</v>
      </c>
      <c r="S352" s="223" t="str">
        <f>INDEX(Ingredients[Species],MATCH(Production[[#This Row],[Product]],Ingredients[ProdName],0))</f>
        <v>Poultry</v>
      </c>
    </row>
    <row r="353" spans="1:19" ht="11.1" customHeight="1" x14ac:dyDescent="0.25">
      <c r="A353" s="208" t="str">
        <f>IFERROR(IF(Production[[#This Row],[Date]]&lt;&gt;"",TEXT(Production[[#This Row],[Date]],"yy")&amp;"-"&amp;TEXT(Production[[#This Row],[Date]]-DATE(YEAR(Production[[#This Row],[Date]]),1,0),"000"),""),"")</f>
        <v>24-023</v>
      </c>
      <c r="B353" s="209" t="str">
        <f>IFERROR(IF(INDEX(Ingredients[Ingr1],MATCH(Production[[#This Row],[Product]],Ingredients[ProdName],0))&lt;&gt;"",INDEX(Ingredients[Ingr1],MATCH(Production[[#This Row],[Product]],Ingredients[ProdName],0)),INDEX(Ingredients[Ingr2],MATCH(Production[[#This Row],[Product]],Ingredients[ProdName],0))),"")</f>
        <v>Chicken - Tenders</v>
      </c>
      <c r="C353" s="53">
        <v>45314</v>
      </c>
      <c r="D353" s="54" t="s">
        <v>12</v>
      </c>
      <c r="E353" s="55" t="s">
        <v>208</v>
      </c>
      <c r="F353" s="56">
        <v>5</v>
      </c>
      <c r="G353" s="56">
        <v>35</v>
      </c>
      <c r="H353" s="211">
        <f>IFERROR(INDEX(Tier1[Wt],MATCH(Production[[#This Row],[Type]],Tier1[Ingredient],0))*Production[[#This Row],[Blocks Used]],0)</f>
        <v>1400</v>
      </c>
      <c r="I353" s="210"/>
      <c r="J353" s="210">
        <f>IF(INDEX(Ingredients[Batter],MATCH(Production[[#This Row],[Product]],Ingredients[ProdName],0))*Production[[#This Row],[Batter Used]]&gt;0,INDEX(Ingredients[Batter],MATCH(Production[[#This Row],[Product]],Ingredients[ProdName],0))*Production[[#This Row],[Batter Used]],"")</f>
        <v>50</v>
      </c>
      <c r="K353" s="210">
        <f>IF(INDEX(Ingredients[Breader],MATCH(Production[[#This Row],[Product]],Ingredients[ProdName],0))*Production[[#This Row],[Breader Used]]&gt;0,INDEX(Ingredients[Breader],MATCH(Production[[#This Row],[Product]],Ingredients[ProdName],0))*Production[[#This Row],[Breader Used]],"")</f>
        <v>200</v>
      </c>
      <c r="L353" s="56">
        <v>1</v>
      </c>
      <c r="M353" s="56">
        <v>4</v>
      </c>
      <c r="N353" s="211">
        <f>IFERROR(IF(SUM(Production[[#This Row],[Meat Wt]:[BrTtl]])&lt;&gt;0,SUM(Production[[#This Row],[Meat Wt]:[BrTtl]]),""),"")</f>
        <v>1650</v>
      </c>
      <c r="O353" s="55">
        <v>98</v>
      </c>
      <c r="P353" s="208">
        <f>INDEX(Ingredients[Case Wt.],MATCH(Production[[#This Row],[Product]],Ingredients[ProdName],0))*Production[[#This Row],[Case Total]]</f>
        <v>2450</v>
      </c>
      <c r="Q353" s="211">
        <f>IFERROR(Production[[#This Row],[SatWt]]-Production[[#This Row],[RawWt]],"")</f>
        <v>800</v>
      </c>
      <c r="R353" s="222">
        <f>IF(Production[[#This Row],[Species]]&lt;&gt;"",IF(SUM(Production[[#This Row],[BtTtl]:[BrTtl]])/Production[[#This Row],[SatWt]]&lt;&gt;0,SUM(Production[[#This Row],[BtTtl]:[BrTtl]])/Production[[#This Row],[SatWt]],""),"")</f>
        <v>0.10204081632653061</v>
      </c>
      <c r="S353" s="223" t="str">
        <f>INDEX(Ingredients[Species],MATCH(Production[[#This Row],[Product]],Ingredients[ProdName],0))</f>
        <v>Poultry</v>
      </c>
    </row>
    <row r="354" spans="1:19" ht="11.1" customHeight="1" x14ac:dyDescent="0.25">
      <c r="A354" s="208" t="str">
        <f>IFERROR(IF(Production[[#This Row],[Date]]&lt;&gt;"",TEXT(Production[[#This Row],[Date]],"yy")&amp;"-"&amp;TEXT(Production[[#This Row],[Date]]-DATE(YEAR(Production[[#This Row],[Date]]),1,0),"000"),""),"")</f>
        <v>24-023</v>
      </c>
      <c r="B354" s="209" t="str">
        <f>IFERROR(IF(INDEX(Ingredients[Ingr1],MATCH(Production[[#This Row],[Product]],Ingredients[ProdName],0))&lt;&gt;"",INDEX(Ingredients[Ingr1],MATCH(Production[[#This Row],[Product]],Ingredients[ProdName],0)),INDEX(Ingredients[Ingr2],MATCH(Production[[#This Row],[Product]],Ingredients[ProdName],0))),"")</f>
        <v>Chicken - Tenders</v>
      </c>
      <c r="C354" s="53">
        <v>45314</v>
      </c>
      <c r="D354" s="54" t="s">
        <v>12</v>
      </c>
      <c r="E354" s="55" t="s">
        <v>125</v>
      </c>
      <c r="F354" s="56">
        <v>7</v>
      </c>
      <c r="G354" s="56">
        <v>49</v>
      </c>
      <c r="H354" s="208">
        <f>IFERROR(INDEX(Tier1[Wt],MATCH(Production[[#This Row],[Type]],Tier1[Ingredient],0))*Production[[#This Row],[Blocks Used]],0)</f>
        <v>1960</v>
      </c>
      <c r="I354" s="210">
        <f>IFERROR(INDEX(Ingredients[TtlWt],MATCH(Production[[#This Row],[Product]],Ingredients[ProdName],0))*Production[[#This Row],[Lots Done]],"")</f>
        <v>418.59999999999997</v>
      </c>
      <c r="J354" s="210">
        <f>IF(INDEX(Ingredients[Batter],MATCH(Production[[#This Row],[Product]],Ingredients[ProdName],0))*Production[[#This Row],[Batter Used]]&gt;0,INDEX(Ingredients[Batter],MATCH(Production[[#This Row],[Product]],Ingredients[ProdName],0))*Production[[#This Row],[Batter Used]],"")</f>
        <v>50</v>
      </c>
      <c r="K354" s="210">
        <f>IF(INDEX(Ingredients[Breader],MATCH(Production[[#This Row],[Product]],Ingredients[ProdName],0))*Production[[#This Row],[Breader Used]]&gt;0,INDEX(Ingredients[Breader],MATCH(Production[[#This Row],[Product]],Ingredients[ProdName],0))*Production[[#This Row],[Breader Used]],"")</f>
        <v>300</v>
      </c>
      <c r="L354" s="56">
        <v>1</v>
      </c>
      <c r="M354" s="56">
        <v>6</v>
      </c>
      <c r="N354" s="211">
        <f>IFERROR(IF(SUM(Production[[#This Row],[Meat Wt]:[BrTtl]])&lt;&gt;0,SUM(Production[[#This Row],[Meat Wt]:[BrTtl]]),""),"")</f>
        <v>2728.6</v>
      </c>
      <c r="O354" s="55">
        <v>145</v>
      </c>
      <c r="P354" s="208">
        <f>INDEX(Ingredients[Case Wt.],MATCH(Production[[#This Row],[Product]],Ingredients[ProdName],0))*Production[[#This Row],[Case Total]]</f>
        <v>3625</v>
      </c>
      <c r="Q354" s="211">
        <f>IFERROR(Production[[#This Row],[SatWt]]-Production[[#This Row],[RawWt]],"")</f>
        <v>896.40000000000009</v>
      </c>
      <c r="R354" s="222">
        <f>IF(Production[[#This Row],[Species]]&lt;&gt;"",IF(SUM(Production[[#This Row],[BtTtl]:[BrTtl]])/Production[[#This Row],[SatWt]]&lt;&gt;0,SUM(Production[[#This Row],[BtTtl]:[BrTtl]])/Production[[#This Row],[SatWt]],""),"")</f>
        <v>9.6551724137931033E-2</v>
      </c>
      <c r="S354" s="223" t="str">
        <f>INDEX(Ingredients[Species],MATCH(Production[[#This Row],[Product]],Ingredients[ProdName],0))</f>
        <v>Poultry</v>
      </c>
    </row>
    <row r="355" spans="1:19" ht="11.1" customHeight="1" x14ac:dyDescent="0.25">
      <c r="A355" s="208" t="str">
        <f>IFERROR(IF(Production[[#This Row],[Date]]&lt;&gt;"",TEXT(Production[[#This Row],[Date]],"yy")&amp;"-"&amp;TEXT(Production[[#This Row],[Date]]-DATE(YEAR(Production[[#This Row],[Date]]),1,0),"000"),""),"")</f>
        <v>24-024</v>
      </c>
      <c r="B355" s="209" t="str">
        <f>IFERROR(IF(INDEX(Ingredients[Ingr1],MATCH(Production[[#This Row],[Product]],Ingredients[ProdName],0))&lt;&gt;"",INDEX(Ingredients[Ingr1],MATCH(Production[[#This Row],[Product]],Ingredients[ProdName],0)),INDEX(Ingredients[Ingr2],MATCH(Production[[#This Row],[Product]],Ingredients[ProdName],0))),"")</f>
        <v>Chicken - Tenders</v>
      </c>
      <c r="C355" s="53">
        <v>45315</v>
      </c>
      <c r="D355" s="54" t="s">
        <v>21</v>
      </c>
      <c r="E355" s="55" t="s">
        <v>125</v>
      </c>
      <c r="F355" s="56">
        <v>12</v>
      </c>
      <c r="G355" s="56">
        <v>84</v>
      </c>
      <c r="H355" s="208">
        <f>IFERROR(INDEX(Tier1[Wt],MATCH(Production[[#This Row],[Type]],Tier1[Ingredient],0))*Production[[#This Row],[Blocks Used]],0)</f>
        <v>3360</v>
      </c>
      <c r="I355" s="210"/>
      <c r="J355" s="210">
        <f>IF(INDEX(Ingredients[Batter],MATCH(Production[[#This Row],[Product]],Ingredients[ProdName],0))*Production[[#This Row],[Batter Used]]&gt;0,INDEX(Ingredients[Batter],MATCH(Production[[#This Row],[Product]],Ingredients[ProdName],0))*Production[[#This Row],[Batter Used]],"")</f>
        <v>150</v>
      </c>
      <c r="K355" s="210">
        <f>IF(INDEX(Ingredients[Breader],MATCH(Production[[#This Row],[Product]],Ingredients[ProdName],0))*Production[[#This Row],[Breader Used]]&gt;0,INDEX(Ingredients[Breader],MATCH(Production[[#This Row],[Product]],Ingredients[ProdName],0))*Production[[#This Row],[Breader Used]],"")</f>
        <v>750</v>
      </c>
      <c r="L355" s="56">
        <v>3</v>
      </c>
      <c r="M355" s="56">
        <v>15</v>
      </c>
      <c r="N355" s="211">
        <f>IFERROR(IF(SUM(Production[[#This Row],[Meat Wt]:[BrTtl]])&lt;&gt;0,SUM(Production[[#This Row],[Meat Wt]:[BrTtl]]),""),"")</f>
        <v>4260</v>
      </c>
      <c r="O355" s="55">
        <v>242</v>
      </c>
      <c r="P355" s="208">
        <f>INDEX(Ingredients[Case Wt.],MATCH(Production[[#This Row],[Product]],Ingredients[ProdName],0))*Production[[#This Row],[Case Total]]</f>
        <v>6050</v>
      </c>
      <c r="Q355" s="211">
        <f>IFERROR(Production[[#This Row],[SatWt]]-Production[[#This Row],[RawWt]],"")</f>
        <v>1790</v>
      </c>
      <c r="R355" s="222">
        <f>IF(Production[[#This Row],[Species]]&lt;&gt;"",IF(SUM(Production[[#This Row],[BtTtl]:[BrTtl]])/Production[[#This Row],[SatWt]]&lt;&gt;0,SUM(Production[[#This Row],[BtTtl]:[BrTtl]])/Production[[#This Row],[SatWt]],""),"")</f>
        <v>0.1487603305785124</v>
      </c>
      <c r="S355" s="223" t="str">
        <f>INDEX(Ingredients[Species],MATCH(Production[[#This Row],[Product]],Ingredients[ProdName],0))</f>
        <v>Poultry</v>
      </c>
    </row>
    <row r="356" spans="1:19" ht="11.1" customHeight="1" x14ac:dyDescent="0.25">
      <c r="A356" s="208" t="str">
        <f>IFERROR(IF(Production[[#This Row],[Date]]&lt;&gt;"",TEXT(Production[[#This Row],[Date]],"yy")&amp;"-"&amp;TEXT(Production[[#This Row],[Date]]-DATE(YEAR(Production[[#This Row],[Date]]),1,0),"000"),""),"")</f>
        <v>24-025</v>
      </c>
      <c r="B356" s="209" t="str">
        <f>IFERROR(IF(INDEX(Ingredients[Ingr1],MATCH(Production[[#This Row],[Product]],Ingredients[ProdName],0))&lt;&gt;"",INDEX(Ingredients[Ingr1],MATCH(Production[[#This Row],[Product]],Ingredients[ProdName],0)),INDEX(Ingredients[Ingr2],MATCH(Production[[#This Row],[Product]],Ingredients[ProdName],0))),"")</f>
        <v>Chicken - Tenders</v>
      </c>
      <c r="C356" s="53">
        <v>45316</v>
      </c>
      <c r="D356" s="54" t="s">
        <v>21</v>
      </c>
      <c r="E356" s="55" t="s">
        <v>125</v>
      </c>
      <c r="F356" s="56">
        <v>12</v>
      </c>
      <c r="G356" s="56">
        <v>84</v>
      </c>
      <c r="H356" s="208">
        <f>IFERROR(INDEX(Tier1[Wt],MATCH(Production[[#This Row],[Type]],Tier1[Ingredient],0))*Production[[#This Row],[Blocks Used]],0)</f>
        <v>3360</v>
      </c>
      <c r="I356" s="210"/>
      <c r="J356" s="210">
        <f>IF(INDEX(Ingredients[Batter],MATCH(Production[[#This Row],[Product]],Ingredients[ProdName],0))*Production[[#This Row],[Batter Used]]&gt;0,INDEX(Ingredients[Batter],MATCH(Production[[#This Row],[Product]],Ingredients[ProdName],0))*Production[[#This Row],[Batter Used]],"")</f>
        <v>150</v>
      </c>
      <c r="K356" s="210">
        <f>IF(INDEX(Ingredients[Breader],MATCH(Production[[#This Row],[Product]],Ingredients[ProdName],0))*Production[[#This Row],[Breader Used]]&gt;0,INDEX(Ingredients[Breader],MATCH(Production[[#This Row],[Product]],Ingredients[ProdName],0))*Production[[#This Row],[Breader Used]],"")</f>
        <v>650</v>
      </c>
      <c r="L356" s="56">
        <v>3</v>
      </c>
      <c r="M356" s="56">
        <v>13</v>
      </c>
      <c r="N356" s="211">
        <f>IFERROR(IF(SUM(Production[[#This Row],[Meat Wt]:[BrTtl]])&lt;&gt;0,SUM(Production[[#This Row],[Meat Wt]:[BrTtl]]),""),"")</f>
        <v>4160</v>
      </c>
      <c r="O356" s="55">
        <v>247</v>
      </c>
      <c r="P356" s="208">
        <f>INDEX(Ingredients[Case Wt.],MATCH(Production[[#This Row],[Product]],Ingredients[ProdName],0))*Production[[#This Row],[Case Total]]</f>
        <v>6175</v>
      </c>
      <c r="Q356" s="211">
        <f>IFERROR(Production[[#This Row],[SatWt]]-Production[[#This Row],[RawWt]],"")</f>
        <v>2015</v>
      </c>
      <c r="R356" s="222">
        <f>IF(Production[[#This Row],[Species]]&lt;&gt;"",IF(SUM(Production[[#This Row],[BtTtl]:[BrTtl]])/Production[[#This Row],[SatWt]]&lt;&gt;0,SUM(Production[[#This Row],[BtTtl]:[BrTtl]])/Production[[#This Row],[SatWt]],""),"")</f>
        <v>0.12955465587044535</v>
      </c>
      <c r="S356" s="223" t="str">
        <f>INDEX(Ingredients[Species],MATCH(Production[[#This Row],[Product]],Ingredients[ProdName],0))</f>
        <v>Poultry</v>
      </c>
    </row>
    <row r="357" spans="1:19" ht="11.1" customHeight="1" x14ac:dyDescent="0.25">
      <c r="A357" s="208" t="str">
        <f>IFERROR(IF(Production[[#This Row],[Date]]&lt;&gt;"",TEXT(Production[[#This Row],[Date]],"yy")&amp;"-"&amp;TEXT(Production[[#This Row],[Date]]-DATE(YEAR(Production[[#This Row],[Date]]),1,0),"000"),""),"")</f>
        <v>24-029</v>
      </c>
      <c r="B357" s="209" t="str">
        <f>IFERROR(IF(INDEX(Ingredients[Ingr1],MATCH(Production[[#This Row],[Product]],Ingredients[ProdName],0))&lt;&gt;"",INDEX(Ingredients[Ingr1],MATCH(Production[[#This Row],[Product]],Ingredients[ProdName],0)),INDEX(Ingredients[Ingr2],MATCH(Production[[#This Row],[Product]],Ingredients[ProdName],0))),"")</f>
        <v>Chicken - Tenders</v>
      </c>
      <c r="C357" s="53">
        <v>45320</v>
      </c>
      <c r="D357" s="54" t="s">
        <v>21</v>
      </c>
      <c r="E357" s="55" t="s">
        <v>125</v>
      </c>
      <c r="F357" s="56">
        <v>12</v>
      </c>
      <c r="G357" s="56">
        <v>84</v>
      </c>
      <c r="H357" s="208">
        <f>IFERROR(INDEX(Tier1[Wt],MATCH(Production[[#This Row],[Type]],Tier1[Ingredient],0))*Production[[#This Row],[Blocks Used]],0)</f>
        <v>3360</v>
      </c>
      <c r="I357" s="210"/>
      <c r="J357" s="210">
        <f>IF(INDEX(Ingredients[Batter],MATCH(Production[[#This Row],[Product]],Ingredients[ProdName],0))*Production[[#This Row],[Batter Used]]&gt;0,INDEX(Ingredients[Batter],MATCH(Production[[#This Row],[Product]],Ingredients[ProdName],0))*Production[[#This Row],[Batter Used]],"")</f>
        <v>300</v>
      </c>
      <c r="K357" s="210">
        <f>IF(INDEX(Ingredients[Breader],MATCH(Production[[#This Row],[Product]],Ingredients[ProdName],0))*Production[[#This Row],[Breader Used]]&gt;0,INDEX(Ingredients[Breader],MATCH(Production[[#This Row],[Product]],Ingredients[ProdName],0))*Production[[#This Row],[Breader Used]],"")</f>
        <v>700</v>
      </c>
      <c r="L357" s="56">
        <v>6</v>
      </c>
      <c r="M357" s="56">
        <v>14</v>
      </c>
      <c r="N357" s="211">
        <f>IFERROR(IF(SUM(Production[[#This Row],[Meat Wt]:[BrTtl]])&lt;&gt;0,SUM(Production[[#This Row],[Meat Wt]:[BrTtl]]),""),"")</f>
        <v>4360</v>
      </c>
      <c r="O357" s="55">
        <v>252</v>
      </c>
      <c r="P357" s="208">
        <f>INDEX(Ingredients[Case Wt.],MATCH(Production[[#This Row],[Product]],Ingredients[ProdName],0))*Production[[#This Row],[Case Total]]</f>
        <v>6300</v>
      </c>
      <c r="Q357" s="211">
        <f>IFERROR(Production[[#This Row],[SatWt]]-Production[[#This Row],[RawWt]],"")</f>
        <v>1940</v>
      </c>
      <c r="R357" s="222">
        <f>IF(Production[[#This Row],[Species]]&lt;&gt;"",IF(SUM(Production[[#This Row],[BtTtl]:[BrTtl]])/Production[[#This Row],[SatWt]]&lt;&gt;0,SUM(Production[[#This Row],[BtTtl]:[BrTtl]])/Production[[#This Row],[SatWt]],""),"")</f>
        <v>0.15873015873015872</v>
      </c>
      <c r="S357" s="223" t="str">
        <f>INDEX(Ingredients[Species],MATCH(Production[[#This Row],[Product]],Ingredients[ProdName],0))</f>
        <v>Poultry</v>
      </c>
    </row>
    <row r="358" spans="1:19" ht="11.1" customHeight="1" x14ac:dyDescent="0.25">
      <c r="A358" s="208" t="str">
        <f>IFERROR(IF(Production[[#This Row],[Date]]&lt;&gt;"",TEXT(Production[[#This Row],[Date]],"yy")&amp;"-"&amp;TEXT(Production[[#This Row],[Date]]-DATE(YEAR(Production[[#This Row],[Date]]),1,0),"000"),""),"")</f>
        <v>24-030</v>
      </c>
      <c r="B358" s="209" t="str">
        <f>IFERROR(IF(INDEX(Ingredients[Ingr1],MATCH(Production[[#This Row],[Product]],Ingredients[ProdName],0))&lt;&gt;"",INDEX(Ingredients[Ingr1],MATCH(Production[[#This Row],[Product]],Ingredients[ProdName],0)),INDEX(Ingredients[Ingr2],MATCH(Production[[#This Row],[Product]],Ingredients[ProdName],0))),"")</f>
        <v>Chicken - Tenders</v>
      </c>
      <c r="C358" s="53">
        <v>45321</v>
      </c>
      <c r="D358" s="54" t="s">
        <v>21</v>
      </c>
      <c r="E358" s="55" t="s">
        <v>125</v>
      </c>
      <c r="F358" s="56">
        <v>6</v>
      </c>
      <c r="G358" s="56">
        <v>42</v>
      </c>
      <c r="H358" s="208">
        <f>IFERROR(INDEX(Tier1[Wt],MATCH(Production[[#This Row],[Type]],Tier1[Ingredient],0))*Production[[#This Row],[Blocks Used]],0)</f>
        <v>1680</v>
      </c>
      <c r="I358" s="210"/>
      <c r="J358" s="210">
        <f>IF(INDEX(Ingredients[Batter],MATCH(Production[[#This Row],[Product]],Ingredients[ProdName],0))*Production[[#This Row],[Batter Used]]&gt;0,INDEX(Ingredients[Batter],MATCH(Production[[#This Row],[Product]],Ingredients[ProdName],0))*Production[[#This Row],[Batter Used]],"")</f>
        <v>50</v>
      </c>
      <c r="K358" s="210">
        <f>IF(INDEX(Ingredients[Breader],MATCH(Production[[#This Row],[Product]],Ingredients[ProdName],0))*Production[[#This Row],[Breader Used]]&gt;0,INDEX(Ingredients[Breader],MATCH(Production[[#This Row],[Product]],Ingredients[ProdName],0))*Production[[#This Row],[Breader Used]],"")</f>
        <v>350</v>
      </c>
      <c r="L358" s="56">
        <v>1</v>
      </c>
      <c r="M358" s="56">
        <v>7</v>
      </c>
      <c r="N358" s="211">
        <f>IFERROR(IF(SUM(Production[[#This Row],[Meat Wt]:[BrTtl]])&lt;&gt;0,SUM(Production[[#This Row],[Meat Wt]:[BrTtl]]),""),"")</f>
        <v>2080</v>
      </c>
      <c r="O358" s="55">
        <v>130</v>
      </c>
      <c r="P358" s="208">
        <f>INDEX(Ingredients[Case Wt.],MATCH(Production[[#This Row],[Product]],Ingredients[ProdName],0))*Production[[#This Row],[Case Total]]</f>
        <v>3250</v>
      </c>
      <c r="Q358" s="211">
        <f>IFERROR(Production[[#This Row],[SatWt]]-Production[[#This Row],[RawWt]],"")</f>
        <v>1170</v>
      </c>
      <c r="R358" s="222">
        <f>IF(Production[[#This Row],[Species]]&lt;&gt;"",IF(SUM(Production[[#This Row],[BtTtl]:[BrTtl]])/Production[[#This Row],[SatWt]]&lt;&gt;0,SUM(Production[[#This Row],[BtTtl]:[BrTtl]])/Production[[#This Row],[SatWt]],""),"")</f>
        <v>0.12307692307692308</v>
      </c>
      <c r="S358" s="223" t="str">
        <f>INDEX(Ingredients[Species],MATCH(Production[[#This Row],[Product]],Ingredients[ProdName],0))</f>
        <v>Poultry</v>
      </c>
    </row>
    <row r="359" spans="1:19" ht="11.1" customHeight="1" x14ac:dyDescent="0.25">
      <c r="A359" s="208" t="str">
        <f>IFERROR(IF(Production[[#This Row],[Date]]&lt;&gt;"",TEXT(Production[[#This Row],[Date]],"yy")&amp;"-"&amp;TEXT(Production[[#This Row],[Date]]-DATE(YEAR(Production[[#This Row],[Date]]),1,0),"000"),""),"")</f>
        <v>24-031</v>
      </c>
      <c r="B359" s="209" t="str">
        <f>IFERROR(IF(INDEX(Ingredients[Ingr1],MATCH(Production[[#This Row],[Product]],Ingredients[ProdName],0))&lt;&gt;"",INDEX(Ingredients[Ingr1],MATCH(Production[[#This Row],[Product]],Ingredients[ProdName],0)),INDEX(Ingredients[Ingr2],MATCH(Production[[#This Row],[Product]],Ingredients[ProdName],0))),"")</f>
        <v>Chicken - Ground</v>
      </c>
      <c r="C359" s="53">
        <v>45322</v>
      </c>
      <c r="D359" s="54" t="s">
        <v>7</v>
      </c>
      <c r="E359" s="55">
        <v>8285</v>
      </c>
      <c r="F359" s="56">
        <v>12</v>
      </c>
      <c r="G359" s="56">
        <v>72</v>
      </c>
      <c r="H359" s="208">
        <f>IFERROR(INDEX(Tier1[Wt],MATCH(Production[[#This Row],[Type]],Tier1[Ingredient],0))*Production[[#This Row],[Blocks Used]],0)</f>
        <v>3600</v>
      </c>
      <c r="I359" s="210">
        <f>IFERROR(INDEX(Ingredients[TtlWt],MATCH(Production[[#This Row],[Product]],Ingredients[ProdName],0))*Production[[#This Row],[Lots Done]],"")</f>
        <v>81</v>
      </c>
      <c r="J359" s="210" t="str">
        <f>IF(INDEX(Ingredients[Batter],MATCH(Production[[#This Row],[Product]],Ingredients[ProdName],0))*Production[[#This Row],[Batter Used]]&gt;0,INDEX(Ingredients[Batter],MATCH(Production[[#This Row],[Product]],Ingredients[ProdName],0))*Production[[#This Row],[Batter Used]],"")</f>
        <v/>
      </c>
      <c r="K359" s="210" t="str">
        <f>IF(INDEX(Ingredients[Breader],MATCH(Production[[#This Row],[Product]],Ingredients[ProdName],0))*Production[[#This Row],[Breader Used]]&gt;0,INDEX(Ingredients[Breader],MATCH(Production[[#This Row],[Product]],Ingredients[ProdName],0))*Production[[#This Row],[Breader Used]],"")</f>
        <v/>
      </c>
      <c r="L359" s="56"/>
      <c r="M359" s="56"/>
      <c r="N359" s="211">
        <f>IFERROR(IF(SUM(Production[[#This Row],[Meat Wt]:[BrTtl]])&lt;&gt;0,SUM(Production[[#This Row],[Meat Wt]:[BrTtl]]),""),"")</f>
        <v>3681</v>
      </c>
      <c r="O359" s="55">
        <v>206</v>
      </c>
      <c r="P359" s="208">
        <f>INDEX(Ingredients[Case Wt.],MATCH(Production[[#This Row],[Product]],Ingredients[ProdName],0))*Production[[#This Row],[Case Total]]</f>
        <v>5150</v>
      </c>
      <c r="Q359" s="211">
        <f>IFERROR(Production[[#This Row],[SatWt]]-Production[[#This Row],[RawWt]],"")</f>
        <v>1469</v>
      </c>
      <c r="R359" s="222" t="str">
        <f>IF(Production[[#This Row],[Species]]&lt;&gt;"",IF(SUM(Production[[#This Row],[BtTtl]:[BrTtl]])/Production[[#This Row],[SatWt]]&lt;&gt;0,SUM(Production[[#This Row],[BtTtl]:[BrTtl]])/Production[[#This Row],[SatWt]],""),"")</f>
        <v/>
      </c>
      <c r="S359" s="223" t="str">
        <f>INDEX(Ingredients[Species],MATCH(Production[[#This Row],[Product]],Ingredients[ProdName],0))</f>
        <v>Poultry</v>
      </c>
    </row>
    <row r="360" spans="1:19" ht="11.1" customHeight="1" x14ac:dyDescent="0.25">
      <c r="A360" s="208" t="str">
        <f>IFERROR(IF(Production[[#This Row],[Date]]&lt;&gt;"",TEXT(Production[[#This Row],[Date]],"yy")&amp;"-"&amp;TEXT(Production[[#This Row],[Date]]-DATE(YEAR(Production[[#This Row],[Date]]),1,0),"000"),""),"")</f>
        <v>24-032</v>
      </c>
      <c r="B360" s="209" t="str">
        <f>IFERROR(IF(INDEX(Ingredients[Ingr1],MATCH(Production[[#This Row],[Product]],Ingredients[ProdName],0))&lt;&gt;"",INDEX(Ingredients[Ingr1],MATCH(Production[[#This Row],[Product]],Ingredients[ProdName],0)),INDEX(Ingredients[Ingr2],MATCH(Production[[#This Row],[Product]],Ingredients[ProdName],0))),"")</f>
        <v>Chicken - Ground</v>
      </c>
      <c r="C360" s="53">
        <v>45323</v>
      </c>
      <c r="D360" s="54" t="s">
        <v>13</v>
      </c>
      <c r="E360" s="55" t="s">
        <v>126</v>
      </c>
      <c r="F360" s="56">
        <v>16</v>
      </c>
      <c r="G360" s="56">
        <v>96</v>
      </c>
      <c r="H360" s="208">
        <f>IFERROR(INDEX(Tier1[Wt],MATCH(Production[[#This Row],[Type]],Tier1[Ingredient],0))*Production[[#This Row],[Blocks Used]],0)</f>
        <v>4800</v>
      </c>
      <c r="I360" s="210">
        <f>IFERROR(INDEX(Ingredients[TtlWt],MATCH(Production[[#This Row],[Product]],Ingredients[ProdName],0))*Production[[#This Row],[Lots Done]],"")</f>
        <v>760</v>
      </c>
      <c r="J360" s="210" t="str">
        <f>IF(INDEX(Ingredients[Batter],MATCH(Production[[#This Row],[Product]],Ingredients[ProdName],0))*Production[[#This Row],[Batter Used]]&gt;0,INDEX(Ingredients[Batter],MATCH(Production[[#This Row],[Product]],Ingredients[ProdName],0))*Production[[#This Row],[Batter Used]],"")</f>
        <v/>
      </c>
      <c r="K360" s="210" t="str">
        <f>IF(INDEX(Ingredients[Breader],MATCH(Production[[#This Row],[Product]],Ingredients[ProdName],0))*Production[[#This Row],[Breader Used]]&gt;0,INDEX(Ingredients[Breader],MATCH(Production[[#This Row],[Product]],Ingredients[ProdName],0))*Production[[#This Row],[Breader Used]],"")</f>
        <v/>
      </c>
      <c r="L360" s="56"/>
      <c r="M360" s="56"/>
      <c r="N360" s="211">
        <f>IFERROR(IF(SUM(Production[[#This Row],[Meat Wt]:[BrTtl]])&lt;&gt;0,SUM(Production[[#This Row],[Meat Wt]:[BrTtl]]),""),"")</f>
        <v>5560</v>
      </c>
      <c r="O360" s="55">
        <v>231</v>
      </c>
      <c r="P360" s="208">
        <f>INDEX(Ingredients[Case Wt.],MATCH(Production[[#This Row],[Product]],Ingredients[ProdName],0))*Production[[#This Row],[Case Total]]</f>
        <v>6930</v>
      </c>
      <c r="Q360" s="211">
        <f>IFERROR(Production[[#This Row],[SatWt]]-Production[[#This Row],[RawWt]],"")</f>
        <v>1370</v>
      </c>
      <c r="R360" s="222" t="str">
        <f>IF(Production[[#This Row],[Species]]&lt;&gt;"",IF(SUM(Production[[#This Row],[BtTtl]:[BrTtl]])/Production[[#This Row],[SatWt]]&lt;&gt;0,SUM(Production[[#This Row],[BtTtl]:[BrTtl]])/Production[[#This Row],[SatWt]],""),"")</f>
        <v/>
      </c>
      <c r="S360" s="223" t="str">
        <f>INDEX(Ingredients[Species],MATCH(Production[[#This Row],[Product]],Ingredients[ProdName],0))</f>
        <v>Poultry</v>
      </c>
    </row>
    <row r="361" spans="1:19" ht="11.1" customHeight="1" x14ac:dyDescent="0.25">
      <c r="A361" s="208" t="str">
        <f>IFERROR(IF(Production[[#This Row],[Date]]&lt;&gt;"",TEXT(Production[[#This Row],[Date]],"yy")&amp;"-"&amp;TEXT(Production[[#This Row],[Date]]-DATE(YEAR(Production[[#This Row],[Date]]),1,0),"000"),""),"")</f>
        <v>24-036</v>
      </c>
      <c r="B361" s="209" t="str">
        <f>IFERROR(IF(INDEX(Ingredients[Ingr1],MATCH(Production[[#This Row],[Product]],Ingredients[ProdName],0))&lt;&gt;"",INDEX(Ingredients[Ingr1],MATCH(Production[[#This Row],[Product]],Ingredients[ProdName],0)),INDEX(Ingredients[Ingr2],MATCH(Production[[#This Row],[Product]],Ingredients[ProdName],0))),"")</f>
        <v>Chicken - Tenders</v>
      </c>
      <c r="C361" s="53">
        <v>45327</v>
      </c>
      <c r="D361" s="54" t="s">
        <v>14</v>
      </c>
      <c r="E361" s="55" t="s">
        <v>127</v>
      </c>
      <c r="F361" s="56">
        <v>7</v>
      </c>
      <c r="G361" s="56">
        <v>49</v>
      </c>
      <c r="H361" s="208">
        <f>IFERROR(INDEX(Tier1[Wt],MATCH(Production[[#This Row],[Type]],Tier1[Ingredient],0))*Production[[#This Row],[Blocks Used]],0)</f>
        <v>1960</v>
      </c>
      <c r="I361" s="210">
        <f>IFERROR(INDEX(Ingredients[TtlWt],MATCH(Production[[#This Row],[Product]],Ingredients[ProdName],0))*Production[[#This Row],[Lots Done]],"")</f>
        <v>435.05</v>
      </c>
      <c r="J361" s="210" t="str">
        <f>IF(INDEX(Ingredients[Batter],MATCH(Production[[#This Row],[Product]],Ingredients[ProdName],0))*Production[[#This Row],[Batter Used]]&gt;0,INDEX(Ingredients[Batter],MATCH(Production[[#This Row],[Product]],Ingredients[ProdName],0))*Production[[#This Row],[Batter Used]],"")</f>
        <v/>
      </c>
      <c r="K361" s="210" t="str">
        <f>IF(INDEX(Ingredients[Breader],MATCH(Production[[#This Row],[Product]],Ingredients[ProdName],0))*Production[[#This Row],[Breader Used]]&gt;0,INDEX(Ingredients[Breader],MATCH(Production[[#This Row],[Product]],Ingredients[ProdName],0))*Production[[#This Row],[Breader Used]],"")</f>
        <v/>
      </c>
      <c r="L361" s="56"/>
      <c r="M361" s="56"/>
      <c r="N361" s="211">
        <f>IFERROR(IF(SUM(Production[[#This Row],[Meat Wt]:[BrTtl]])&lt;&gt;0,SUM(Production[[#This Row],[Meat Wt]:[BrTtl]]),""),"")</f>
        <v>2395.0500000000002</v>
      </c>
      <c r="O361" s="55">
        <v>111</v>
      </c>
      <c r="P361" s="208">
        <f>INDEX(Ingredients[Case Wt.],MATCH(Production[[#This Row],[Product]],Ingredients[ProdName],0))*Production[[#This Row],[Case Total]]</f>
        <v>2775</v>
      </c>
      <c r="Q361" s="211">
        <f>IFERROR(Production[[#This Row],[SatWt]]-Production[[#This Row],[RawWt]],"")</f>
        <v>379.94999999999982</v>
      </c>
      <c r="R361" s="222" t="str">
        <f>IF(Production[[#This Row],[Species]]&lt;&gt;"",IF(SUM(Production[[#This Row],[BtTtl]:[BrTtl]])/Production[[#This Row],[SatWt]]&lt;&gt;0,SUM(Production[[#This Row],[BtTtl]:[BrTtl]])/Production[[#This Row],[SatWt]],""),"")</f>
        <v/>
      </c>
      <c r="S361" s="223" t="str">
        <f>INDEX(Ingredients[Species],MATCH(Production[[#This Row],[Product]],Ingredients[ProdName],0))</f>
        <v>Poultry</v>
      </c>
    </row>
    <row r="362" spans="1:19" ht="11.1" customHeight="1" x14ac:dyDescent="0.25">
      <c r="A362" s="208" t="str">
        <f>IFERROR(IF(Production[[#This Row],[Date]]&lt;&gt;"",TEXT(Production[[#This Row],[Date]],"yy")&amp;"-"&amp;TEXT(Production[[#This Row],[Date]]-DATE(YEAR(Production[[#This Row],[Date]]),1,0),"000"),""),"")</f>
        <v>24-036</v>
      </c>
      <c r="B362" s="209" t="str">
        <f>IFERROR(IF(INDEX(Ingredients[Ingr1],MATCH(Production[[#This Row],[Product]],Ingredients[ProdName],0))&lt;&gt;"",INDEX(Ingredients[Ingr1],MATCH(Production[[#This Row],[Product]],Ingredients[ProdName],0)),INDEX(Ingredients[Ingr2],MATCH(Production[[#This Row],[Product]],Ingredients[ProdName],0))),"")</f>
        <v>Chicken - Tenders</v>
      </c>
      <c r="C362" s="53">
        <v>45327</v>
      </c>
      <c r="D362" s="54" t="s">
        <v>14</v>
      </c>
      <c r="E362" s="55" t="s">
        <v>127</v>
      </c>
      <c r="F362" s="56">
        <v>5</v>
      </c>
      <c r="G362" s="56">
        <v>35</v>
      </c>
      <c r="H362" s="208">
        <f>IFERROR(INDEX(Tier1[Wt],MATCH(Production[[#This Row],[Type]],Tier1[Ingredient],0))*Production[[#This Row],[Blocks Used]],0)</f>
        <v>1400</v>
      </c>
      <c r="I362" s="210"/>
      <c r="J362" s="210" t="str">
        <f>IF(INDEX(Ingredients[Batter],MATCH(Production[[#This Row],[Product]],Ingredients[ProdName],0))*Production[[#This Row],[Batter Used]]&gt;0,INDEX(Ingredients[Batter],MATCH(Production[[#This Row],[Product]],Ingredients[ProdName],0))*Production[[#This Row],[Batter Used]],"")</f>
        <v/>
      </c>
      <c r="K362" s="210" t="str">
        <f>IF(INDEX(Ingredients[Breader],MATCH(Production[[#This Row],[Product]],Ingredients[ProdName],0))*Production[[#This Row],[Breader Used]]&gt;0,INDEX(Ingredients[Breader],MATCH(Production[[#This Row],[Product]],Ingredients[ProdName],0))*Production[[#This Row],[Breader Used]],"")</f>
        <v/>
      </c>
      <c r="L362" s="56"/>
      <c r="M362" s="56"/>
      <c r="N362" s="211">
        <f>IFERROR(IF(SUM(Production[[#This Row],[Meat Wt]:[BrTtl]])&lt;&gt;0,SUM(Production[[#This Row],[Meat Wt]:[BrTtl]]),""),"")</f>
        <v>1400</v>
      </c>
      <c r="O362" s="55">
        <v>98</v>
      </c>
      <c r="P362" s="208">
        <f>INDEX(Ingredients[Case Wt.],MATCH(Production[[#This Row],[Product]],Ingredients[ProdName],0))*Production[[#This Row],[Case Total]]</f>
        <v>2450</v>
      </c>
      <c r="Q362" s="211">
        <f>IFERROR(Production[[#This Row],[SatWt]]-Production[[#This Row],[RawWt]],"")</f>
        <v>1050</v>
      </c>
      <c r="R362" s="222" t="str">
        <f>IF(Production[[#This Row],[Species]]&lt;&gt;"",IF(SUM(Production[[#This Row],[BtTtl]:[BrTtl]])/Production[[#This Row],[SatWt]]&lt;&gt;0,SUM(Production[[#This Row],[BtTtl]:[BrTtl]])/Production[[#This Row],[SatWt]],""),"")</f>
        <v/>
      </c>
      <c r="S362" s="223" t="str">
        <f>INDEX(Ingredients[Species],MATCH(Production[[#This Row],[Product]],Ingredients[ProdName],0))</f>
        <v>Poultry</v>
      </c>
    </row>
    <row r="363" spans="1:19" ht="11.1" customHeight="1" x14ac:dyDescent="0.25">
      <c r="A363" s="208" t="str">
        <f>IFERROR(IF(Production[[#This Row],[Date]]&lt;&gt;"",TEXT(Production[[#This Row],[Date]],"yy")&amp;"-"&amp;TEXT(Production[[#This Row],[Date]]-DATE(YEAR(Production[[#This Row],[Date]]),1,0),"000"),""),"")</f>
        <v>24-038</v>
      </c>
      <c r="B363" s="209" t="str">
        <f>IFERROR(IF(INDEX(Ingredients[Ingr1],MATCH(Production[[#This Row],[Product]],Ingredients[ProdName],0))&lt;&gt;"",INDEX(Ingredients[Ingr1],MATCH(Production[[#This Row],[Product]],Ingredients[ProdName],0)),INDEX(Ingredients[Ingr2],MATCH(Production[[#This Row],[Product]],Ingredients[ProdName],0))),"")</f>
        <v>Chicken - Ground</v>
      </c>
      <c r="C363" s="53">
        <v>45329</v>
      </c>
      <c r="D363" s="54" t="s">
        <v>20</v>
      </c>
      <c r="E363" s="55">
        <v>811</v>
      </c>
      <c r="F363" s="56">
        <v>10</v>
      </c>
      <c r="G363" s="56">
        <v>60</v>
      </c>
      <c r="H363" s="208">
        <f>IFERROR(INDEX(Tier1[Wt],MATCH(Production[[#This Row],[Type]],Tier1[Ingredient],0))*Production[[#This Row],[Blocks Used]],0)</f>
        <v>3000</v>
      </c>
      <c r="I363" s="210"/>
      <c r="J363" s="210" t="str">
        <f>IF(INDEX(Ingredients[Batter],MATCH(Production[[#This Row],[Product]],Ingredients[ProdName],0))*Production[[#This Row],[Batter Used]]&gt;0,INDEX(Ingredients[Batter],MATCH(Production[[#This Row],[Product]],Ingredients[ProdName],0))*Production[[#This Row],[Batter Used]],"")</f>
        <v/>
      </c>
      <c r="K363" s="210" t="str">
        <f>IF(INDEX(Ingredients[Breader],MATCH(Production[[#This Row],[Product]],Ingredients[ProdName],0))*Production[[#This Row],[Breader Used]]&gt;0,INDEX(Ingredients[Breader],MATCH(Production[[#This Row],[Product]],Ingredients[ProdName],0))*Production[[#This Row],[Breader Used]],"")</f>
        <v/>
      </c>
      <c r="L363" s="56"/>
      <c r="M363" s="56"/>
      <c r="N363" s="211">
        <f>IFERROR(IF(SUM(Production[[#This Row],[Meat Wt]:[BrTtl]])&lt;&gt;0,SUM(Production[[#This Row],[Meat Wt]:[BrTtl]]),""),"")</f>
        <v>3000</v>
      </c>
      <c r="O363" s="55">
        <v>165</v>
      </c>
      <c r="P363" s="208">
        <f>INDEX(Ingredients[Case Wt.],MATCH(Production[[#This Row],[Product]],Ingredients[ProdName],0))*Production[[#This Row],[Case Total]]</f>
        <v>4125</v>
      </c>
      <c r="Q363" s="211">
        <f>IFERROR(Production[[#This Row],[SatWt]]-Production[[#This Row],[RawWt]],"")</f>
        <v>1125</v>
      </c>
      <c r="R363" s="222" t="str">
        <f>IF(Production[[#This Row],[Species]]&lt;&gt;"",IF(SUM(Production[[#This Row],[BtTtl]:[BrTtl]])/Production[[#This Row],[SatWt]]&lt;&gt;0,SUM(Production[[#This Row],[BtTtl]:[BrTtl]])/Production[[#This Row],[SatWt]],""),"")</f>
        <v/>
      </c>
      <c r="S363" s="223" t="str">
        <f>INDEX(Ingredients[Species],MATCH(Production[[#This Row],[Product]],Ingredients[ProdName],0))</f>
        <v>Poultry</v>
      </c>
    </row>
    <row r="364" spans="1:19" ht="11.1" customHeight="1" x14ac:dyDescent="0.25">
      <c r="A364" s="208" t="str">
        <f>IFERROR(IF(Production[[#This Row],[Date]]&lt;&gt;"",TEXT(Production[[#This Row],[Date]],"yy")&amp;"-"&amp;TEXT(Production[[#This Row],[Date]]-DATE(YEAR(Production[[#This Row],[Date]]),1,0),"000"),""),"")</f>
        <v>24-039</v>
      </c>
      <c r="B364" s="209" t="str">
        <f>IFERROR(IF(INDEX(Ingredients[Ingr1],MATCH(Production[[#This Row],[Product]],Ingredients[ProdName],0))&lt;&gt;"",INDEX(Ingredients[Ingr1],MATCH(Production[[#This Row],[Product]],Ingredients[ProdName],0)),INDEX(Ingredients[Ingr2],MATCH(Production[[#This Row],[Product]],Ingredients[ProdName],0))),"")</f>
        <v>Chicken - Ground</v>
      </c>
      <c r="C364" s="53">
        <v>45330</v>
      </c>
      <c r="D364" s="54" t="s">
        <v>20</v>
      </c>
      <c r="E364" s="55">
        <v>811</v>
      </c>
      <c r="F364" s="56">
        <v>3</v>
      </c>
      <c r="G364" s="56">
        <v>18</v>
      </c>
      <c r="H364" s="208">
        <f>IFERROR(INDEX(Tier1[Wt],MATCH(Production[[#This Row],[Type]],Tier1[Ingredient],0))*Production[[#This Row],[Blocks Used]],0)</f>
        <v>900</v>
      </c>
      <c r="I364" s="210"/>
      <c r="J364" s="210" t="str">
        <f>IF(INDEX(Ingredients[Batter],MATCH(Production[[#This Row],[Product]],Ingredients[ProdName],0))*Production[[#This Row],[Batter Used]]&gt;0,INDEX(Ingredients[Batter],MATCH(Production[[#This Row],[Product]],Ingredients[ProdName],0))*Production[[#This Row],[Batter Used]],"")</f>
        <v/>
      </c>
      <c r="K364" s="210" t="str">
        <f>IF(INDEX(Ingredients[Breader],MATCH(Production[[#This Row],[Product]],Ingredients[ProdName],0))*Production[[#This Row],[Breader Used]]&gt;0,INDEX(Ingredients[Breader],MATCH(Production[[#This Row],[Product]],Ingredients[ProdName],0))*Production[[#This Row],[Breader Used]],"")</f>
        <v/>
      </c>
      <c r="L364" s="56"/>
      <c r="M364" s="56"/>
      <c r="N364" s="211">
        <f>IFERROR(IF(SUM(Production[[#This Row],[Meat Wt]:[BrTtl]])&lt;&gt;0,SUM(Production[[#This Row],[Meat Wt]:[BrTtl]]),""),"")</f>
        <v>900</v>
      </c>
      <c r="O364" s="55">
        <v>38</v>
      </c>
      <c r="P364" s="208">
        <f>INDEX(Ingredients[Case Wt.],MATCH(Production[[#This Row],[Product]],Ingredients[ProdName],0))*Production[[#This Row],[Case Total]]</f>
        <v>950</v>
      </c>
      <c r="Q364" s="211">
        <f>IFERROR(Production[[#This Row],[SatWt]]-Production[[#This Row],[RawWt]],"")</f>
        <v>50</v>
      </c>
      <c r="R364" s="222" t="str">
        <f>IF(Production[[#This Row],[Species]]&lt;&gt;"",IF(SUM(Production[[#This Row],[BtTtl]:[BrTtl]])/Production[[#This Row],[SatWt]]&lt;&gt;0,SUM(Production[[#This Row],[BtTtl]:[BrTtl]])/Production[[#This Row],[SatWt]],""),"")</f>
        <v/>
      </c>
      <c r="S364" s="223" t="str">
        <f>INDEX(Ingredients[Species],MATCH(Production[[#This Row],[Product]],Ingredients[ProdName],0))</f>
        <v>Poultry</v>
      </c>
    </row>
    <row r="365" spans="1:19" ht="11.1" customHeight="1" x14ac:dyDescent="0.25">
      <c r="A365" s="208" t="str">
        <f>IFERROR(IF(Production[[#This Row],[Date]]&lt;&gt;"",TEXT(Production[[#This Row],[Date]],"yy")&amp;"-"&amp;TEXT(Production[[#This Row],[Date]]-DATE(YEAR(Production[[#This Row],[Date]]),1,0),"000"),""),"")</f>
        <v>24-043</v>
      </c>
      <c r="B365" s="209" t="str">
        <f>IFERROR(IF(INDEX(Ingredients[Ingr1],MATCH(Production[[#This Row],[Product]],Ingredients[ProdName],0))&lt;&gt;"",INDEX(Ingredients[Ingr1],MATCH(Production[[#This Row],[Product]],Ingredients[ProdName],0)),INDEX(Ingredients[Ingr2],MATCH(Production[[#This Row],[Product]],Ingredients[ProdName],0))),"")</f>
        <v>Chicken - Tenders</v>
      </c>
      <c r="C365" s="53">
        <v>45334</v>
      </c>
      <c r="D365" s="54" t="s">
        <v>12</v>
      </c>
      <c r="E365" s="55" t="s">
        <v>127</v>
      </c>
      <c r="F365" s="56">
        <v>13</v>
      </c>
      <c r="G365" s="56">
        <v>91</v>
      </c>
      <c r="H365" s="208">
        <f>IFERROR(INDEX(Tier1[Wt],MATCH(Production[[#This Row],[Type]],Tier1[Ingredient],0))*Production[[#This Row],[Blocks Used]],0)</f>
        <v>3640</v>
      </c>
      <c r="I365" s="210"/>
      <c r="J365" s="210">
        <f>IF(INDEX(Ingredients[Batter],MATCH(Production[[#This Row],[Product]],Ingredients[ProdName],0))*Production[[#This Row],[Batter Used]]&gt;0,INDEX(Ingredients[Batter],MATCH(Production[[#This Row],[Product]],Ingredients[ProdName],0))*Production[[#This Row],[Batter Used]],"")</f>
        <v>150</v>
      </c>
      <c r="K365" s="210">
        <f>IF(INDEX(Ingredients[Breader],MATCH(Production[[#This Row],[Product]],Ingredients[ProdName],0))*Production[[#This Row],[Breader Used]]&gt;0,INDEX(Ingredients[Breader],MATCH(Production[[#This Row],[Product]],Ingredients[ProdName],0))*Production[[#This Row],[Breader Used]],"")</f>
        <v>500</v>
      </c>
      <c r="L365" s="56">
        <v>3</v>
      </c>
      <c r="M365" s="56">
        <v>10</v>
      </c>
      <c r="N365" s="211">
        <f>IFERROR(IF(SUM(Production[[#This Row],[Meat Wt]:[BrTtl]])&lt;&gt;0,SUM(Production[[#This Row],[Meat Wt]:[BrTtl]]),""),"")</f>
        <v>4290</v>
      </c>
      <c r="O365" s="55">
        <v>270</v>
      </c>
      <c r="P365" s="208">
        <f>INDEX(Ingredients[Case Wt.],MATCH(Production[[#This Row],[Product]],Ingredients[ProdName],0))*Production[[#This Row],[Case Total]]</f>
        <v>6750</v>
      </c>
      <c r="Q365" s="211">
        <f>IFERROR(Production[[#This Row],[SatWt]]-Production[[#This Row],[RawWt]],"")</f>
        <v>2460</v>
      </c>
      <c r="R365" s="222">
        <f>IF(Production[[#This Row],[Species]]&lt;&gt;"",IF(SUM(Production[[#This Row],[BtTtl]:[BrTtl]])/Production[[#This Row],[SatWt]]&lt;&gt;0,SUM(Production[[#This Row],[BtTtl]:[BrTtl]])/Production[[#This Row],[SatWt]],""),"")</f>
        <v>9.6296296296296297E-2</v>
      </c>
      <c r="S365" s="223" t="str">
        <f>INDEX(Ingredients[Species],MATCH(Production[[#This Row],[Product]],Ingredients[ProdName],0))</f>
        <v>Poultry</v>
      </c>
    </row>
    <row r="366" spans="1:19" ht="11.1" customHeight="1" x14ac:dyDescent="0.25">
      <c r="A366" s="208" t="str">
        <f>IFERROR(IF(Production[[#This Row],[Date]]&lt;&gt;"",TEXT(Production[[#This Row],[Date]],"yy")&amp;"-"&amp;TEXT(Production[[#This Row],[Date]]-DATE(YEAR(Production[[#This Row],[Date]]),1,0),"000"),""),"")</f>
        <v>24-044</v>
      </c>
      <c r="B366" s="209" t="str">
        <f>IFERROR(IF(INDEX(Ingredients[Ingr1],MATCH(Production[[#This Row],[Product]],Ingredients[ProdName],0))&lt;&gt;"",INDEX(Ingredients[Ingr1],MATCH(Production[[#This Row],[Product]],Ingredients[ProdName],0)),INDEX(Ingredients[Ingr2],MATCH(Production[[#This Row],[Product]],Ingredients[ProdName],0))),"")</f>
        <v>Chicken - Tenders</v>
      </c>
      <c r="C366" s="53">
        <v>45335</v>
      </c>
      <c r="D366" s="54" t="s">
        <v>12</v>
      </c>
      <c r="E366" s="55" t="s">
        <v>126</v>
      </c>
      <c r="F366" s="56">
        <v>1</v>
      </c>
      <c r="G366" s="56">
        <v>7</v>
      </c>
      <c r="H366" s="208">
        <f>IFERROR(INDEX(Tier1[Wt],MATCH(Production[[#This Row],[Type]],Tier1[Ingredient],0))*Production[[#This Row],[Blocks Used]],0)</f>
        <v>280</v>
      </c>
      <c r="I366" s="210">
        <f>IFERROR(INDEX(Ingredients[TtlWt],MATCH(Production[[#This Row],[Product]],Ingredients[ProdName],0))*Production[[#This Row],[Lots Done]],"")</f>
        <v>59.8</v>
      </c>
      <c r="J366" s="210">
        <f>IF(INDEX(Ingredients[Batter],MATCH(Production[[#This Row],[Product]],Ingredients[ProdName],0))*Production[[#This Row],[Batter Used]]&gt;0,INDEX(Ingredients[Batter],MATCH(Production[[#This Row],[Product]],Ingredients[ProdName],0))*Production[[#This Row],[Batter Used]],"")</f>
        <v>50</v>
      </c>
      <c r="K366" s="210">
        <f>IF(INDEX(Ingredients[Breader],MATCH(Production[[#This Row],[Product]],Ingredients[ProdName],0))*Production[[#This Row],[Breader Used]]&gt;0,INDEX(Ingredients[Breader],MATCH(Production[[#This Row],[Product]],Ingredients[ProdName],0))*Production[[#This Row],[Breader Used]],"")</f>
        <v>50</v>
      </c>
      <c r="L366" s="56">
        <v>1</v>
      </c>
      <c r="M366" s="56">
        <v>1</v>
      </c>
      <c r="N366" s="211">
        <f>IFERROR(IF(SUM(Production[[#This Row],[Meat Wt]:[BrTtl]])&lt;&gt;0,SUM(Production[[#This Row],[Meat Wt]:[BrTtl]]),""),"")</f>
        <v>439.8</v>
      </c>
      <c r="O366" s="55">
        <v>28</v>
      </c>
      <c r="P366" s="208">
        <f>INDEX(Ingredients[Case Wt.],MATCH(Production[[#This Row],[Product]],Ingredients[ProdName],0))*Production[[#This Row],[Case Total]]</f>
        <v>700</v>
      </c>
      <c r="Q366" s="211">
        <f>IFERROR(Production[[#This Row],[SatWt]]-Production[[#This Row],[RawWt]],"")</f>
        <v>260.2</v>
      </c>
      <c r="R366" s="222">
        <f>IF(Production[[#This Row],[Species]]&lt;&gt;"",IF(SUM(Production[[#This Row],[BtTtl]:[BrTtl]])/Production[[#This Row],[SatWt]]&lt;&gt;0,SUM(Production[[#This Row],[BtTtl]:[BrTtl]])/Production[[#This Row],[SatWt]],""),"")</f>
        <v>0.14285714285714285</v>
      </c>
      <c r="S366" s="223" t="str">
        <f>INDEX(Ingredients[Species],MATCH(Production[[#This Row],[Product]],Ingredients[ProdName],0))</f>
        <v>Poultry</v>
      </c>
    </row>
    <row r="367" spans="1:19" ht="11.1" customHeight="1" x14ac:dyDescent="0.25">
      <c r="A367" s="208" t="str">
        <f>IFERROR(IF(Production[[#This Row],[Date]]&lt;&gt;"",TEXT(Production[[#This Row],[Date]],"yy")&amp;"-"&amp;TEXT(Production[[#This Row],[Date]]-DATE(YEAR(Production[[#This Row],[Date]]),1,0),"000"),""),"")</f>
        <v>24-044</v>
      </c>
      <c r="B367" s="209" t="str">
        <f>IFERROR(IF(INDEX(Ingredients[Ingr1],MATCH(Production[[#This Row],[Product]],Ingredients[ProdName],0))&lt;&gt;"",INDEX(Ingredients[Ingr1],MATCH(Production[[#This Row],[Product]],Ingredients[ProdName],0)),INDEX(Ingredients[Ingr2],MATCH(Production[[#This Row],[Product]],Ingredients[ProdName],0))),"")</f>
        <v>Chicken - Tenders</v>
      </c>
      <c r="C367" s="53">
        <v>45335</v>
      </c>
      <c r="D367" s="54" t="s">
        <v>12</v>
      </c>
      <c r="E367" s="55" t="s">
        <v>127</v>
      </c>
      <c r="F367" s="56">
        <v>11</v>
      </c>
      <c r="G367" s="56">
        <v>77</v>
      </c>
      <c r="H367" s="208">
        <f>IFERROR(INDEX(Tier1[Wt],MATCH(Production[[#This Row],[Type]],Tier1[Ingredient],0))*Production[[#This Row],[Blocks Used]],0)</f>
        <v>3080</v>
      </c>
      <c r="I367" s="210"/>
      <c r="J367" s="210">
        <f>IF(INDEX(Ingredients[Batter],MATCH(Production[[#This Row],[Product]],Ingredients[ProdName],0))*Production[[#This Row],[Batter Used]]&gt;0,INDEX(Ingredients[Batter],MATCH(Production[[#This Row],[Product]],Ingredients[ProdName],0))*Production[[#This Row],[Batter Used]],"")</f>
        <v>600</v>
      </c>
      <c r="K367" s="210">
        <f>IF(INDEX(Ingredients[Breader],MATCH(Production[[#This Row],[Product]],Ingredients[ProdName],0))*Production[[#This Row],[Breader Used]]&gt;0,INDEX(Ingredients[Breader],MATCH(Production[[#This Row],[Product]],Ingredients[ProdName],0))*Production[[#This Row],[Breader Used]],"")</f>
        <v>100</v>
      </c>
      <c r="L367" s="56">
        <v>12</v>
      </c>
      <c r="M367" s="56">
        <v>2</v>
      </c>
      <c r="N367" s="211">
        <f>IFERROR(IF(SUM(Production[[#This Row],[Meat Wt]:[BrTtl]])&lt;&gt;0,SUM(Production[[#This Row],[Meat Wt]:[BrTtl]]),""),"")</f>
        <v>3780</v>
      </c>
      <c r="O367" s="55">
        <v>220</v>
      </c>
      <c r="P367" s="208">
        <f>INDEX(Ingredients[Case Wt.],MATCH(Production[[#This Row],[Product]],Ingredients[ProdName],0))*Production[[#This Row],[Case Total]]</f>
        <v>5500</v>
      </c>
      <c r="Q367" s="211">
        <f>IFERROR(Production[[#This Row],[SatWt]]-Production[[#This Row],[RawWt]],"")</f>
        <v>1720</v>
      </c>
      <c r="R367" s="222">
        <f>IF(Production[[#This Row],[Species]]&lt;&gt;"",IF(SUM(Production[[#This Row],[BtTtl]:[BrTtl]])/Production[[#This Row],[SatWt]]&lt;&gt;0,SUM(Production[[#This Row],[BtTtl]:[BrTtl]])/Production[[#This Row],[SatWt]],""),"")</f>
        <v>0.12727272727272726</v>
      </c>
      <c r="S367" s="223" t="str">
        <f>INDEX(Ingredients[Species],MATCH(Production[[#This Row],[Product]],Ingredients[ProdName],0))</f>
        <v>Poultry</v>
      </c>
    </row>
    <row r="368" spans="1:19" ht="11.1" customHeight="1" x14ac:dyDescent="0.25">
      <c r="A368" s="208" t="str">
        <f>IFERROR(IF(Production[[#This Row],[Date]]&lt;&gt;"",TEXT(Production[[#This Row],[Date]],"yy")&amp;"-"&amp;TEXT(Production[[#This Row],[Date]]-DATE(YEAR(Production[[#This Row],[Date]]),1,0),"000"),""),"")</f>
        <v>24-045</v>
      </c>
      <c r="B368" s="209" t="str">
        <f>IFERROR(IF(INDEX(Ingredients[Ingr1],MATCH(Production[[#This Row],[Product]],Ingredients[ProdName],0))&lt;&gt;"",INDEX(Ingredients[Ingr1],MATCH(Production[[#This Row],[Product]],Ingredients[ProdName],0)),INDEX(Ingredients[Ingr2],MATCH(Production[[#This Row],[Product]],Ingredients[ProdName],0))),"")</f>
        <v>Chicken - Ground</v>
      </c>
      <c r="C368" s="53">
        <v>45336</v>
      </c>
      <c r="D368" s="54" t="s">
        <v>15</v>
      </c>
      <c r="E368" s="55" t="s">
        <v>127</v>
      </c>
      <c r="F368" s="56">
        <v>12</v>
      </c>
      <c r="G368" s="56">
        <v>72</v>
      </c>
      <c r="H368" s="208">
        <f>IFERROR(INDEX(Tier1[Wt],MATCH(Production[[#This Row],[Type]],Tier1[Ingredient],0))*Production[[#This Row],[Blocks Used]],0)</f>
        <v>3600</v>
      </c>
      <c r="I368" s="210">
        <f>IFERROR(INDEX(Ingredients[TtlWt],MATCH(Production[[#This Row],[Product]],Ingredients[ProdName],0))*Production[[#This Row],[Lots Done]],"")</f>
        <v>139.80000000000001</v>
      </c>
      <c r="J368" s="210" t="str">
        <f>IF(INDEX(Ingredients[Batter],MATCH(Production[[#This Row],[Product]],Ingredients[ProdName],0))*Production[[#This Row],[Batter Used]]&gt;0,INDEX(Ingredients[Batter],MATCH(Production[[#This Row],[Product]],Ingredients[ProdName],0))*Production[[#This Row],[Batter Used]],"")</f>
        <v/>
      </c>
      <c r="K368" s="210" t="str">
        <f>IF(INDEX(Ingredients[Breader],MATCH(Production[[#This Row],[Product]],Ingredients[ProdName],0))*Production[[#This Row],[Breader Used]]&gt;0,INDEX(Ingredients[Breader],MATCH(Production[[#This Row],[Product]],Ingredients[ProdName],0))*Production[[#This Row],[Breader Used]],"")</f>
        <v/>
      </c>
      <c r="L368" s="56"/>
      <c r="M368" s="56"/>
      <c r="N368" s="211">
        <f>IFERROR(IF(SUM(Production[[#This Row],[Meat Wt]:[BrTtl]])&lt;&gt;0,SUM(Production[[#This Row],[Meat Wt]:[BrTtl]]),""),"")</f>
        <v>3739.8</v>
      </c>
      <c r="O368" s="55">
        <v>156</v>
      </c>
      <c r="P368" s="208">
        <f>INDEX(Ingredients[Case Wt.],MATCH(Production[[#This Row],[Product]],Ingredients[ProdName],0))*Production[[#This Row],[Case Total]]</f>
        <v>4680</v>
      </c>
      <c r="Q368" s="211">
        <f>IFERROR(Production[[#This Row],[SatWt]]-Production[[#This Row],[RawWt]],"")</f>
        <v>940.19999999999982</v>
      </c>
      <c r="R368" s="222" t="str">
        <f>IF(Production[[#This Row],[Species]]&lt;&gt;"",IF(SUM(Production[[#This Row],[BtTtl]:[BrTtl]])/Production[[#This Row],[SatWt]]&lt;&gt;0,SUM(Production[[#This Row],[BtTtl]:[BrTtl]])/Production[[#This Row],[SatWt]],""),"")</f>
        <v/>
      </c>
      <c r="S368" s="223" t="str">
        <f>INDEX(Ingredients[Species],MATCH(Production[[#This Row],[Product]],Ingredients[ProdName],0))</f>
        <v>Poultry</v>
      </c>
    </row>
    <row r="369" spans="1:19" ht="11.1" customHeight="1" x14ac:dyDescent="0.25">
      <c r="A369" s="208" t="str">
        <f>IFERROR(IF(Production[[#This Row],[Date]]&lt;&gt;"",TEXT(Production[[#This Row],[Date]],"yy")&amp;"-"&amp;TEXT(Production[[#This Row],[Date]]-DATE(YEAR(Production[[#This Row],[Date]]),1,0),"000"),""),"")</f>
        <v>24-046</v>
      </c>
      <c r="B369" s="209" t="str">
        <f>IFERROR(IF(INDEX(Ingredients[Ingr1],MATCH(Production[[#This Row],[Product]],Ingredients[ProdName],0))&lt;&gt;"",INDEX(Ingredients[Ingr1],MATCH(Production[[#This Row],[Product]],Ingredients[ProdName],0)),INDEX(Ingredients[Ingr2],MATCH(Production[[#This Row],[Product]],Ingredients[ProdName],0))),"")</f>
        <v>Chicken - Ground</v>
      </c>
      <c r="C369" s="53">
        <v>45337</v>
      </c>
      <c r="D369" s="54" t="s">
        <v>16</v>
      </c>
      <c r="E369" s="55" t="s">
        <v>126</v>
      </c>
      <c r="F369" s="56">
        <v>10</v>
      </c>
      <c r="G369" s="56">
        <v>60</v>
      </c>
      <c r="H369" s="208">
        <f>IFERROR(INDEX(Tier1[Wt],MATCH(Production[[#This Row],[Type]],Tier1[Ingredient],0))*Production[[#This Row],[Blocks Used]],0)</f>
        <v>3000</v>
      </c>
      <c r="I369" s="210">
        <f>IFERROR(INDEX(Ingredients[TtlWt],MATCH(Production[[#This Row],[Product]],Ingredients[ProdName],0))*Production[[#This Row],[Lots Done]],"")</f>
        <v>204</v>
      </c>
      <c r="J369" s="210" t="str">
        <f>IF(INDEX(Ingredients[Batter],MATCH(Production[[#This Row],[Product]],Ingredients[ProdName],0))*Production[[#This Row],[Batter Used]]&gt;0,INDEX(Ingredients[Batter],MATCH(Production[[#This Row],[Product]],Ingredients[ProdName],0))*Production[[#This Row],[Batter Used]],"")</f>
        <v/>
      </c>
      <c r="K369" s="210" t="str">
        <f>IF(INDEX(Ingredients[Breader],MATCH(Production[[#This Row],[Product]],Ingredients[ProdName],0))*Production[[#This Row],[Breader Used]]&gt;0,INDEX(Ingredients[Breader],MATCH(Production[[#This Row],[Product]],Ingredients[ProdName],0))*Production[[#This Row],[Breader Used]],"")</f>
        <v/>
      </c>
      <c r="L369" s="56"/>
      <c r="M369" s="56"/>
      <c r="N369" s="211">
        <f>IFERROR(IF(SUM(Production[[#This Row],[Meat Wt]:[BrTtl]])&lt;&gt;0,SUM(Production[[#This Row],[Meat Wt]:[BrTtl]]),""),"")</f>
        <v>3204</v>
      </c>
      <c r="O369" s="55">
        <v>159</v>
      </c>
      <c r="P369" s="208">
        <f>INDEX(Ingredients[Case Wt.],MATCH(Production[[#This Row],[Product]],Ingredients[ProdName],0))*Production[[#This Row],[Case Total]]</f>
        <v>4770</v>
      </c>
      <c r="Q369" s="211">
        <f>IFERROR(Production[[#This Row],[SatWt]]-Production[[#This Row],[RawWt]],"")</f>
        <v>1566</v>
      </c>
      <c r="R369" s="222" t="str">
        <f>IF(Production[[#This Row],[Species]]&lt;&gt;"",IF(SUM(Production[[#This Row],[BtTtl]:[BrTtl]])/Production[[#This Row],[SatWt]]&lt;&gt;0,SUM(Production[[#This Row],[BtTtl]:[BrTtl]])/Production[[#This Row],[SatWt]],""),"")</f>
        <v/>
      </c>
      <c r="S369" s="223" t="str">
        <f>INDEX(Ingredients[Species],MATCH(Production[[#This Row],[Product]],Ingredients[ProdName],0))</f>
        <v>Poultry</v>
      </c>
    </row>
    <row r="370" spans="1:19" ht="11.1" customHeight="1" x14ac:dyDescent="0.25">
      <c r="A370" s="208" t="str">
        <f>IFERROR(IF(Production[[#This Row],[Date]]&lt;&gt;"",TEXT(Production[[#This Row],[Date]],"yy")&amp;"-"&amp;TEXT(Production[[#This Row],[Date]]-DATE(YEAR(Production[[#This Row],[Date]]),1,0),"000"),""),"")</f>
        <v>24-051</v>
      </c>
      <c r="B370" s="209" t="str">
        <f>IFERROR(IF(INDEX(Ingredients[Ingr1],MATCH(Production[[#This Row],[Product]],Ingredients[ProdName],0))&lt;&gt;"",INDEX(Ingredients[Ingr1],MATCH(Production[[#This Row],[Product]],Ingredients[ProdName],0)),INDEX(Ingredients[Ingr2],MATCH(Production[[#This Row],[Product]],Ingredients[ProdName],0))),"")</f>
        <v>Chicken - Ground</v>
      </c>
      <c r="C370" s="53">
        <v>45342</v>
      </c>
      <c r="D370" s="54" t="s">
        <v>9</v>
      </c>
      <c r="E370" s="55" t="s">
        <v>128</v>
      </c>
      <c r="F370" s="56">
        <v>14</v>
      </c>
      <c r="G370" s="56">
        <v>84</v>
      </c>
      <c r="H370" s="208">
        <f>IFERROR(INDEX(Tier1[Wt],MATCH(Production[[#This Row],[Type]],Tier1[Ingredient],0))*Production[[#This Row],[Blocks Used]],0)</f>
        <v>4200</v>
      </c>
      <c r="I370" s="210" t="str">
        <f>IFERROR(INDEX(Ingredients[TtlWt],MATCH(Production[[#This Row],[Product]],Ingredients[ProdName],0))*Production[[#This Row],[Lots Done]],"")</f>
        <v/>
      </c>
      <c r="J370" s="210" t="str">
        <f>IF(INDEX(Ingredients[Batter],MATCH(Production[[#This Row],[Product]],Ingredients[ProdName],0))*Production[[#This Row],[Batter Used]]&gt;0,INDEX(Ingredients[Batter],MATCH(Production[[#This Row],[Product]],Ingredients[ProdName],0))*Production[[#This Row],[Batter Used]],"")</f>
        <v/>
      </c>
      <c r="K370" s="210" t="str">
        <f>IF(INDEX(Ingredients[Breader],MATCH(Production[[#This Row],[Product]],Ingredients[ProdName],0))*Production[[#This Row],[Breader Used]]&gt;0,INDEX(Ingredients[Breader],MATCH(Production[[#This Row],[Product]],Ingredients[ProdName],0))*Production[[#This Row],[Breader Used]],"")</f>
        <v/>
      </c>
      <c r="L370" s="56"/>
      <c r="M370" s="56"/>
      <c r="N370" s="211">
        <f>IFERROR(IF(SUM(Production[[#This Row],[Meat Wt]:[BrTtl]])&lt;&gt;0,SUM(Production[[#This Row],[Meat Wt]:[BrTtl]]),""),"")</f>
        <v>4200</v>
      </c>
      <c r="O370" s="55">
        <v>180</v>
      </c>
      <c r="P370" s="208">
        <f>INDEX(Ingredients[Case Wt.],MATCH(Production[[#This Row],[Product]],Ingredients[ProdName],0))*Production[[#This Row],[Case Total]]</f>
        <v>5400</v>
      </c>
      <c r="Q370" s="211">
        <f>IFERROR(Production[[#This Row],[SatWt]]-Production[[#This Row],[RawWt]],"")</f>
        <v>1200</v>
      </c>
      <c r="R370" s="222" t="str">
        <f>IF(Production[[#This Row],[Species]]&lt;&gt;"",IF(SUM(Production[[#This Row],[BtTtl]:[BrTtl]])/Production[[#This Row],[SatWt]]&lt;&gt;0,SUM(Production[[#This Row],[BtTtl]:[BrTtl]])/Production[[#This Row],[SatWt]],""),"")</f>
        <v/>
      </c>
      <c r="S370" s="223" t="str">
        <f>INDEX(Ingredients[Species],MATCH(Production[[#This Row],[Product]],Ingredients[ProdName],0))</f>
        <v>Poultry</v>
      </c>
    </row>
    <row r="371" spans="1:19" ht="11.1" customHeight="1" x14ac:dyDescent="0.25">
      <c r="A371" s="208" t="str">
        <f>IFERROR(IF(Production[[#This Row],[Date]]&lt;&gt;"",TEXT(Production[[#This Row],[Date]],"yy")&amp;"-"&amp;TEXT(Production[[#This Row],[Date]]-DATE(YEAR(Production[[#This Row],[Date]]),1,0),"000"),""),"")</f>
        <v>24-051</v>
      </c>
      <c r="B371" s="209" t="str">
        <f>IFERROR(IF(INDEX(Ingredients[Ingr1],MATCH(Production[[#This Row],[Product]],Ingredients[ProdName],0))&lt;&gt;"",INDEX(Ingredients[Ingr1],MATCH(Production[[#This Row],[Product]],Ingredients[ProdName],0)),INDEX(Ingredients[Ingr2],MATCH(Production[[#This Row],[Product]],Ingredients[ProdName],0))),"")</f>
        <v>Chicken - Ground</v>
      </c>
      <c r="C371" s="53">
        <v>45342</v>
      </c>
      <c r="D371" s="54" t="s">
        <v>9</v>
      </c>
      <c r="E371" s="55">
        <v>811</v>
      </c>
      <c r="F371" s="56">
        <v>7</v>
      </c>
      <c r="G371" s="56">
        <v>42</v>
      </c>
      <c r="H371" s="208">
        <f>IFERROR(INDEX(Tier1[Wt],MATCH(Production[[#This Row],[Type]],Tier1[Ingredient],0))*Production[[#This Row],[Blocks Used]],0)</f>
        <v>2100</v>
      </c>
      <c r="I371" s="210"/>
      <c r="J371" s="210" t="str">
        <f>IF(INDEX(Ingredients[Batter],MATCH(Production[[#This Row],[Product]],Ingredients[ProdName],0))*Production[[#This Row],[Batter Used]]&gt;0,INDEX(Ingredients[Batter],MATCH(Production[[#This Row],[Product]],Ingredients[ProdName],0))*Production[[#This Row],[Batter Used]],"")</f>
        <v/>
      </c>
      <c r="K371" s="210" t="str">
        <f>IF(INDEX(Ingredients[Breader],MATCH(Production[[#This Row],[Product]],Ingredients[ProdName],0))*Production[[#This Row],[Breader Used]]&gt;0,INDEX(Ingredients[Breader],MATCH(Production[[#This Row],[Product]],Ingredients[ProdName],0))*Production[[#This Row],[Breader Used]],"")</f>
        <v/>
      </c>
      <c r="L371" s="56"/>
      <c r="M371" s="56"/>
      <c r="N371" s="211">
        <f>IFERROR(IF(SUM(Production[[#This Row],[Meat Wt]:[BrTtl]])&lt;&gt;0,SUM(Production[[#This Row],[Meat Wt]:[BrTtl]]),""),"")</f>
        <v>2100</v>
      </c>
      <c r="O371" s="55">
        <v>98</v>
      </c>
      <c r="P371" s="208">
        <f>INDEX(Ingredients[Case Wt.],MATCH(Production[[#This Row],[Product]],Ingredients[ProdName],0))*Production[[#This Row],[Case Total]]</f>
        <v>2940</v>
      </c>
      <c r="Q371" s="211">
        <f>IFERROR(Production[[#This Row],[SatWt]]-Production[[#This Row],[RawWt]],"")</f>
        <v>840</v>
      </c>
      <c r="R371" s="222" t="str">
        <f>IF(Production[[#This Row],[Species]]&lt;&gt;"",IF(SUM(Production[[#This Row],[BtTtl]:[BrTtl]])/Production[[#This Row],[SatWt]]&lt;&gt;0,SUM(Production[[#This Row],[BtTtl]:[BrTtl]])/Production[[#This Row],[SatWt]],""),"")</f>
        <v/>
      </c>
      <c r="S371" s="223" t="str">
        <f>INDEX(Ingredients[Species],MATCH(Production[[#This Row],[Product]],Ingredients[ProdName],0))</f>
        <v>Poultry</v>
      </c>
    </row>
    <row r="372" spans="1:19" ht="11.1" customHeight="1" x14ac:dyDescent="0.25">
      <c r="A372" s="208" t="str">
        <f>IFERROR(IF(Production[[#This Row],[Date]]&lt;&gt;"",TEXT(Production[[#This Row],[Date]],"yy")&amp;"-"&amp;TEXT(Production[[#This Row],[Date]]-DATE(YEAR(Production[[#This Row],[Date]]),1,0),"000"),""),"")</f>
        <v>24-052</v>
      </c>
      <c r="B372" s="209" t="str">
        <f>IFERROR(IF(INDEX(Ingredients[Ingr1],MATCH(Production[[#This Row],[Product]],Ingredients[ProdName],0))&lt;&gt;"",INDEX(Ingredients[Ingr1],MATCH(Production[[#This Row],[Product]],Ingredients[ProdName],0)),INDEX(Ingredients[Ingr2],MATCH(Production[[#This Row],[Product]],Ingredients[ProdName],0))),"")</f>
        <v>Chicken - Ground</v>
      </c>
      <c r="C372" s="53">
        <v>45343</v>
      </c>
      <c r="D372" s="54" t="s">
        <v>7</v>
      </c>
      <c r="E372" s="55">
        <v>811</v>
      </c>
      <c r="F372" s="56">
        <v>10</v>
      </c>
      <c r="G372" s="56">
        <v>60</v>
      </c>
      <c r="H372" s="208">
        <f>IFERROR(INDEX(Tier1[Wt],MATCH(Production[[#This Row],[Type]],Tier1[Ingredient],0))*Production[[#This Row],[Blocks Used]],0)</f>
        <v>3000</v>
      </c>
      <c r="I372" s="210"/>
      <c r="J372" s="210" t="str">
        <f>IF(INDEX(Ingredients[Batter],MATCH(Production[[#This Row],[Product]],Ingredients[ProdName],0))*Production[[#This Row],[Batter Used]]&gt;0,INDEX(Ingredients[Batter],MATCH(Production[[#This Row],[Product]],Ingredients[ProdName],0))*Production[[#This Row],[Batter Used]],"")</f>
        <v/>
      </c>
      <c r="K372" s="210" t="str">
        <f>IF(INDEX(Ingredients[Breader],MATCH(Production[[#This Row],[Product]],Ingredients[ProdName],0))*Production[[#This Row],[Breader Used]]&gt;0,INDEX(Ingredients[Breader],MATCH(Production[[#This Row],[Product]],Ingredients[ProdName],0))*Production[[#This Row],[Breader Used]],"")</f>
        <v/>
      </c>
      <c r="L372" s="56"/>
      <c r="M372" s="56"/>
      <c r="N372" s="211">
        <f>IFERROR(IF(SUM(Production[[#This Row],[Meat Wt]:[BrTtl]])&lt;&gt;0,SUM(Production[[#This Row],[Meat Wt]:[BrTtl]]),""),"")</f>
        <v>3000</v>
      </c>
      <c r="O372" s="55">
        <v>147</v>
      </c>
      <c r="P372" s="208">
        <f>INDEX(Ingredients[Case Wt.],MATCH(Production[[#This Row],[Product]],Ingredients[ProdName],0))*Production[[#This Row],[Case Total]]</f>
        <v>3675</v>
      </c>
      <c r="Q372" s="211">
        <f>IFERROR(Production[[#This Row],[SatWt]]-Production[[#This Row],[RawWt]],"")</f>
        <v>675</v>
      </c>
      <c r="R372" s="222" t="str">
        <f>IF(Production[[#This Row],[Species]]&lt;&gt;"",IF(SUM(Production[[#This Row],[BtTtl]:[BrTtl]])/Production[[#This Row],[SatWt]]&lt;&gt;0,SUM(Production[[#This Row],[BtTtl]:[BrTtl]])/Production[[#This Row],[SatWt]],""),"")</f>
        <v/>
      </c>
      <c r="S372" s="223" t="str">
        <f>INDEX(Ingredients[Species],MATCH(Production[[#This Row],[Product]],Ingredients[ProdName],0))</f>
        <v>Poultry</v>
      </c>
    </row>
    <row r="373" spans="1:19" ht="11.1" customHeight="1" x14ac:dyDescent="0.25">
      <c r="A373" s="208" t="str">
        <f>IFERROR(IF(Production[[#This Row],[Date]]&lt;&gt;"",TEXT(Production[[#This Row],[Date]],"yy")&amp;"-"&amp;TEXT(Production[[#This Row],[Date]]-DATE(YEAR(Production[[#This Row],[Date]]),1,0),"000"),""),"")</f>
        <v>24-052</v>
      </c>
      <c r="B373" s="209" t="str">
        <f>IFERROR(IF(INDEX(Ingredients[Ingr1],MATCH(Production[[#This Row],[Product]],Ingredients[ProdName],0))&lt;&gt;"",INDEX(Ingredients[Ingr1],MATCH(Production[[#This Row],[Product]],Ingredients[ProdName],0)),INDEX(Ingredients[Ingr2],MATCH(Production[[#This Row],[Product]],Ingredients[ProdName],0))),"")</f>
        <v>Chicken - Ground</v>
      </c>
      <c r="C373" s="53">
        <v>45343</v>
      </c>
      <c r="D373" s="54" t="s">
        <v>7</v>
      </c>
      <c r="E373" s="55" t="s">
        <v>128</v>
      </c>
      <c r="F373" s="56">
        <v>2</v>
      </c>
      <c r="G373" s="56">
        <v>10</v>
      </c>
      <c r="H373" s="208">
        <f>IFERROR(INDEX(Tier1[Wt],MATCH(Production[[#This Row],[Type]],Tier1[Ingredient],0))*Production[[#This Row],[Blocks Used]],0)</f>
        <v>500</v>
      </c>
      <c r="I373" s="210">
        <f>IFERROR(INDEX(Ingredients[TtlWt],MATCH(Production[[#This Row],[Product]],Ingredients[ProdName],0))*Production[[#This Row],[Lots Done]],"")</f>
        <v>13.5</v>
      </c>
      <c r="J373" s="210" t="str">
        <f>IF(INDEX(Ingredients[Batter],MATCH(Production[[#This Row],[Product]],Ingredients[ProdName],0))*Production[[#This Row],[Batter Used]]&gt;0,INDEX(Ingredients[Batter],MATCH(Production[[#This Row],[Product]],Ingredients[ProdName],0))*Production[[#This Row],[Batter Used]],"")</f>
        <v/>
      </c>
      <c r="K373" s="210" t="str">
        <f>IF(INDEX(Ingredients[Breader],MATCH(Production[[#This Row],[Product]],Ingredients[ProdName],0))*Production[[#This Row],[Breader Used]]&gt;0,INDEX(Ingredients[Breader],MATCH(Production[[#This Row],[Product]],Ingredients[ProdName],0))*Production[[#This Row],[Breader Used]],"")</f>
        <v/>
      </c>
      <c r="L373" s="56"/>
      <c r="M373" s="56"/>
      <c r="N373" s="211">
        <f>IFERROR(IF(SUM(Production[[#This Row],[Meat Wt]:[BrTtl]])&lt;&gt;0,SUM(Production[[#This Row],[Meat Wt]:[BrTtl]]),""),"")</f>
        <v>513.5</v>
      </c>
      <c r="O373" s="55">
        <v>39</v>
      </c>
      <c r="P373" s="208">
        <f>INDEX(Ingredients[Case Wt.],MATCH(Production[[#This Row],[Product]],Ingredients[ProdName],0))*Production[[#This Row],[Case Total]]</f>
        <v>975</v>
      </c>
      <c r="Q373" s="211">
        <f>IFERROR(Production[[#This Row],[SatWt]]-Production[[#This Row],[RawWt]],"")</f>
        <v>461.5</v>
      </c>
      <c r="R373" s="222" t="str">
        <f>IF(Production[[#This Row],[Species]]&lt;&gt;"",IF(SUM(Production[[#This Row],[BtTtl]:[BrTtl]])/Production[[#This Row],[SatWt]]&lt;&gt;0,SUM(Production[[#This Row],[BtTtl]:[BrTtl]])/Production[[#This Row],[SatWt]],""),"")</f>
        <v/>
      </c>
      <c r="S373" s="223" t="str">
        <f>INDEX(Ingredients[Species],MATCH(Production[[#This Row],[Product]],Ingredients[ProdName],0))</f>
        <v>Poultry</v>
      </c>
    </row>
    <row r="374" spans="1:19" ht="11.1" customHeight="1" x14ac:dyDescent="0.25">
      <c r="A374" s="208" t="str">
        <f>IFERROR(IF(Production[[#This Row],[Date]]&lt;&gt;"",TEXT(Production[[#This Row],[Date]],"yy")&amp;"-"&amp;TEXT(Production[[#This Row],[Date]]-DATE(YEAR(Production[[#This Row],[Date]]),1,0),"000"),""),"")</f>
        <v>24-053</v>
      </c>
      <c r="B374" s="209" t="str">
        <f>IFERROR(IF(INDEX(Ingredients[Ingr1],MATCH(Production[[#This Row],[Product]],Ingredients[ProdName],0))&lt;&gt;"",INDEX(Ingredients[Ingr1],MATCH(Production[[#This Row],[Product]],Ingredients[ProdName],0)),INDEX(Ingredients[Ingr2],MATCH(Production[[#This Row],[Product]],Ingredients[ProdName],0))),"")</f>
        <v>Chicken - Ground</v>
      </c>
      <c r="C374" s="53">
        <v>45344</v>
      </c>
      <c r="D374" s="54" t="s">
        <v>17</v>
      </c>
      <c r="E374" s="55" t="s">
        <v>128</v>
      </c>
      <c r="F374" s="56">
        <v>11</v>
      </c>
      <c r="G374" s="56">
        <v>66</v>
      </c>
      <c r="H374" s="208">
        <f>IFERROR(INDEX(Tier1[Wt],MATCH(Production[[#This Row],[Type]],Tier1[Ingredient],0))*Production[[#This Row],[Blocks Used]],0)</f>
        <v>3300</v>
      </c>
      <c r="I374" s="210">
        <f>IFERROR(INDEX(Ingredients[TtlWt],MATCH(Production[[#This Row],[Product]],Ingredients[ProdName],0))*Production[[#This Row],[Lots Done]],"")</f>
        <v>461.45000000000005</v>
      </c>
      <c r="J374" s="210" t="str">
        <f>IF(INDEX(Ingredients[Batter],MATCH(Production[[#This Row],[Product]],Ingredients[ProdName],0))*Production[[#This Row],[Batter Used]]&gt;0,INDEX(Ingredients[Batter],MATCH(Production[[#This Row],[Product]],Ingredients[ProdName],0))*Production[[#This Row],[Batter Used]],"")</f>
        <v/>
      </c>
      <c r="K374" s="210" t="str">
        <f>IF(INDEX(Ingredients[Breader],MATCH(Production[[#This Row],[Product]],Ingredients[ProdName],0))*Production[[#This Row],[Breader Used]]&gt;0,INDEX(Ingredients[Breader],MATCH(Production[[#This Row],[Product]],Ingredients[ProdName],0))*Production[[#This Row],[Breader Used]],"")</f>
        <v/>
      </c>
      <c r="L374" s="56"/>
      <c r="M374" s="56"/>
      <c r="N374" s="211">
        <f>IFERROR(IF(SUM(Production[[#This Row],[Meat Wt]:[BrTtl]])&lt;&gt;0,SUM(Production[[#This Row],[Meat Wt]:[BrTtl]]),""),"")</f>
        <v>3761.45</v>
      </c>
      <c r="O374" s="55">
        <v>190</v>
      </c>
      <c r="P374" s="208">
        <f>INDEX(Ingredients[Case Wt.],MATCH(Production[[#This Row],[Product]],Ingredients[ProdName],0))*Production[[#This Row],[Case Total]]</f>
        <v>4750</v>
      </c>
      <c r="Q374" s="211">
        <f>IFERROR(Production[[#This Row],[SatWt]]-Production[[#This Row],[RawWt]],"")</f>
        <v>988.55000000000018</v>
      </c>
      <c r="R374" s="222" t="str">
        <f>IF(Production[[#This Row],[Species]]&lt;&gt;"",IF(SUM(Production[[#This Row],[BtTtl]:[BrTtl]])/Production[[#This Row],[SatWt]]&lt;&gt;0,SUM(Production[[#This Row],[BtTtl]:[BrTtl]])/Production[[#This Row],[SatWt]],""),"")</f>
        <v/>
      </c>
      <c r="S374" s="223" t="str">
        <f>INDEX(Ingredients[Species],MATCH(Production[[#This Row],[Product]],Ingredients[ProdName],0))</f>
        <v>Poultry</v>
      </c>
    </row>
    <row r="375" spans="1:19" ht="11.1" customHeight="1" x14ac:dyDescent="0.25">
      <c r="A375" s="208" t="str">
        <f>IFERROR(IF(Production[[#This Row],[Date]]&lt;&gt;"",TEXT(Production[[#This Row],[Date]],"yy")&amp;"-"&amp;TEXT(Production[[#This Row],[Date]]-DATE(YEAR(Production[[#This Row],[Date]]),1,0),"000"),""),"")</f>
        <v>24-057</v>
      </c>
      <c r="B375" s="209" t="str">
        <f>IFERROR(IF(INDEX(Ingredients[Ingr1],MATCH(Production[[#This Row],[Product]],Ingredients[ProdName],0))&lt;&gt;"",INDEX(Ingredients[Ingr1],MATCH(Production[[#This Row],[Product]],Ingredients[ProdName],0)),INDEX(Ingredients[Ingr2],MATCH(Production[[#This Row],[Product]],Ingredients[ProdName],0))),"")</f>
        <v>Pork - Trim</v>
      </c>
      <c r="C375" s="53">
        <v>45348</v>
      </c>
      <c r="D375" s="54" t="s">
        <v>18</v>
      </c>
      <c r="E375" s="55" t="s">
        <v>128</v>
      </c>
      <c r="F375" s="56">
        <v>12</v>
      </c>
      <c r="G375" s="56">
        <v>60</v>
      </c>
      <c r="H375" s="208">
        <f>IFERROR(INDEX(Tier1[Wt],MATCH(Production[[#This Row],[Type]],Tier1[Ingredient],0))*Production[[#This Row],[Blocks Used]],0)</f>
        <v>3600</v>
      </c>
      <c r="I375" s="210">
        <f>IFERROR(INDEX(Ingredients[TtlWt],MATCH(Production[[#This Row],[Product]],Ingredients[ProdName],0))*Production[[#This Row],[Lots Done]],"")</f>
        <v>139.80000000000001</v>
      </c>
      <c r="J375" s="210" t="str">
        <f>IF(INDEX(Ingredients[Batter],MATCH(Production[[#This Row],[Product]],Ingredients[ProdName],0))*Production[[#This Row],[Batter Used]]&gt;0,INDEX(Ingredients[Batter],MATCH(Production[[#This Row],[Product]],Ingredients[ProdName],0))*Production[[#This Row],[Batter Used]],"")</f>
        <v/>
      </c>
      <c r="K375" s="210" t="str">
        <f>IF(INDEX(Ingredients[Breader],MATCH(Production[[#This Row],[Product]],Ingredients[ProdName],0))*Production[[#This Row],[Breader Used]]&gt;0,INDEX(Ingredients[Breader],MATCH(Production[[#This Row],[Product]],Ingredients[ProdName],0))*Production[[#This Row],[Breader Used]],"")</f>
        <v/>
      </c>
      <c r="L375" s="56"/>
      <c r="M375" s="56"/>
      <c r="N375" s="211">
        <f>IFERROR(IF(SUM(Production[[#This Row],[Meat Wt]:[BrTtl]])&lt;&gt;0,SUM(Production[[#This Row],[Meat Wt]:[BrTtl]]),""),"")</f>
        <v>3739.8</v>
      </c>
      <c r="O375" s="55">
        <v>148</v>
      </c>
      <c r="P375" s="208">
        <f>INDEX(Ingredients[Case Wt.],MATCH(Production[[#This Row],[Product]],Ingredients[ProdName],0))*Production[[#This Row],[Case Total]]</f>
        <v>4440</v>
      </c>
      <c r="Q375" s="211">
        <f>IFERROR(Production[[#This Row],[SatWt]]-Production[[#This Row],[RawWt]],"")</f>
        <v>700.19999999999982</v>
      </c>
      <c r="R375" s="222" t="str">
        <f>IF(Production[[#This Row],[Species]]&lt;&gt;"",IF(SUM(Production[[#This Row],[BtTtl]:[BrTtl]])/Production[[#This Row],[SatWt]]&lt;&gt;0,SUM(Production[[#This Row],[BtTtl]:[BrTtl]])/Production[[#This Row],[SatWt]],""),"")</f>
        <v/>
      </c>
      <c r="S375" s="223" t="str">
        <f>INDEX(Ingredients[Species],MATCH(Production[[#This Row],[Product]],Ingredients[ProdName],0))</f>
        <v>Meat</v>
      </c>
    </row>
    <row r="376" spans="1:19" ht="11.1" customHeight="1" x14ac:dyDescent="0.25">
      <c r="A376" s="208" t="str">
        <f>IFERROR(IF(Production[[#This Row],[Date]]&lt;&gt;"",TEXT(Production[[#This Row],[Date]],"yy")&amp;"-"&amp;TEXT(Production[[#This Row],[Date]]-DATE(YEAR(Production[[#This Row],[Date]]),1,0),"000"),""),"")</f>
        <v>24-058</v>
      </c>
      <c r="B376" s="209" t="str">
        <f>IFERROR(IF(INDEX(Ingredients[Ingr1],MATCH(Production[[#This Row],[Product]],Ingredients[ProdName],0))&lt;&gt;"",INDEX(Ingredients[Ingr1],MATCH(Production[[#This Row],[Product]],Ingredients[ProdName],0)),INDEX(Ingredients[Ingr2],MATCH(Production[[#This Row],[Product]],Ingredients[ProdName],0))),"")</f>
        <v>Chicken - Ground</v>
      </c>
      <c r="C376" s="53">
        <v>45349</v>
      </c>
      <c r="D376" s="54" t="s">
        <v>15</v>
      </c>
      <c r="E376" s="55" t="s">
        <v>128</v>
      </c>
      <c r="F376" s="56">
        <v>10</v>
      </c>
      <c r="G376" s="56">
        <v>60</v>
      </c>
      <c r="H376" s="208">
        <f>IFERROR(INDEX(Tier1[Wt],MATCH(Production[[#This Row],[Type]],Tier1[Ingredient],0))*Production[[#This Row],[Blocks Used]],0)</f>
        <v>3000</v>
      </c>
      <c r="I376" s="210">
        <f>IFERROR(INDEX(Ingredients[TtlWt],MATCH(Production[[#This Row],[Product]],Ingredients[ProdName],0))*Production[[#This Row],[Lots Done]],"")</f>
        <v>116.5</v>
      </c>
      <c r="J376" s="210" t="str">
        <f>IF(INDEX(Ingredients[Batter],MATCH(Production[[#This Row],[Product]],Ingredients[ProdName],0))*Production[[#This Row],[Batter Used]]&gt;0,INDEX(Ingredients[Batter],MATCH(Production[[#This Row],[Product]],Ingredients[ProdName],0))*Production[[#This Row],[Batter Used]],"")</f>
        <v/>
      </c>
      <c r="K376" s="210" t="str">
        <f>IF(INDEX(Ingredients[Breader],MATCH(Production[[#This Row],[Product]],Ingredients[ProdName],0))*Production[[#This Row],[Breader Used]]&gt;0,INDEX(Ingredients[Breader],MATCH(Production[[#This Row],[Product]],Ingredients[ProdName],0))*Production[[#This Row],[Breader Used]],"")</f>
        <v/>
      </c>
      <c r="L376" s="56"/>
      <c r="M376" s="56"/>
      <c r="N376" s="211">
        <f>IFERROR(IF(SUM(Production[[#This Row],[Meat Wt]:[BrTtl]])&lt;&gt;0,SUM(Production[[#This Row],[Meat Wt]:[BrTtl]]),""),"")</f>
        <v>3116.5</v>
      </c>
      <c r="O376" s="55">
        <v>119</v>
      </c>
      <c r="P376" s="208">
        <f>INDEX(Ingredients[Case Wt.],MATCH(Production[[#This Row],[Product]],Ingredients[ProdName],0))*Production[[#This Row],[Case Total]]</f>
        <v>3570</v>
      </c>
      <c r="Q376" s="211">
        <f>IFERROR(Production[[#This Row],[SatWt]]-Production[[#This Row],[RawWt]],"")</f>
        <v>453.5</v>
      </c>
      <c r="R376" s="222" t="str">
        <f>IF(Production[[#This Row],[Species]]&lt;&gt;"",IF(SUM(Production[[#This Row],[BtTtl]:[BrTtl]])/Production[[#This Row],[SatWt]]&lt;&gt;0,SUM(Production[[#This Row],[BtTtl]:[BrTtl]])/Production[[#This Row],[SatWt]],""),"")</f>
        <v/>
      </c>
      <c r="S376" s="223" t="str">
        <f>INDEX(Ingredients[Species],MATCH(Production[[#This Row],[Product]],Ingredients[ProdName],0))</f>
        <v>Poultry</v>
      </c>
    </row>
    <row r="377" spans="1:19" ht="11.1" customHeight="1" x14ac:dyDescent="0.25">
      <c r="A377" s="208" t="str">
        <f>IFERROR(IF(Production[[#This Row],[Date]]&lt;&gt;"",TEXT(Production[[#This Row],[Date]],"yy")&amp;"-"&amp;TEXT(Production[[#This Row],[Date]]-DATE(YEAR(Production[[#This Row],[Date]]),1,0),"000"),""),"")</f>
        <v>24-059</v>
      </c>
      <c r="B377" s="209" t="str">
        <f>IFERROR(IF(INDEX(Ingredients[Ingr1],MATCH(Production[[#This Row],[Product]],Ingredients[ProdName],0))&lt;&gt;"",INDEX(Ingredients[Ingr1],MATCH(Production[[#This Row],[Product]],Ingredients[ProdName],0)),INDEX(Ingredients[Ingr2],MATCH(Production[[#This Row],[Product]],Ingredients[ProdName],0))),"")</f>
        <v>Chicken - Ground</v>
      </c>
      <c r="C377" s="53">
        <v>45350</v>
      </c>
      <c r="D377" s="54" t="s">
        <v>19</v>
      </c>
      <c r="E377" s="55" t="s">
        <v>128</v>
      </c>
      <c r="F377" s="56">
        <v>5</v>
      </c>
      <c r="G377" s="56">
        <v>30</v>
      </c>
      <c r="H377" s="208">
        <f>IFERROR(INDEX(Tier1[Wt],MATCH(Production[[#This Row],[Type]],Tier1[Ingredient],0))*Production[[#This Row],[Blocks Used]],0)</f>
        <v>1500</v>
      </c>
      <c r="I377" s="210">
        <f>IFERROR(INDEX(Ingredients[TtlWt],MATCH(Production[[#This Row],[Product]],Ingredients[ProdName],0))*Production[[#This Row],[Lots Done]],"")</f>
        <v>58.25</v>
      </c>
      <c r="J377" s="210" t="str">
        <f>IF(INDEX(Ingredients[Batter],MATCH(Production[[#This Row],[Product]],Ingredients[ProdName],0))*Production[[#This Row],[Batter Used]]&gt;0,INDEX(Ingredients[Batter],MATCH(Production[[#This Row],[Product]],Ingredients[ProdName],0))*Production[[#This Row],[Batter Used]],"")</f>
        <v/>
      </c>
      <c r="K377" s="210" t="str">
        <f>IF(INDEX(Ingredients[Breader],MATCH(Production[[#This Row],[Product]],Ingredients[ProdName],0))*Production[[#This Row],[Breader Used]]&gt;0,INDEX(Ingredients[Breader],MATCH(Production[[#This Row],[Product]],Ingredients[ProdName],0))*Production[[#This Row],[Breader Used]],"")</f>
        <v/>
      </c>
      <c r="L377" s="56"/>
      <c r="M377" s="56"/>
      <c r="N377" s="211">
        <f>IFERROR(IF(SUM(Production[[#This Row],[Meat Wt]:[BrTtl]])&lt;&gt;0,SUM(Production[[#This Row],[Meat Wt]:[BrTtl]]),""),"")</f>
        <v>1558.25</v>
      </c>
      <c r="O377" s="55">
        <v>81</v>
      </c>
      <c r="P377" s="208">
        <f>INDEX(Ingredients[Case Wt.],MATCH(Production[[#This Row],[Product]],Ingredients[ProdName],0))*Production[[#This Row],[Case Total]]</f>
        <v>2025</v>
      </c>
      <c r="Q377" s="211">
        <f>IFERROR(Production[[#This Row],[SatWt]]-Production[[#This Row],[RawWt]],"")</f>
        <v>466.75</v>
      </c>
      <c r="R377" s="222" t="str">
        <f>IF(Production[[#This Row],[Species]]&lt;&gt;"",IF(SUM(Production[[#This Row],[BtTtl]:[BrTtl]])/Production[[#This Row],[SatWt]]&lt;&gt;0,SUM(Production[[#This Row],[BtTtl]:[BrTtl]])/Production[[#This Row],[SatWt]],""),"")</f>
        <v/>
      </c>
      <c r="S377" s="223" t="str">
        <f>INDEX(Ingredients[Species],MATCH(Production[[#This Row],[Product]],Ingredients[ProdName],0))</f>
        <v>Poultry</v>
      </c>
    </row>
    <row r="378" spans="1:19" ht="11.1" customHeight="1" x14ac:dyDescent="0.25">
      <c r="A378" s="208" t="str">
        <f>IFERROR(IF(Production[[#This Row],[Date]]&lt;&gt;"",TEXT(Production[[#This Row],[Date]],"yy")&amp;"-"&amp;TEXT(Production[[#This Row],[Date]]-DATE(YEAR(Production[[#This Row],[Date]]),1,0),"000"),""),"")</f>
        <v>24-060</v>
      </c>
      <c r="B378" s="209" t="str">
        <f>IFERROR(IF(INDEX(Ingredients[Ingr1],MATCH(Production[[#This Row],[Product]],Ingredients[ProdName],0))&lt;&gt;"",INDEX(Ingredients[Ingr1],MATCH(Production[[#This Row],[Product]],Ingredients[ProdName],0)),INDEX(Ingredients[Ingr2],MATCH(Production[[#This Row],[Product]],Ingredients[ProdName],0))),"")</f>
        <v>Chicken - Ground</v>
      </c>
      <c r="C378" s="53">
        <v>45351</v>
      </c>
      <c r="D378" s="54" t="s">
        <v>19</v>
      </c>
      <c r="E378" s="55" t="s">
        <v>128</v>
      </c>
      <c r="F378" s="56">
        <v>10</v>
      </c>
      <c r="G378" s="56">
        <v>60</v>
      </c>
      <c r="H378" s="208">
        <f>IFERROR(INDEX(Tier1[Wt],MATCH(Production[[#This Row],[Type]],Tier1[Ingredient],0))*Production[[#This Row],[Blocks Used]],0)</f>
        <v>3000</v>
      </c>
      <c r="I378" s="210">
        <f>IFERROR(INDEX(Ingredients[TtlWt],MATCH(Production[[#This Row],[Product]],Ingredients[ProdName],0))*Production[[#This Row],[Lots Done]],"")</f>
        <v>116.5</v>
      </c>
      <c r="J378" s="210" t="str">
        <f>IF(INDEX(Ingredients[Batter],MATCH(Production[[#This Row],[Product]],Ingredients[ProdName],0))*Production[[#This Row],[Batter Used]]&gt;0,INDEX(Ingredients[Batter],MATCH(Production[[#This Row],[Product]],Ingredients[ProdName],0))*Production[[#This Row],[Batter Used]],"")</f>
        <v/>
      </c>
      <c r="K378" s="210" t="str">
        <f>IF(INDEX(Ingredients[Breader],MATCH(Production[[#This Row],[Product]],Ingredients[ProdName],0))*Production[[#This Row],[Breader Used]]&gt;0,INDEX(Ingredients[Breader],MATCH(Production[[#This Row],[Product]],Ingredients[ProdName],0))*Production[[#This Row],[Breader Used]],"")</f>
        <v/>
      </c>
      <c r="L378" s="56"/>
      <c r="M378" s="56"/>
      <c r="N378" s="211">
        <f>IFERROR(IF(SUM(Production[[#This Row],[Meat Wt]:[BrTtl]])&lt;&gt;0,SUM(Production[[#This Row],[Meat Wt]:[BrTtl]]),""),"")</f>
        <v>3116.5</v>
      </c>
      <c r="O378" s="55">
        <v>166</v>
      </c>
      <c r="P378" s="208">
        <f>INDEX(Ingredients[Case Wt.],MATCH(Production[[#This Row],[Product]],Ingredients[ProdName],0))*Production[[#This Row],[Case Total]]</f>
        <v>4150</v>
      </c>
      <c r="Q378" s="211">
        <f>IFERROR(Production[[#This Row],[SatWt]]-Production[[#This Row],[RawWt]],"")</f>
        <v>1033.5</v>
      </c>
      <c r="R378" s="222" t="str">
        <f>IF(Production[[#This Row],[Species]]&lt;&gt;"",IF(SUM(Production[[#This Row],[BtTtl]:[BrTtl]])/Production[[#This Row],[SatWt]]&lt;&gt;0,SUM(Production[[#This Row],[BtTtl]:[BrTtl]])/Production[[#This Row],[SatWt]],""),"")</f>
        <v/>
      </c>
      <c r="S378" s="223" t="str">
        <f>INDEX(Ingredients[Species],MATCH(Production[[#This Row],[Product]],Ingredients[ProdName],0))</f>
        <v>Poultry</v>
      </c>
    </row>
    <row r="379" spans="1:19" ht="11.1" customHeight="1" x14ac:dyDescent="0.25">
      <c r="A379" s="208" t="str">
        <f>IFERROR(IF(Production[[#This Row],[Date]]&lt;&gt;"",TEXT(Production[[#This Row],[Date]],"yy")&amp;"-"&amp;TEXT(Production[[#This Row],[Date]]-DATE(YEAR(Production[[#This Row],[Date]]),1,0),"000"),""),"")</f>
        <v>24-064</v>
      </c>
      <c r="B379" s="209" t="str">
        <f>IFERROR(IF(INDEX(Ingredients[Ingr1],MATCH(Production[[#This Row],[Product]],Ingredients[ProdName],0))&lt;&gt;"",INDEX(Ingredients[Ingr1],MATCH(Production[[#This Row],[Product]],Ingredients[ProdName],0)),INDEX(Ingredients[Ingr2],MATCH(Production[[#This Row],[Product]],Ingredients[ProdName],0))),"")</f>
        <v>Chicken - Ground</v>
      </c>
      <c r="C379" s="53">
        <v>45355</v>
      </c>
      <c r="D379" s="54" t="s">
        <v>20</v>
      </c>
      <c r="E379" s="55" t="s">
        <v>128</v>
      </c>
      <c r="F379" s="56">
        <v>10</v>
      </c>
      <c r="G379" s="56">
        <v>60</v>
      </c>
      <c r="H379" s="208">
        <f>IFERROR(INDEX(Tier1[Wt],MATCH(Production[[#This Row],[Type]],Tier1[Ingredient],0))*Production[[#This Row],[Blocks Used]],0)</f>
        <v>3000</v>
      </c>
      <c r="I379" s="210">
        <f>IFERROR(INDEX(Ingredients[TtlWt],MATCH(Production[[#This Row],[Product]],Ingredients[ProdName],0))*Production[[#This Row],[Lots Done]],"")</f>
        <v>204</v>
      </c>
      <c r="J379" s="210" t="str">
        <f>IF(INDEX(Ingredients[Batter],MATCH(Production[[#This Row],[Product]],Ingredients[ProdName],0))*Production[[#This Row],[Batter Used]]&gt;0,INDEX(Ingredients[Batter],MATCH(Production[[#This Row],[Product]],Ingredients[ProdName],0))*Production[[#This Row],[Batter Used]],"")</f>
        <v/>
      </c>
      <c r="K379" s="210" t="str">
        <f>IF(INDEX(Ingredients[Breader],MATCH(Production[[#This Row],[Product]],Ingredients[ProdName],0))*Production[[#This Row],[Breader Used]]&gt;0,INDEX(Ingredients[Breader],MATCH(Production[[#This Row],[Product]],Ingredients[ProdName],0))*Production[[#This Row],[Breader Used]],"")</f>
        <v/>
      </c>
      <c r="L379" s="56"/>
      <c r="M379" s="56"/>
      <c r="N379" s="211">
        <f>IFERROR(IF(SUM(Production[[#This Row],[Meat Wt]:[BrTtl]])&lt;&gt;0,SUM(Production[[#This Row],[Meat Wt]:[BrTtl]]),""),"")</f>
        <v>3204</v>
      </c>
      <c r="O379" s="55">
        <v>171</v>
      </c>
      <c r="P379" s="208">
        <f>INDEX(Ingredients[Case Wt.],MATCH(Production[[#This Row],[Product]],Ingredients[ProdName],0))*Production[[#This Row],[Case Total]]</f>
        <v>4275</v>
      </c>
      <c r="Q379" s="211">
        <f>IFERROR(Production[[#This Row],[SatWt]]-Production[[#This Row],[RawWt]],"")</f>
        <v>1071</v>
      </c>
      <c r="R379" s="222" t="str">
        <f>IF(Production[[#This Row],[Species]]&lt;&gt;"",IF(SUM(Production[[#This Row],[BtTtl]:[BrTtl]])/Production[[#This Row],[SatWt]]&lt;&gt;0,SUM(Production[[#This Row],[BtTtl]:[BrTtl]])/Production[[#This Row],[SatWt]],""),"")</f>
        <v/>
      </c>
      <c r="S379" s="223" t="str">
        <f>INDEX(Ingredients[Species],MATCH(Production[[#This Row],[Product]],Ingredients[ProdName],0))</f>
        <v>Poultry</v>
      </c>
    </row>
    <row r="380" spans="1:19" ht="11.1" customHeight="1" x14ac:dyDescent="0.25">
      <c r="A380" s="208" t="str">
        <f>IFERROR(IF(Production[[#This Row],[Date]]&lt;&gt;"",TEXT(Production[[#This Row],[Date]],"yy")&amp;"-"&amp;TEXT(Production[[#This Row],[Date]]-DATE(YEAR(Production[[#This Row],[Date]]),1,0),"000"),""),"")</f>
        <v>24-066</v>
      </c>
      <c r="B380" s="209" t="str">
        <f>IFERROR(IF(INDEX(Ingredients[Ingr1],MATCH(Production[[#This Row],[Product]],Ingredients[ProdName],0))&lt;&gt;"",INDEX(Ingredients[Ingr1],MATCH(Production[[#This Row],[Product]],Ingredients[ProdName],0)),INDEX(Ingredients[Ingr2],MATCH(Production[[#This Row],[Product]],Ingredients[ProdName],0))),"")</f>
        <v>Chicken - Tenders</v>
      </c>
      <c r="C380" s="53">
        <v>45357</v>
      </c>
      <c r="D380" s="54" t="s">
        <v>21</v>
      </c>
      <c r="E380" s="55" t="s">
        <v>209</v>
      </c>
      <c r="F380" s="56">
        <v>3</v>
      </c>
      <c r="G380" s="56">
        <v>21</v>
      </c>
      <c r="H380" s="208">
        <f>IFERROR(INDEX(Tier1[Wt],MATCH(Production[[#This Row],[Type]],Tier1[Ingredient],0))*Production[[#This Row],[Blocks Used]],0)</f>
        <v>840</v>
      </c>
      <c r="I380" s="210"/>
      <c r="J380" s="210">
        <f>IF(INDEX(Ingredients[Batter],MATCH(Production[[#This Row],[Product]],Ingredients[ProdName],0))*Production[[#This Row],[Batter Used]]&gt;0,INDEX(Ingredients[Batter],MATCH(Production[[#This Row],[Product]],Ingredients[ProdName],0))*Production[[#This Row],[Batter Used]],"")</f>
        <v>50</v>
      </c>
      <c r="K380" s="210">
        <f>IF(INDEX(Ingredients[Breader],MATCH(Production[[#This Row],[Product]],Ingredients[ProdName],0))*Production[[#This Row],[Breader Used]]&gt;0,INDEX(Ingredients[Breader],MATCH(Production[[#This Row],[Product]],Ingredients[ProdName],0))*Production[[#This Row],[Breader Used]],"")</f>
        <v>150</v>
      </c>
      <c r="L380" s="56">
        <v>1</v>
      </c>
      <c r="M380" s="56">
        <v>3</v>
      </c>
      <c r="N380" s="211">
        <f>IFERROR(IF(SUM(Production[[#This Row],[Meat Wt]:[BrTtl]])&lt;&gt;0,SUM(Production[[#This Row],[Meat Wt]:[BrTtl]]),""),"")</f>
        <v>1040</v>
      </c>
      <c r="O380" s="55">
        <v>49</v>
      </c>
      <c r="P380" s="208">
        <f>INDEX(Ingredients[Case Wt.],MATCH(Production[[#This Row],[Product]],Ingredients[ProdName],0))*Production[[#This Row],[Case Total]]</f>
        <v>1225</v>
      </c>
      <c r="Q380" s="211">
        <f>IFERROR(Production[[#This Row],[SatWt]]-Production[[#This Row],[RawWt]],"")</f>
        <v>185</v>
      </c>
      <c r="R380" s="222">
        <f>IF(Production[[#This Row],[Species]]&lt;&gt;"",IF(SUM(Production[[#This Row],[BtTtl]:[BrTtl]])/Production[[#This Row],[SatWt]]&lt;&gt;0,SUM(Production[[#This Row],[BtTtl]:[BrTtl]])/Production[[#This Row],[SatWt]],""),"")</f>
        <v>0.16326530612244897</v>
      </c>
      <c r="S380" s="223" t="str">
        <f>INDEX(Ingredients[Species],MATCH(Production[[#This Row],[Product]],Ingredients[ProdName],0))</f>
        <v>Poultry</v>
      </c>
    </row>
    <row r="381" spans="1:19" ht="11.1" customHeight="1" x14ac:dyDescent="0.25">
      <c r="A381" s="208" t="str">
        <f>IFERROR(IF(Production[[#This Row],[Date]]&lt;&gt;"",TEXT(Production[[#This Row],[Date]],"yy")&amp;"-"&amp;TEXT(Production[[#This Row],[Date]]-DATE(YEAR(Production[[#This Row],[Date]]),1,0),"000"),""),"")</f>
        <v>24-066</v>
      </c>
      <c r="B381" s="209" t="str">
        <f>IFERROR(IF(INDEX(Ingredients[Ingr1],MATCH(Production[[#This Row],[Product]],Ingredients[ProdName],0))&lt;&gt;"",INDEX(Ingredients[Ingr1],MATCH(Production[[#This Row],[Product]],Ingredients[ProdName],0)),INDEX(Ingredients[Ingr2],MATCH(Production[[#This Row],[Product]],Ingredients[ProdName],0))),"")</f>
        <v>Chicken - Tenders</v>
      </c>
      <c r="C381" s="53">
        <v>45357</v>
      </c>
      <c r="D381" s="54" t="s">
        <v>21</v>
      </c>
      <c r="E381" s="55" t="s">
        <v>129</v>
      </c>
      <c r="F381" s="56">
        <v>7</v>
      </c>
      <c r="G381" s="56">
        <v>49</v>
      </c>
      <c r="H381" s="208">
        <f>IFERROR(INDEX(Tier1[Wt],MATCH(Production[[#This Row],[Type]],Tier1[Ingredient],0))*Production[[#This Row],[Blocks Used]],0)</f>
        <v>1960</v>
      </c>
      <c r="I381" s="210">
        <f>IFERROR(INDEX(Ingredients[TtlWt],MATCH(Production[[#This Row],[Product]],Ingredients[ProdName],0))*Production[[#This Row],[Lots Done]],"")</f>
        <v>378</v>
      </c>
      <c r="J381" s="210">
        <f>IF(INDEX(Ingredients[Batter],MATCH(Production[[#This Row],[Product]],Ingredients[ProdName],0))*Production[[#This Row],[Batter Used]]&gt;0,INDEX(Ingredients[Batter],MATCH(Production[[#This Row],[Product]],Ingredients[ProdName],0))*Production[[#This Row],[Batter Used]],"")</f>
        <v>100</v>
      </c>
      <c r="K381" s="210">
        <f>IF(INDEX(Ingredients[Breader],MATCH(Production[[#This Row],[Product]],Ingredients[ProdName],0))*Production[[#This Row],[Breader Used]]&gt;0,INDEX(Ingredients[Breader],MATCH(Production[[#This Row],[Product]],Ingredients[ProdName],0))*Production[[#This Row],[Breader Used]],"")</f>
        <v>300</v>
      </c>
      <c r="L381" s="56">
        <v>2</v>
      </c>
      <c r="M381" s="56">
        <v>6</v>
      </c>
      <c r="N381" s="211">
        <f>IFERROR(IF(SUM(Production[[#This Row],[Meat Wt]:[BrTtl]])&lt;&gt;0,SUM(Production[[#This Row],[Meat Wt]:[BrTtl]]),""),"")</f>
        <v>2738</v>
      </c>
      <c r="O381" s="55">
        <v>162</v>
      </c>
      <c r="P381" s="208">
        <f>INDEX(Ingredients[Case Wt.],MATCH(Production[[#This Row],[Product]],Ingredients[ProdName],0))*Production[[#This Row],[Case Total]]</f>
        <v>4050</v>
      </c>
      <c r="Q381" s="211">
        <f>IFERROR(Production[[#This Row],[SatWt]]-Production[[#This Row],[RawWt]],"")</f>
        <v>1312</v>
      </c>
      <c r="R381" s="222">
        <f>IF(Production[[#This Row],[Species]]&lt;&gt;"",IF(SUM(Production[[#This Row],[BtTtl]:[BrTtl]])/Production[[#This Row],[SatWt]]&lt;&gt;0,SUM(Production[[#This Row],[BtTtl]:[BrTtl]])/Production[[#This Row],[SatWt]],""),"")</f>
        <v>9.8765432098765427E-2</v>
      </c>
      <c r="S381" s="223" t="str">
        <f>INDEX(Ingredients[Species],MATCH(Production[[#This Row],[Product]],Ingredients[ProdName],0))</f>
        <v>Poultry</v>
      </c>
    </row>
    <row r="382" spans="1:19" ht="11.1" customHeight="1" x14ac:dyDescent="0.25">
      <c r="A382" s="208" t="str">
        <f>IFERROR(IF(Production[[#This Row],[Date]]&lt;&gt;"",TEXT(Production[[#This Row],[Date]],"yy")&amp;"-"&amp;TEXT(Production[[#This Row],[Date]]-DATE(YEAR(Production[[#This Row],[Date]]),1,0),"000"),""),"")</f>
        <v>24-067</v>
      </c>
      <c r="B382" s="209" t="str">
        <f>IFERROR(IF(INDEX(Ingredients[Ingr1],MATCH(Production[[#This Row],[Product]],Ingredients[ProdName],0))&lt;&gt;"",INDEX(Ingredients[Ingr1],MATCH(Production[[#This Row],[Product]],Ingredients[ProdName],0)),INDEX(Ingredients[Ingr2],MATCH(Production[[#This Row],[Product]],Ingredients[ProdName],0))),"")</f>
        <v>Pork - Trim</v>
      </c>
      <c r="C382" s="53">
        <v>45358</v>
      </c>
      <c r="D382" s="54" t="s">
        <v>22</v>
      </c>
      <c r="E382" s="55" t="s">
        <v>127</v>
      </c>
      <c r="F382" s="56">
        <v>10</v>
      </c>
      <c r="G382" s="56">
        <v>50</v>
      </c>
      <c r="H382" s="208">
        <f>IFERROR(INDEX(Tier1[Wt],MATCH(Production[[#This Row],[Type]],Tier1[Ingredient],0))*Production[[#This Row],[Blocks Used]],0)</f>
        <v>3000</v>
      </c>
      <c r="I382" s="210">
        <f>IFERROR(INDEX(Ingredients[TtlWt],MATCH(Production[[#This Row],[Product]],Ingredients[ProdName],0))*Production[[#This Row],[Lots Done]],"")</f>
        <v>408</v>
      </c>
      <c r="J382" s="210">
        <f>IF(INDEX(Ingredients[Batter],MATCH(Production[[#This Row],[Product]],Ingredients[ProdName],0))*Production[[#This Row],[Batter Used]]&gt;0,INDEX(Ingredients[Batter],MATCH(Production[[#This Row],[Product]],Ingredients[ProdName],0))*Production[[#This Row],[Batter Used]],"")</f>
        <v>150</v>
      </c>
      <c r="K382" s="210">
        <f>IF(INDEX(Ingredients[Breader],MATCH(Production[[#This Row],[Product]],Ingredients[ProdName],0))*Production[[#This Row],[Breader Used]]&gt;0,INDEX(Ingredients[Breader],MATCH(Production[[#This Row],[Product]],Ingredients[ProdName],0))*Production[[#This Row],[Breader Used]],"")</f>
        <v>700</v>
      </c>
      <c r="L382" s="56">
        <v>3</v>
      </c>
      <c r="M382" s="56">
        <v>28</v>
      </c>
      <c r="N382" s="211">
        <f>IFERROR(IF(SUM(Production[[#This Row],[Meat Wt]:[BrTtl]])&lt;&gt;0,SUM(Production[[#This Row],[Meat Wt]:[BrTtl]]),""),"")</f>
        <v>4258</v>
      </c>
      <c r="O382" s="55">
        <v>187</v>
      </c>
      <c r="P382" s="208">
        <f>INDEX(Ingredients[Case Wt.],MATCH(Production[[#This Row],[Product]],Ingredients[ProdName],0))*Production[[#This Row],[Case Total]]</f>
        <v>4675</v>
      </c>
      <c r="Q382" s="211">
        <f>IFERROR(Production[[#This Row],[SatWt]]-Production[[#This Row],[RawWt]],"")</f>
        <v>417</v>
      </c>
      <c r="R382" s="222">
        <f>IF(Production[[#This Row],[Species]]&lt;&gt;"",IF(SUM(Production[[#This Row],[BtTtl]:[BrTtl]])/Production[[#This Row],[SatWt]]&lt;&gt;0,SUM(Production[[#This Row],[BtTtl]:[BrTtl]])/Production[[#This Row],[SatWt]],""),"")</f>
        <v>0.18181818181818182</v>
      </c>
      <c r="S382" s="223" t="str">
        <f>INDEX(Ingredients[Species],MATCH(Production[[#This Row],[Product]],Ingredients[ProdName],0))</f>
        <v>Meat</v>
      </c>
    </row>
    <row r="383" spans="1:19" ht="11.1" customHeight="1" x14ac:dyDescent="0.25">
      <c r="A383" s="208" t="str">
        <f>IFERROR(IF(Production[[#This Row],[Date]]&lt;&gt;"",TEXT(Production[[#This Row],[Date]],"yy")&amp;"-"&amp;TEXT(Production[[#This Row],[Date]]-DATE(YEAR(Production[[#This Row],[Date]]),1,0),"000"),""),"")</f>
        <v>24-071</v>
      </c>
      <c r="B383" s="209" t="str">
        <f>IFERROR(IF(INDEX(Ingredients[Ingr1],MATCH(Production[[#This Row],[Product]],Ingredients[ProdName],0))&lt;&gt;"",INDEX(Ingredients[Ingr1],MATCH(Production[[#This Row],[Product]],Ingredients[ProdName],0)),INDEX(Ingredients[Ingr2],MATCH(Production[[#This Row],[Product]],Ingredients[ProdName],0))),"")</f>
        <v>Chicken - Ground</v>
      </c>
      <c r="C383" s="53">
        <v>45362</v>
      </c>
      <c r="D383" s="54" t="s">
        <v>7</v>
      </c>
      <c r="E383" s="55" t="s">
        <v>130</v>
      </c>
      <c r="F383" s="56">
        <v>8</v>
      </c>
      <c r="G383" s="56">
        <v>48</v>
      </c>
      <c r="H383" s="208">
        <f>IFERROR(INDEX(Tier1[Wt],MATCH(Production[[#This Row],[Type]],Tier1[Ingredient],0))*Production[[#This Row],[Blocks Used]],0)</f>
        <v>2400</v>
      </c>
      <c r="I383" s="210">
        <f>IFERROR(INDEX(Ingredients[TtlWt],MATCH(Production[[#This Row],[Product]],Ingredients[ProdName],0))*Production[[#This Row],[Lots Done]],"")</f>
        <v>54</v>
      </c>
      <c r="J383" s="210" t="str">
        <f>IF(INDEX(Ingredients[Batter],MATCH(Production[[#This Row],[Product]],Ingredients[ProdName],0))*Production[[#This Row],[Batter Used]]&gt;0,INDEX(Ingredients[Batter],MATCH(Production[[#This Row],[Product]],Ingredients[ProdName],0))*Production[[#This Row],[Batter Used]],"")</f>
        <v/>
      </c>
      <c r="K383" s="210" t="str">
        <f>IF(INDEX(Ingredients[Breader],MATCH(Production[[#This Row],[Product]],Ingredients[ProdName],0))*Production[[#This Row],[Breader Used]]&gt;0,INDEX(Ingredients[Breader],MATCH(Production[[#This Row],[Product]],Ingredients[ProdName],0))*Production[[#This Row],[Breader Used]],"")</f>
        <v/>
      </c>
      <c r="L383" s="56"/>
      <c r="M383" s="56"/>
      <c r="N383" s="211">
        <f>IFERROR(IF(SUM(Production[[#This Row],[Meat Wt]:[BrTtl]])&lt;&gt;0,SUM(Production[[#This Row],[Meat Wt]:[BrTtl]]),""),"")</f>
        <v>2454</v>
      </c>
      <c r="O383" s="55">
        <v>123</v>
      </c>
      <c r="P383" s="208">
        <f>INDEX(Ingredients[Case Wt.],MATCH(Production[[#This Row],[Product]],Ingredients[ProdName],0))*Production[[#This Row],[Case Total]]</f>
        <v>3075</v>
      </c>
      <c r="Q383" s="211">
        <f>IFERROR(Production[[#This Row],[SatWt]]-Production[[#This Row],[RawWt]],"")</f>
        <v>621</v>
      </c>
      <c r="R383" s="222" t="str">
        <f>IF(Production[[#This Row],[Species]]&lt;&gt;"",IF(SUM(Production[[#This Row],[BtTtl]:[BrTtl]])/Production[[#This Row],[SatWt]]&lt;&gt;0,SUM(Production[[#This Row],[BtTtl]:[BrTtl]])/Production[[#This Row],[SatWt]],""),"")</f>
        <v/>
      </c>
      <c r="S383" s="223" t="str">
        <f>INDEX(Ingredients[Species],MATCH(Production[[#This Row],[Product]],Ingredients[ProdName],0))</f>
        <v>Poultry</v>
      </c>
    </row>
    <row r="384" spans="1:19" ht="11.1" customHeight="1" x14ac:dyDescent="0.25">
      <c r="A384" s="208" t="str">
        <f>IFERROR(IF(Production[[#This Row],[Date]]&lt;&gt;"",TEXT(Production[[#This Row],[Date]],"yy")&amp;"-"&amp;TEXT(Production[[#This Row],[Date]]-DATE(YEAR(Production[[#This Row],[Date]]),1,0),"000"),""),"")</f>
        <v>24-074</v>
      </c>
      <c r="B384" s="209" t="str">
        <f>IFERROR(IF(INDEX(Ingredients[Ingr1],MATCH(Production[[#This Row],[Product]],Ingredients[ProdName],0))&lt;&gt;"",INDEX(Ingredients[Ingr1],MATCH(Production[[#This Row],[Product]],Ingredients[ProdName],0)),INDEX(Ingredients[Ingr2],MATCH(Production[[#This Row],[Product]],Ingredients[ProdName],0))),"")</f>
        <v>Chicken - Ground</v>
      </c>
      <c r="C384" s="53">
        <v>45365</v>
      </c>
      <c r="D384" s="54" t="s">
        <v>23</v>
      </c>
      <c r="E384" s="55" t="s">
        <v>128</v>
      </c>
      <c r="F384" s="56">
        <v>6</v>
      </c>
      <c r="G384" s="56">
        <v>36</v>
      </c>
      <c r="H384" s="208">
        <f>IFERROR(INDEX(Tier1[Wt],MATCH(Production[[#This Row],[Type]],Tier1[Ingredient],0))*Production[[#This Row],[Blocks Used]],0)</f>
        <v>1800</v>
      </c>
      <c r="I384" s="210">
        <f>IFERROR(INDEX(Ingredients[TtlWt],MATCH(Production[[#This Row],[Product]],Ingredients[ProdName],0))*Production[[#This Row],[Lots Done]],"")</f>
        <v>69.900000000000006</v>
      </c>
      <c r="J384" s="210" t="str">
        <f>IF(INDEX(Ingredients[Batter],MATCH(Production[[#This Row],[Product]],Ingredients[ProdName],0))*Production[[#This Row],[Batter Used]]&gt;0,INDEX(Ingredients[Batter],MATCH(Production[[#This Row],[Product]],Ingredients[ProdName],0))*Production[[#This Row],[Batter Used]],"")</f>
        <v/>
      </c>
      <c r="K384" s="210" t="str">
        <f>IF(INDEX(Ingredients[Breader],MATCH(Production[[#This Row],[Product]],Ingredients[ProdName],0))*Production[[#This Row],[Breader Used]]&gt;0,INDEX(Ingredients[Breader],MATCH(Production[[#This Row],[Product]],Ingredients[ProdName],0))*Production[[#This Row],[Breader Used]],"")</f>
        <v/>
      </c>
      <c r="L384" s="56"/>
      <c r="M384" s="56"/>
      <c r="N384" s="211">
        <f>IFERROR(IF(SUM(Production[[#This Row],[Meat Wt]:[BrTtl]])&lt;&gt;0,SUM(Production[[#This Row],[Meat Wt]:[BrTtl]]),""),"")</f>
        <v>1869.9</v>
      </c>
      <c r="O384" s="55">
        <v>80</v>
      </c>
      <c r="P384" s="208">
        <f>INDEX(Ingredients[Case Wt.],MATCH(Production[[#This Row],[Product]],Ingredients[ProdName],0))*Production[[#This Row],[Case Total]]</f>
        <v>2400</v>
      </c>
      <c r="Q384" s="211">
        <f>IFERROR(Production[[#This Row],[SatWt]]-Production[[#This Row],[RawWt]],"")</f>
        <v>530.09999999999991</v>
      </c>
      <c r="R384" s="222" t="str">
        <f>IF(Production[[#This Row],[Species]]&lt;&gt;"",IF(SUM(Production[[#This Row],[BtTtl]:[BrTtl]])/Production[[#This Row],[SatWt]]&lt;&gt;0,SUM(Production[[#This Row],[BtTtl]:[BrTtl]])/Production[[#This Row],[SatWt]],""),"")</f>
        <v/>
      </c>
      <c r="S384" s="223" t="str">
        <f>INDEX(Ingredients[Species],MATCH(Production[[#This Row],[Product]],Ingredients[ProdName],0))</f>
        <v>Poultry</v>
      </c>
    </row>
    <row r="385" spans="1:19" ht="11.1" customHeight="1" x14ac:dyDescent="0.25">
      <c r="A385" s="208" t="str">
        <f>IFERROR(IF(Production[[#This Row],[Date]]&lt;&gt;"",TEXT(Production[[#This Row],[Date]],"yy")&amp;"-"&amp;TEXT(Production[[#This Row],[Date]]-DATE(YEAR(Production[[#This Row],[Date]]),1,0),"000"),""),"")</f>
        <v>24-074</v>
      </c>
      <c r="B385" s="209" t="str">
        <f>IFERROR(IF(INDEX(Ingredients[Ingr1],MATCH(Production[[#This Row],[Product]],Ingredients[ProdName],0))&lt;&gt;"",INDEX(Ingredients[Ingr1],MATCH(Production[[#This Row],[Product]],Ingredients[ProdName],0)),INDEX(Ingredients[Ingr2],MATCH(Production[[#This Row],[Product]],Ingredients[ProdName],0))),"")</f>
        <v>Chicken - Ground</v>
      </c>
      <c r="C385" s="53">
        <v>45365</v>
      </c>
      <c r="D385" s="54" t="s">
        <v>9</v>
      </c>
      <c r="E385" s="55" t="s">
        <v>128</v>
      </c>
      <c r="F385" s="56">
        <v>9</v>
      </c>
      <c r="G385" s="56">
        <v>54</v>
      </c>
      <c r="H385" s="208">
        <f>IFERROR(INDEX(Tier1[Wt],MATCH(Production[[#This Row],[Type]],Tier1[Ingredient],0))*Production[[#This Row],[Blocks Used]],0)</f>
        <v>2700</v>
      </c>
      <c r="I385" s="210" t="str">
        <f>IFERROR(INDEX(Ingredients[TtlWt],MATCH(Production[[#This Row],[Product]],Ingredients[ProdName],0))*Production[[#This Row],[Lots Done]],"")</f>
        <v/>
      </c>
      <c r="J385" s="210" t="str">
        <f>IF(INDEX(Ingredients[Batter],MATCH(Production[[#This Row],[Product]],Ingredients[ProdName],0))*Production[[#This Row],[Batter Used]]&gt;0,INDEX(Ingredients[Batter],MATCH(Production[[#This Row],[Product]],Ingredients[ProdName],0))*Production[[#This Row],[Batter Used]],"")</f>
        <v/>
      </c>
      <c r="K385" s="210" t="str">
        <f>IF(INDEX(Ingredients[Breader],MATCH(Production[[#This Row],[Product]],Ingredients[ProdName],0))*Production[[#This Row],[Breader Used]]&gt;0,INDEX(Ingredients[Breader],MATCH(Production[[#This Row],[Product]],Ingredients[ProdName],0))*Production[[#This Row],[Breader Used]],"")</f>
        <v/>
      </c>
      <c r="L385" s="56"/>
      <c r="M385" s="56"/>
      <c r="N385" s="211">
        <f>IFERROR(IF(SUM(Production[[#This Row],[Meat Wt]:[BrTtl]])&lt;&gt;0,SUM(Production[[#This Row],[Meat Wt]:[BrTtl]]),""),"")</f>
        <v>2700</v>
      </c>
      <c r="O385" s="55">
        <v>113</v>
      </c>
      <c r="P385" s="208">
        <f>INDEX(Ingredients[Case Wt.],MATCH(Production[[#This Row],[Product]],Ingredients[ProdName],0))*Production[[#This Row],[Case Total]]</f>
        <v>3390</v>
      </c>
      <c r="Q385" s="211">
        <f>IFERROR(Production[[#This Row],[SatWt]]-Production[[#This Row],[RawWt]],"")</f>
        <v>690</v>
      </c>
      <c r="R385" s="222" t="str">
        <f>IF(Production[[#This Row],[Species]]&lt;&gt;"",IF(SUM(Production[[#This Row],[BtTtl]:[BrTtl]])/Production[[#This Row],[SatWt]]&lt;&gt;0,SUM(Production[[#This Row],[BtTtl]:[BrTtl]])/Production[[#This Row],[SatWt]],""),"")</f>
        <v/>
      </c>
      <c r="S385" s="223" t="str">
        <f>INDEX(Ingredients[Species],MATCH(Production[[#This Row],[Product]],Ingredients[ProdName],0))</f>
        <v>Poultry</v>
      </c>
    </row>
    <row r="386" spans="1:19" ht="11.1" customHeight="1" x14ac:dyDescent="0.25">
      <c r="A386" s="208" t="str">
        <f>IFERROR(IF(Production[[#This Row],[Date]]&lt;&gt;"",TEXT(Production[[#This Row],[Date]],"yy")&amp;"-"&amp;TEXT(Production[[#This Row],[Date]]-DATE(YEAR(Production[[#This Row],[Date]]),1,0),"000"),""),"")</f>
        <v>24-078</v>
      </c>
      <c r="B386" s="209" t="str">
        <f>IFERROR(IF(INDEX(Ingredients[Ingr1],MATCH(Production[[#This Row],[Product]],Ingredients[ProdName],0))&lt;&gt;"",INDEX(Ingredients[Ingr1],MATCH(Production[[#This Row],[Product]],Ingredients[ProdName],0)),INDEX(Ingredients[Ingr2],MATCH(Production[[#This Row],[Product]],Ingredients[ProdName],0))),"")</f>
        <v>Beans - Pinto</v>
      </c>
      <c r="C386" s="53">
        <v>45369</v>
      </c>
      <c r="D386" s="54" t="s">
        <v>10</v>
      </c>
      <c r="E386" s="55" t="s">
        <v>128</v>
      </c>
      <c r="F386" s="56">
        <v>4</v>
      </c>
      <c r="G386" s="56">
        <v>28</v>
      </c>
      <c r="H386" s="208">
        <f>IFERROR(INDEX(Tier1[Wt],MATCH(Production[[#This Row],[Type]],Tier1[Ingredient],0))*Production[[#This Row],[Blocks Used]],0)</f>
        <v>28</v>
      </c>
      <c r="I386" s="210">
        <f>IFERROR(INDEX(Ingredients[TtlWt],MATCH(Production[[#This Row],[Product]],Ingredients[ProdName],0))*Production[[#This Row],[Lots Done]],"")</f>
        <v>140</v>
      </c>
      <c r="J386" s="210" t="str">
        <f>IF(INDEX(Ingredients[Batter],MATCH(Production[[#This Row],[Product]],Ingredients[ProdName],0))*Production[[#This Row],[Batter Used]]&gt;0,INDEX(Ingredients[Batter],MATCH(Production[[#This Row],[Product]],Ingredients[ProdName],0))*Production[[#This Row],[Batter Used]],"")</f>
        <v/>
      </c>
      <c r="K386" s="210" t="str">
        <f>IF(INDEX(Ingredients[Breader],MATCH(Production[[#This Row],[Product]],Ingredients[ProdName],0))*Production[[#This Row],[Breader Used]]&gt;0,INDEX(Ingredients[Breader],MATCH(Production[[#This Row],[Product]],Ingredients[ProdName],0))*Production[[#This Row],[Breader Used]],"")</f>
        <v/>
      </c>
      <c r="L386" s="56"/>
      <c r="M386" s="56"/>
      <c r="N386" s="211">
        <f>IFERROR(IF(SUM(Production[[#This Row],[Meat Wt]:[BrTtl]])&lt;&gt;0,SUM(Production[[#This Row],[Meat Wt]:[BrTtl]]),""),"")</f>
        <v>168</v>
      </c>
      <c r="O386" s="55">
        <v>66</v>
      </c>
      <c r="P386" s="208">
        <f>INDEX(Ingredients[Case Wt.],MATCH(Production[[#This Row],[Product]],Ingredients[ProdName],0))*Production[[#This Row],[Case Total]]</f>
        <v>1650</v>
      </c>
      <c r="Q386" s="211">
        <f>IFERROR(Production[[#This Row],[SatWt]]-Production[[#This Row],[RawWt]],"")</f>
        <v>1482</v>
      </c>
      <c r="R386" s="222" t="str">
        <f>IF(Production[[#This Row],[Species]]&lt;&gt;"",IF(SUM(Production[[#This Row],[BtTtl]:[BrTtl]])/Production[[#This Row],[SatWt]]&lt;&gt;0,SUM(Production[[#This Row],[BtTtl]:[BrTtl]])/Production[[#This Row],[SatWt]],""),"")</f>
        <v/>
      </c>
      <c r="S386" s="223" t="str">
        <f>INDEX(Ingredients[Species],MATCH(Production[[#This Row],[Product]],Ingredients[ProdName],0))</f>
        <v/>
      </c>
    </row>
    <row r="387" spans="1:19" ht="11.1" customHeight="1" x14ac:dyDescent="0.25">
      <c r="A387" s="208" t="str">
        <f>IFERROR(IF(Production[[#This Row],[Date]]&lt;&gt;"",TEXT(Production[[#This Row],[Date]],"yy")&amp;"-"&amp;TEXT(Production[[#This Row],[Date]]-DATE(YEAR(Production[[#This Row],[Date]]),1,0),"000"),""),"")</f>
        <v>24-079</v>
      </c>
      <c r="B387" s="209" t="str">
        <f>IFERROR(IF(INDEX(Ingredients[Ingr1],MATCH(Production[[#This Row],[Product]],Ingredients[ProdName],0))&lt;&gt;"",INDEX(Ingredients[Ingr1],MATCH(Production[[#This Row],[Product]],Ingredients[ProdName],0)),INDEX(Ingredients[Ingr2],MATCH(Production[[#This Row],[Product]],Ingredients[ProdName],0))),"")</f>
        <v>Chicken - Ground</v>
      </c>
      <c r="C387" s="53">
        <v>45370</v>
      </c>
      <c r="D387" s="54" t="s">
        <v>7</v>
      </c>
      <c r="E387" s="55" t="s">
        <v>131</v>
      </c>
      <c r="F387" s="56">
        <v>8</v>
      </c>
      <c r="G387" s="56">
        <v>48</v>
      </c>
      <c r="H387" s="208">
        <f>IFERROR(INDEX(Tier1[Wt],MATCH(Production[[#This Row],[Type]],Tier1[Ingredient],0))*Production[[#This Row],[Blocks Used]],0)</f>
        <v>2400</v>
      </c>
      <c r="I387" s="210">
        <f>IFERROR(INDEX(Ingredients[TtlWt],MATCH(Production[[#This Row],[Product]],Ingredients[ProdName],0))*Production[[#This Row],[Lots Done]],"")</f>
        <v>54</v>
      </c>
      <c r="J387" s="210" t="str">
        <f>IF(INDEX(Ingredients[Batter],MATCH(Production[[#This Row],[Product]],Ingredients[ProdName],0))*Production[[#This Row],[Batter Used]]&gt;0,INDEX(Ingredients[Batter],MATCH(Production[[#This Row],[Product]],Ingredients[ProdName],0))*Production[[#This Row],[Batter Used]],"")</f>
        <v/>
      </c>
      <c r="K387" s="210" t="str">
        <f>IF(INDEX(Ingredients[Breader],MATCH(Production[[#This Row],[Product]],Ingredients[ProdName],0))*Production[[#This Row],[Breader Used]]&gt;0,INDEX(Ingredients[Breader],MATCH(Production[[#This Row],[Product]],Ingredients[ProdName],0))*Production[[#This Row],[Breader Used]],"")</f>
        <v/>
      </c>
      <c r="L387" s="56"/>
      <c r="M387" s="56"/>
      <c r="N387" s="211">
        <f>IFERROR(IF(SUM(Production[[#This Row],[Meat Wt]:[BrTtl]])&lt;&gt;0,SUM(Production[[#This Row],[Meat Wt]:[BrTtl]]),""),"")</f>
        <v>2454</v>
      </c>
      <c r="O387" s="55">
        <v>123</v>
      </c>
      <c r="P387" s="208">
        <f>INDEX(Ingredients[Case Wt.],MATCH(Production[[#This Row],[Product]],Ingredients[ProdName],0))*Production[[#This Row],[Case Total]]</f>
        <v>3075</v>
      </c>
      <c r="Q387" s="211">
        <f>IFERROR(Production[[#This Row],[SatWt]]-Production[[#This Row],[RawWt]],"")</f>
        <v>621</v>
      </c>
      <c r="R387" s="222" t="str">
        <f>IF(Production[[#This Row],[Species]]&lt;&gt;"",IF(SUM(Production[[#This Row],[BtTtl]:[BrTtl]])/Production[[#This Row],[SatWt]]&lt;&gt;0,SUM(Production[[#This Row],[BtTtl]:[BrTtl]])/Production[[#This Row],[SatWt]],""),"")</f>
        <v/>
      </c>
      <c r="S387" s="223" t="str">
        <f>INDEX(Ingredients[Species],MATCH(Production[[#This Row],[Product]],Ingredients[ProdName],0))</f>
        <v>Poultry</v>
      </c>
    </row>
    <row r="388" spans="1:19" ht="11.1" customHeight="1" x14ac:dyDescent="0.25">
      <c r="A388" s="208" t="str">
        <f>IFERROR(IF(Production[[#This Row],[Date]]&lt;&gt;"",TEXT(Production[[#This Row],[Date]],"yy")&amp;"-"&amp;TEXT(Production[[#This Row],[Date]]-DATE(YEAR(Production[[#This Row],[Date]]),1,0),"000"),""),"")</f>
        <v>24-080</v>
      </c>
      <c r="B388" s="209" t="str">
        <f>IFERROR(IF(INDEX(Ingredients[Ingr1],MATCH(Production[[#This Row],[Product]],Ingredients[ProdName],0))&lt;&gt;"",INDEX(Ingredients[Ingr1],MATCH(Production[[#This Row],[Product]],Ingredients[ProdName],0)),INDEX(Ingredients[Ingr2],MATCH(Production[[#This Row],[Product]],Ingredients[ProdName],0))),"")</f>
        <v>Chicken - Ground</v>
      </c>
      <c r="C388" s="53">
        <v>45371</v>
      </c>
      <c r="D388" s="54" t="s">
        <v>8</v>
      </c>
      <c r="E388" s="55" t="s">
        <v>128</v>
      </c>
      <c r="F388" s="56">
        <v>8</v>
      </c>
      <c r="G388" s="56">
        <v>48</v>
      </c>
      <c r="H388" s="208">
        <f>IFERROR(INDEX(Tier1[Wt],MATCH(Production[[#This Row],[Type]],Tier1[Ingredient],0))*Production[[#This Row],[Blocks Used]],0)</f>
        <v>2400</v>
      </c>
      <c r="I388" s="210">
        <f>IFERROR(INDEX(Ingredients[TtlWt],MATCH(Production[[#This Row],[Product]],Ingredients[ProdName],0))*Production[[#This Row],[Lots Done]],"")</f>
        <v>521.6</v>
      </c>
      <c r="J388" s="210" t="str">
        <f>IF(INDEX(Ingredients[Batter],MATCH(Production[[#This Row],[Product]],Ingredients[ProdName],0))*Production[[#This Row],[Batter Used]]&gt;0,INDEX(Ingredients[Batter],MATCH(Production[[#This Row],[Product]],Ingredients[ProdName],0))*Production[[#This Row],[Batter Used]],"")</f>
        <v/>
      </c>
      <c r="K388" s="210" t="str">
        <f>IF(INDEX(Ingredients[Breader],MATCH(Production[[#This Row],[Product]],Ingredients[ProdName],0))*Production[[#This Row],[Breader Used]]&gt;0,INDEX(Ingredients[Breader],MATCH(Production[[#This Row],[Product]],Ingredients[ProdName],0))*Production[[#This Row],[Breader Used]],"")</f>
        <v/>
      </c>
      <c r="L388" s="56"/>
      <c r="M388" s="56"/>
      <c r="N388" s="211">
        <f>IFERROR(IF(SUM(Production[[#This Row],[Meat Wt]:[BrTtl]])&lt;&gt;0,SUM(Production[[#This Row],[Meat Wt]:[BrTtl]]),""),"")</f>
        <v>2921.6</v>
      </c>
      <c r="O388" s="55">
        <v>150</v>
      </c>
      <c r="P388" s="208">
        <f>INDEX(Ingredients[Case Wt.],MATCH(Production[[#This Row],[Product]],Ingredients[ProdName],0))*Production[[#This Row],[Case Total]]</f>
        <v>3750</v>
      </c>
      <c r="Q388" s="211">
        <f>IFERROR(Production[[#This Row],[SatWt]]-Production[[#This Row],[RawWt]],"")</f>
        <v>828.40000000000009</v>
      </c>
      <c r="R388" s="222" t="str">
        <f>IF(Production[[#This Row],[Species]]&lt;&gt;"",IF(SUM(Production[[#This Row],[BtTtl]:[BrTtl]])/Production[[#This Row],[SatWt]]&lt;&gt;0,SUM(Production[[#This Row],[BtTtl]:[BrTtl]])/Production[[#This Row],[SatWt]],""),"")</f>
        <v/>
      </c>
      <c r="S388" s="223" t="str">
        <f>INDEX(Ingredients[Species],MATCH(Production[[#This Row],[Product]],Ingredients[ProdName],0))</f>
        <v>Poultry</v>
      </c>
    </row>
    <row r="389" spans="1:19" ht="11.1" customHeight="1" x14ac:dyDescent="0.25">
      <c r="A389" s="208" t="str">
        <f>IFERROR(IF(Production[[#This Row],[Date]]&lt;&gt;"",TEXT(Production[[#This Row],[Date]],"yy")&amp;"-"&amp;TEXT(Production[[#This Row],[Date]]-DATE(YEAR(Production[[#This Row],[Date]]),1,0),"000"),""),"")</f>
        <v>24-081</v>
      </c>
      <c r="B389" s="209" t="str">
        <f>IFERROR(IF(INDEX(Ingredients[Ingr1],MATCH(Production[[#This Row],[Product]],Ingredients[ProdName],0))&lt;&gt;"",INDEX(Ingredients[Ingr1],MATCH(Production[[#This Row],[Product]],Ingredients[ProdName],0)),INDEX(Ingredients[Ingr2],MATCH(Production[[#This Row],[Product]],Ingredients[ProdName],0))),"")</f>
        <v>Beans - Pinto</v>
      </c>
      <c r="C389" s="53">
        <v>45372</v>
      </c>
      <c r="D389" s="54" t="s">
        <v>10</v>
      </c>
      <c r="E389" s="55" t="s">
        <v>128</v>
      </c>
      <c r="F389" s="56">
        <v>4</v>
      </c>
      <c r="G389" s="56">
        <v>28</v>
      </c>
      <c r="H389" s="208">
        <f>IFERROR(INDEX(Tier1[Wt],MATCH(Production[[#This Row],[Type]],Tier1[Ingredient],0))*Production[[#This Row],[Blocks Used]],0)</f>
        <v>28</v>
      </c>
      <c r="I389" s="210">
        <f>IFERROR(INDEX(Ingredients[TtlWt],MATCH(Production[[#This Row],[Product]],Ingredients[ProdName],0))*Production[[#This Row],[Lots Done]],"")</f>
        <v>140</v>
      </c>
      <c r="J389" s="210" t="str">
        <f>IF(INDEX(Ingredients[Batter],MATCH(Production[[#This Row],[Product]],Ingredients[ProdName],0))*Production[[#This Row],[Batter Used]]&gt;0,INDEX(Ingredients[Batter],MATCH(Production[[#This Row],[Product]],Ingredients[ProdName],0))*Production[[#This Row],[Batter Used]],"")</f>
        <v/>
      </c>
      <c r="K389" s="210" t="str">
        <f>IF(INDEX(Ingredients[Breader],MATCH(Production[[#This Row],[Product]],Ingredients[ProdName],0))*Production[[#This Row],[Breader Used]]&gt;0,INDEX(Ingredients[Breader],MATCH(Production[[#This Row],[Product]],Ingredients[ProdName],0))*Production[[#This Row],[Breader Used]],"")</f>
        <v/>
      </c>
      <c r="L389" s="56"/>
      <c r="M389" s="56"/>
      <c r="N389" s="211">
        <f>IFERROR(IF(SUM(Production[[#This Row],[Meat Wt]:[BrTtl]])&lt;&gt;0,SUM(Production[[#This Row],[Meat Wt]:[BrTtl]]),""),"")</f>
        <v>168</v>
      </c>
      <c r="O389" s="55">
        <v>77</v>
      </c>
      <c r="P389" s="208">
        <f>INDEX(Ingredients[Case Wt.],MATCH(Production[[#This Row],[Product]],Ingredients[ProdName],0))*Production[[#This Row],[Case Total]]</f>
        <v>1925</v>
      </c>
      <c r="Q389" s="211">
        <f>IFERROR(Production[[#This Row],[SatWt]]-Production[[#This Row],[RawWt]],"")</f>
        <v>1757</v>
      </c>
      <c r="R389" s="222" t="str">
        <f>IF(Production[[#This Row],[Species]]&lt;&gt;"",IF(SUM(Production[[#This Row],[BtTtl]:[BrTtl]])/Production[[#This Row],[SatWt]]&lt;&gt;0,SUM(Production[[#This Row],[BtTtl]:[BrTtl]])/Production[[#This Row],[SatWt]],""),"")</f>
        <v/>
      </c>
      <c r="S389" s="223" t="str">
        <f>INDEX(Ingredients[Species],MATCH(Production[[#This Row],[Product]],Ingredients[ProdName],0))</f>
        <v/>
      </c>
    </row>
    <row r="390" spans="1:19" ht="11.1" customHeight="1" x14ac:dyDescent="0.25">
      <c r="A390" s="208" t="str">
        <f>IFERROR(IF(Production[[#This Row],[Date]]&lt;&gt;"",TEXT(Production[[#This Row],[Date]],"yy")&amp;"-"&amp;TEXT(Production[[#This Row],[Date]]-DATE(YEAR(Production[[#This Row],[Date]]),1,0),"000"),""),"")</f>
        <v>24-085</v>
      </c>
      <c r="B390" s="209" t="str">
        <f>IFERROR(IF(INDEX(Ingredients[Ingr1],MATCH(Production[[#This Row],[Product]],Ingredients[ProdName],0))&lt;&gt;"",INDEX(Ingredients[Ingr1],MATCH(Production[[#This Row],[Product]],Ingredients[ProdName],0)),INDEX(Ingredients[Ingr2],MATCH(Production[[#This Row],[Product]],Ingredients[ProdName],0))),"")</f>
        <v>Beans - Pinto</v>
      </c>
      <c r="C390" s="53">
        <v>45376</v>
      </c>
      <c r="D390" s="54" t="s">
        <v>10</v>
      </c>
      <c r="E390" s="55" t="s">
        <v>132</v>
      </c>
      <c r="F390" s="56">
        <v>5</v>
      </c>
      <c r="G390" s="56">
        <v>35</v>
      </c>
      <c r="H390" s="208">
        <f>IFERROR(INDEX(Tier1[Wt],MATCH(Production[[#This Row],[Type]],Tier1[Ingredient],0))*Production[[#This Row],[Blocks Used]],0)</f>
        <v>35</v>
      </c>
      <c r="I390" s="210">
        <f>IFERROR(INDEX(Ingredients[TtlWt],MATCH(Production[[#This Row],[Product]],Ingredients[ProdName],0))*Production[[#This Row],[Lots Done]],"")</f>
        <v>175</v>
      </c>
      <c r="J390" s="210" t="str">
        <f>IF(INDEX(Ingredients[Batter],MATCH(Production[[#This Row],[Product]],Ingredients[ProdName],0))*Production[[#This Row],[Batter Used]]&gt;0,INDEX(Ingredients[Batter],MATCH(Production[[#This Row],[Product]],Ingredients[ProdName],0))*Production[[#This Row],[Batter Used]],"")</f>
        <v/>
      </c>
      <c r="K390" s="210" t="str">
        <f>IF(INDEX(Ingredients[Breader],MATCH(Production[[#This Row],[Product]],Ingredients[ProdName],0))*Production[[#This Row],[Breader Used]]&gt;0,INDEX(Ingredients[Breader],MATCH(Production[[#This Row],[Product]],Ingredients[ProdName],0))*Production[[#This Row],[Breader Used]],"")</f>
        <v/>
      </c>
      <c r="L390" s="56"/>
      <c r="M390" s="56"/>
      <c r="N390" s="211">
        <f>IFERROR(IF(SUM(Production[[#This Row],[Meat Wt]:[BrTtl]])&lt;&gt;0,SUM(Production[[#This Row],[Meat Wt]:[BrTtl]]),""),"")</f>
        <v>210</v>
      </c>
      <c r="O390" s="55">
        <v>71</v>
      </c>
      <c r="P390" s="208">
        <f>INDEX(Ingredients[Case Wt.],MATCH(Production[[#This Row],[Product]],Ingredients[ProdName],0))*Production[[#This Row],[Case Total]]</f>
        <v>1775</v>
      </c>
      <c r="Q390" s="211">
        <f>IFERROR(Production[[#This Row],[SatWt]]-Production[[#This Row],[RawWt]],"")</f>
        <v>1565</v>
      </c>
      <c r="R390" s="222" t="str">
        <f>IF(Production[[#This Row],[Species]]&lt;&gt;"",IF(SUM(Production[[#This Row],[BtTtl]:[BrTtl]])/Production[[#This Row],[SatWt]]&lt;&gt;0,SUM(Production[[#This Row],[BtTtl]:[BrTtl]])/Production[[#This Row],[SatWt]],""),"")</f>
        <v/>
      </c>
      <c r="S390" s="223" t="str">
        <f>INDEX(Ingredients[Species],MATCH(Production[[#This Row],[Product]],Ingredients[ProdName],0))</f>
        <v/>
      </c>
    </row>
    <row r="391" spans="1:19" ht="11.1" customHeight="1" x14ac:dyDescent="0.25">
      <c r="A391" s="208" t="str">
        <f>IFERROR(IF(Production[[#This Row],[Date]]&lt;&gt;"",TEXT(Production[[#This Row],[Date]],"yy")&amp;"-"&amp;TEXT(Production[[#This Row],[Date]]-DATE(YEAR(Production[[#This Row],[Date]]),1,0),"000"),""),"")</f>
        <v>24-094</v>
      </c>
      <c r="B391" s="209" t="str">
        <f>IFERROR(IF(INDEX(Ingredients[Ingr1],MATCH(Production[[#This Row],[Product]],Ingredients[ProdName],0))&lt;&gt;"",INDEX(Ingredients[Ingr1],MATCH(Production[[#This Row],[Product]],Ingredients[ProdName],0)),INDEX(Ingredients[Ingr2],MATCH(Production[[#This Row],[Product]],Ingredients[ProdName],0))),"")</f>
        <v>Cornmeal</v>
      </c>
      <c r="C391" s="53">
        <v>45385</v>
      </c>
      <c r="D391" s="54" t="s">
        <v>24</v>
      </c>
      <c r="E391" s="55" t="s">
        <v>133</v>
      </c>
      <c r="F391" s="56"/>
      <c r="G391" s="56"/>
      <c r="H391" s="208">
        <f>IFERROR(INDEX(Tier1[Wt],MATCH(Production[[#This Row],[Type]],Tier1[Ingredient],0))*Production[[#This Row],[Blocks Used]],0)</f>
        <v>0</v>
      </c>
      <c r="I391" s="210" t="str">
        <f>IFERROR(INDEX(Ingredients[TtlWt],MATCH(Production[[#This Row],[Product]],Ingredients[ProdName],0))*Production[[#This Row],[Lots Done]],"")</f>
        <v/>
      </c>
      <c r="J391" s="210" t="str">
        <f>IF(INDEX(Ingredients[Batter],MATCH(Production[[#This Row],[Product]],Ingredients[ProdName],0))*Production[[#This Row],[Batter Used]]&gt;0,INDEX(Ingredients[Batter],MATCH(Production[[#This Row],[Product]],Ingredients[ProdName],0))*Production[[#This Row],[Batter Used]],"")</f>
        <v/>
      </c>
      <c r="K391" s="210" t="str">
        <f>IF(INDEX(Ingredients[Breader],MATCH(Production[[#This Row],[Product]],Ingredients[ProdName],0))*Production[[#This Row],[Breader Used]]&gt;0,INDEX(Ingredients[Breader],MATCH(Production[[#This Row],[Product]],Ingredients[ProdName],0))*Production[[#This Row],[Breader Used]],"")</f>
        <v/>
      </c>
      <c r="L391" s="56"/>
      <c r="M391" s="56"/>
      <c r="N391" s="211" t="str">
        <f>IFERROR(IF(SUM(Production[[#This Row],[Meat Wt]:[BrTtl]])&lt;&gt;0,SUM(Production[[#This Row],[Meat Wt]:[BrTtl]]),""),"")</f>
        <v/>
      </c>
      <c r="O391" s="55">
        <v>32</v>
      </c>
      <c r="P391" s="208">
        <f>INDEX(Ingredients[Case Wt.],MATCH(Production[[#This Row],[Product]],Ingredients[ProdName],0))*Production[[#This Row],[Case Total]]</f>
        <v>160</v>
      </c>
      <c r="Q391" s="211" t="str">
        <f>IFERROR(Production[[#This Row],[SatWt]]-Production[[#This Row],[RawWt]],"")</f>
        <v/>
      </c>
      <c r="R391" s="222" t="str">
        <f>IF(Production[[#This Row],[Species]]&lt;&gt;"",IF(SUM(Production[[#This Row],[BtTtl]:[BrTtl]])/Production[[#This Row],[SatWt]]&lt;&gt;0,SUM(Production[[#This Row],[BtTtl]:[BrTtl]])/Production[[#This Row],[SatWt]],""),"")</f>
        <v/>
      </c>
      <c r="S391" s="223" t="str">
        <f>INDEX(Ingredients[Species],MATCH(Production[[#This Row],[Product]],Ingredients[ProdName],0))</f>
        <v/>
      </c>
    </row>
    <row r="392" spans="1:19" ht="11.1" customHeight="1" x14ac:dyDescent="0.25">
      <c r="A392" s="208" t="str">
        <f>IFERROR(IF(Production[[#This Row],[Date]]&lt;&gt;"",TEXT(Production[[#This Row],[Date]],"yy")&amp;"-"&amp;TEXT(Production[[#This Row],[Date]]-DATE(YEAR(Production[[#This Row],[Date]]),1,0),"000"),""),"")</f>
        <v>24-095</v>
      </c>
      <c r="B392" s="209" t="str">
        <f>IFERROR(IF(INDEX(Ingredients[Ingr1],MATCH(Production[[#This Row],[Product]],Ingredients[ProdName],0))&lt;&gt;"",INDEX(Ingredients[Ingr1],MATCH(Production[[#This Row],[Product]],Ingredients[ProdName],0)),INDEX(Ingredients[Ingr2],MATCH(Production[[#This Row],[Product]],Ingredients[ProdName],0))),"")</f>
        <v>Chicken - Ground</v>
      </c>
      <c r="C392" s="53">
        <v>45386</v>
      </c>
      <c r="D392" s="54" t="s">
        <v>15</v>
      </c>
      <c r="E392" s="55" t="s">
        <v>134</v>
      </c>
      <c r="F392" s="56">
        <v>8</v>
      </c>
      <c r="G392" s="56">
        <v>48</v>
      </c>
      <c r="H392" s="208">
        <f>IFERROR(INDEX(Tier1[Wt],MATCH(Production[[#This Row],[Type]],Tier1[Ingredient],0))*Production[[#This Row],[Blocks Used]],0)</f>
        <v>2400</v>
      </c>
      <c r="I392" s="210">
        <f>IFERROR(INDEX(Ingredients[TtlWt],MATCH(Production[[#This Row],[Product]],Ingredients[ProdName],0))*Production[[#This Row],[Lots Done]],"")</f>
        <v>93.2</v>
      </c>
      <c r="J392" s="210" t="str">
        <f>IF(INDEX(Ingredients[Batter],MATCH(Production[[#This Row],[Product]],Ingredients[ProdName],0))*Production[[#This Row],[Batter Used]]&gt;0,INDEX(Ingredients[Batter],MATCH(Production[[#This Row],[Product]],Ingredients[ProdName],0))*Production[[#This Row],[Batter Used]],"")</f>
        <v/>
      </c>
      <c r="K392" s="210" t="str">
        <f>IF(INDEX(Ingredients[Breader],MATCH(Production[[#This Row],[Product]],Ingredients[ProdName],0))*Production[[#This Row],[Breader Used]]&gt;0,INDEX(Ingredients[Breader],MATCH(Production[[#This Row],[Product]],Ingredients[ProdName],0))*Production[[#This Row],[Breader Used]],"")</f>
        <v/>
      </c>
      <c r="L392" s="56"/>
      <c r="M392" s="56"/>
      <c r="N392" s="211">
        <f>IFERROR(IF(SUM(Production[[#This Row],[Meat Wt]:[BrTtl]])&lt;&gt;0,SUM(Production[[#This Row],[Meat Wt]:[BrTtl]]),""),"")</f>
        <v>2493.1999999999998</v>
      </c>
      <c r="O392" s="55">
        <v>90</v>
      </c>
      <c r="P392" s="208">
        <f>INDEX(Ingredients[Case Wt.],MATCH(Production[[#This Row],[Product]],Ingredients[ProdName],0))*Production[[#This Row],[Case Total]]</f>
        <v>2700</v>
      </c>
      <c r="Q392" s="211">
        <f>IFERROR(Production[[#This Row],[SatWt]]-Production[[#This Row],[RawWt]],"")</f>
        <v>206.80000000000018</v>
      </c>
      <c r="R392" s="222" t="str">
        <f>IF(Production[[#This Row],[Species]]&lt;&gt;"",IF(SUM(Production[[#This Row],[BtTtl]:[BrTtl]])/Production[[#This Row],[SatWt]]&lt;&gt;0,SUM(Production[[#This Row],[BtTtl]:[BrTtl]])/Production[[#This Row],[SatWt]],""),"")</f>
        <v/>
      </c>
      <c r="S392" s="223" t="str">
        <f>INDEX(Ingredients[Species],MATCH(Production[[#This Row],[Product]],Ingredients[ProdName],0))</f>
        <v>Poultry</v>
      </c>
    </row>
    <row r="393" spans="1:19" ht="11.1" customHeight="1" x14ac:dyDescent="0.25">
      <c r="A393" s="208" t="str">
        <f>IFERROR(IF(Production[[#This Row],[Date]]&lt;&gt;"",TEXT(Production[[#This Row],[Date]],"yy")&amp;"-"&amp;TEXT(Production[[#This Row],[Date]]-DATE(YEAR(Production[[#This Row],[Date]]),1,0),"000"),""),"")</f>
        <v>24-099</v>
      </c>
      <c r="B393" s="209" t="str">
        <f>IFERROR(IF(INDEX(Ingredients[Ingr1],MATCH(Production[[#This Row],[Product]],Ingredients[ProdName],0))&lt;&gt;"",INDEX(Ingredients[Ingr1],MATCH(Production[[#This Row],[Product]],Ingredients[ProdName],0)),INDEX(Ingredients[Ingr2],MATCH(Production[[#This Row],[Product]],Ingredients[ProdName],0))),"")</f>
        <v>Chicken - Ground</v>
      </c>
      <c r="C393" s="53">
        <v>45390</v>
      </c>
      <c r="D393" s="54" t="s">
        <v>15</v>
      </c>
      <c r="E393" s="55" t="s">
        <v>128</v>
      </c>
      <c r="F393" s="56">
        <v>5</v>
      </c>
      <c r="G393" s="56">
        <v>30</v>
      </c>
      <c r="H393" s="208">
        <f>IFERROR(INDEX(Tier1[Wt],MATCH(Production[[#This Row],[Type]],Tier1[Ingredient],0))*Production[[#This Row],[Blocks Used]],0)</f>
        <v>1500</v>
      </c>
      <c r="I393" s="210">
        <f>IFERROR(INDEX(Ingredients[TtlWt],MATCH(Production[[#This Row],[Product]],Ingredients[ProdName],0))*Production[[#This Row],[Lots Done]],"")</f>
        <v>58.25</v>
      </c>
      <c r="J393" s="210" t="str">
        <f>IF(INDEX(Ingredients[Batter],MATCH(Production[[#This Row],[Product]],Ingredients[ProdName],0))*Production[[#This Row],[Batter Used]]&gt;0,INDEX(Ingredients[Batter],MATCH(Production[[#This Row],[Product]],Ingredients[ProdName],0))*Production[[#This Row],[Batter Used]],"")</f>
        <v/>
      </c>
      <c r="K393" s="210" t="str">
        <f>IF(INDEX(Ingredients[Breader],MATCH(Production[[#This Row],[Product]],Ingredients[ProdName],0))*Production[[#This Row],[Breader Used]]&gt;0,INDEX(Ingredients[Breader],MATCH(Production[[#This Row],[Product]],Ingredients[ProdName],0))*Production[[#This Row],[Breader Used]],"")</f>
        <v/>
      </c>
      <c r="L393" s="56"/>
      <c r="M393" s="56"/>
      <c r="N393" s="211">
        <f>IFERROR(IF(SUM(Production[[#This Row],[Meat Wt]:[BrTtl]])&lt;&gt;0,SUM(Production[[#This Row],[Meat Wt]:[BrTtl]]),""),"")</f>
        <v>1558.25</v>
      </c>
      <c r="O393" s="55">
        <v>60</v>
      </c>
      <c r="P393" s="208">
        <f>INDEX(Ingredients[Case Wt.],MATCH(Production[[#This Row],[Product]],Ingredients[ProdName],0))*Production[[#This Row],[Case Total]]</f>
        <v>1800</v>
      </c>
      <c r="Q393" s="211">
        <f>IFERROR(Production[[#This Row],[SatWt]]-Production[[#This Row],[RawWt]],"")</f>
        <v>241.75</v>
      </c>
      <c r="R393" s="222" t="str">
        <f>IF(Production[[#This Row],[Species]]&lt;&gt;"",IF(SUM(Production[[#This Row],[BtTtl]:[BrTtl]])/Production[[#This Row],[SatWt]]&lt;&gt;0,SUM(Production[[#This Row],[BtTtl]:[BrTtl]])/Production[[#This Row],[SatWt]],""),"")</f>
        <v/>
      </c>
      <c r="S393" s="223" t="str">
        <f>INDEX(Ingredients[Species],MATCH(Production[[#This Row],[Product]],Ingredients[ProdName],0))</f>
        <v>Poultry</v>
      </c>
    </row>
    <row r="394" spans="1:19" ht="11.1" customHeight="1" x14ac:dyDescent="0.25">
      <c r="A394" s="208" t="str">
        <f>IFERROR(IF(Production[[#This Row],[Date]]&lt;&gt;"",TEXT(Production[[#This Row],[Date]],"yy")&amp;"-"&amp;TEXT(Production[[#This Row],[Date]]-DATE(YEAR(Production[[#This Row],[Date]]),1,0),"000"),""),"")</f>
        <v>24-106</v>
      </c>
      <c r="B394" s="209" t="str">
        <f>IFERROR(IF(INDEX(Ingredients[Ingr1],MATCH(Production[[#This Row],[Product]],Ingredients[ProdName],0))&lt;&gt;"",INDEX(Ingredients[Ingr1],MATCH(Production[[#This Row],[Product]],Ingredients[ProdName],0)),INDEX(Ingredients[Ingr2],MATCH(Production[[#This Row],[Product]],Ingredients[ProdName],0))),"")</f>
        <v>Chicken - Ground</v>
      </c>
      <c r="C394" s="53">
        <v>45397</v>
      </c>
      <c r="D394" s="54" t="s">
        <v>15</v>
      </c>
      <c r="E394" s="55" t="s">
        <v>128</v>
      </c>
      <c r="F394" s="56">
        <v>8</v>
      </c>
      <c r="G394" s="56">
        <v>48</v>
      </c>
      <c r="H394" s="208">
        <f>IFERROR(INDEX(Tier1[Wt],MATCH(Production[[#This Row],[Type]],Tier1[Ingredient],0))*Production[[#This Row],[Blocks Used]],0)</f>
        <v>2400</v>
      </c>
      <c r="I394" s="210">
        <f>IFERROR(INDEX(Ingredients[TtlWt],MATCH(Production[[#This Row],[Product]],Ingredients[ProdName],0))*Production[[#This Row],[Lots Done]],"")</f>
        <v>93.2</v>
      </c>
      <c r="J394" s="210" t="str">
        <f>IF(INDEX(Ingredients[Batter],MATCH(Production[[#This Row],[Product]],Ingredients[ProdName],0))*Production[[#This Row],[Batter Used]]&gt;0,INDEX(Ingredients[Batter],MATCH(Production[[#This Row],[Product]],Ingredients[ProdName],0))*Production[[#This Row],[Batter Used]],"")</f>
        <v/>
      </c>
      <c r="K394" s="210" t="str">
        <f>IF(INDEX(Ingredients[Breader],MATCH(Production[[#This Row],[Product]],Ingredients[ProdName],0))*Production[[#This Row],[Breader Used]]&gt;0,INDEX(Ingredients[Breader],MATCH(Production[[#This Row],[Product]],Ingredients[ProdName],0))*Production[[#This Row],[Breader Used]],"")</f>
        <v/>
      </c>
      <c r="L394" s="56"/>
      <c r="M394" s="56"/>
      <c r="N394" s="211">
        <f>IFERROR(IF(SUM(Production[[#This Row],[Meat Wt]:[BrTtl]])&lt;&gt;0,SUM(Production[[#This Row],[Meat Wt]:[BrTtl]]),""),"")</f>
        <v>2493.1999999999998</v>
      </c>
      <c r="O394" s="55">
        <v>105</v>
      </c>
      <c r="P394" s="208">
        <f>INDEX(Ingredients[Case Wt.],MATCH(Production[[#This Row],[Product]],Ingredients[ProdName],0))*Production[[#This Row],[Case Total]]</f>
        <v>3150</v>
      </c>
      <c r="Q394" s="211">
        <f>IFERROR(Production[[#This Row],[SatWt]]-Production[[#This Row],[RawWt]],"")</f>
        <v>656.80000000000018</v>
      </c>
      <c r="R394" s="222" t="str">
        <f>IF(Production[[#This Row],[Species]]&lt;&gt;"",IF(SUM(Production[[#This Row],[BtTtl]:[BrTtl]])/Production[[#This Row],[SatWt]]&lt;&gt;0,SUM(Production[[#This Row],[BtTtl]:[BrTtl]])/Production[[#This Row],[SatWt]],""),"")</f>
        <v/>
      </c>
      <c r="S394" s="223" t="str">
        <f>INDEX(Ingredients[Species],MATCH(Production[[#This Row],[Product]],Ingredients[ProdName],0))</f>
        <v>Poultry</v>
      </c>
    </row>
    <row r="395" spans="1:19" ht="11.1" customHeight="1" x14ac:dyDescent="0.25">
      <c r="A395" s="208" t="str">
        <f>IFERROR(IF(Production[[#This Row],[Date]]&lt;&gt;"",TEXT(Production[[#This Row],[Date]],"yy")&amp;"-"&amp;TEXT(Production[[#This Row],[Date]]-DATE(YEAR(Production[[#This Row],[Date]]),1,0),"000"),""),"")</f>
        <v>24-107</v>
      </c>
      <c r="B395" s="209" t="str">
        <f>IFERROR(IF(INDEX(Ingredients[Ingr1],MATCH(Production[[#This Row],[Product]],Ingredients[ProdName],0))&lt;&gt;"",INDEX(Ingredients[Ingr1],MATCH(Production[[#This Row],[Product]],Ingredients[ProdName],0)),INDEX(Ingredients[Ingr2],MATCH(Production[[#This Row],[Product]],Ingredients[ProdName],0))),"")</f>
        <v>Chicken - Tenders</v>
      </c>
      <c r="C395" s="53">
        <v>45398</v>
      </c>
      <c r="D395" s="54" t="s">
        <v>25</v>
      </c>
      <c r="E395" s="55" t="s">
        <v>128</v>
      </c>
      <c r="F395" s="56">
        <v>8</v>
      </c>
      <c r="G395" s="56">
        <v>56</v>
      </c>
      <c r="H395" s="208">
        <f>IFERROR(INDEX(Tier1[Wt],MATCH(Production[[#This Row],[Type]],Tier1[Ingredient],0))*Production[[#This Row],[Blocks Used]],0)</f>
        <v>2240</v>
      </c>
      <c r="I395" s="210">
        <f>IFERROR(INDEX(Ingredients[TtlWt],MATCH(Production[[#This Row],[Product]],Ingredients[ProdName],0))*Production[[#This Row],[Lots Done]],"")</f>
        <v>497.2</v>
      </c>
      <c r="J395" s="210" t="str">
        <f>IF(INDEX(Ingredients[Batter],MATCH(Production[[#This Row],[Product]],Ingredients[ProdName],0))*Production[[#This Row],[Batter Used]]&gt;0,INDEX(Ingredients[Batter],MATCH(Production[[#This Row],[Product]],Ingredients[ProdName],0))*Production[[#This Row],[Batter Used]],"")</f>
        <v/>
      </c>
      <c r="K395" s="210" t="str">
        <f>IF(INDEX(Ingredients[Breader],MATCH(Production[[#This Row],[Product]],Ingredients[ProdName],0))*Production[[#This Row],[Breader Used]]&gt;0,INDEX(Ingredients[Breader],MATCH(Production[[#This Row],[Product]],Ingredients[ProdName],0))*Production[[#This Row],[Breader Used]],"")</f>
        <v/>
      </c>
      <c r="L395" s="56"/>
      <c r="M395" s="56"/>
      <c r="N395" s="211">
        <f>IFERROR(IF(SUM(Production[[#This Row],[Meat Wt]:[BrTtl]])&lt;&gt;0,SUM(Production[[#This Row],[Meat Wt]:[BrTtl]]),""),"")</f>
        <v>2737.2</v>
      </c>
      <c r="O395" s="55">
        <v>105</v>
      </c>
      <c r="P395" s="208">
        <f>INDEX(Ingredients[Case Wt.],MATCH(Production[[#This Row],[Product]],Ingredients[ProdName],0))*Production[[#This Row],[Case Total]]</f>
        <v>3150</v>
      </c>
      <c r="Q395" s="211">
        <f>IFERROR(Production[[#This Row],[SatWt]]-Production[[#This Row],[RawWt]],"")</f>
        <v>412.80000000000018</v>
      </c>
      <c r="R395" s="222" t="str">
        <f>IF(Production[[#This Row],[Species]]&lt;&gt;"",IF(SUM(Production[[#This Row],[BtTtl]:[BrTtl]])/Production[[#This Row],[SatWt]]&lt;&gt;0,SUM(Production[[#This Row],[BtTtl]:[BrTtl]])/Production[[#This Row],[SatWt]],""),"")</f>
        <v/>
      </c>
      <c r="S395" s="223" t="str">
        <f>INDEX(Ingredients[Species],MATCH(Production[[#This Row],[Product]],Ingredients[ProdName],0))</f>
        <v>Poultry</v>
      </c>
    </row>
    <row r="396" spans="1:19" ht="11.1" customHeight="1" x14ac:dyDescent="0.25">
      <c r="A396" s="208" t="str">
        <f>IFERROR(IF(Production[[#This Row],[Date]]&lt;&gt;"",TEXT(Production[[#This Row],[Date]],"yy")&amp;"-"&amp;TEXT(Production[[#This Row],[Date]]-DATE(YEAR(Production[[#This Row],[Date]]),1,0),"000"),""),"")</f>
        <v>24-108</v>
      </c>
      <c r="B396" s="209" t="str">
        <f>IFERROR(IF(INDEX(Ingredients[Ingr1],MATCH(Production[[#This Row],[Product]],Ingredients[ProdName],0))&lt;&gt;"",INDEX(Ingredients[Ingr1],MATCH(Production[[#This Row],[Product]],Ingredients[ProdName],0)),INDEX(Ingredients[Ingr2],MATCH(Production[[#This Row],[Product]],Ingredients[ProdName],0))),"")</f>
        <v>Chicken - Ground</v>
      </c>
      <c r="C396" s="53">
        <v>45399</v>
      </c>
      <c r="D396" s="54" t="s">
        <v>17</v>
      </c>
      <c r="E396" s="55" t="s">
        <v>127</v>
      </c>
      <c r="F396" s="56">
        <v>8</v>
      </c>
      <c r="G396" s="56">
        <v>48</v>
      </c>
      <c r="H396" s="208">
        <f>IFERROR(INDEX(Tier1[Wt],MATCH(Production[[#This Row],[Type]],Tier1[Ingredient],0))*Production[[#This Row],[Blocks Used]],0)</f>
        <v>2400</v>
      </c>
      <c r="I396" s="210">
        <f>IFERROR(INDEX(Ingredients[TtlWt],MATCH(Production[[#This Row],[Product]],Ingredients[ProdName],0))*Production[[#This Row],[Lots Done]],"")</f>
        <v>335.6</v>
      </c>
      <c r="J396" s="210" t="str">
        <f>IF(INDEX(Ingredients[Batter],MATCH(Production[[#This Row],[Product]],Ingredients[ProdName],0))*Production[[#This Row],[Batter Used]]&gt;0,INDEX(Ingredients[Batter],MATCH(Production[[#This Row],[Product]],Ingredients[ProdName],0))*Production[[#This Row],[Batter Used]],"")</f>
        <v/>
      </c>
      <c r="K396" s="210" t="str">
        <f>IF(INDEX(Ingredients[Breader],MATCH(Production[[#This Row],[Product]],Ingredients[ProdName],0))*Production[[#This Row],[Breader Used]]&gt;0,INDEX(Ingredients[Breader],MATCH(Production[[#This Row],[Product]],Ingredients[ProdName],0))*Production[[#This Row],[Breader Used]],"")</f>
        <v/>
      </c>
      <c r="L396" s="56"/>
      <c r="M396" s="56"/>
      <c r="N396" s="211">
        <f>IFERROR(IF(SUM(Production[[#This Row],[Meat Wt]:[BrTtl]])&lt;&gt;0,SUM(Production[[#This Row],[Meat Wt]:[BrTtl]]),""),"")</f>
        <v>2735.6</v>
      </c>
      <c r="O396" s="55">
        <v>138</v>
      </c>
      <c r="P396" s="208">
        <f>INDEX(Ingredients[Case Wt.],MATCH(Production[[#This Row],[Product]],Ingredients[ProdName],0))*Production[[#This Row],[Case Total]]</f>
        <v>3450</v>
      </c>
      <c r="Q396" s="211">
        <f>IFERROR(Production[[#This Row],[SatWt]]-Production[[#This Row],[RawWt]],"")</f>
        <v>714.40000000000009</v>
      </c>
      <c r="R396" s="222" t="str">
        <f>IF(Production[[#This Row],[Species]]&lt;&gt;"",IF(SUM(Production[[#This Row],[BtTtl]:[BrTtl]])/Production[[#This Row],[SatWt]]&lt;&gt;0,SUM(Production[[#This Row],[BtTtl]:[BrTtl]])/Production[[#This Row],[SatWt]],""),"")</f>
        <v/>
      </c>
      <c r="S396" s="223" t="str">
        <f>INDEX(Ingredients[Species],MATCH(Production[[#This Row],[Product]],Ingredients[ProdName],0))</f>
        <v>Poultry</v>
      </c>
    </row>
    <row r="397" spans="1:19" ht="11.1" customHeight="1" x14ac:dyDescent="0.25">
      <c r="A397" s="208" t="str">
        <f>IFERROR(IF(Production[[#This Row],[Date]]&lt;&gt;"",TEXT(Production[[#This Row],[Date]],"yy")&amp;"-"&amp;TEXT(Production[[#This Row],[Date]]-DATE(YEAR(Production[[#This Row],[Date]]),1,0),"000"),""),"")</f>
        <v>24-109</v>
      </c>
      <c r="B397" s="209" t="str">
        <f>IFERROR(IF(INDEX(Ingredients[Ingr1],MATCH(Production[[#This Row],[Product]],Ingredients[ProdName],0))&lt;&gt;"",INDEX(Ingredients[Ingr1],MATCH(Production[[#This Row],[Product]],Ingredients[ProdName],0)),INDEX(Ingredients[Ingr2],MATCH(Production[[#This Row],[Product]],Ingredients[ProdName],0))),"")</f>
        <v>Chicken - Ground</v>
      </c>
      <c r="C397" s="53">
        <v>45400</v>
      </c>
      <c r="D397" s="54" t="s">
        <v>19</v>
      </c>
      <c r="E397" s="55" t="s">
        <v>135</v>
      </c>
      <c r="F397" s="56">
        <v>8</v>
      </c>
      <c r="G397" s="56">
        <v>48</v>
      </c>
      <c r="H397" s="208">
        <f>IFERROR(INDEX(Tier1[Wt],MATCH(Production[[#This Row],[Type]],Tier1[Ingredient],0))*Production[[#This Row],[Blocks Used]],0)</f>
        <v>2400</v>
      </c>
      <c r="I397" s="210">
        <f>IFERROR(INDEX(Ingredients[TtlWt],MATCH(Production[[#This Row],[Product]],Ingredients[ProdName],0))*Production[[#This Row],[Lots Done]],"")</f>
        <v>93.2</v>
      </c>
      <c r="J397" s="210" t="str">
        <f>IF(INDEX(Ingredients[Batter],MATCH(Production[[#This Row],[Product]],Ingredients[ProdName],0))*Production[[#This Row],[Batter Used]]&gt;0,INDEX(Ingredients[Batter],MATCH(Production[[#This Row],[Product]],Ingredients[ProdName],0))*Production[[#This Row],[Batter Used]],"")</f>
        <v/>
      </c>
      <c r="K397" s="210" t="str">
        <f>IF(INDEX(Ingredients[Breader],MATCH(Production[[#This Row],[Product]],Ingredients[ProdName],0))*Production[[#This Row],[Breader Used]]&gt;0,INDEX(Ingredients[Breader],MATCH(Production[[#This Row],[Product]],Ingredients[ProdName],0))*Production[[#This Row],[Breader Used]],"")</f>
        <v/>
      </c>
      <c r="L397" s="56"/>
      <c r="M397" s="56"/>
      <c r="N397" s="211">
        <f>IFERROR(IF(SUM(Production[[#This Row],[Meat Wt]:[BrTtl]])&lt;&gt;0,SUM(Production[[#This Row],[Meat Wt]:[BrTtl]]),""),"")</f>
        <v>2493.1999999999998</v>
      </c>
      <c r="O397" s="55">
        <v>129</v>
      </c>
      <c r="P397" s="208">
        <f>INDEX(Ingredients[Case Wt.],MATCH(Production[[#This Row],[Product]],Ingredients[ProdName],0))*Production[[#This Row],[Case Total]]</f>
        <v>3225</v>
      </c>
      <c r="Q397" s="211">
        <f>IFERROR(Production[[#This Row],[SatWt]]-Production[[#This Row],[RawWt]],"")</f>
        <v>731.80000000000018</v>
      </c>
      <c r="R397" s="222" t="str">
        <f>IF(Production[[#This Row],[Species]]&lt;&gt;"",IF(SUM(Production[[#This Row],[BtTtl]:[BrTtl]])/Production[[#This Row],[SatWt]]&lt;&gt;0,SUM(Production[[#This Row],[BtTtl]:[BrTtl]])/Production[[#This Row],[SatWt]],""),"")</f>
        <v/>
      </c>
      <c r="S397" s="223" t="str">
        <f>INDEX(Ingredients[Species],MATCH(Production[[#This Row],[Product]],Ingredients[ProdName],0))</f>
        <v>Poultry</v>
      </c>
    </row>
    <row r="398" spans="1:19" ht="11.1" customHeight="1" x14ac:dyDescent="0.25">
      <c r="A398" s="207" t="str">
        <f>IFERROR(IF(Production[[#This Row],[Date]]&lt;&gt;"",TEXT(Production[[#This Row],[Date]],"yy")&amp;"-"&amp;TEXT(Production[[#This Row],[Date]]-DATE(YEAR(Production[[#This Row],[Date]]),1,0),"000"),""),"")</f>
        <v>24-114</v>
      </c>
      <c r="B398" s="209" t="str">
        <f>IFERROR(IF(INDEX(Ingredients[Ingr1],MATCH(Production[[#This Row],[Product]],Ingredients[ProdName],0))&lt;&gt;"",INDEX(Ingredients[Ingr1],MATCH(Production[[#This Row],[Product]],Ingredients[ProdName],0)),INDEX(Ingredients[Ingr2],MATCH(Production[[#This Row],[Product]],Ingredients[ProdName],0))),"")</f>
        <v>Chicken - Tenders</v>
      </c>
      <c r="C398" s="53">
        <v>45405</v>
      </c>
      <c r="D398" s="54" t="s">
        <v>123</v>
      </c>
      <c r="E398" s="55" t="s">
        <v>122</v>
      </c>
      <c r="F398" s="56">
        <v>4</v>
      </c>
      <c r="G398" s="56">
        <v>28</v>
      </c>
      <c r="H398" s="208">
        <f>IFERROR(INDEX(Tier1[Wt],MATCH(Production[[#This Row],[Type]],Tier1[Ingredient],0))*Production[[#This Row],[Blocks Used]],0)</f>
        <v>1120</v>
      </c>
      <c r="I398" s="210">
        <f>IFERROR(INDEX(Ingredients[TtlWt],MATCH(Production[[#This Row],[Product]],Ingredients[ProdName],0))*Production[[#This Row],[Lots Done]],"")</f>
        <v>216</v>
      </c>
      <c r="J398" s="210">
        <f>IF(INDEX(Ingredients[Batter],MATCH(Production[[#This Row],[Product]],Ingredients[ProdName],0))*Production[[#This Row],[Batter Used]]&gt;0,INDEX(Ingredients[Batter],MATCH(Production[[#This Row],[Product]],Ingredients[ProdName],0))*Production[[#This Row],[Batter Used]],"")</f>
        <v>100</v>
      </c>
      <c r="K398" s="210">
        <f>IF(INDEX(Ingredients[Breader],MATCH(Production[[#This Row],[Product]],Ingredients[ProdName],0))*Production[[#This Row],[Breader Used]]&gt;0,INDEX(Ingredients[Breader],MATCH(Production[[#This Row],[Product]],Ingredients[ProdName],0))*Production[[#This Row],[Breader Used]],"")</f>
        <v>250</v>
      </c>
      <c r="L398" s="56">
        <v>2</v>
      </c>
      <c r="M398" s="56">
        <v>5</v>
      </c>
      <c r="N398" s="211">
        <f>IFERROR(IF(SUM(Production[[#This Row],[Meat Wt]:[BrTtl]])&lt;&gt;0,SUM(Production[[#This Row],[Meat Wt]:[BrTtl]]),""),"")</f>
        <v>1686</v>
      </c>
      <c r="O398" s="55">
        <v>70</v>
      </c>
      <c r="P398" s="208">
        <f>INDEX(Ingredients[Case Wt.],MATCH(Production[[#This Row],[Product]],Ingredients[ProdName],0))*Production[[#This Row],[Case Total]]</f>
        <v>1750</v>
      </c>
      <c r="Q398" s="211">
        <f>IFERROR(Production[[#This Row],[SatWt]]-Production[[#This Row],[RawWt]],"")</f>
        <v>64</v>
      </c>
      <c r="R398" s="222">
        <f>IF(Production[[#This Row],[Species]]&lt;&gt;"",IF(SUM(Production[[#This Row],[BtTtl]:[BrTtl]])/Production[[#This Row],[SatWt]]&lt;&gt;0,SUM(Production[[#This Row],[BtTtl]:[BrTtl]])/Production[[#This Row],[SatWt]],""),"")</f>
        <v>0.2</v>
      </c>
      <c r="S398" s="223" t="str">
        <f>INDEX(Ingredients[Species],MATCH(Production[[#This Row],[Product]],Ingredients[ProdName],0))</f>
        <v>Poultry</v>
      </c>
    </row>
    <row r="399" spans="1:19" ht="11.1" customHeight="1" x14ac:dyDescent="0.25">
      <c r="A399" s="207" t="str">
        <f>IFERROR(IF(Production[[#This Row],[Date]]&lt;&gt;"",TEXT(Production[[#This Row],[Date]],"yy")&amp;"-"&amp;TEXT(Production[[#This Row],[Date]]-DATE(YEAR(Production[[#This Row],[Date]]),1,0),"000"),""),"")</f>
        <v>24-116</v>
      </c>
      <c r="B399" s="209" t="str">
        <f>IFERROR(IF(INDEX(Ingredients[Ingr1],MATCH(Production[[#This Row],[Product]],Ingredients[ProdName],0))&lt;&gt;"",INDEX(Ingredients[Ingr1],MATCH(Production[[#This Row],[Product]],Ingredients[ProdName],0)),INDEX(Ingredients[Ingr2],MATCH(Production[[#This Row],[Product]],Ingredients[ProdName],0))),"")</f>
        <v>Chicken - Tenders</v>
      </c>
      <c r="C399" s="53">
        <v>45407</v>
      </c>
      <c r="D399" s="54" t="s">
        <v>123</v>
      </c>
      <c r="E399" s="55" t="s">
        <v>122</v>
      </c>
      <c r="F399" s="56">
        <v>8</v>
      </c>
      <c r="G399" s="56">
        <v>56</v>
      </c>
      <c r="H399" s="208">
        <f>IFERROR(INDEX(Tier1[Wt],MATCH(Production[[#This Row],[Type]],Tier1[Ingredient],0))*Production[[#This Row],[Blocks Used]],0)</f>
        <v>2240</v>
      </c>
      <c r="I399" s="210">
        <f>IFERROR(INDEX(Ingredients[TtlWt],MATCH(Production[[#This Row],[Product]],Ingredients[ProdName],0))*Production[[#This Row],[Lots Done]],"")</f>
        <v>432</v>
      </c>
      <c r="J399" s="210">
        <f>IF(INDEX(Ingredients[Batter],MATCH(Production[[#This Row],[Product]],Ingredients[ProdName],0))*Production[[#This Row],[Batter Used]]&gt;0,INDEX(Ingredients[Batter],MATCH(Production[[#This Row],[Product]],Ingredients[ProdName],0))*Production[[#This Row],[Batter Used]],"")</f>
        <v>150</v>
      </c>
      <c r="K399" s="210">
        <f>IF(INDEX(Ingredients[Breader],MATCH(Production[[#This Row],[Product]],Ingredients[ProdName],0))*Production[[#This Row],[Breader Used]]&gt;0,INDEX(Ingredients[Breader],MATCH(Production[[#This Row],[Product]],Ingredients[ProdName],0))*Production[[#This Row],[Breader Used]],"")</f>
        <v>500</v>
      </c>
      <c r="L399" s="56">
        <v>3</v>
      </c>
      <c r="M399" s="56">
        <v>10</v>
      </c>
      <c r="N399" s="211">
        <f>IFERROR(IF(SUM(Production[[#This Row],[Meat Wt]:[BrTtl]])&lt;&gt;0,SUM(Production[[#This Row],[Meat Wt]:[BrTtl]]),""),"")</f>
        <v>3322</v>
      </c>
      <c r="O399" s="55">
        <v>174</v>
      </c>
      <c r="P399" s="208">
        <f>INDEX(Ingredients[Case Wt.],MATCH(Production[[#This Row],[Product]],Ingredients[ProdName],0))*Production[[#This Row],[Case Total]]</f>
        <v>4350</v>
      </c>
      <c r="Q399" s="211">
        <f>IFERROR(Production[[#This Row],[SatWt]]-Production[[#This Row],[RawWt]],"")</f>
        <v>1028</v>
      </c>
      <c r="R399" s="222">
        <f>IF(Production[[#This Row],[Species]]&lt;&gt;"",IF(SUM(Production[[#This Row],[BtTtl]:[BrTtl]])/Production[[#This Row],[SatWt]]&lt;&gt;0,SUM(Production[[#This Row],[BtTtl]:[BrTtl]])/Production[[#This Row],[SatWt]],""),"")</f>
        <v>0.14942528735632185</v>
      </c>
      <c r="S399" s="223" t="str">
        <f>INDEX(Ingredients[Species],MATCH(Production[[#This Row],[Product]],Ingredients[ProdName],0))</f>
        <v>Poultry</v>
      </c>
    </row>
    <row r="400" spans="1:19" ht="11.1" customHeight="1" x14ac:dyDescent="0.25">
      <c r="A400" s="207" t="str">
        <f>IFERROR(IF(Production[[#This Row],[Date]]&lt;&gt;"",TEXT(Production[[#This Row],[Date]],"yy")&amp;"-"&amp;TEXT(Production[[#This Row],[Date]]-DATE(YEAR(Production[[#This Row],[Date]]),1,0),"000"),""),"")</f>
        <v>24-120</v>
      </c>
      <c r="B400" s="209" t="str">
        <f>IFERROR(IF(INDEX(Ingredients[Ingr1],MATCH(Production[[#This Row],[Product]],Ingredients[ProdName],0))&lt;&gt;"",INDEX(Ingredients[Ingr1],MATCH(Production[[#This Row],[Product]],Ingredients[ProdName],0)),INDEX(Ingredients[Ingr2],MATCH(Production[[#This Row],[Product]],Ingredients[ProdName],0))),"")</f>
        <v>Chicken - Tenders</v>
      </c>
      <c r="C400" s="59">
        <v>45411</v>
      </c>
      <c r="D400" s="60" t="s">
        <v>123</v>
      </c>
      <c r="E400" s="61" t="s">
        <v>122</v>
      </c>
      <c r="F400" s="62">
        <v>8</v>
      </c>
      <c r="G400" s="62">
        <v>56</v>
      </c>
      <c r="H400" s="212">
        <f>IFERROR(INDEX(Tier1[Wt],MATCH(Production[[#This Row],[Type]],Tier1[Ingredient],0))*Production[[#This Row],[Blocks Used]],0)</f>
        <v>2240</v>
      </c>
      <c r="I400" s="210">
        <f>IFERROR(INDEX(Ingredients[TtlWt],MATCH(Production[[#This Row],[Product]],Ingredients[ProdName],0))*Production[[#This Row],[Lots Done]],"")</f>
        <v>432</v>
      </c>
      <c r="J400" s="210">
        <f>IF(INDEX(Ingredients[Batter],MATCH(Production[[#This Row],[Product]],Ingredients[ProdName],0))*Production[[#This Row],[Batter Used]]&gt;0,INDEX(Ingredients[Batter],MATCH(Production[[#This Row],[Product]],Ingredients[ProdName],0))*Production[[#This Row],[Batter Used]],"")</f>
        <v>250</v>
      </c>
      <c r="K400" s="210">
        <f>IF(INDEX(Ingredients[Breader],MATCH(Production[[#This Row],[Product]],Ingredients[ProdName],0))*Production[[#This Row],[Breader Used]]&gt;0,INDEX(Ingredients[Breader],MATCH(Production[[#This Row],[Product]],Ingredients[ProdName],0))*Production[[#This Row],[Breader Used]],"")</f>
        <v>500</v>
      </c>
      <c r="L400" s="62">
        <v>5</v>
      </c>
      <c r="M400" s="62">
        <v>10</v>
      </c>
      <c r="N400" s="221">
        <f>IFERROR(IF(SUM(Production[[#This Row],[Meat Wt]:[BrTtl]])&lt;&gt;0,SUM(Production[[#This Row],[Meat Wt]:[BrTtl]]),""),"")</f>
        <v>3422</v>
      </c>
      <c r="O400" s="61">
        <v>158</v>
      </c>
      <c r="P400" s="212">
        <f>INDEX(Ingredients[Case Wt.],MATCH(Production[[#This Row],[Product]],Ingredients[ProdName],0))*Production[[#This Row],[Case Total]]</f>
        <v>3950</v>
      </c>
      <c r="Q400" s="221">
        <f>IFERROR(Production[[#This Row],[SatWt]]-Production[[#This Row],[RawWt]],"")</f>
        <v>528</v>
      </c>
      <c r="R400" s="222">
        <f>IF(Production[[#This Row],[Species]]&lt;&gt;"",IF(SUM(Production[[#This Row],[BtTtl]:[BrTtl]])/Production[[#This Row],[SatWt]]&lt;&gt;0,SUM(Production[[#This Row],[BtTtl]:[BrTtl]])/Production[[#This Row],[SatWt]],""),"")</f>
        <v>0.189873417721519</v>
      </c>
      <c r="S400" s="223" t="str">
        <f>INDEX(Ingredients[Species],MATCH(Production[[#This Row],[Product]],Ingredients[ProdName],0))</f>
        <v>Poultry</v>
      </c>
    </row>
    <row r="401" spans="1:19" ht="11.1" customHeight="1" x14ac:dyDescent="0.25">
      <c r="A401" s="207" t="str">
        <f>IFERROR(IF(Production[[#This Row],[Date]]&lt;&gt;"",TEXT(Production[[#This Row],[Date]],"yy")&amp;"-"&amp;TEXT(Production[[#This Row],[Date]]-DATE(YEAR(Production[[#This Row],[Date]]),1,0),"000"),""),"")</f>
        <v>24-121</v>
      </c>
      <c r="B401" s="209" t="str">
        <f>IFERROR(IF(INDEX(Ingredients[Ingr1],MATCH(Production[[#This Row],[Product]],Ingredients[ProdName],0))&lt;&gt;"",INDEX(Ingredients[Ingr1],MATCH(Production[[#This Row],[Product]],Ingredients[ProdName],0)),INDEX(Ingredients[Ingr2],MATCH(Production[[#This Row],[Product]],Ingredients[ProdName],0))),"")</f>
        <v>Chicken - Tenders</v>
      </c>
      <c r="C401" s="53">
        <v>45412</v>
      </c>
      <c r="D401" s="54" t="s">
        <v>123</v>
      </c>
      <c r="E401" s="55" t="s">
        <v>122</v>
      </c>
      <c r="F401" s="56">
        <v>8</v>
      </c>
      <c r="G401" s="56">
        <v>56</v>
      </c>
      <c r="H401" s="208">
        <f>IFERROR(INDEX(Tier1[Wt],MATCH(Production[[#This Row],[Type]],Tier1[Ingredient],0))*Production[[#This Row],[Blocks Used]],0)</f>
        <v>2240</v>
      </c>
      <c r="I401" s="210">
        <f>IFERROR(INDEX(Ingredients[TtlWt],MATCH(Production[[#This Row],[Product]],Ingredients[ProdName],0))*Production[[#This Row],[Lots Done]],"")</f>
        <v>432</v>
      </c>
      <c r="J401" s="210">
        <f>IF(INDEX(Ingredients[Batter],MATCH(Production[[#This Row],[Product]],Ingredients[ProdName],0))*Production[[#This Row],[Batter Used]]&gt;0,INDEX(Ingredients[Batter],MATCH(Production[[#This Row],[Product]],Ingredients[ProdName],0))*Production[[#This Row],[Batter Used]],"")</f>
        <v>150</v>
      </c>
      <c r="K401" s="210">
        <f>IF(INDEX(Ingredients[Breader],MATCH(Production[[#This Row],[Product]],Ingredients[ProdName],0))*Production[[#This Row],[Breader Used]]&gt;0,INDEX(Ingredients[Breader],MATCH(Production[[#This Row],[Product]],Ingredients[ProdName],0))*Production[[#This Row],[Breader Used]],"")</f>
        <v>550</v>
      </c>
      <c r="L401" s="56">
        <v>3</v>
      </c>
      <c r="M401" s="56">
        <v>11</v>
      </c>
      <c r="N401" s="211">
        <f>IFERROR(IF(SUM(Production[[#This Row],[Meat Wt]:[BrTtl]])&lt;&gt;0,SUM(Production[[#This Row],[Meat Wt]:[BrTtl]]),""),"")</f>
        <v>3372</v>
      </c>
      <c r="O401" s="55">
        <v>150</v>
      </c>
      <c r="P401" s="208">
        <f>INDEX(Ingredients[Case Wt.],MATCH(Production[[#This Row],[Product]],Ingredients[ProdName],0))*Production[[#This Row],[Case Total]]</f>
        <v>3750</v>
      </c>
      <c r="Q401" s="211">
        <f>IFERROR(Production[[#This Row],[SatWt]]-Production[[#This Row],[RawWt]],"")</f>
        <v>378</v>
      </c>
      <c r="R401" s="222">
        <f>IF(Production[[#This Row],[Species]]&lt;&gt;"",IF(SUM(Production[[#This Row],[BtTtl]:[BrTtl]])/Production[[#This Row],[SatWt]]&lt;&gt;0,SUM(Production[[#This Row],[BtTtl]:[BrTtl]])/Production[[#This Row],[SatWt]],""),"")</f>
        <v>0.18666666666666668</v>
      </c>
      <c r="S401" s="223" t="str">
        <f>INDEX(Ingredients[Species],MATCH(Production[[#This Row],[Product]],Ingredients[ProdName],0))</f>
        <v>Poultry</v>
      </c>
    </row>
    <row r="402" spans="1:19" ht="11.1" customHeight="1" x14ac:dyDescent="0.25">
      <c r="A402" s="207" t="str">
        <f>IFERROR(IF(Production[[#This Row],[Date]]&lt;&gt;"",TEXT(Production[[#This Row],[Date]],"yy")&amp;"-"&amp;TEXT(Production[[#This Row],[Date]]-DATE(YEAR(Production[[#This Row],[Date]]),1,0),"000"),""),"")</f>
        <v>24-122</v>
      </c>
      <c r="B402" s="209" t="str">
        <f>IFERROR(IF(INDEX(Ingredients[Ingr1],MATCH(Production[[#This Row],[Product]],Ingredients[ProdName],0))&lt;&gt;"",INDEX(Ingredients[Ingr1],MATCH(Production[[#This Row],[Product]],Ingredients[ProdName],0)),INDEX(Ingredients[Ingr2],MATCH(Production[[#This Row],[Product]],Ingredients[ProdName],0))),"")</f>
        <v>Chicken - Tenders</v>
      </c>
      <c r="C402" s="63">
        <v>45413</v>
      </c>
      <c r="D402" s="19" t="s">
        <v>151</v>
      </c>
      <c r="E402" s="64" t="s">
        <v>122</v>
      </c>
      <c r="F402" s="65">
        <v>8</v>
      </c>
      <c r="G402" s="65">
        <v>56</v>
      </c>
      <c r="H402" s="208">
        <f>IFERROR(INDEX(Tier1[Wt],MATCH(Production[[#This Row],[Type]],Tier1[Ingredient],0))*Production[[#This Row],[Blocks Used]],0)</f>
        <v>2240</v>
      </c>
      <c r="I402" s="213"/>
      <c r="J402" s="210">
        <f>IF(INDEX(Ingredients[Batter],MATCH(Production[[#This Row],[Product]],Ingredients[ProdName],0))*Production[[#This Row],[Batter Used]]&gt;0,INDEX(Ingredients[Batter],MATCH(Production[[#This Row],[Product]],Ingredients[ProdName],0))*Production[[#This Row],[Batter Used]],"")</f>
        <v>150</v>
      </c>
      <c r="K402" s="210">
        <f>IF(INDEX(Ingredients[Breader],MATCH(Production[[#This Row],[Product]],Ingredients[ProdName],0))*Production[[#This Row],[Breader Used]]&gt;0,INDEX(Ingredients[Breader],MATCH(Production[[#This Row],[Product]],Ingredients[ProdName],0))*Production[[#This Row],[Breader Used]],"")</f>
        <v>700</v>
      </c>
      <c r="L402" s="65">
        <v>3</v>
      </c>
      <c r="M402" s="65">
        <v>14</v>
      </c>
      <c r="N402" s="211">
        <f>IFERROR(IF(SUM(Production[[#This Row],[Meat Wt]:[BrTtl]])&lt;&gt;0,SUM(Production[[#This Row],[Meat Wt]:[BrTtl]]),""),"")</f>
        <v>3090</v>
      </c>
      <c r="O402" s="64">
        <v>151</v>
      </c>
      <c r="P402" s="208">
        <f>INDEX(Ingredients[Case Wt.],MATCH(Production[[#This Row],[Product]],Ingredients[ProdName],0))*Production[[#This Row],[Case Total]]</f>
        <v>4530</v>
      </c>
      <c r="Q402" s="211">
        <f>IFERROR(Production[[#This Row],[SatWt]]-Production[[#This Row],[RawWt]],"")</f>
        <v>1440</v>
      </c>
      <c r="R402" s="222">
        <f>IF(Production[[#This Row],[Species]]&lt;&gt;"",IF(SUM(Production[[#This Row],[BtTtl]:[BrTtl]])/Production[[#This Row],[SatWt]]&lt;&gt;0,SUM(Production[[#This Row],[BtTtl]:[BrTtl]])/Production[[#This Row],[SatWt]],""),"")</f>
        <v>0.18763796909492272</v>
      </c>
      <c r="S402" s="223" t="str">
        <f>INDEX(Ingredients[Species],MATCH(Production[[#This Row],[Product]],Ingredients[ProdName],0))</f>
        <v>Poultry</v>
      </c>
    </row>
    <row r="403" spans="1:19" ht="11.1" customHeight="1" x14ac:dyDescent="0.25">
      <c r="A403" s="207" t="str">
        <f>IFERROR(IF(Production[[#This Row],[Date]]&lt;&gt;"",TEXT(Production[[#This Row],[Date]],"yy")&amp;"-"&amp;TEXT(Production[[#This Row],[Date]]-DATE(YEAR(Production[[#This Row],[Date]]),1,0),"000"),""),"")</f>
        <v>24-127</v>
      </c>
      <c r="B403" s="209" t="str">
        <f>IFERROR(IF(INDEX(Ingredients[Ingr1],MATCH(Production[[#This Row],[Product]],Ingredients[ProdName],0))&lt;&gt;"",INDEX(Ingredients[Ingr1],MATCH(Production[[#This Row],[Product]],Ingredients[ProdName],0)),INDEX(Ingredients[Ingr2],MATCH(Production[[#This Row],[Product]],Ingredients[ProdName],0))),"")</f>
        <v>Chicken - Ground</v>
      </c>
      <c r="C403" s="63">
        <v>45418</v>
      </c>
      <c r="D403" s="66" t="s">
        <v>15</v>
      </c>
      <c r="E403" s="64">
        <v>7136</v>
      </c>
      <c r="F403" s="65">
        <v>7</v>
      </c>
      <c r="G403" s="65">
        <v>42</v>
      </c>
      <c r="H403" s="208">
        <f>IFERROR(INDEX(Tier1[Wt],MATCH(Production[[#This Row],[Type]],Tier1[Ingredient],0))*Production[[#This Row],[Blocks Used]],0)</f>
        <v>2100</v>
      </c>
      <c r="I403" s="213"/>
      <c r="J403" s="210" t="str">
        <f>IF(INDEX(Ingredients[Batter],MATCH(Production[[#This Row],[Product]],Ingredients[ProdName],0))*Production[[#This Row],[Batter Used]]&gt;0,INDEX(Ingredients[Batter],MATCH(Production[[#This Row],[Product]],Ingredients[ProdName],0))*Production[[#This Row],[Batter Used]],"")</f>
        <v/>
      </c>
      <c r="K403" s="210" t="str">
        <f>IF(INDEX(Ingredients[Breader],MATCH(Production[[#This Row],[Product]],Ingredients[ProdName],0))*Production[[#This Row],[Breader Used]]&gt;0,INDEX(Ingredients[Breader],MATCH(Production[[#This Row],[Product]],Ingredients[ProdName],0))*Production[[#This Row],[Breader Used]],"")</f>
        <v/>
      </c>
      <c r="L403" s="65"/>
      <c r="M403" s="65"/>
      <c r="N403" s="211">
        <f>IFERROR(IF(SUM(Production[[#This Row],[Meat Wt]:[BrTtl]])&lt;&gt;0,SUM(Production[[#This Row],[Meat Wt]:[BrTtl]]),""),"")</f>
        <v>2100</v>
      </c>
      <c r="O403" s="64">
        <v>86</v>
      </c>
      <c r="P403" s="208">
        <f>INDEX(Ingredients[Case Wt.],MATCH(Production[[#This Row],[Product]],Ingredients[ProdName],0))*Production[[#This Row],[Case Total]]</f>
        <v>2580</v>
      </c>
      <c r="Q403" s="211">
        <f>IFERROR(Production[[#This Row],[SatWt]]-Production[[#This Row],[RawWt]],"")</f>
        <v>480</v>
      </c>
      <c r="R403" s="222" t="str">
        <f>IF(Production[[#This Row],[Species]]&lt;&gt;"",IF(SUM(Production[[#This Row],[BtTtl]:[BrTtl]])/Production[[#This Row],[SatWt]]&lt;&gt;0,SUM(Production[[#This Row],[BtTtl]:[BrTtl]])/Production[[#This Row],[SatWt]],""),"")</f>
        <v/>
      </c>
      <c r="S403" s="223" t="str">
        <f>INDEX(Ingredients[Species],MATCH(Production[[#This Row],[Product]],Ingredients[ProdName],0))</f>
        <v>Poultry</v>
      </c>
    </row>
    <row r="404" spans="1:19" ht="11.1" customHeight="1" x14ac:dyDescent="0.25">
      <c r="A404" s="207" t="str">
        <f>IFERROR(IF(Production[[#This Row],[Date]]&lt;&gt;"",TEXT(Production[[#This Row],[Date]],"yy")&amp;"-"&amp;TEXT(Production[[#This Row],[Date]]-DATE(YEAR(Production[[#This Row],[Date]]),1,0),"000"),""),"")</f>
        <v>24-128</v>
      </c>
      <c r="B404" s="209" t="str">
        <f>IFERROR(IF(INDEX(Ingredients[Ingr1],MATCH(Production[[#This Row],[Product]],Ingredients[ProdName],0))&lt;&gt;"",INDEX(Ingredients[Ingr1],MATCH(Production[[#This Row],[Product]],Ingredients[ProdName],0)),INDEX(Ingredients[Ingr2],MATCH(Production[[#This Row],[Product]],Ingredients[ProdName],0))),"")</f>
        <v>Chicken - Ground</v>
      </c>
      <c r="C404" s="63">
        <v>45419</v>
      </c>
      <c r="D404" s="66" t="s">
        <v>13</v>
      </c>
      <c r="E404" s="64">
        <v>7136</v>
      </c>
      <c r="F404" s="65">
        <v>8</v>
      </c>
      <c r="G404" s="65">
        <v>48</v>
      </c>
      <c r="H404" s="208">
        <f>IFERROR(INDEX(Tier1[Wt],MATCH(Production[[#This Row],[Type]],Tier1[Ingredient],0))*Production[[#This Row],[Blocks Used]],0)</f>
        <v>2400</v>
      </c>
      <c r="I404" s="213"/>
      <c r="J404" s="210" t="str">
        <f>IF(INDEX(Ingredients[Batter],MATCH(Production[[#This Row],[Product]],Ingredients[ProdName],0))*Production[[#This Row],[Batter Used]]&gt;0,INDEX(Ingredients[Batter],MATCH(Production[[#This Row],[Product]],Ingredients[ProdName],0))*Production[[#This Row],[Batter Used]],"")</f>
        <v/>
      </c>
      <c r="K404" s="210" t="str">
        <f>IF(INDEX(Ingredients[Breader],MATCH(Production[[#This Row],[Product]],Ingredients[ProdName],0))*Production[[#This Row],[Breader Used]]&gt;0,INDEX(Ingredients[Breader],MATCH(Production[[#This Row],[Product]],Ingredients[ProdName],0))*Production[[#This Row],[Breader Used]],"")</f>
        <v/>
      </c>
      <c r="L404" s="65"/>
      <c r="M404" s="65"/>
      <c r="N404" s="211">
        <f>IFERROR(IF(SUM(Production[[#This Row],[Meat Wt]:[BrTtl]])&lt;&gt;0,SUM(Production[[#This Row],[Meat Wt]:[BrTtl]]),""),"")</f>
        <v>2400</v>
      </c>
      <c r="O404" s="64">
        <v>111</v>
      </c>
      <c r="P404" s="208">
        <f>INDEX(Ingredients[Case Wt.],MATCH(Production[[#This Row],[Product]],Ingredients[ProdName],0))*Production[[#This Row],[Case Total]]</f>
        <v>3330</v>
      </c>
      <c r="Q404" s="211">
        <f>IFERROR(Production[[#This Row],[SatWt]]-Production[[#This Row],[RawWt]],"")</f>
        <v>930</v>
      </c>
      <c r="R404" s="222" t="str">
        <f>IF(Production[[#This Row],[Species]]&lt;&gt;"",IF(SUM(Production[[#This Row],[BtTtl]:[BrTtl]])/Production[[#This Row],[SatWt]]&lt;&gt;0,SUM(Production[[#This Row],[BtTtl]:[BrTtl]])/Production[[#This Row],[SatWt]],""),"")</f>
        <v/>
      </c>
      <c r="S404" s="223" t="str">
        <f>INDEX(Ingredients[Species],MATCH(Production[[#This Row],[Product]],Ingredients[ProdName],0))</f>
        <v>Poultry</v>
      </c>
    </row>
    <row r="405" spans="1:19" ht="11.1" customHeight="1" x14ac:dyDescent="0.25">
      <c r="A405" s="207" t="str">
        <f>IFERROR(IF(Production[[#This Row],[Date]]&lt;&gt;"",TEXT(Production[[#This Row],[Date]],"yy")&amp;"-"&amp;TEXT(Production[[#This Row],[Date]]-DATE(YEAR(Production[[#This Row],[Date]]),1,0),"000"),""),"")</f>
        <v>24-130</v>
      </c>
      <c r="B405" s="209" t="str">
        <f>IFERROR(IF(INDEX(Ingredients[Ingr1],MATCH(Production[[#This Row],[Product]],Ingredients[ProdName],0))&lt;&gt;"",INDEX(Ingredients[Ingr1],MATCH(Production[[#This Row],[Product]],Ingredients[ProdName],0)),INDEX(Ingredients[Ingr2],MATCH(Production[[#This Row],[Product]],Ingredients[ProdName],0))),"")</f>
        <v>Chicken - Ground</v>
      </c>
      <c r="C405" s="63">
        <v>45421</v>
      </c>
      <c r="D405" s="66" t="s">
        <v>23</v>
      </c>
      <c r="E405" s="64">
        <v>7136</v>
      </c>
      <c r="F405" s="65">
        <v>5</v>
      </c>
      <c r="G405" s="65">
        <v>30</v>
      </c>
      <c r="H405" s="208">
        <f>IFERROR(INDEX(Tier1[Wt],MATCH(Production[[#This Row],[Type]],Tier1[Ingredient],0))*Production[[#This Row],[Blocks Used]],0)</f>
        <v>1500</v>
      </c>
      <c r="I405" s="213"/>
      <c r="J405" s="210" t="str">
        <f>IF(INDEX(Ingredients[Batter],MATCH(Production[[#This Row],[Product]],Ingredients[ProdName],0))*Production[[#This Row],[Batter Used]]&gt;0,INDEX(Ingredients[Batter],MATCH(Production[[#This Row],[Product]],Ingredients[ProdName],0))*Production[[#This Row],[Batter Used]],"")</f>
        <v/>
      </c>
      <c r="K405" s="210" t="str">
        <f>IF(INDEX(Ingredients[Breader],MATCH(Production[[#This Row],[Product]],Ingredients[ProdName],0))*Production[[#This Row],[Breader Used]]&gt;0,INDEX(Ingredients[Breader],MATCH(Production[[#This Row],[Product]],Ingredients[ProdName],0))*Production[[#This Row],[Breader Used]],"")</f>
        <v/>
      </c>
      <c r="L405" s="65"/>
      <c r="M405" s="65"/>
      <c r="N405" s="211">
        <f>IFERROR(IF(SUM(Production[[#This Row],[Meat Wt]:[BrTtl]])&lt;&gt;0,SUM(Production[[#This Row],[Meat Wt]:[BrTtl]]),""),"")</f>
        <v>1500</v>
      </c>
      <c r="O405" s="64">
        <v>67</v>
      </c>
      <c r="P405" s="208">
        <f>INDEX(Ingredients[Case Wt.],MATCH(Production[[#This Row],[Product]],Ingredients[ProdName],0))*Production[[#This Row],[Case Total]]</f>
        <v>2010</v>
      </c>
      <c r="Q405" s="211">
        <f>IFERROR(Production[[#This Row],[SatWt]]-Production[[#This Row],[RawWt]],"")</f>
        <v>510</v>
      </c>
      <c r="R405" s="222" t="str">
        <f>IF(Production[[#This Row],[Species]]&lt;&gt;"",IF(SUM(Production[[#This Row],[BtTtl]:[BrTtl]])/Production[[#This Row],[SatWt]]&lt;&gt;0,SUM(Production[[#This Row],[BtTtl]:[BrTtl]])/Production[[#This Row],[SatWt]],""),"")</f>
        <v/>
      </c>
      <c r="S405" s="223" t="str">
        <f>INDEX(Ingredients[Species],MATCH(Production[[#This Row],[Product]],Ingredients[ProdName],0))</f>
        <v>Poultry</v>
      </c>
    </row>
    <row r="406" spans="1:19" ht="11.1" customHeight="1" x14ac:dyDescent="0.25">
      <c r="A406" s="207" t="str">
        <f>IFERROR(IF(Production[[#This Row],[Date]]&lt;&gt;"",TEXT(Production[[#This Row],[Date]],"yy")&amp;"-"&amp;TEXT(Production[[#This Row],[Date]]-DATE(YEAR(Production[[#This Row],[Date]]),1,0),"000"),""),"")</f>
        <v>24-130</v>
      </c>
      <c r="B406" s="209" t="str">
        <f>IFERROR(IF(INDEX(Ingredients[Ingr1],MATCH(Production[[#This Row],[Product]],Ingredients[ProdName],0))&lt;&gt;"",INDEX(Ingredients[Ingr1],MATCH(Production[[#This Row],[Product]],Ingredients[ProdName],0)),INDEX(Ingredients[Ingr2],MATCH(Production[[#This Row],[Product]],Ingredients[ProdName],0))),"")</f>
        <v>Chicken - Ground</v>
      </c>
      <c r="C406" s="63">
        <v>45421</v>
      </c>
      <c r="D406" s="66" t="s">
        <v>9</v>
      </c>
      <c r="E406" s="64">
        <v>7136</v>
      </c>
      <c r="F406" s="65">
        <v>5</v>
      </c>
      <c r="G406" s="65">
        <v>30</v>
      </c>
      <c r="H406" s="208">
        <f>IFERROR(INDEX(Tier1[Wt],MATCH(Production[[#This Row],[Type]],Tier1[Ingredient],0))*Production[[#This Row],[Blocks Used]],0)</f>
        <v>1500</v>
      </c>
      <c r="I406" s="213"/>
      <c r="J406" s="210" t="str">
        <f>IF(INDEX(Ingredients[Batter],MATCH(Production[[#This Row],[Product]],Ingredients[ProdName],0))*Production[[#This Row],[Batter Used]]&gt;0,INDEX(Ingredients[Batter],MATCH(Production[[#This Row],[Product]],Ingredients[ProdName],0))*Production[[#This Row],[Batter Used]],"")</f>
        <v/>
      </c>
      <c r="K406" s="210" t="str">
        <f>IF(INDEX(Ingredients[Breader],MATCH(Production[[#This Row],[Product]],Ingredients[ProdName],0))*Production[[#This Row],[Breader Used]]&gt;0,INDEX(Ingredients[Breader],MATCH(Production[[#This Row],[Product]],Ingredients[ProdName],0))*Production[[#This Row],[Breader Used]],"")</f>
        <v/>
      </c>
      <c r="L406" s="65"/>
      <c r="M406" s="65"/>
      <c r="N406" s="211">
        <f>IFERROR(IF(SUM(Production[[#This Row],[Meat Wt]:[BrTtl]])&lt;&gt;0,SUM(Production[[#This Row],[Meat Wt]:[BrTtl]]),""),"")</f>
        <v>1500</v>
      </c>
      <c r="O406" s="64">
        <v>66</v>
      </c>
      <c r="P406" s="208">
        <f>INDEX(Ingredients[Case Wt.],MATCH(Production[[#This Row],[Product]],Ingredients[ProdName],0))*Production[[#This Row],[Case Total]]</f>
        <v>1980</v>
      </c>
      <c r="Q406" s="211">
        <f>IFERROR(Production[[#This Row],[SatWt]]-Production[[#This Row],[RawWt]],"")</f>
        <v>480</v>
      </c>
      <c r="R406" s="222" t="str">
        <f>IF(Production[[#This Row],[Species]]&lt;&gt;"",IF(SUM(Production[[#This Row],[BtTtl]:[BrTtl]])/Production[[#This Row],[SatWt]]&lt;&gt;0,SUM(Production[[#This Row],[BtTtl]:[BrTtl]])/Production[[#This Row],[SatWt]],""),"")</f>
        <v/>
      </c>
      <c r="S406" s="223" t="str">
        <f>INDEX(Ingredients[Species],MATCH(Production[[#This Row],[Product]],Ingredients[ProdName],0))</f>
        <v>Poultry</v>
      </c>
    </row>
    <row r="407" spans="1:19" ht="11.1" customHeight="1" x14ac:dyDescent="0.25">
      <c r="A407" s="207" t="str">
        <f>IFERROR(IF(Production[[#This Row],[Date]]&lt;&gt;"",TEXT(Production[[#This Row],[Date]],"yy")&amp;"-"&amp;TEXT(Production[[#This Row],[Date]]-DATE(YEAR(Production[[#This Row],[Date]]),1,0),"000"),""),"")</f>
        <v>24-135</v>
      </c>
      <c r="B407" s="209" t="str">
        <f>IFERROR(IF(INDEX(Ingredients[Ingr1],MATCH(Production[[#This Row],[Product]],Ingredients[ProdName],0))&lt;&gt;"",INDEX(Ingredients[Ingr1],MATCH(Production[[#This Row],[Product]],Ingredients[ProdName],0)),INDEX(Ingredients[Ingr2],MATCH(Production[[#This Row],[Product]],Ingredients[ProdName],0))),"")</f>
        <v>Pork - Trim</v>
      </c>
      <c r="C407" s="63">
        <v>45426</v>
      </c>
      <c r="D407" s="66" t="s">
        <v>212</v>
      </c>
      <c r="E407" s="64">
        <v>2221</v>
      </c>
      <c r="F407" s="65">
        <v>10</v>
      </c>
      <c r="G407" s="65">
        <v>50</v>
      </c>
      <c r="H407" s="208">
        <f>IFERROR(INDEX(Tier1[Wt],MATCH(Production[[#This Row],[Type]],Tier1[Ingredient],0))*Production[[#This Row],[Blocks Used]],0)</f>
        <v>3000</v>
      </c>
      <c r="I407" s="214"/>
      <c r="J407" s="215" t="str">
        <f>IF(INDEX(Ingredients[Batter],MATCH(Production[[#This Row],[Product]],Ingredients[ProdName],0))*Production[[#This Row],[Batter Used]]&gt;0,INDEX(Ingredients[Batter],MATCH(Production[[#This Row],[Product]],Ingredients[ProdName],0))*Production[[#This Row],[Batter Used]],"")</f>
        <v/>
      </c>
      <c r="K407" s="215" t="str">
        <f>IF(INDEX(Ingredients[Breader],MATCH(Production[[#This Row],[Product]],Ingredients[ProdName],0))*Production[[#This Row],[Breader Used]]&gt;0,INDEX(Ingredients[Breader],MATCH(Production[[#This Row],[Product]],Ingredients[ProdName],0))*Production[[#This Row],[Breader Used]],"")</f>
        <v/>
      </c>
      <c r="L407" s="65"/>
      <c r="M407" s="65"/>
      <c r="N407" s="211">
        <f>IFERROR(IF(SUM(Production[[#This Row],[Meat Wt]:[BrTtl]])&lt;&gt;0,SUM(Production[[#This Row],[Meat Wt]:[BrTtl]]),""),"")</f>
        <v>3000</v>
      </c>
      <c r="O407" s="64">
        <v>126</v>
      </c>
      <c r="P407" s="208">
        <f>INDEX(Ingredients[Case Wt.],MATCH(Production[[#This Row],[Product]],Ingredients[ProdName],0))*Production[[#This Row],[Case Total]]</f>
        <v>3780</v>
      </c>
      <c r="Q407" s="211">
        <f>IFERROR(Production[[#This Row],[SatWt]]-Production[[#This Row],[RawWt]],"")</f>
        <v>780</v>
      </c>
      <c r="R407" s="222" t="str">
        <f>IF(Production[[#This Row],[Species]]&lt;&gt;"",IF(SUM(Production[[#This Row],[BtTtl]:[BrTtl]])/Production[[#This Row],[SatWt]]&lt;&gt;0,SUM(Production[[#This Row],[BtTtl]:[BrTtl]])/Production[[#This Row],[SatWt]],""),"")</f>
        <v/>
      </c>
      <c r="S407" s="223" t="str">
        <f>INDEX(Ingredients[Species],MATCH(Production[[#This Row],[Product]],Ingredients[ProdName],0))</f>
        <v>Meat</v>
      </c>
    </row>
    <row r="408" spans="1:19" ht="11.1" customHeight="1" x14ac:dyDescent="0.25">
      <c r="A408" s="207" t="str">
        <f>IFERROR(IF(Production[[#This Row],[Date]]&lt;&gt;"",TEXT(Production[[#This Row],[Date]],"yy")&amp;"-"&amp;TEXT(Production[[#This Row],[Date]]-DATE(YEAR(Production[[#This Row],[Date]]),1,0),"000"),""),"")</f>
        <v>24-136</v>
      </c>
      <c r="B408" s="209" t="str">
        <f>IFERROR(IF(INDEX(Ingredients[Ingr1],MATCH(Production[[#This Row],[Product]],Ingredients[ProdName],0))&lt;&gt;"",INDEX(Ingredients[Ingr1],MATCH(Production[[#This Row],[Product]],Ingredients[ProdName],0)),INDEX(Ingredients[Ingr2],MATCH(Production[[#This Row],[Product]],Ingredients[ProdName],0))),"")</f>
        <v>Chicken - Ground</v>
      </c>
      <c r="C408" s="118">
        <v>45427</v>
      </c>
      <c r="D408" s="119" t="s">
        <v>7</v>
      </c>
      <c r="E408" s="120">
        <v>7136</v>
      </c>
      <c r="F408" s="121">
        <v>8</v>
      </c>
      <c r="G408" s="121">
        <v>48</v>
      </c>
      <c r="H408" s="208">
        <f>IFERROR(INDEX(Tier1[Wt],MATCH(Production[[#This Row],[Type]],Tier1[Ingredient],0))*Production[[#This Row],[Blocks Used]],0)</f>
        <v>2400</v>
      </c>
      <c r="I408" s="216"/>
      <c r="J408" s="215" t="str">
        <f>IF(INDEX(Ingredients[Batter],MATCH(Production[[#This Row],[Product]],Ingredients[ProdName],0))*Production[[#This Row],[Batter Used]]&gt;0,INDEX(Ingredients[Batter],MATCH(Production[[#This Row],[Product]],Ingredients[ProdName],0))*Production[[#This Row],[Batter Used]],"")</f>
        <v/>
      </c>
      <c r="K408" s="215" t="str">
        <f>IF(INDEX(Ingredients[Breader],MATCH(Production[[#This Row],[Product]],Ingredients[ProdName],0))*Production[[#This Row],[Breader Used]]&gt;0,INDEX(Ingredients[Breader],MATCH(Production[[#This Row],[Product]],Ingredients[ProdName],0))*Production[[#This Row],[Breader Used]],"")</f>
        <v/>
      </c>
      <c r="L408" s="121"/>
      <c r="M408" s="121"/>
      <c r="N408" s="211">
        <f>IFERROR(IF(SUM(Production[[#This Row],[Meat Wt]:[BrTtl]])&lt;&gt;0,SUM(Production[[#This Row],[Meat Wt]:[BrTtl]]),""),"")</f>
        <v>2400</v>
      </c>
      <c r="O408" s="120">
        <v>116</v>
      </c>
      <c r="P408" s="208">
        <f>INDEX(Ingredients[Case Wt.],MATCH(Production[[#This Row],[Product]],Ingredients[ProdName],0))*Production[[#This Row],[Case Total]]</f>
        <v>2900</v>
      </c>
      <c r="Q408" s="211">
        <f>IFERROR(Production[[#This Row],[SatWt]]-Production[[#This Row],[RawWt]],"")</f>
        <v>500</v>
      </c>
      <c r="R408" s="222" t="str">
        <f>IF(Production[[#This Row],[Species]]&lt;&gt;"",IF(SUM(Production[[#This Row],[BtTtl]:[BrTtl]])/Production[[#This Row],[SatWt]]&lt;&gt;0,SUM(Production[[#This Row],[BtTtl]:[BrTtl]])/Production[[#This Row],[SatWt]],""),"")</f>
        <v/>
      </c>
      <c r="S408" s="223" t="str">
        <f>INDEX(Ingredients[Species],MATCH(Production[[#This Row],[Product]],Ingredients[ProdName],0))</f>
        <v>Poultry</v>
      </c>
    </row>
    <row r="409" spans="1:19" ht="11.1" customHeight="1" x14ac:dyDescent="0.25">
      <c r="A409" s="207" t="str">
        <f>IFERROR(IF(Production[[#This Row],[Date]]&lt;&gt;"",TEXT(Production[[#This Row],[Date]],"yy")&amp;"-"&amp;TEXT(Production[[#This Row],[Date]]-DATE(YEAR(Production[[#This Row],[Date]]),1,0),"000"),""),"")</f>
        <v>24-137</v>
      </c>
      <c r="B409" s="209" t="str">
        <f>IFERROR(IF(INDEX(Ingredients[Ingr1],MATCH(Production[[#This Row],[Product]],Ingredients[ProdName],0))&lt;&gt;"",INDEX(Ingredients[Ingr1],MATCH(Production[[#This Row],[Product]],Ingredients[ProdName],0)),INDEX(Ingredients[Ingr2],MATCH(Production[[#This Row],[Product]],Ingredients[ProdName],0))),"")</f>
        <v>Pork - Trim</v>
      </c>
      <c r="C409" s="53">
        <v>45428</v>
      </c>
      <c r="D409" s="54" t="s">
        <v>212</v>
      </c>
      <c r="E409" s="55">
        <v>2221</v>
      </c>
      <c r="F409" s="56">
        <v>10</v>
      </c>
      <c r="G409" s="56">
        <v>50</v>
      </c>
      <c r="H409" s="208">
        <f>IFERROR(INDEX(Tier1[Wt],MATCH(Production[[#This Row],[Type]],Tier1[Ingredient],0))*Production[[#This Row],[Blocks Used]],0)</f>
        <v>3000</v>
      </c>
      <c r="I409" s="215"/>
      <c r="J409" s="215" t="str">
        <f>IF(INDEX(Ingredients[Batter],MATCH(Production[[#This Row],[Product]],Ingredients[ProdName],0))*Production[[#This Row],[Batter Used]]&gt;0,INDEX(Ingredients[Batter],MATCH(Production[[#This Row],[Product]],Ingredients[ProdName],0))*Production[[#This Row],[Batter Used]],"")</f>
        <v/>
      </c>
      <c r="K409" s="215" t="str">
        <f>IF(INDEX(Ingredients[Breader],MATCH(Production[[#This Row],[Product]],Ingredients[ProdName],0))*Production[[#This Row],[Breader Used]]&gt;0,INDEX(Ingredients[Breader],MATCH(Production[[#This Row],[Product]],Ingredients[ProdName],0))*Production[[#This Row],[Breader Used]],"")</f>
        <v/>
      </c>
      <c r="L409" s="56"/>
      <c r="M409" s="56"/>
      <c r="N409" s="211">
        <f>IFERROR(IF(SUM(Production[[#This Row],[Meat Wt]:[BrTtl]])&lt;&gt;0,SUM(Production[[#This Row],[Meat Wt]:[BrTtl]]),""),"")</f>
        <v>3000</v>
      </c>
      <c r="O409" s="55">
        <v>142</v>
      </c>
      <c r="P409" s="208">
        <f>INDEX(Ingredients[Case Wt.],MATCH(Production[[#This Row],[Product]],Ingredients[ProdName],0))*Production[[#This Row],[Case Total]]</f>
        <v>4260</v>
      </c>
      <c r="Q409" s="211">
        <f>IFERROR(Production[[#This Row],[SatWt]]-Production[[#This Row],[RawWt]],"")</f>
        <v>1260</v>
      </c>
      <c r="R409" s="222" t="str">
        <f>IF(Production[[#This Row],[Species]]&lt;&gt;"",IF(SUM(Production[[#This Row],[BtTtl]:[BrTtl]])/Production[[#This Row],[SatWt]]&lt;&gt;0,SUM(Production[[#This Row],[BtTtl]:[BrTtl]])/Production[[#This Row],[SatWt]],""),"")</f>
        <v/>
      </c>
      <c r="S409" s="223" t="str">
        <f>INDEX(Ingredients[Species],MATCH(Production[[#This Row],[Product]],Ingredients[ProdName],0))</f>
        <v>Meat</v>
      </c>
    </row>
    <row r="410" spans="1:19" ht="11.1" customHeight="1" x14ac:dyDescent="0.25">
      <c r="A410" s="207" t="str">
        <f>IFERROR(IF(Production[[#This Row],[Date]]&lt;&gt;"",TEXT(Production[[#This Row],[Date]],"yy")&amp;"-"&amp;TEXT(Production[[#This Row],[Date]]-DATE(YEAR(Production[[#This Row],[Date]]),1,0),"000"),""),"")</f>
        <v>24-141</v>
      </c>
      <c r="B410" s="209" t="str">
        <f>IFERROR(IF(INDEX(Ingredients[Ingr1],MATCH(Production[[#This Row],[Product]],Ingredients[ProdName],0))&lt;&gt;"",INDEX(Ingredients[Ingr1],MATCH(Production[[#This Row],[Product]],Ingredients[ProdName],0)),INDEX(Ingredients[Ingr2],MATCH(Production[[#This Row],[Product]],Ingredients[ProdName],0))),"")</f>
        <v>Chicken - Tenders</v>
      </c>
      <c r="C410" s="53">
        <v>45432</v>
      </c>
      <c r="D410" s="54" t="s">
        <v>21</v>
      </c>
      <c r="E410" s="55" t="s">
        <v>122</v>
      </c>
      <c r="F410" s="56">
        <v>8</v>
      </c>
      <c r="G410" s="56">
        <v>56</v>
      </c>
      <c r="H410" s="208">
        <f>IFERROR(INDEX(Tier1[Wt],MATCH(Production[[#This Row],[Type]],Tier1[Ingredient],0))*Production[[#This Row],[Blocks Used]],0)</f>
        <v>2240</v>
      </c>
      <c r="I410" s="215"/>
      <c r="J410" s="215">
        <f>IF(INDEX(Ingredients[Batter],MATCH(Production[[#This Row],[Product]],Ingredients[ProdName],0))*Production[[#This Row],[Batter Used]]&gt;0,INDEX(Ingredients[Batter],MATCH(Production[[#This Row],[Product]],Ingredients[ProdName],0))*Production[[#This Row],[Batter Used]],"")</f>
        <v>250</v>
      </c>
      <c r="K410" s="215">
        <f>IF(INDEX(Ingredients[Breader],MATCH(Production[[#This Row],[Product]],Ingredients[ProdName],0))*Production[[#This Row],[Breader Used]]&gt;0,INDEX(Ingredients[Breader],MATCH(Production[[#This Row],[Product]],Ingredients[ProdName],0))*Production[[#This Row],[Breader Used]],"")</f>
        <v>450</v>
      </c>
      <c r="L410" s="56">
        <v>5</v>
      </c>
      <c r="M410" s="56">
        <v>9</v>
      </c>
      <c r="N410" s="211">
        <f>IFERROR(IF(SUM(Production[[#This Row],[Meat Wt]:[BrTtl]])&lt;&gt;0,SUM(Production[[#This Row],[Meat Wt]:[BrTtl]]),""),"")</f>
        <v>2940</v>
      </c>
      <c r="O410" s="55">
        <v>160</v>
      </c>
      <c r="P410" s="208">
        <f>INDEX(Ingredients[Case Wt.],MATCH(Production[[#This Row],[Product]],Ingredients[ProdName],0))*Production[[#This Row],[Case Total]]</f>
        <v>4000</v>
      </c>
      <c r="Q410" s="211">
        <f>IFERROR(Production[[#This Row],[SatWt]]-Production[[#This Row],[RawWt]],"")</f>
        <v>1060</v>
      </c>
      <c r="R410" s="222">
        <f>IF(Production[[#This Row],[Species]]&lt;&gt;"",IF(SUM(Production[[#This Row],[BtTtl]:[BrTtl]])/Production[[#This Row],[SatWt]]&lt;&gt;0,SUM(Production[[#This Row],[BtTtl]:[BrTtl]])/Production[[#This Row],[SatWt]],""),"")</f>
        <v>0.17499999999999999</v>
      </c>
      <c r="S410" s="223" t="str">
        <f>INDEX(Ingredients[Species],MATCH(Production[[#This Row],[Product]],Ingredients[ProdName],0))</f>
        <v>Poultry</v>
      </c>
    </row>
    <row r="411" spans="1:19" ht="11.1" customHeight="1" x14ac:dyDescent="0.25">
      <c r="A411" s="207" t="str">
        <f>IFERROR(IF(Production[[#This Row],[Date]]&lt;&gt;"",TEXT(Production[[#This Row],[Date]],"yy")&amp;"-"&amp;TEXT(Production[[#This Row],[Date]]-DATE(YEAR(Production[[#This Row],[Date]]),1,0),"000"),""),"")</f>
        <v>24-142</v>
      </c>
      <c r="B411" s="209" t="str">
        <f>IFERROR(IF(INDEX(Ingredients[Ingr1],MATCH(Production[[#This Row],[Product]],Ingredients[ProdName],0))&lt;&gt;"",INDEX(Ingredients[Ingr1],MATCH(Production[[#This Row],[Product]],Ingredients[ProdName],0)),INDEX(Ingredients[Ingr2],MATCH(Production[[#This Row],[Product]],Ingredients[ProdName],0))),"")</f>
        <v>Chicken - Tenders</v>
      </c>
      <c r="C411" s="53">
        <v>45433</v>
      </c>
      <c r="D411" s="54" t="s">
        <v>21</v>
      </c>
      <c r="E411" s="55" t="s">
        <v>122</v>
      </c>
      <c r="F411" s="56">
        <v>8</v>
      </c>
      <c r="G411" s="56">
        <v>56</v>
      </c>
      <c r="H411" s="208">
        <f>IFERROR(INDEX(Tier1[Wt],MATCH(Production[[#This Row],[Type]],Tier1[Ingredient],0))*Production[[#This Row],[Blocks Used]],0)</f>
        <v>2240</v>
      </c>
      <c r="I411" s="215"/>
      <c r="J411" s="215">
        <f>IF(INDEX(Ingredients[Batter],MATCH(Production[[#This Row],[Product]],Ingredients[ProdName],0))*Production[[#This Row],[Batter Used]]&gt;0,INDEX(Ingredients[Batter],MATCH(Production[[#This Row],[Product]],Ingredients[ProdName],0))*Production[[#This Row],[Batter Used]],"")</f>
        <v>250</v>
      </c>
      <c r="K411" s="215">
        <f>IF(INDEX(Ingredients[Breader],MATCH(Production[[#This Row],[Product]],Ingredients[ProdName],0))*Production[[#This Row],[Breader Used]]&gt;0,INDEX(Ingredients[Breader],MATCH(Production[[#This Row],[Product]],Ingredients[ProdName],0))*Production[[#This Row],[Breader Used]],"")</f>
        <v>600</v>
      </c>
      <c r="L411" s="56">
        <v>5</v>
      </c>
      <c r="M411" s="56">
        <v>12</v>
      </c>
      <c r="N411" s="211">
        <f>IFERROR(IF(SUM(Production[[#This Row],[Meat Wt]:[BrTtl]])&lt;&gt;0,SUM(Production[[#This Row],[Meat Wt]:[BrTtl]]),""),"")</f>
        <v>3090</v>
      </c>
      <c r="O411" s="55">
        <v>162</v>
      </c>
      <c r="P411" s="208">
        <f>INDEX(Ingredients[Case Wt.],MATCH(Production[[#This Row],[Product]],Ingredients[ProdName],0))*Production[[#This Row],[Case Total]]</f>
        <v>4050</v>
      </c>
      <c r="Q411" s="211">
        <f>IFERROR(Production[[#This Row],[SatWt]]-Production[[#This Row],[RawWt]],"")</f>
        <v>960</v>
      </c>
      <c r="R411" s="222">
        <f>IF(Production[[#This Row],[Species]]&lt;&gt;"",IF(SUM(Production[[#This Row],[BtTtl]:[BrTtl]])/Production[[#This Row],[SatWt]]&lt;&gt;0,SUM(Production[[#This Row],[BtTtl]:[BrTtl]])/Production[[#This Row],[SatWt]],""),"")</f>
        <v>0.20987654320987653</v>
      </c>
      <c r="S411" s="223" t="str">
        <f>INDEX(Ingredients[Species],MATCH(Production[[#This Row],[Product]],Ingredients[ProdName],0))</f>
        <v>Poultry</v>
      </c>
    </row>
    <row r="412" spans="1:19" ht="11.1" customHeight="1" x14ac:dyDescent="0.25">
      <c r="A412" s="207" t="str">
        <f>IFERROR(IF(Production[[#This Row],[Date]]&lt;&gt;"",TEXT(Production[[#This Row],[Date]],"yy")&amp;"-"&amp;TEXT(Production[[#This Row],[Date]]-DATE(YEAR(Production[[#This Row],[Date]]),1,0),"000"),""),"")</f>
        <v>24-143</v>
      </c>
      <c r="B412" s="209" t="str">
        <f>IFERROR(IF(INDEX(Ingredients[Ingr1],MATCH(Production[[#This Row],[Product]],Ingredients[ProdName],0))&lt;&gt;"",INDEX(Ingredients[Ingr1],MATCH(Production[[#This Row],[Product]],Ingredients[ProdName],0)),INDEX(Ingredients[Ingr2],MATCH(Production[[#This Row],[Product]],Ingredients[ProdName],0))),"")</f>
        <v>Chicken - Tenders</v>
      </c>
      <c r="C412" s="53">
        <v>45434</v>
      </c>
      <c r="D412" s="54" t="s">
        <v>12</v>
      </c>
      <c r="E412" s="55" t="s">
        <v>122</v>
      </c>
      <c r="F412" s="56">
        <v>8</v>
      </c>
      <c r="G412" s="56">
        <v>56</v>
      </c>
      <c r="H412" s="208">
        <f>IFERROR(INDEX(Tier1[Wt],MATCH(Production[[#This Row],[Type]],Tier1[Ingredient],0))*Production[[#This Row],[Blocks Used]],0)</f>
        <v>2240</v>
      </c>
      <c r="I412" s="215"/>
      <c r="J412" s="215">
        <f>IF(INDEX(Ingredients[Batter],MATCH(Production[[#This Row],[Product]],Ingredients[ProdName],0))*Production[[#This Row],[Batter Used]]&gt;0,INDEX(Ingredients[Batter],MATCH(Production[[#This Row],[Product]],Ingredients[ProdName],0))*Production[[#This Row],[Batter Used]],"")</f>
        <v>150</v>
      </c>
      <c r="K412" s="215">
        <f>IF(INDEX(Ingredients[Breader],MATCH(Production[[#This Row],[Product]],Ingredients[ProdName],0))*Production[[#This Row],[Breader Used]]&gt;0,INDEX(Ingredients[Breader],MATCH(Production[[#This Row],[Product]],Ingredients[ProdName],0))*Production[[#This Row],[Breader Used]],"")</f>
        <v>500</v>
      </c>
      <c r="L412" s="56">
        <v>3</v>
      </c>
      <c r="M412" s="56">
        <v>10</v>
      </c>
      <c r="N412" s="211">
        <f>IFERROR(IF(SUM(Production[[#This Row],[Meat Wt]:[BrTtl]])&lt;&gt;0,SUM(Production[[#This Row],[Meat Wt]:[BrTtl]]),""),"")</f>
        <v>2890</v>
      </c>
      <c r="O412" s="55">
        <v>147</v>
      </c>
      <c r="P412" s="208">
        <f>INDEX(Ingredients[Case Wt.],MATCH(Production[[#This Row],[Product]],Ingredients[ProdName],0))*Production[[#This Row],[Case Total]]</f>
        <v>3675</v>
      </c>
      <c r="Q412" s="211">
        <f>IFERROR(Production[[#This Row],[SatWt]]-Production[[#This Row],[RawWt]],"")</f>
        <v>785</v>
      </c>
      <c r="R412" s="222">
        <f>IF(Production[[#This Row],[Species]]&lt;&gt;"",IF(SUM(Production[[#This Row],[BtTtl]:[BrTtl]])/Production[[#This Row],[SatWt]]&lt;&gt;0,SUM(Production[[#This Row],[BtTtl]:[BrTtl]])/Production[[#This Row],[SatWt]],""),"")</f>
        <v>0.17687074829931973</v>
      </c>
      <c r="S412" s="223" t="str">
        <f>INDEX(Ingredients[Species],MATCH(Production[[#This Row],[Product]],Ingredients[ProdName],0))</f>
        <v>Poultry</v>
      </c>
    </row>
    <row r="413" spans="1:19" ht="11.1" customHeight="1" x14ac:dyDescent="0.25">
      <c r="A413" s="207" t="str">
        <f>IFERROR(IF(Production[[#This Row],[Date]]&lt;&gt;"",TEXT(Production[[#This Row],[Date]],"yy")&amp;"-"&amp;TEXT(Production[[#This Row],[Date]]-DATE(YEAR(Production[[#This Row],[Date]]),1,0),"000"),""),"")</f>
        <v>24-144</v>
      </c>
      <c r="B413" s="209" t="str">
        <f>IFERROR(IF(INDEX(Ingredients[Ingr1],MATCH(Production[[#This Row],[Product]],Ingredients[ProdName],0))&lt;&gt;"",INDEX(Ingredients[Ingr1],MATCH(Production[[#This Row],[Product]],Ingredients[ProdName],0)),INDEX(Ingredients[Ingr2],MATCH(Production[[#This Row],[Product]],Ingredients[ProdName],0))),"")</f>
        <v>Chicken - Tenders</v>
      </c>
      <c r="C413" s="53">
        <v>45435</v>
      </c>
      <c r="D413" s="54" t="s">
        <v>12</v>
      </c>
      <c r="E413" s="55" t="s">
        <v>122</v>
      </c>
      <c r="F413" s="56">
        <v>8</v>
      </c>
      <c r="G413" s="56">
        <v>56</v>
      </c>
      <c r="H413" s="208">
        <f>IFERROR(INDEX(Tier1[Wt],MATCH(Production[[#This Row],[Type]],Tier1[Ingredient],0))*Production[[#This Row],[Blocks Used]],0)</f>
        <v>2240</v>
      </c>
      <c r="I413" s="215"/>
      <c r="J413" s="215">
        <f>IF(INDEX(Ingredients[Batter],MATCH(Production[[#This Row],[Product]],Ingredients[ProdName],0))*Production[[#This Row],[Batter Used]]&gt;0,INDEX(Ingredients[Batter],MATCH(Production[[#This Row],[Product]],Ingredients[ProdName],0))*Production[[#This Row],[Batter Used]],"")</f>
        <v>150</v>
      </c>
      <c r="K413" s="215">
        <f>IF(INDEX(Ingredients[Breader],MATCH(Production[[#This Row],[Product]],Ingredients[ProdName],0))*Production[[#This Row],[Breader Used]]&gt;0,INDEX(Ingredients[Breader],MATCH(Production[[#This Row],[Product]],Ingredients[ProdName],0))*Production[[#This Row],[Breader Used]],"")</f>
        <v>650</v>
      </c>
      <c r="L413" s="56">
        <v>3</v>
      </c>
      <c r="M413" s="56">
        <v>13</v>
      </c>
      <c r="N413" s="211">
        <f>IFERROR(IF(SUM(Production[[#This Row],[Meat Wt]:[BrTtl]])&lt;&gt;0,SUM(Production[[#This Row],[Meat Wt]:[BrTtl]]),""),"")</f>
        <v>3040</v>
      </c>
      <c r="O413" s="55">
        <v>155</v>
      </c>
      <c r="P413" s="208">
        <f>INDEX(Ingredients[Case Wt.],MATCH(Production[[#This Row],[Product]],Ingredients[ProdName],0))*Production[[#This Row],[Case Total]]</f>
        <v>3875</v>
      </c>
      <c r="Q413" s="211">
        <f>IFERROR(Production[[#This Row],[SatWt]]-Production[[#This Row],[RawWt]],"")</f>
        <v>835</v>
      </c>
      <c r="R413" s="222">
        <f>IF(Production[[#This Row],[Species]]&lt;&gt;"",IF(SUM(Production[[#This Row],[BtTtl]:[BrTtl]])/Production[[#This Row],[SatWt]]&lt;&gt;0,SUM(Production[[#This Row],[BtTtl]:[BrTtl]])/Production[[#This Row],[SatWt]],""),"")</f>
        <v>0.20645161290322581</v>
      </c>
      <c r="S413" s="223" t="str">
        <f>INDEX(Ingredients[Species],MATCH(Production[[#This Row],[Product]],Ingredients[ProdName],0))</f>
        <v>Poultry</v>
      </c>
    </row>
    <row r="414" spans="1:19" ht="11.1" customHeight="1" x14ac:dyDescent="0.25">
      <c r="A414" s="207" t="str">
        <f>IFERROR(IF(Production[[#This Row],[Date]]&lt;&gt;"",TEXT(Production[[#This Row],[Date]],"yy")&amp;"-"&amp;TEXT(Production[[#This Row],[Date]]-DATE(YEAR(Production[[#This Row],[Date]]),1,0),"000"),""),"")</f>
        <v>24-155</v>
      </c>
      <c r="B414" s="209" t="str">
        <f>IFERROR(IF(INDEX(Ingredients[Ingr1],MATCH(Production[[#This Row],[Product]],Ingredients[ProdName],0))&lt;&gt;"",INDEX(Ingredients[Ingr1],MATCH(Production[[#This Row],[Product]],Ingredients[ProdName],0)),INDEX(Ingredients[Ingr2],MATCH(Production[[#This Row],[Product]],Ingredients[ProdName],0))),"")</f>
        <v>Chicken - Ground</v>
      </c>
      <c r="C414" s="191">
        <v>45446</v>
      </c>
      <c r="D414" s="192" t="s">
        <v>17</v>
      </c>
      <c r="E414" s="193">
        <v>7136</v>
      </c>
      <c r="F414" s="194">
        <v>8</v>
      </c>
      <c r="G414" s="194">
        <v>56</v>
      </c>
      <c r="H414" s="208">
        <f>IFERROR(INDEX(Tier1[Wt],MATCH(Production[[#This Row],[Type]],Tier1[Ingredient],0))*Production[[#This Row],[Blocks Used]],0)</f>
        <v>2800</v>
      </c>
      <c r="I414" s="217"/>
      <c r="J414" s="215" t="str">
        <f>IF(INDEX(Ingredients[Batter],MATCH(Production[[#This Row],[Product]],Ingredients[ProdName],0))*Production[[#This Row],[Batter Used]]&gt;0,INDEX(Ingredients[Batter],MATCH(Production[[#This Row],[Product]],Ingredients[ProdName],0))*Production[[#This Row],[Batter Used]],"")</f>
        <v/>
      </c>
      <c r="K414" s="215" t="str">
        <f>IF(INDEX(Ingredients[Breader],MATCH(Production[[#This Row],[Product]],Ingredients[ProdName],0))*Production[[#This Row],[Breader Used]]&gt;0,INDEX(Ingredients[Breader],MATCH(Production[[#This Row],[Product]],Ingredients[ProdName],0))*Production[[#This Row],[Breader Used]],"")</f>
        <v/>
      </c>
      <c r="L414" s="194"/>
      <c r="M414" s="194"/>
      <c r="N414" s="211">
        <f>IFERROR(IF(SUM(Production[[#This Row],[Meat Wt]:[BrTtl]])&lt;&gt;0,SUM(Production[[#This Row],[Meat Wt]:[BrTtl]]),""),"")</f>
        <v>2800</v>
      </c>
      <c r="O414" s="193">
        <v>143</v>
      </c>
      <c r="P414" s="208">
        <f>INDEX(Ingredients[Case Wt.],MATCH(Production[[#This Row],[Product]],Ingredients[ProdName],0))*Production[[#This Row],[Case Total]]</f>
        <v>3575</v>
      </c>
      <c r="Q414" s="211">
        <f>IFERROR(Production[[#This Row],[SatWt]]-Production[[#This Row],[RawWt]],"")</f>
        <v>775</v>
      </c>
      <c r="R414" s="224" t="str">
        <f>IF(Production[[#This Row],[Species]]&lt;&gt;"",IF(SUM(Production[[#This Row],[BtTtl]:[BrTtl]])/Production[[#This Row],[SatWt]]&lt;&gt;0,SUM(Production[[#This Row],[BtTtl]:[BrTtl]])/Production[[#This Row],[SatWt]],""),"")</f>
        <v/>
      </c>
      <c r="S414" s="225" t="str">
        <f>INDEX(Ingredients[Species],MATCH(Production[[#This Row],[Product]],Ingredients[ProdName],0))</f>
        <v>Poultry</v>
      </c>
    </row>
    <row r="415" spans="1:19" ht="11.1" customHeight="1" x14ac:dyDescent="0.25">
      <c r="A415" s="207" t="str">
        <f>IFERROR(IF(Production[[#This Row],[Date]]&lt;&gt;"",TEXT(Production[[#This Row],[Date]],"yy")&amp;"-"&amp;TEXT(Production[[#This Row],[Date]]-DATE(YEAR(Production[[#This Row],[Date]]),1,0),"000"),""),"")</f>
        <v>24-156</v>
      </c>
      <c r="B415" s="209" t="str">
        <f>IFERROR(IF(INDEX(Ingredients[Ingr1],MATCH(Production[[#This Row],[Product]],Ingredients[ProdName],0))&lt;&gt;"",INDEX(Ingredients[Ingr1],MATCH(Production[[#This Row],[Product]],Ingredients[ProdName],0)),INDEX(Ingredients[Ingr2],MATCH(Production[[#This Row],[Product]],Ingredients[ProdName],0))),"")</f>
        <v>Chicken - Ground</v>
      </c>
      <c r="C415" s="191">
        <v>45447</v>
      </c>
      <c r="D415" s="192" t="s">
        <v>9</v>
      </c>
      <c r="E415" s="193">
        <v>7136</v>
      </c>
      <c r="F415" s="194">
        <v>15</v>
      </c>
      <c r="G415" s="194">
        <v>90</v>
      </c>
      <c r="H415" s="208">
        <f>IFERROR(INDEX(Tier1[Wt],MATCH(Production[[#This Row],[Type]],Tier1[Ingredient],0))*Production[[#This Row],[Blocks Used]],0)</f>
        <v>4500</v>
      </c>
      <c r="I415" s="217"/>
      <c r="J415" s="215" t="str">
        <f>IF(INDEX(Ingredients[Batter],MATCH(Production[[#This Row],[Product]],Ingredients[ProdName],0))*Production[[#This Row],[Batter Used]]&gt;0,INDEX(Ingredients[Batter],MATCH(Production[[#This Row],[Product]],Ingredients[ProdName],0))*Production[[#This Row],[Batter Used]],"")</f>
        <v/>
      </c>
      <c r="K415" s="215" t="str">
        <f>IF(INDEX(Ingredients[Breader],MATCH(Production[[#This Row],[Product]],Ingredients[ProdName],0))*Production[[#This Row],[Breader Used]]&gt;0,INDEX(Ingredients[Breader],MATCH(Production[[#This Row],[Product]],Ingredients[ProdName],0))*Production[[#This Row],[Breader Used]],"")</f>
        <v/>
      </c>
      <c r="L415" s="194"/>
      <c r="M415" s="194"/>
      <c r="N415" s="211">
        <f>IFERROR(IF(SUM(Production[[#This Row],[Meat Wt]:[BrTtl]])&lt;&gt;0,SUM(Production[[#This Row],[Meat Wt]:[BrTtl]]),""),"")</f>
        <v>4500</v>
      </c>
      <c r="O415" s="193">
        <v>201</v>
      </c>
      <c r="P415" s="208">
        <f>INDEX(Ingredients[Case Wt.],MATCH(Production[[#This Row],[Product]],Ingredients[ProdName],0))*Production[[#This Row],[Case Total]]</f>
        <v>6030</v>
      </c>
      <c r="Q415" s="211">
        <f>IFERROR(Production[[#This Row],[SatWt]]-Production[[#This Row],[RawWt]],"")</f>
        <v>1530</v>
      </c>
      <c r="R415" s="224" t="str">
        <f>IF(Production[[#This Row],[Species]]&lt;&gt;"",IF(SUM(Production[[#This Row],[BtTtl]:[BrTtl]])/Production[[#This Row],[SatWt]]&lt;&gt;0,SUM(Production[[#This Row],[BtTtl]:[BrTtl]])/Production[[#This Row],[SatWt]],""),"")</f>
        <v/>
      </c>
      <c r="S415" s="225" t="str">
        <f>INDEX(Ingredients[Species],MATCH(Production[[#This Row],[Product]],Ingredients[ProdName],0))</f>
        <v>Poultry</v>
      </c>
    </row>
    <row r="416" spans="1:19" ht="11.1" customHeight="1" x14ac:dyDescent="0.25">
      <c r="A416" s="207" t="str">
        <f>IFERROR(IF(Production[[#This Row],[Date]]&lt;&gt;"",TEXT(Production[[#This Row],[Date]],"yy")&amp;"-"&amp;TEXT(Production[[#This Row],[Date]]-DATE(YEAR(Production[[#This Row],[Date]]),1,0),"000"),""),"")</f>
        <v>24-157</v>
      </c>
      <c r="B416" s="209" t="str">
        <f>IFERROR(IF(INDEX(Ingredients[Ingr1],MATCH(Production[[#This Row],[Product]],Ingredients[ProdName],0))&lt;&gt;"",INDEX(Ingredients[Ingr1],MATCH(Production[[#This Row],[Product]],Ingredients[ProdName],0)),INDEX(Ingredients[Ingr2],MATCH(Production[[#This Row],[Product]],Ingredients[ProdName],0))),"")</f>
        <v>Chicken - Ground</v>
      </c>
      <c r="C416" s="191">
        <v>45448</v>
      </c>
      <c r="D416" s="192" t="s">
        <v>23</v>
      </c>
      <c r="E416" s="193">
        <v>7136</v>
      </c>
      <c r="F416" s="194">
        <v>10</v>
      </c>
      <c r="G416" s="194">
        <v>60</v>
      </c>
      <c r="H416" s="208">
        <f>IFERROR(INDEX(Tier1[Wt],MATCH(Production[[#This Row],[Type]],Tier1[Ingredient],0))*Production[[#This Row],[Blocks Used]],0)</f>
        <v>3000</v>
      </c>
      <c r="I416" s="217"/>
      <c r="J416" s="215" t="str">
        <f>IF(INDEX(Ingredients[Batter],MATCH(Production[[#This Row],[Product]],Ingredients[ProdName],0))*Production[[#This Row],[Batter Used]]&gt;0,INDEX(Ingredients[Batter],MATCH(Production[[#This Row],[Product]],Ingredients[ProdName],0))*Production[[#This Row],[Batter Used]],"")</f>
        <v/>
      </c>
      <c r="K416" s="215" t="str">
        <f>IF(INDEX(Ingredients[Breader],MATCH(Production[[#This Row],[Product]],Ingredients[ProdName],0))*Production[[#This Row],[Breader Used]]&gt;0,INDEX(Ingredients[Breader],MATCH(Production[[#This Row],[Product]],Ingredients[ProdName],0))*Production[[#This Row],[Breader Used]],"")</f>
        <v/>
      </c>
      <c r="L416" s="194"/>
      <c r="M416" s="194"/>
      <c r="N416" s="211">
        <f>IFERROR(IF(SUM(Production[[#This Row],[Meat Wt]:[BrTtl]])&lt;&gt;0,SUM(Production[[#This Row],[Meat Wt]:[BrTtl]]),""),"")</f>
        <v>3000</v>
      </c>
      <c r="O416" s="193">
        <v>133</v>
      </c>
      <c r="P416" s="208">
        <f>INDEX(Ingredients[Case Wt.],MATCH(Production[[#This Row],[Product]],Ingredients[ProdName],0))*Production[[#This Row],[Case Total]]</f>
        <v>3990</v>
      </c>
      <c r="Q416" s="211">
        <f>IFERROR(Production[[#This Row],[SatWt]]-Production[[#This Row],[RawWt]],"")</f>
        <v>990</v>
      </c>
      <c r="R416" s="224" t="str">
        <f>IF(Production[[#This Row],[Species]]&lt;&gt;"",IF(SUM(Production[[#This Row],[BtTtl]:[BrTtl]])/Production[[#This Row],[SatWt]]&lt;&gt;0,SUM(Production[[#This Row],[BtTtl]:[BrTtl]])/Production[[#This Row],[SatWt]],""),"")</f>
        <v/>
      </c>
      <c r="S416" s="225" t="str">
        <f>INDEX(Ingredients[Species],MATCH(Production[[#This Row],[Product]],Ingredients[ProdName],0))</f>
        <v>Poultry</v>
      </c>
    </row>
    <row r="417" spans="1:19" ht="11.1" customHeight="1" x14ac:dyDescent="0.25">
      <c r="A417" s="207" t="str">
        <f>IFERROR(IF(Production[[#This Row],[Date]]&lt;&gt;"",TEXT(Production[[#This Row],[Date]],"yy")&amp;"-"&amp;TEXT(Production[[#This Row],[Date]]-DATE(YEAR(Production[[#This Row],[Date]]),1,0),"000"),""),"")</f>
        <v>24-162</v>
      </c>
      <c r="B417" s="209" t="str">
        <f>IFERROR(IF(INDEX(Ingredients[Ingr1],MATCH(Production[[#This Row],[Product]],Ingredients[ProdName],0))&lt;&gt;"",INDEX(Ingredients[Ingr1],MATCH(Production[[#This Row],[Product]],Ingredients[ProdName],0)),INDEX(Ingredients[Ingr2],MATCH(Production[[#This Row],[Product]],Ingredients[ProdName],0))),"")</f>
        <v>Pork - Trim</v>
      </c>
      <c r="C417" s="191">
        <v>45453</v>
      </c>
      <c r="D417" s="192" t="s">
        <v>11</v>
      </c>
      <c r="E417" s="193">
        <v>2221</v>
      </c>
      <c r="F417" s="194">
        <v>11</v>
      </c>
      <c r="G417" s="194">
        <v>55</v>
      </c>
      <c r="H417" s="208">
        <f>IFERROR(INDEX(Tier1[Wt],MATCH(Production[[#This Row],[Type]],Tier1[Ingredient],0))*Production[[#This Row],[Blocks Used]],0)</f>
        <v>3300</v>
      </c>
      <c r="I417" s="217"/>
      <c r="J417" s="215" t="str">
        <f>IF(INDEX(Ingredients[Batter],MATCH(Production[[#This Row],[Product]],Ingredients[ProdName],0))*Production[[#This Row],[Batter Used]]&gt;0,INDEX(Ingredients[Batter],MATCH(Production[[#This Row],[Product]],Ingredients[ProdName],0))*Production[[#This Row],[Batter Used]],"")</f>
        <v/>
      </c>
      <c r="K417" s="215" t="str">
        <f>IF(INDEX(Ingredients[Breader],MATCH(Production[[#This Row],[Product]],Ingredients[ProdName],0))*Production[[#This Row],[Breader Used]]&gt;0,INDEX(Ingredients[Breader],MATCH(Production[[#This Row],[Product]],Ingredients[ProdName],0))*Production[[#This Row],[Breader Used]],"")</f>
        <v/>
      </c>
      <c r="L417" s="194"/>
      <c r="M417" s="194"/>
      <c r="N417" s="211">
        <f>IFERROR(IF(SUM(Production[[#This Row],[Meat Wt]:[BrTtl]])&lt;&gt;0,SUM(Production[[#This Row],[Meat Wt]:[BrTtl]]),""),"")</f>
        <v>3300</v>
      </c>
      <c r="O417" s="193">
        <v>186</v>
      </c>
      <c r="P417" s="208">
        <f>INDEX(Ingredients[Case Wt.],MATCH(Production[[#This Row],[Product]],Ingredients[ProdName],0))*Production[[#This Row],[Case Total]]</f>
        <v>4650</v>
      </c>
      <c r="Q417" s="211">
        <f>IFERROR(Production[[#This Row],[SatWt]]-Production[[#This Row],[RawWt]],"")</f>
        <v>1350</v>
      </c>
      <c r="R417" s="224" t="str">
        <f>IF(Production[[#This Row],[Species]]&lt;&gt;"",IF(SUM(Production[[#This Row],[BtTtl]:[BrTtl]])/Production[[#This Row],[SatWt]]&lt;&gt;0,SUM(Production[[#This Row],[BtTtl]:[BrTtl]])/Production[[#This Row],[SatWt]],""),"")</f>
        <v/>
      </c>
      <c r="S417" s="225" t="str">
        <f>INDEX(Ingredients[Species],MATCH(Production[[#This Row],[Product]],Ingredients[ProdName],0))</f>
        <v>Meat</v>
      </c>
    </row>
    <row r="418" spans="1:19" ht="11.1" customHeight="1" x14ac:dyDescent="0.25">
      <c r="A418" s="207" t="str">
        <f>IFERROR(IF(Production[[#This Row],[Date]]&lt;&gt;"",TEXT(Production[[#This Row],[Date]],"yy")&amp;"-"&amp;TEXT(Production[[#This Row],[Date]]-DATE(YEAR(Production[[#This Row],[Date]]),1,0),"000"),""),"")</f>
        <v>24-163</v>
      </c>
      <c r="B418" s="209" t="str">
        <f>IFERROR(IF(INDEX(Ingredients[Ingr1],MATCH(Production[[#This Row],[Product]],Ingredients[ProdName],0))&lt;&gt;"",INDEX(Ingredients[Ingr1],MATCH(Production[[#This Row],[Product]],Ingredients[ProdName],0)),INDEX(Ingredients[Ingr2],MATCH(Production[[#This Row],[Product]],Ingredients[ProdName],0))),"")</f>
        <v>Chicken - Ground</v>
      </c>
      <c r="C418" s="191">
        <v>45454</v>
      </c>
      <c r="D418" s="192" t="s">
        <v>17</v>
      </c>
      <c r="E418" s="193">
        <v>7136</v>
      </c>
      <c r="F418" s="194">
        <v>8</v>
      </c>
      <c r="G418" s="194">
        <v>56</v>
      </c>
      <c r="H418" s="208">
        <f>IFERROR(INDEX(Tier1[Wt],MATCH(Production[[#This Row],[Type]],Tier1[Ingredient],0))*Production[[#This Row],[Blocks Used]],0)</f>
        <v>2800</v>
      </c>
      <c r="I418" s="217"/>
      <c r="J418" s="215" t="str">
        <f>IF(INDEX(Ingredients[Batter],MATCH(Production[[#This Row],[Product]],Ingredients[ProdName],0))*Production[[#This Row],[Batter Used]]&gt;0,INDEX(Ingredients[Batter],MATCH(Production[[#This Row],[Product]],Ingredients[ProdName],0))*Production[[#This Row],[Batter Used]],"")</f>
        <v/>
      </c>
      <c r="K418" s="215" t="str">
        <f>IF(INDEX(Ingredients[Breader],MATCH(Production[[#This Row],[Product]],Ingredients[ProdName],0))*Production[[#This Row],[Breader Used]]&gt;0,INDEX(Ingredients[Breader],MATCH(Production[[#This Row],[Product]],Ingredients[ProdName],0))*Production[[#This Row],[Breader Used]],"")</f>
        <v/>
      </c>
      <c r="L418" s="194"/>
      <c r="M418" s="194"/>
      <c r="N418" s="211">
        <f>IFERROR(IF(SUM(Production[[#This Row],[Meat Wt]:[BrTtl]])&lt;&gt;0,SUM(Production[[#This Row],[Meat Wt]:[BrTtl]]),""),"")</f>
        <v>2800</v>
      </c>
      <c r="O418" s="193">
        <v>141</v>
      </c>
      <c r="P418" s="208">
        <f>INDEX(Ingredients[Case Wt.],MATCH(Production[[#This Row],[Product]],Ingredients[ProdName],0))*Production[[#This Row],[Case Total]]</f>
        <v>3525</v>
      </c>
      <c r="Q418" s="211">
        <f>IFERROR(Production[[#This Row],[SatWt]]-Production[[#This Row],[RawWt]],"")</f>
        <v>725</v>
      </c>
      <c r="R418" s="224" t="str">
        <f>IF(Production[[#This Row],[Species]]&lt;&gt;"",IF(SUM(Production[[#This Row],[BtTtl]:[BrTtl]])/Production[[#This Row],[SatWt]]&lt;&gt;0,SUM(Production[[#This Row],[BtTtl]:[BrTtl]])/Production[[#This Row],[SatWt]],""),"")</f>
        <v/>
      </c>
      <c r="S418" s="225" t="str">
        <f>INDEX(Ingredients[Species],MATCH(Production[[#This Row],[Product]],Ingredients[ProdName],0))</f>
        <v>Poultry</v>
      </c>
    </row>
    <row r="419" spans="1:19" ht="11.1" customHeight="1" x14ac:dyDescent="0.25">
      <c r="A419" s="207" t="str">
        <f>IFERROR(IF(Production[[#This Row],[Date]]&lt;&gt;"",TEXT(Production[[#This Row],[Date]],"yy")&amp;"-"&amp;TEXT(Production[[#This Row],[Date]]-DATE(YEAR(Production[[#This Row],[Date]]),1,0),"000"),""),"")</f>
        <v>24-169</v>
      </c>
      <c r="B419" s="209" t="str">
        <f>IFERROR(IF(INDEX(Ingredients[Ingr1],MATCH(Production[[#This Row],[Product]],Ingredients[ProdName],0))&lt;&gt;"",INDEX(Ingredients[Ingr1],MATCH(Production[[#This Row],[Product]],Ingredients[ProdName],0)),INDEX(Ingredients[Ingr2],MATCH(Production[[#This Row],[Product]],Ingredients[ProdName],0))),"")</f>
        <v>Beef - Ground</v>
      </c>
      <c r="C419" s="191">
        <v>45460</v>
      </c>
      <c r="D419" s="192" t="s">
        <v>270</v>
      </c>
      <c r="E419" s="193">
        <v>1169</v>
      </c>
      <c r="F419" s="194">
        <v>2</v>
      </c>
      <c r="G419" s="194">
        <v>12</v>
      </c>
      <c r="H419" s="208">
        <f>IFERROR(INDEX(Tier1[Wt],MATCH(Production[[#This Row],[Type]],Tier1[Ingredient],0))*Production[[#This Row],[Blocks Used]],0)</f>
        <v>600</v>
      </c>
      <c r="I419" s="217"/>
      <c r="J419" s="215" t="str">
        <f>IF(INDEX(Ingredients[Batter],MATCH(Production[[#This Row],[Product]],Ingredients[ProdName],0))*Production[[#This Row],[Batter Used]]&gt;0,INDEX(Ingredients[Batter],MATCH(Production[[#This Row],[Product]],Ingredients[ProdName],0))*Production[[#This Row],[Batter Used]],"")</f>
        <v/>
      </c>
      <c r="K419" s="215" t="str">
        <f>IF(INDEX(Ingredients[Breader],MATCH(Production[[#This Row],[Product]],Ingredients[ProdName],0))*Production[[#This Row],[Breader Used]]&gt;0,INDEX(Ingredients[Breader],MATCH(Production[[#This Row],[Product]],Ingredients[ProdName],0))*Production[[#This Row],[Breader Used]],"")</f>
        <v/>
      </c>
      <c r="L419" s="194"/>
      <c r="M419" s="194"/>
      <c r="N419" s="211">
        <f>IFERROR(IF(SUM(Production[[#This Row],[Meat Wt]:[BrTtl]])&lt;&gt;0,SUM(Production[[#This Row],[Meat Wt]:[BrTtl]]),""),"")</f>
        <v>600</v>
      </c>
      <c r="O419" s="193">
        <v>21</v>
      </c>
      <c r="P419" s="208">
        <f>INDEX(Ingredients[Case Wt.],MATCH(Production[[#This Row],[Product]],Ingredients[ProdName],0))*Production[[#This Row],[Case Total]]</f>
        <v>525</v>
      </c>
      <c r="Q419" s="211">
        <f>IFERROR(Production[[#This Row],[SatWt]]-Production[[#This Row],[RawWt]],"")</f>
        <v>-75</v>
      </c>
      <c r="R419" s="224" t="str">
        <f>IF(Production[[#This Row],[Species]]&lt;&gt;"",IF(SUM(Production[[#This Row],[BtTtl]:[BrTtl]])/Production[[#This Row],[SatWt]]&lt;&gt;0,SUM(Production[[#This Row],[BtTtl]:[BrTtl]])/Production[[#This Row],[SatWt]],""),"")</f>
        <v/>
      </c>
      <c r="S419" s="225" t="str">
        <f>INDEX(Ingredients[Species],MATCH(Production[[#This Row],[Product]],Ingredients[ProdName],0))</f>
        <v>Meat</v>
      </c>
    </row>
    <row r="420" spans="1:19" ht="11.1" customHeight="1" x14ac:dyDescent="0.25">
      <c r="A420" s="207" t="str">
        <f>IFERROR(IF(Production[[#This Row],[Date]]&lt;&gt;"",TEXT(Production[[#This Row],[Date]],"yy")&amp;"-"&amp;TEXT(Production[[#This Row],[Date]]-DATE(YEAR(Production[[#This Row],[Date]]),1,0),"000"),""),"")</f>
        <v>24-176</v>
      </c>
      <c r="B420" s="209" t="str">
        <f>IFERROR(IF(INDEX(Ingredients[Ingr1],MATCH(Production[[#This Row],[Product]],Ingredients[ProdName],0))&lt;&gt;"",INDEX(Ingredients[Ingr1],MATCH(Production[[#This Row],[Product]],Ingredients[ProdName],0)),INDEX(Ingredients[Ingr2],MATCH(Production[[#This Row],[Product]],Ingredients[ProdName],0))),"")</f>
        <v>Chicken - Ground</v>
      </c>
      <c r="C420" s="191">
        <v>45467</v>
      </c>
      <c r="D420" s="192" t="s">
        <v>8</v>
      </c>
      <c r="E420" s="193">
        <v>7136</v>
      </c>
      <c r="F420" s="194">
        <v>8</v>
      </c>
      <c r="G420" s="194">
        <v>56</v>
      </c>
      <c r="H420" s="208">
        <f>IFERROR(INDEX(Tier1[Wt],MATCH(Production[[#This Row],[Type]],Tier1[Ingredient],0))*Production[[#This Row],[Blocks Used]],0)</f>
        <v>2800</v>
      </c>
      <c r="I420" s="217"/>
      <c r="J420" s="215" t="str">
        <f>IF(INDEX(Ingredients[Batter],MATCH(Production[[#This Row],[Product]],Ingredients[ProdName],0))*Production[[#This Row],[Batter Used]]&gt;0,INDEX(Ingredients[Batter],MATCH(Production[[#This Row],[Product]],Ingredients[ProdName],0))*Production[[#This Row],[Batter Used]],"")</f>
        <v/>
      </c>
      <c r="K420" s="215" t="str">
        <f>IF(INDEX(Ingredients[Breader],MATCH(Production[[#This Row],[Product]],Ingredients[ProdName],0))*Production[[#This Row],[Breader Used]]&gt;0,INDEX(Ingredients[Breader],MATCH(Production[[#This Row],[Product]],Ingredients[ProdName],0))*Production[[#This Row],[Breader Used]],"")</f>
        <v/>
      </c>
      <c r="L420" s="194"/>
      <c r="M420" s="194"/>
      <c r="N420" s="211">
        <f>IFERROR(IF(SUM(Production[[#This Row],[Meat Wt]:[BrTtl]])&lt;&gt;0,SUM(Production[[#This Row],[Meat Wt]:[BrTtl]]),""),"")</f>
        <v>2800</v>
      </c>
      <c r="O420" s="193">
        <v>138</v>
      </c>
      <c r="P420" s="208">
        <f>INDEX(Ingredients[Case Wt.],MATCH(Production[[#This Row],[Product]],Ingredients[ProdName],0))*Production[[#This Row],[Case Total]]</f>
        <v>3450</v>
      </c>
      <c r="Q420" s="211">
        <f>IFERROR(Production[[#This Row],[SatWt]]-Production[[#This Row],[RawWt]],"")</f>
        <v>650</v>
      </c>
      <c r="R420" s="224" t="str">
        <f>IF(Production[[#This Row],[Species]]&lt;&gt;"",IF(SUM(Production[[#This Row],[BtTtl]:[BrTtl]])/Production[[#This Row],[SatWt]]&lt;&gt;0,SUM(Production[[#This Row],[BtTtl]:[BrTtl]])/Production[[#This Row],[SatWt]],""),"")</f>
        <v/>
      </c>
      <c r="S420" s="225" t="str">
        <f>INDEX(Ingredients[Species],MATCH(Production[[#This Row],[Product]],Ingredients[ProdName],0))</f>
        <v>Poultry</v>
      </c>
    </row>
    <row r="421" spans="1:19" ht="11.1" customHeight="1" x14ac:dyDescent="0.25">
      <c r="A421" s="207" t="str">
        <f>IFERROR(IF(Production[[#This Row],[Date]]&lt;&gt;"",TEXT(Production[[#This Row],[Date]],"yy")&amp;"-"&amp;TEXT(Production[[#This Row],[Date]]-DATE(YEAR(Production[[#This Row],[Date]]),1,0),"000"),""),"")</f>
        <v>24-177</v>
      </c>
      <c r="B421" s="209" t="str">
        <f>IFERROR(IF(INDEX(Ingredients[Ingr1],MATCH(Production[[#This Row],[Product]],Ingredients[ProdName],0))&lt;&gt;"",INDEX(Ingredients[Ingr1],MATCH(Production[[#This Row],[Product]],Ingredients[ProdName],0)),INDEX(Ingredients[Ingr2],MATCH(Production[[#This Row],[Product]],Ingredients[ProdName],0))),"")</f>
        <v>Chicken - Ground</v>
      </c>
      <c r="C421" s="191">
        <v>45468</v>
      </c>
      <c r="D421" s="192" t="s">
        <v>7</v>
      </c>
      <c r="E421" s="193">
        <v>7136</v>
      </c>
      <c r="F421" s="194">
        <v>6</v>
      </c>
      <c r="G421" s="194">
        <v>36</v>
      </c>
      <c r="H421" s="208">
        <f>IFERROR(INDEX(Tier1[Wt],MATCH(Production[[#This Row],[Type]],Tier1[Ingredient],0))*Production[[#This Row],[Blocks Used]],0)</f>
        <v>1800</v>
      </c>
      <c r="I421" s="217"/>
      <c r="J421" s="215" t="str">
        <f>IF(INDEX(Ingredients[Batter],MATCH(Production[[#This Row],[Product]],Ingredients[ProdName],0))*Production[[#This Row],[Batter Used]]&gt;0,INDEX(Ingredients[Batter],MATCH(Production[[#This Row],[Product]],Ingredients[ProdName],0))*Production[[#This Row],[Batter Used]],"")</f>
        <v/>
      </c>
      <c r="K421" s="215" t="str">
        <f>IF(INDEX(Ingredients[Breader],MATCH(Production[[#This Row],[Product]],Ingredients[ProdName],0))*Production[[#This Row],[Breader Used]]&gt;0,INDEX(Ingredients[Breader],MATCH(Production[[#This Row],[Product]],Ingredients[ProdName],0))*Production[[#This Row],[Breader Used]],"")</f>
        <v/>
      </c>
      <c r="L421" s="194"/>
      <c r="M421" s="194"/>
      <c r="N421" s="211">
        <f>IFERROR(IF(SUM(Production[[#This Row],[Meat Wt]:[BrTtl]])&lt;&gt;0,SUM(Production[[#This Row],[Meat Wt]:[BrTtl]]),""),"")</f>
        <v>1800</v>
      </c>
      <c r="O421" s="193">
        <v>87</v>
      </c>
      <c r="P421" s="208">
        <f>INDEX(Ingredients[Case Wt.],MATCH(Production[[#This Row],[Product]],Ingredients[ProdName],0))*Production[[#This Row],[Case Total]]</f>
        <v>2175</v>
      </c>
      <c r="Q421" s="211">
        <f>IFERROR(Production[[#This Row],[SatWt]]-Production[[#This Row],[RawWt]],"")</f>
        <v>375</v>
      </c>
      <c r="R421" s="224" t="str">
        <f>IF(Production[[#This Row],[Species]]&lt;&gt;"",IF(SUM(Production[[#This Row],[BtTtl]:[BrTtl]])/Production[[#This Row],[SatWt]]&lt;&gt;0,SUM(Production[[#This Row],[BtTtl]:[BrTtl]])/Production[[#This Row],[SatWt]],""),"")</f>
        <v/>
      </c>
      <c r="S421" s="225" t="str">
        <f>INDEX(Ingredients[Species],MATCH(Production[[#This Row],[Product]],Ingredients[ProdName],0))</f>
        <v>Poultry</v>
      </c>
    </row>
    <row r="422" spans="1:19" ht="11.1" customHeight="1" x14ac:dyDescent="0.25">
      <c r="A422" s="207" t="str">
        <f>IFERROR(IF(Production[[#This Row],[Date]]&lt;&gt;"",TEXT(Production[[#This Row],[Date]],"yy")&amp;"-"&amp;TEXT(Production[[#This Row],[Date]]-DATE(YEAR(Production[[#This Row],[Date]]),1,0),"000"),""),"")</f>
        <v>24-179</v>
      </c>
      <c r="B422" s="209" t="str">
        <f>IFERROR(IF(INDEX(Ingredients[Ingr1],MATCH(Production[[#This Row],[Product]],Ingredients[ProdName],0))&lt;&gt;"",INDEX(Ingredients[Ingr1],MATCH(Production[[#This Row],[Product]],Ingredients[ProdName],0)),INDEX(Ingredients[Ingr2],MATCH(Production[[#This Row],[Product]],Ingredients[ProdName],0))),"")</f>
        <v>Beans - Pinto</v>
      </c>
      <c r="C422" s="191">
        <v>45470</v>
      </c>
      <c r="D422" s="192" t="s">
        <v>10</v>
      </c>
      <c r="E422" s="193" t="s">
        <v>279</v>
      </c>
      <c r="F422" s="194">
        <v>6</v>
      </c>
      <c r="G422" s="194">
        <v>49</v>
      </c>
      <c r="H422" s="208">
        <f>IFERROR(INDEX(Tier1[Wt],MATCH(Production[[#This Row],[Type]],Tier1[Ingredient],0))*Production[[#This Row],[Blocks Used]],0)</f>
        <v>49</v>
      </c>
      <c r="I422" s="217"/>
      <c r="J422" s="215" t="str">
        <f>IF(INDEX(Ingredients[Batter],MATCH(Production[[#This Row],[Product]],Ingredients[ProdName],0))*Production[[#This Row],[Batter Used]]&gt;0,INDEX(Ingredients[Batter],MATCH(Production[[#This Row],[Product]],Ingredients[ProdName],0))*Production[[#This Row],[Batter Used]],"")</f>
        <v/>
      </c>
      <c r="K422" s="215" t="str">
        <f>IF(INDEX(Ingredients[Breader],MATCH(Production[[#This Row],[Product]],Ingredients[ProdName],0))*Production[[#This Row],[Breader Used]]&gt;0,INDEX(Ingredients[Breader],MATCH(Production[[#This Row],[Product]],Ingredients[ProdName],0))*Production[[#This Row],[Breader Used]],"")</f>
        <v/>
      </c>
      <c r="L422" s="194"/>
      <c r="M422" s="194"/>
      <c r="N422" s="211">
        <f>IFERROR(IF(SUM(Production[[#This Row],[Meat Wt]:[BrTtl]])&lt;&gt;0,SUM(Production[[#This Row],[Meat Wt]:[BrTtl]]),""),"")</f>
        <v>49</v>
      </c>
      <c r="O422" s="193">
        <v>73</v>
      </c>
      <c r="P422" s="208">
        <f>INDEX(Ingredients[Case Wt.],MATCH(Production[[#This Row],[Product]],Ingredients[ProdName],0))*Production[[#This Row],[Case Total]]</f>
        <v>1825</v>
      </c>
      <c r="Q422" s="211">
        <f>IFERROR(Production[[#This Row],[SatWt]]-Production[[#This Row],[RawWt]],"")</f>
        <v>1776</v>
      </c>
      <c r="R422" s="224" t="str">
        <f>IF(Production[[#This Row],[Species]]&lt;&gt;"",IF(SUM(Production[[#This Row],[BtTtl]:[BrTtl]])/Production[[#This Row],[SatWt]]&lt;&gt;0,SUM(Production[[#This Row],[BtTtl]:[BrTtl]])/Production[[#This Row],[SatWt]],""),"")</f>
        <v/>
      </c>
      <c r="S422" s="225" t="str">
        <f>INDEX(Ingredients[Species],MATCH(Production[[#This Row],[Product]],Ingredients[ProdName],0))</f>
        <v/>
      </c>
    </row>
    <row r="423" spans="1:19" ht="11.1" customHeight="1" x14ac:dyDescent="0.25">
      <c r="A423" s="207" t="str">
        <f>IFERROR(IF(Production[[#This Row],[Date]]&lt;&gt;"",TEXT(Production[[#This Row],[Date]],"yy")&amp;"-"&amp;TEXT(Production[[#This Row],[Date]]-DATE(YEAR(Production[[#This Row],[Date]]),1,0),"000"),""),"")</f>
        <v>24-185</v>
      </c>
      <c r="B423" s="209" t="str">
        <f>IFERROR(IF(INDEX(Ingredients[Ingr1],MATCH(Production[[#This Row],[Product]],Ingredients[ProdName],0))&lt;&gt;"",INDEX(Ingredients[Ingr1],MATCH(Production[[#This Row],[Product]],Ingredients[ProdName],0)),INDEX(Ingredients[Ingr2],MATCH(Production[[#This Row],[Product]],Ingredients[ProdName],0))),"")</f>
        <v>Chicken - Tenders</v>
      </c>
      <c r="C423" s="191">
        <v>45476</v>
      </c>
      <c r="D423" s="192" t="s">
        <v>151</v>
      </c>
      <c r="E423" s="193" t="s">
        <v>122</v>
      </c>
      <c r="F423" s="194">
        <v>10</v>
      </c>
      <c r="G423" s="194">
        <v>70</v>
      </c>
      <c r="H423" s="208">
        <f>IFERROR(INDEX(Tier1[Wt],MATCH(Production[[#This Row],[Type]],Tier1[Ingredient],0))*Production[[#This Row],[Blocks Used]],0)</f>
        <v>2800</v>
      </c>
      <c r="I423" s="217"/>
      <c r="J423" s="215">
        <f>IF(INDEX(Ingredients[Batter],MATCH(Production[[#This Row],[Product]],Ingredients[ProdName],0))*Production[[#This Row],[Batter Used]]&gt;0,INDEX(Ingredients[Batter],MATCH(Production[[#This Row],[Product]],Ingredients[ProdName],0))*Production[[#This Row],[Batter Used]],"")</f>
        <v>400</v>
      </c>
      <c r="K423" s="215">
        <f>IF(INDEX(Ingredients[Breader],MATCH(Production[[#This Row],[Product]],Ingredients[ProdName],0))*Production[[#This Row],[Breader Used]]&gt;0,INDEX(Ingredients[Breader],MATCH(Production[[#This Row],[Product]],Ingredients[ProdName],0))*Production[[#This Row],[Breader Used]],"")</f>
        <v>550</v>
      </c>
      <c r="L423" s="194">
        <v>8</v>
      </c>
      <c r="M423" s="194">
        <v>11</v>
      </c>
      <c r="N423" s="211">
        <f>IFERROR(IF(SUM(Production[[#This Row],[Meat Wt]:[BrTtl]])&lt;&gt;0,SUM(Production[[#This Row],[Meat Wt]:[BrTtl]]),""),"")</f>
        <v>3750</v>
      </c>
      <c r="O423" s="193">
        <v>192</v>
      </c>
      <c r="P423" s="208">
        <f>INDEX(Ingredients[Case Wt.],MATCH(Production[[#This Row],[Product]],Ingredients[ProdName],0))*Production[[#This Row],[Case Total]]</f>
        <v>5760</v>
      </c>
      <c r="Q423" s="211">
        <f>IFERROR(Production[[#This Row],[SatWt]]-Production[[#This Row],[RawWt]],"")</f>
        <v>2010</v>
      </c>
      <c r="R423" s="224">
        <f>IF(Production[[#This Row],[Species]]&lt;&gt;"",IF(SUM(Production[[#This Row],[BtTtl]:[BrTtl]])/Production[[#This Row],[SatWt]]&lt;&gt;0,SUM(Production[[#This Row],[BtTtl]:[BrTtl]])/Production[[#This Row],[SatWt]],""),"")</f>
        <v>0.16493055555555555</v>
      </c>
      <c r="S423" s="225" t="str">
        <f>INDEX(Ingredients[Species],MATCH(Production[[#This Row],[Product]],Ingredients[ProdName],0))</f>
        <v>Poultry</v>
      </c>
    </row>
    <row r="424" spans="1:19" ht="11.1" customHeight="1" x14ac:dyDescent="0.25">
      <c r="A424" s="207" t="str">
        <f>IFERROR(IF(Production[[#This Row],[Date]]&lt;&gt;"",TEXT(Production[[#This Row],[Date]],"yy")&amp;"-"&amp;TEXT(Production[[#This Row],[Date]]-DATE(YEAR(Production[[#This Row],[Date]]),1,0),"000"),""),"")</f>
        <v>24-191</v>
      </c>
      <c r="B424" s="209" t="str">
        <f>IFERROR(IF(INDEX(Ingredients[Ingr1],MATCH(Production[[#This Row],[Product]],Ingredients[ProdName],0))&lt;&gt;"",INDEX(Ingredients[Ingr1],MATCH(Production[[#This Row],[Product]],Ingredients[ProdName],0)),INDEX(Ingredients[Ingr2],MATCH(Production[[#This Row],[Product]],Ingredients[ProdName],0))),"")</f>
        <v>Chicken - Ground</v>
      </c>
      <c r="C424" s="53">
        <v>45482</v>
      </c>
      <c r="D424" s="54" t="s">
        <v>16</v>
      </c>
      <c r="E424" s="55">
        <v>7136</v>
      </c>
      <c r="F424" s="56">
        <v>6</v>
      </c>
      <c r="G424" s="56">
        <v>36</v>
      </c>
      <c r="H424" s="208">
        <f>IFERROR(INDEX(Tier1[Wt],MATCH(Production[[#This Row],[Type]],Tier1[Ingredient],0))*Production[[#This Row],[Blocks Used]],0)</f>
        <v>1800</v>
      </c>
      <c r="I424" s="215"/>
      <c r="J424" s="215" t="str">
        <f>IF(INDEX(Ingredients[Batter],MATCH(Production[[#This Row],[Product]],Ingredients[ProdName],0))*Production[[#This Row],[Batter Used]]&gt;0,INDEX(Ingredients[Batter],MATCH(Production[[#This Row],[Product]],Ingredients[ProdName],0))*Production[[#This Row],[Batter Used]],"")</f>
        <v/>
      </c>
      <c r="K424" s="215" t="str">
        <f>IF(INDEX(Ingredients[Breader],MATCH(Production[[#This Row],[Product]],Ingredients[ProdName],0))*Production[[#This Row],[Breader Used]]&gt;0,INDEX(Ingredients[Breader],MATCH(Production[[#This Row],[Product]],Ingredients[ProdName],0))*Production[[#This Row],[Breader Used]],"")</f>
        <v/>
      </c>
      <c r="L424" s="56"/>
      <c r="M424" s="56"/>
      <c r="N424" s="211">
        <f>IFERROR(IF(SUM(Production[[#This Row],[Meat Wt]:[BrTtl]])&lt;&gt;0,SUM(Production[[#This Row],[Meat Wt]:[BrTtl]]),""),"")</f>
        <v>1800</v>
      </c>
      <c r="O424" s="55">
        <v>73</v>
      </c>
      <c r="P424" s="208">
        <f>INDEX(Ingredients[Case Wt.],MATCH(Production[[#This Row],[Product]],Ingredients[ProdName],0))*Production[[#This Row],[Case Total]]</f>
        <v>2190</v>
      </c>
      <c r="Q424" s="211">
        <f>IFERROR(Production[[#This Row],[SatWt]]-Production[[#This Row],[RawWt]],"")</f>
        <v>390</v>
      </c>
      <c r="R424" s="222" t="str">
        <f>IF(Production[[#This Row],[Species]]&lt;&gt;"",IF(SUM(Production[[#This Row],[BtTtl]:[BrTtl]])/Production[[#This Row],[SatWt]]&lt;&gt;0,SUM(Production[[#This Row],[BtTtl]:[BrTtl]])/Production[[#This Row],[SatWt]],""),"")</f>
        <v/>
      </c>
      <c r="S424" s="223" t="str">
        <f>INDEX(Ingredients[Species],MATCH(Production[[#This Row],[Product]],Ingredients[ProdName],0))</f>
        <v>Poultry</v>
      </c>
    </row>
    <row r="425" spans="1:19" ht="11.1" customHeight="1" x14ac:dyDescent="0.25">
      <c r="A425" s="207" t="str">
        <f>IFERROR(IF(Production[[#This Row],[Date]]&lt;&gt;"",TEXT(Production[[#This Row],[Date]],"yy")&amp;"-"&amp;TEXT(Production[[#This Row],[Date]]-DATE(YEAR(Production[[#This Row],[Date]]),1,0),"000"),""),"")</f>
        <v>24-192</v>
      </c>
      <c r="B425" s="209" t="str">
        <f>IFERROR(IF(INDEX(Ingredients[Ingr1],MATCH(Production[[#This Row],[Product]],Ingredients[ProdName],0))&lt;&gt;"",INDEX(Ingredients[Ingr1],MATCH(Production[[#This Row],[Product]],Ingredients[ProdName],0)),INDEX(Ingredients[Ingr2],MATCH(Production[[#This Row],[Product]],Ingredients[ProdName],0))),"")</f>
        <v>Chicken - Ground</v>
      </c>
      <c r="C425" s="195">
        <v>45483</v>
      </c>
      <c r="D425" s="196" t="s">
        <v>20</v>
      </c>
      <c r="E425" s="197">
        <v>7136</v>
      </c>
      <c r="F425" s="198">
        <v>4</v>
      </c>
      <c r="G425" s="198">
        <v>24</v>
      </c>
      <c r="H425" s="208">
        <f>IFERROR(INDEX(Tier1[Wt],MATCH(Production[[#This Row],[Type]],Tier1[Ingredient],0))*Production[[#This Row],[Blocks Used]],0)</f>
        <v>1200</v>
      </c>
      <c r="I425" s="218"/>
      <c r="J425" s="215" t="str">
        <f>IF(INDEX(Ingredients[Batter],MATCH(Production[[#This Row],[Product]],Ingredients[ProdName],0))*Production[[#This Row],[Batter Used]]&gt;0,INDEX(Ingredients[Batter],MATCH(Production[[#This Row],[Product]],Ingredients[ProdName],0))*Production[[#This Row],[Batter Used]],"")</f>
        <v/>
      </c>
      <c r="K425" s="215" t="str">
        <f>IF(INDEX(Ingredients[Breader],MATCH(Production[[#This Row],[Product]],Ingredients[ProdName],0))*Production[[#This Row],[Breader Used]]&gt;0,INDEX(Ingredients[Breader],MATCH(Production[[#This Row],[Product]],Ingredients[ProdName],0))*Production[[#This Row],[Breader Used]],"")</f>
        <v/>
      </c>
      <c r="L425" s="198"/>
      <c r="M425" s="198"/>
      <c r="N425" s="211">
        <f>IFERROR(IF(SUM(Production[[#This Row],[Meat Wt]:[BrTtl]])&lt;&gt;0,SUM(Production[[#This Row],[Meat Wt]:[BrTtl]]),""),"")</f>
        <v>1200</v>
      </c>
      <c r="O425" s="197">
        <v>55</v>
      </c>
      <c r="P425" s="208">
        <f>INDEX(Ingredients[Case Wt.],MATCH(Production[[#This Row],[Product]],Ingredients[ProdName],0))*Production[[#This Row],[Case Total]]</f>
        <v>1375</v>
      </c>
      <c r="Q425" s="211">
        <f>IFERROR(Production[[#This Row],[SatWt]]-Production[[#This Row],[RawWt]],"")</f>
        <v>175</v>
      </c>
      <c r="R425" s="226" t="str">
        <f>IF(Production[[#This Row],[Species]]&lt;&gt;"",IF(SUM(Production[[#This Row],[BtTtl]:[BrTtl]])/Production[[#This Row],[SatWt]]&lt;&gt;0,SUM(Production[[#This Row],[BtTtl]:[BrTtl]])/Production[[#This Row],[SatWt]],""),"")</f>
        <v/>
      </c>
      <c r="S425" s="227" t="str">
        <f>INDEX(Ingredients[Species],MATCH(Production[[#This Row],[Product]],Ingredients[ProdName],0))</f>
        <v>Poultry</v>
      </c>
    </row>
    <row r="426" spans="1:19" ht="11.1" customHeight="1" x14ac:dyDescent="0.25">
      <c r="A426" s="207" t="str">
        <f>IFERROR(IF(Production[[#This Row],[Date]]&lt;&gt;"",TEXT(Production[[#This Row],[Date]],"yy")&amp;"-"&amp;TEXT(Production[[#This Row],[Date]]-DATE(YEAR(Production[[#This Row],[Date]]),1,0),"000"),""),"")</f>
        <v>24-197</v>
      </c>
      <c r="B426" s="209" t="str">
        <f>IFERROR(IF(INDEX(Ingredients[Ingr1],MATCH(Production[[#This Row],[Product]],Ingredients[ProdName],0))&lt;&gt;"",INDEX(Ingredients[Ingr1],MATCH(Production[[#This Row],[Product]],Ingredients[ProdName],0)),INDEX(Ingredients[Ingr2],MATCH(Production[[#This Row],[Product]],Ingredients[ProdName],0))),"")</f>
        <v>Chicken - Ground</v>
      </c>
      <c r="C426" s="195">
        <v>45488</v>
      </c>
      <c r="D426" s="196" t="s">
        <v>19</v>
      </c>
      <c r="E426" s="197">
        <v>7136</v>
      </c>
      <c r="F426" s="198">
        <v>3</v>
      </c>
      <c r="G426" s="198">
        <v>18</v>
      </c>
      <c r="H426" s="208">
        <f>IFERROR(INDEX(Tier1[Wt],MATCH(Production[[#This Row],[Type]],Tier1[Ingredient],0))*Production[[#This Row],[Blocks Used]],0)</f>
        <v>900</v>
      </c>
      <c r="I426" s="218"/>
      <c r="J426" s="215" t="str">
        <f>IF(INDEX(Ingredients[Batter],MATCH(Production[[#This Row],[Product]],Ingredients[ProdName],0))*Production[[#This Row],[Batter Used]]&gt;0,INDEX(Ingredients[Batter],MATCH(Production[[#This Row],[Product]],Ingredients[ProdName],0))*Production[[#This Row],[Batter Used]],"")</f>
        <v/>
      </c>
      <c r="K426" s="215" t="str">
        <f>IF(INDEX(Ingredients[Breader],MATCH(Production[[#This Row],[Product]],Ingredients[ProdName],0))*Production[[#This Row],[Breader Used]]&gt;0,INDEX(Ingredients[Breader],MATCH(Production[[#This Row],[Product]],Ingredients[ProdName],0))*Production[[#This Row],[Breader Used]],"")</f>
        <v/>
      </c>
      <c r="L426" s="198"/>
      <c r="M426" s="198"/>
      <c r="N426" s="211">
        <f>IFERROR(IF(SUM(Production[[#This Row],[Meat Wt]:[BrTtl]])&lt;&gt;0,SUM(Production[[#This Row],[Meat Wt]:[BrTtl]]),""),"")</f>
        <v>900</v>
      </c>
      <c r="O426" s="197">
        <v>47</v>
      </c>
      <c r="P426" s="208">
        <f>INDEX(Ingredients[Case Wt.],MATCH(Production[[#This Row],[Product]],Ingredients[ProdName],0))*Production[[#This Row],[Case Total]]</f>
        <v>1175</v>
      </c>
      <c r="Q426" s="211">
        <f>IFERROR(Production[[#This Row],[SatWt]]-Production[[#This Row],[RawWt]],"")</f>
        <v>275</v>
      </c>
      <c r="R426" s="226" t="str">
        <f>IF(Production[[#This Row],[Species]]&lt;&gt;"",IF(SUM(Production[[#This Row],[BtTtl]:[BrTtl]])/Production[[#This Row],[SatWt]]&lt;&gt;0,SUM(Production[[#This Row],[BtTtl]:[BrTtl]])/Production[[#This Row],[SatWt]],""),"")</f>
        <v/>
      </c>
      <c r="S426" s="227" t="str">
        <f>INDEX(Ingredients[Species],MATCH(Production[[#This Row],[Product]],Ingredients[ProdName],0))</f>
        <v>Poultry</v>
      </c>
    </row>
    <row r="427" spans="1:19" ht="11.1" customHeight="1" x14ac:dyDescent="0.25">
      <c r="A427" s="207" t="str">
        <f>IFERROR(IF(Production[[#This Row],[Date]]&lt;&gt;"",TEXT(Production[[#This Row],[Date]],"yy")&amp;"-"&amp;TEXT(Production[[#This Row],[Date]]-DATE(YEAR(Production[[#This Row],[Date]]),1,0),"000"),""),"")</f>
        <v>24-197</v>
      </c>
      <c r="B427" s="209" t="str">
        <f>IFERROR(IF(INDEX(Ingredients[Ingr1],MATCH(Production[[#This Row],[Product]],Ingredients[ProdName],0))&lt;&gt;"",INDEX(Ingredients[Ingr1],MATCH(Production[[#This Row],[Product]],Ingredients[ProdName],0)),INDEX(Ingredients[Ingr2],MATCH(Production[[#This Row],[Product]],Ingredients[ProdName],0))),"")</f>
        <v>Chicken - Ground</v>
      </c>
      <c r="C427" s="195">
        <v>45488</v>
      </c>
      <c r="D427" s="196" t="s">
        <v>20</v>
      </c>
      <c r="E427" s="197">
        <v>7136</v>
      </c>
      <c r="F427" s="198">
        <v>4</v>
      </c>
      <c r="G427" s="198">
        <v>24</v>
      </c>
      <c r="H427" s="208">
        <f>IFERROR(INDEX(Tier1[Wt],MATCH(Production[[#This Row],[Type]],Tier1[Ingredient],0))*Production[[#This Row],[Blocks Used]],0)</f>
        <v>1200</v>
      </c>
      <c r="I427" s="218"/>
      <c r="J427" s="215" t="str">
        <f>IF(INDEX(Ingredients[Batter],MATCH(Production[[#This Row],[Product]],Ingredients[ProdName],0))*Production[[#This Row],[Batter Used]]&gt;0,INDEX(Ingredients[Batter],MATCH(Production[[#This Row],[Product]],Ingredients[ProdName],0))*Production[[#This Row],[Batter Used]],"")</f>
        <v/>
      </c>
      <c r="K427" s="215" t="str">
        <f>IF(INDEX(Ingredients[Breader],MATCH(Production[[#This Row],[Product]],Ingredients[ProdName],0))*Production[[#This Row],[Breader Used]]&gt;0,INDEX(Ingredients[Breader],MATCH(Production[[#This Row],[Product]],Ingredients[ProdName],0))*Production[[#This Row],[Breader Used]],"")</f>
        <v/>
      </c>
      <c r="L427" s="198"/>
      <c r="M427" s="198"/>
      <c r="N427" s="211">
        <f>IFERROR(IF(SUM(Production[[#This Row],[Meat Wt]:[BrTtl]])&lt;&gt;0,SUM(Production[[#This Row],[Meat Wt]:[BrTtl]]),""),"")</f>
        <v>1200</v>
      </c>
      <c r="O427" s="197">
        <v>57</v>
      </c>
      <c r="P427" s="208">
        <f>INDEX(Ingredients[Case Wt.],MATCH(Production[[#This Row],[Product]],Ingredients[ProdName],0))*Production[[#This Row],[Case Total]]</f>
        <v>1425</v>
      </c>
      <c r="Q427" s="211">
        <f>IFERROR(Production[[#This Row],[SatWt]]-Production[[#This Row],[RawWt]],"")</f>
        <v>225</v>
      </c>
      <c r="R427" s="226" t="str">
        <f>IF(Production[[#This Row],[Species]]&lt;&gt;"",IF(SUM(Production[[#This Row],[BtTtl]:[BrTtl]])/Production[[#This Row],[SatWt]]&lt;&gt;0,SUM(Production[[#This Row],[BtTtl]:[BrTtl]])/Production[[#This Row],[SatWt]],""),"")</f>
        <v/>
      </c>
      <c r="S427" s="227" t="str">
        <f>INDEX(Ingredients[Species],MATCH(Production[[#This Row],[Product]],Ingredients[ProdName],0))</f>
        <v>Poultry</v>
      </c>
    </row>
    <row r="428" spans="1:19" ht="11.1" customHeight="1" x14ac:dyDescent="0.25">
      <c r="A428" s="207" t="str">
        <f>IFERROR(IF(Production[[#This Row],[Date]]&lt;&gt;"",TEXT(Production[[#This Row],[Date]],"yy")&amp;"-"&amp;TEXT(Production[[#This Row],[Date]]-DATE(YEAR(Production[[#This Row],[Date]]),1,0),"000"),""),"")</f>
        <v>24-199</v>
      </c>
      <c r="B428" s="209" t="str">
        <f>IFERROR(IF(INDEX(Ingredients[Ingr1],MATCH(Production[[#This Row],[Product]],Ingredients[ProdName],0))&lt;&gt;"",INDEX(Ingredients[Ingr1],MATCH(Production[[#This Row],[Product]],Ingredients[ProdName],0)),INDEX(Ingredients[Ingr2],MATCH(Production[[#This Row],[Product]],Ingredients[ProdName],0))),"")</f>
        <v>Chicken - Ground</v>
      </c>
      <c r="C428" s="195">
        <v>45490</v>
      </c>
      <c r="D428" s="196" t="s">
        <v>15</v>
      </c>
      <c r="E428" s="197">
        <v>7136</v>
      </c>
      <c r="F428" s="198">
        <v>8</v>
      </c>
      <c r="G428" s="198">
        <v>48</v>
      </c>
      <c r="H428" s="208">
        <f>IFERROR(INDEX(Tier1[Wt],MATCH(Production[[#This Row],[Type]],Tier1[Ingredient],0))*Production[[#This Row],[Blocks Used]],0)</f>
        <v>2400</v>
      </c>
      <c r="I428" s="218"/>
      <c r="J428" s="215" t="str">
        <f>IF(INDEX(Ingredients[Batter],MATCH(Production[[#This Row],[Product]],Ingredients[ProdName],0))*Production[[#This Row],[Batter Used]]&gt;0,INDEX(Ingredients[Batter],MATCH(Production[[#This Row],[Product]],Ingredients[ProdName],0))*Production[[#This Row],[Batter Used]],"")</f>
        <v/>
      </c>
      <c r="K428" s="215" t="str">
        <f>IF(INDEX(Ingredients[Breader],MATCH(Production[[#This Row],[Product]],Ingredients[ProdName],0))*Production[[#This Row],[Breader Used]]&gt;0,INDEX(Ingredients[Breader],MATCH(Production[[#This Row],[Product]],Ingredients[ProdName],0))*Production[[#This Row],[Breader Used]],"")</f>
        <v/>
      </c>
      <c r="L428" s="198"/>
      <c r="M428" s="198"/>
      <c r="N428" s="211">
        <f>IFERROR(IF(SUM(Production[[#This Row],[Meat Wt]:[BrTtl]])&lt;&gt;0,SUM(Production[[#This Row],[Meat Wt]:[BrTtl]]),""),"")</f>
        <v>2400</v>
      </c>
      <c r="O428" s="197">
        <v>99</v>
      </c>
      <c r="P428" s="208">
        <f>INDEX(Ingredients[Case Wt.],MATCH(Production[[#This Row],[Product]],Ingredients[ProdName],0))*Production[[#This Row],[Case Total]]</f>
        <v>2970</v>
      </c>
      <c r="Q428" s="211">
        <f>IFERROR(Production[[#This Row],[SatWt]]-Production[[#This Row],[RawWt]],"")</f>
        <v>570</v>
      </c>
      <c r="R428" s="226" t="str">
        <f>IF(Production[[#This Row],[Species]]&lt;&gt;"",IF(SUM(Production[[#This Row],[BtTtl]:[BrTtl]])/Production[[#This Row],[SatWt]]&lt;&gt;0,SUM(Production[[#This Row],[BtTtl]:[BrTtl]])/Production[[#This Row],[SatWt]],""),"")</f>
        <v/>
      </c>
      <c r="S428" s="227" t="str">
        <f>INDEX(Ingredients[Species],MATCH(Production[[#This Row],[Product]],Ingredients[ProdName],0))</f>
        <v>Poultry</v>
      </c>
    </row>
    <row r="429" spans="1:19" ht="11.1" customHeight="1" x14ac:dyDescent="0.25">
      <c r="A429" s="207" t="str">
        <f>IFERROR(IF(Production[[#This Row],[Date]]&lt;&gt;"",TEXT(Production[[#This Row],[Date]],"yy")&amp;"-"&amp;TEXT(Production[[#This Row],[Date]]-DATE(YEAR(Production[[#This Row],[Date]]),1,0),"000"),""),"")</f>
        <v>24-200</v>
      </c>
      <c r="B429" s="209" t="str">
        <f>IFERROR(IF(INDEX(Ingredients[Ingr1],MATCH(Production[[#This Row],[Product]],Ingredients[ProdName],0))&lt;&gt;"",INDEX(Ingredients[Ingr1],MATCH(Production[[#This Row],[Product]],Ingredients[ProdName],0)),INDEX(Ingredients[Ingr2],MATCH(Production[[#This Row],[Product]],Ingredients[ProdName],0))),"")</f>
        <v>Chicken - Ground</v>
      </c>
      <c r="C429" s="53">
        <v>45491</v>
      </c>
      <c r="D429" s="54" t="s">
        <v>15</v>
      </c>
      <c r="E429" s="55" t="s">
        <v>280</v>
      </c>
      <c r="F429" s="56">
        <v>6</v>
      </c>
      <c r="G429" s="56">
        <v>37</v>
      </c>
      <c r="H429" s="208">
        <f>IFERROR(INDEX(Tier1[Wt],MATCH(Production[[#This Row],[Type]],Tier1[Ingredient],0))*Production[[#This Row],[Blocks Used]],0)</f>
        <v>1850</v>
      </c>
      <c r="I429" s="215"/>
      <c r="J429" s="215" t="str">
        <f>IF(INDEX(Ingredients[Batter],MATCH(Production[[#This Row],[Product]],Ingredients[ProdName],0))*Production[[#This Row],[Batter Used]]&gt;0,INDEX(Ingredients[Batter],MATCH(Production[[#This Row],[Product]],Ingredients[ProdName],0))*Production[[#This Row],[Batter Used]],"")</f>
        <v/>
      </c>
      <c r="K429" s="215" t="str">
        <f>IF(INDEX(Ingredients[Breader],MATCH(Production[[#This Row],[Product]],Ingredients[ProdName],0))*Production[[#This Row],[Breader Used]]&gt;0,INDEX(Ingredients[Breader],MATCH(Production[[#This Row],[Product]],Ingredients[ProdName],0))*Production[[#This Row],[Breader Used]],"")</f>
        <v/>
      </c>
      <c r="L429" s="56"/>
      <c r="M429" s="56"/>
      <c r="N429" s="211">
        <f>IFERROR(IF(SUM(Production[[#This Row],[Meat Wt]:[BrTtl]])&lt;&gt;0,SUM(Production[[#This Row],[Meat Wt]:[BrTtl]]),""),"")</f>
        <v>1850</v>
      </c>
      <c r="O429" s="55">
        <v>75</v>
      </c>
      <c r="P429" s="208">
        <f>INDEX(Ingredients[Case Wt.],MATCH(Production[[#This Row],[Product]],Ingredients[ProdName],0))*Production[[#This Row],[Case Total]]</f>
        <v>2250</v>
      </c>
      <c r="Q429" s="211">
        <f>IFERROR(Production[[#This Row],[SatWt]]-Production[[#This Row],[RawWt]],"")</f>
        <v>400</v>
      </c>
      <c r="R429" s="222" t="str">
        <f>IF(Production[[#This Row],[Species]]&lt;&gt;"",IF(SUM(Production[[#This Row],[BtTtl]:[BrTtl]])/Production[[#This Row],[SatWt]]&lt;&gt;0,SUM(Production[[#This Row],[BtTtl]:[BrTtl]])/Production[[#This Row],[SatWt]],""),"")</f>
        <v/>
      </c>
      <c r="S429" s="223" t="str">
        <f>INDEX(Ingredients[Species],MATCH(Production[[#This Row],[Product]],Ingredients[ProdName],0))</f>
        <v>Poultry</v>
      </c>
    </row>
    <row r="430" spans="1:19" ht="11.1" customHeight="1" x14ac:dyDescent="0.25">
      <c r="A430" s="207" t="str">
        <f>IFERROR(IF(Production[[#This Row],[Date]]&lt;&gt;"",TEXT(Production[[#This Row],[Date]],"yy")&amp;"-"&amp;TEXT(Production[[#This Row],[Date]]-DATE(YEAR(Production[[#This Row],[Date]]),1,0),"000"),""),"")</f>
        <v>24-204</v>
      </c>
      <c r="B430" s="209" t="str">
        <f>IFERROR(IF(INDEX(Ingredients[Ingr1],MATCH(Production[[#This Row],[Product]],Ingredients[ProdName],0))&lt;&gt;"",INDEX(Ingredients[Ingr1],MATCH(Production[[#This Row],[Product]],Ingredients[ProdName],0)),INDEX(Ingredients[Ingr2],MATCH(Production[[#This Row],[Product]],Ingredients[ProdName],0))),"")</f>
        <v>Chicken - Ground</v>
      </c>
      <c r="C430" s="199">
        <v>45495</v>
      </c>
      <c r="D430" s="200" t="s">
        <v>16</v>
      </c>
      <c r="E430" s="201" t="s">
        <v>280</v>
      </c>
      <c r="F430" s="202">
        <v>6</v>
      </c>
      <c r="G430" s="202">
        <v>36</v>
      </c>
      <c r="H430" s="208">
        <f>IFERROR(INDEX(Tier1[Wt],MATCH(Production[[#This Row],[Type]],Tier1[Ingredient],0))*Production[[#This Row],[Blocks Used]],0)</f>
        <v>1800</v>
      </c>
      <c r="I430" s="219"/>
      <c r="J430" s="215" t="str">
        <f>IF(INDEX(Ingredients[Batter],MATCH(Production[[#This Row],[Product]],Ingredients[ProdName],0))*Production[[#This Row],[Batter Used]]&gt;0,INDEX(Ingredients[Batter],MATCH(Production[[#This Row],[Product]],Ingredients[ProdName],0))*Production[[#This Row],[Batter Used]],"")</f>
        <v/>
      </c>
      <c r="K430" s="215" t="str">
        <f>IF(INDEX(Ingredients[Breader],MATCH(Production[[#This Row],[Product]],Ingredients[ProdName],0))*Production[[#This Row],[Breader Used]]&gt;0,INDEX(Ingredients[Breader],MATCH(Production[[#This Row],[Product]],Ingredients[ProdName],0))*Production[[#This Row],[Breader Used]],"")</f>
        <v/>
      </c>
      <c r="L430" s="202"/>
      <c r="M430" s="202"/>
      <c r="N430" s="211">
        <f>IFERROR(IF(SUM(Production[[#This Row],[Meat Wt]:[BrTtl]])&lt;&gt;0,SUM(Production[[#This Row],[Meat Wt]:[BrTtl]]),""),"")</f>
        <v>1800</v>
      </c>
      <c r="O430" s="201">
        <v>73</v>
      </c>
      <c r="P430" s="208">
        <f>INDEX(Ingredients[Case Wt.],MATCH(Production[[#This Row],[Product]],Ingredients[ProdName],0))*Production[[#This Row],[Case Total]]</f>
        <v>2190</v>
      </c>
      <c r="Q430" s="211">
        <f>IFERROR(Production[[#This Row],[SatWt]]-Production[[#This Row],[RawWt]],"")</f>
        <v>390</v>
      </c>
      <c r="R430" s="228" t="str">
        <f>IF(Production[[#This Row],[Species]]&lt;&gt;"",IF(SUM(Production[[#This Row],[BtTtl]:[BrTtl]])/Production[[#This Row],[SatWt]]&lt;&gt;0,SUM(Production[[#This Row],[BtTtl]:[BrTtl]])/Production[[#This Row],[SatWt]],""),"")</f>
        <v/>
      </c>
      <c r="S430" s="229" t="str">
        <f>INDEX(Ingredients[Species],MATCH(Production[[#This Row],[Product]],Ingredients[ProdName],0))</f>
        <v>Poultry</v>
      </c>
    </row>
    <row r="431" spans="1:19" ht="11.1" customHeight="1" x14ac:dyDescent="0.25">
      <c r="A431" s="207" t="str">
        <f>IFERROR(IF(Production[[#This Row],[Date]]&lt;&gt;"",TEXT(Production[[#This Row],[Date]],"yy")&amp;"-"&amp;TEXT(Production[[#This Row],[Date]]-DATE(YEAR(Production[[#This Row],[Date]]),1,0),"000"),""),"")</f>
        <v>24-206</v>
      </c>
      <c r="B431" s="209" t="str">
        <f>IFERROR(IF(INDEX(Ingredients[Ingr1],MATCH(Production[[#This Row],[Product]],Ingredients[ProdName],0))&lt;&gt;"",INDEX(Ingredients[Ingr1],MATCH(Production[[#This Row],[Product]],Ingredients[ProdName],0)),INDEX(Ingredients[Ingr2],MATCH(Production[[#This Row],[Product]],Ingredients[ProdName],0))),"")</f>
        <v>Chicken - Tenders</v>
      </c>
      <c r="C431" s="199">
        <v>45497</v>
      </c>
      <c r="D431" s="200" t="s">
        <v>21</v>
      </c>
      <c r="E431" s="201" t="s">
        <v>122</v>
      </c>
      <c r="F431" s="202">
        <v>6</v>
      </c>
      <c r="G431" s="202">
        <v>42</v>
      </c>
      <c r="H431" s="208">
        <f>IFERROR(INDEX(Tier1[Wt],MATCH(Production[[#This Row],[Type]],Tier1[Ingredient],0))*Production[[#This Row],[Blocks Used]],0)</f>
        <v>1680</v>
      </c>
      <c r="I431" s="219"/>
      <c r="J431" s="215">
        <f>IF(INDEX(Ingredients[Batter],MATCH(Production[[#This Row],[Product]],Ingredients[ProdName],0))*Production[[#This Row],[Batter Used]]&gt;0,INDEX(Ingredients[Batter],MATCH(Production[[#This Row],[Product]],Ingredients[ProdName],0))*Production[[#This Row],[Batter Used]],"")</f>
        <v>150</v>
      </c>
      <c r="K431" s="215">
        <f>IF(INDEX(Ingredients[Breader],MATCH(Production[[#This Row],[Product]],Ingredients[ProdName],0))*Production[[#This Row],[Breader Used]]&gt;0,INDEX(Ingredients[Breader],MATCH(Production[[#This Row],[Product]],Ingredients[ProdName],0))*Production[[#This Row],[Breader Used]],"")</f>
        <v>450</v>
      </c>
      <c r="L431" s="202">
        <v>3</v>
      </c>
      <c r="M431" s="202">
        <v>9</v>
      </c>
      <c r="N431" s="211">
        <f>IFERROR(IF(SUM(Production[[#This Row],[Meat Wt]:[BrTtl]])&lt;&gt;0,SUM(Production[[#This Row],[Meat Wt]:[BrTtl]]),""),"")</f>
        <v>2280</v>
      </c>
      <c r="O431" s="201">
        <v>107</v>
      </c>
      <c r="P431" s="208">
        <f>INDEX(Ingredients[Case Wt.],MATCH(Production[[#This Row],[Product]],Ingredients[ProdName],0))*Production[[#This Row],[Case Total]]</f>
        <v>2675</v>
      </c>
      <c r="Q431" s="211">
        <f>IFERROR(Production[[#This Row],[SatWt]]-Production[[#This Row],[RawWt]],"")</f>
        <v>395</v>
      </c>
      <c r="R431" s="228">
        <f>IF(Production[[#This Row],[Species]]&lt;&gt;"",IF(SUM(Production[[#This Row],[BtTtl]:[BrTtl]])/Production[[#This Row],[SatWt]]&lt;&gt;0,SUM(Production[[#This Row],[BtTtl]:[BrTtl]])/Production[[#This Row],[SatWt]],""),"")</f>
        <v>0.22429906542056074</v>
      </c>
      <c r="S431" s="229" t="str">
        <f>INDEX(Ingredients[Species],MATCH(Production[[#This Row],[Product]],Ingredients[ProdName],0))</f>
        <v>Poultry</v>
      </c>
    </row>
    <row r="432" spans="1:19" ht="11.1" customHeight="1" x14ac:dyDescent="0.25">
      <c r="A432" s="207" t="str">
        <f>IFERROR(IF(Production[[#This Row],[Date]]&lt;&gt;"",TEXT(Production[[#This Row],[Date]],"yy")&amp;"-"&amp;TEXT(Production[[#This Row],[Date]]-DATE(YEAR(Production[[#This Row],[Date]]),1,0),"000"),""),"")</f>
        <v>24-211</v>
      </c>
      <c r="B432" s="209" t="str">
        <f>IFERROR(IF(INDEX(Ingredients[Ingr1],MATCH(Production[[#This Row],[Product]],Ingredients[ProdName],0))&lt;&gt;"",INDEX(Ingredients[Ingr1],MATCH(Production[[#This Row],[Product]],Ingredients[ProdName],0)),INDEX(Ingredients[Ingr2],MATCH(Production[[#This Row],[Product]],Ingredients[ProdName],0))),"")</f>
        <v>Chicken - Ground</v>
      </c>
      <c r="C432" s="203">
        <v>45502</v>
      </c>
      <c r="D432" s="204" t="s">
        <v>9</v>
      </c>
      <c r="E432" s="205" t="s">
        <v>280</v>
      </c>
      <c r="F432" s="206">
        <v>15</v>
      </c>
      <c r="G432" s="206">
        <v>90</v>
      </c>
      <c r="H432" s="208">
        <f>IFERROR(INDEX(Tier1[Wt],MATCH(Production[[#This Row],[Type]],Tier1[Ingredient],0))*Production[[#This Row],[Blocks Used]],0)</f>
        <v>4500</v>
      </c>
      <c r="I432" s="220"/>
      <c r="J432" s="215" t="str">
        <f>IF(INDEX(Ingredients[Batter],MATCH(Production[[#This Row],[Product]],Ingredients[ProdName],0))*Production[[#This Row],[Batter Used]]&gt;0,INDEX(Ingredients[Batter],MATCH(Production[[#This Row],[Product]],Ingredients[ProdName],0))*Production[[#This Row],[Batter Used]],"")</f>
        <v/>
      </c>
      <c r="K432" s="215" t="str">
        <f>IF(INDEX(Ingredients[Breader],MATCH(Production[[#This Row],[Product]],Ingredients[ProdName],0))*Production[[#This Row],[Breader Used]]&gt;0,INDEX(Ingredients[Breader],MATCH(Production[[#This Row],[Product]],Ingredients[ProdName],0))*Production[[#This Row],[Breader Used]],"")</f>
        <v/>
      </c>
      <c r="L432" s="206"/>
      <c r="M432" s="206"/>
      <c r="N432" s="211">
        <f>IFERROR(IF(SUM(Production[[#This Row],[Meat Wt]:[BrTtl]])&lt;&gt;0,SUM(Production[[#This Row],[Meat Wt]:[BrTtl]]),""),"")</f>
        <v>4500</v>
      </c>
      <c r="O432" s="205">
        <v>197</v>
      </c>
      <c r="P432" s="208">
        <f>INDEX(Ingredients[Case Wt.],MATCH(Production[[#This Row],[Product]],Ingredients[ProdName],0))*Production[[#This Row],[Case Total]]</f>
        <v>5910</v>
      </c>
      <c r="Q432" s="211">
        <f>IFERROR(Production[[#This Row],[SatWt]]-Production[[#This Row],[RawWt]],"")</f>
        <v>1410</v>
      </c>
      <c r="R432" s="230" t="str">
        <f>IF(Production[[#This Row],[Species]]&lt;&gt;"",IF(SUM(Production[[#This Row],[BtTtl]:[BrTtl]])/Production[[#This Row],[SatWt]]&lt;&gt;0,SUM(Production[[#This Row],[BtTtl]:[BrTtl]])/Production[[#This Row],[SatWt]],""),"")</f>
        <v/>
      </c>
      <c r="S432" s="231" t="str">
        <f>INDEX(Ingredients[Species],MATCH(Production[[#This Row],[Product]],Ingredients[ProdName],0))</f>
        <v>Poultry</v>
      </c>
    </row>
    <row r="433" spans="1:19" ht="11.1" customHeight="1" x14ac:dyDescent="0.25">
      <c r="A433" s="207" t="str">
        <f>IFERROR(IF(Production[[#This Row],[Date]]&lt;&gt;"",TEXT(Production[[#This Row],[Date]],"yy")&amp;"-"&amp;TEXT(Production[[#This Row],[Date]]-DATE(YEAR(Production[[#This Row],[Date]]),1,0),"000"),""),"")</f>
        <v>24-212</v>
      </c>
      <c r="B433" s="209" t="str">
        <f>IFERROR(IF(INDEX(Ingredients[Ingr1],MATCH(Production[[#This Row],[Product]],Ingredients[ProdName],0))&lt;&gt;"",INDEX(Ingredients[Ingr1],MATCH(Production[[#This Row],[Product]],Ingredients[ProdName],0)),INDEX(Ingredients[Ingr2],MATCH(Production[[#This Row],[Product]],Ingredients[ProdName],0))),"")</f>
        <v>Chicken - Ground</v>
      </c>
      <c r="C433" s="203">
        <v>45503</v>
      </c>
      <c r="D433" s="204" t="s">
        <v>20</v>
      </c>
      <c r="E433" s="205">
        <v>2069</v>
      </c>
      <c r="F433" s="206">
        <v>10</v>
      </c>
      <c r="G433" s="206">
        <v>60</v>
      </c>
      <c r="H433" s="208">
        <f>IFERROR(INDEX(Tier1[Wt],MATCH(Production[[#This Row],[Type]],Tier1[Ingredient],0))*Production[[#This Row],[Blocks Used]],0)</f>
        <v>3000</v>
      </c>
      <c r="I433" s="220"/>
      <c r="J433" s="215" t="str">
        <f>IF(INDEX(Ingredients[Batter],MATCH(Production[[#This Row],[Product]],Ingredients[ProdName],0))*Production[[#This Row],[Batter Used]]&gt;0,INDEX(Ingredients[Batter],MATCH(Production[[#This Row],[Product]],Ingredients[ProdName],0))*Production[[#This Row],[Batter Used]],"")</f>
        <v/>
      </c>
      <c r="K433" s="215" t="str">
        <f>IF(INDEX(Ingredients[Breader],MATCH(Production[[#This Row],[Product]],Ingredients[ProdName],0))*Production[[#This Row],[Breader Used]]&gt;0,INDEX(Ingredients[Breader],MATCH(Production[[#This Row],[Product]],Ingredients[ProdName],0))*Production[[#This Row],[Breader Used]],"")</f>
        <v/>
      </c>
      <c r="L433" s="206"/>
      <c r="M433" s="206"/>
      <c r="N433" s="211">
        <f>IFERROR(IF(SUM(Production[[#This Row],[Meat Wt]:[BrTtl]])&lt;&gt;0,SUM(Production[[#This Row],[Meat Wt]:[BrTtl]]),""),"")</f>
        <v>3000</v>
      </c>
      <c r="O433" s="205">
        <v>152</v>
      </c>
      <c r="P433" s="208">
        <f>INDEX(Ingredients[Case Wt.],MATCH(Production[[#This Row],[Product]],Ingredients[ProdName],0))*Production[[#This Row],[Case Total]]</f>
        <v>3800</v>
      </c>
      <c r="Q433" s="211">
        <f>IFERROR(Production[[#This Row],[SatWt]]-Production[[#This Row],[RawWt]],"")</f>
        <v>800</v>
      </c>
      <c r="R433" s="230" t="str">
        <f>IF(Production[[#This Row],[Species]]&lt;&gt;"",IF(SUM(Production[[#This Row],[BtTtl]:[BrTtl]])/Production[[#This Row],[SatWt]]&lt;&gt;0,SUM(Production[[#This Row],[BtTtl]:[BrTtl]])/Production[[#This Row],[SatWt]],""),"")</f>
        <v/>
      </c>
      <c r="S433" s="231" t="str">
        <f>INDEX(Ingredients[Species],MATCH(Production[[#This Row],[Product]],Ingredients[ProdName],0))</f>
        <v>Poultry</v>
      </c>
    </row>
    <row r="434" spans="1:19" ht="11.1" customHeight="1" x14ac:dyDescent="0.25">
      <c r="A434" s="207" t="str">
        <f>IFERROR(IF(Production[[#This Row],[Date]]&lt;&gt;"",TEXT(Production[[#This Row],[Date]],"yy")&amp;"-"&amp;TEXT(Production[[#This Row],[Date]]-DATE(YEAR(Production[[#This Row],[Date]]),1,0),"000"),""),"")</f>
        <v>24-213</v>
      </c>
      <c r="B434" s="209" t="str">
        <f>IFERROR(IF(INDEX(Ingredients[Ingr1],MATCH(Production[[#This Row],[Product]],Ingredients[ProdName],0))&lt;&gt;"",INDEX(Ingredients[Ingr1],MATCH(Production[[#This Row],[Product]],Ingredients[ProdName],0)),INDEX(Ingredients[Ingr2],MATCH(Production[[#This Row],[Product]],Ingredients[ProdName],0))),"")</f>
        <v>Chicken - Ground</v>
      </c>
      <c r="C434" s="203">
        <v>45504</v>
      </c>
      <c r="D434" s="204" t="s">
        <v>19</v>
      </c>
      <c r="E434" s="205">
        <v>2069</v>
      </c>
      <c r="F434" s="206">
        <v>6</v>
      </c>
      <c r="G434" s="206">
        <v>36</v>
      </c>
      <c r="H434" s="208">
        <f>IFERROR(INDEX(Tier1[Wt],MATCH(Production[[#This Row],[Type]],Tier1[Ingredient],0))*Production[[#This Row],[Blocks Used]],0)</f>
        <v>1800</v>
      </c>
      <c r="I434" s="220"/>
      <c r="J434" s="215" t="str">
        <f>IF(INDEX(Ingredients[Batter],MATCH(Production[[#This Row],[Product]],Ingredients[ProdName],0))*Production[[#This Row],[Batter Used]]&gt;0,INDEX(Ingredients[Batter],MATCH(Production[[#This Row],[Product]],Ingredients[ProdName],0))*Production[[#This Row],[Batter Used]],"")</f>
        <v/>
      </c>
      <c r="K434" s="215" t="str">
        <f>IF(INDEX(Ingredients[Breader],MATCH(Production[[#This Row],[Product]],Ingredients[ProdName],0))*Production[[#This Row],[Breader Used]]&gt;0,INDEX(Ingredients[Breader],MATCH(Production[[#This Row],[Product]],Ingredients[ProdName],0))*Production[[#This Row],[Breader Used]],"")</f>
        <v/>
      </c>
      <c r="L434" s="206"/>
      <c r="M434" s="206"/>
      <c r="N434" s="211">
        <f>IFERROR(IF(SUM(Production[[#This Row],[Meat Wt]:[BrTtl]])&lt;&gt;0,SUM(Production[[#This Row],[Meat Wt]:[BrTtl]]),""),"")</f>
        <v>1800</v>
      </c>
      <c r="O434" s="205">
        <v>87</v>
      </c>
      <c r="P434" s="208">
        <f>INDEX(Ingredients[Case Wt.],MATCH(Production[[#This Row],[Product]],Ingredients[ProdName],0))*Production[[#This Row],[Case Total]]</f>
        <v>2175</v>
      </c>
      <c r="Q434" s="211">
        <f>IFERROR(Production[[#This Row],[SatWt]]-Production[[#This Row],[RawWt]],"")</f>
        <v>375</v>
      </c>
      <c r="R434" s="230" t="str">
        <f>IF(Production[[#This Row],[Species]]&lt;&gt;"",IF(SUM(Production[[#This Row],[BtTtl]:[BrTtl]])/Production[[#This Row],[SatWt]]&lt;&gt;0,SUM(Production[[#This Row],[BtTtl]:[BrTtl]])/Production[[#This Row],[SatWt]],""),"")</f>
        <v/>
      </c>
      <c r="S434" s="231" t="str">
        <f>INDEX(Ingredients[Species],MATCH(Production[[#This Row],[Product]],Ingredients[ProdName],0))</f>
        <v>Poultry</v>
      </c>
    </row>
    <row r="435" spans="1:19" ht="11.1" customHeight="1" x14ac:dyDescent="0.25">
      <c r="A435" s="207" t="str">
        <f>IFERROR(IF(Production[[#This Row],[Date]]&lt;&gt;"",TEXT(Production[[#This Row],[Date]],"yy")&amp;"-"&amp;TEXT(Production[[#This Row],[Date]]-DATE(YEAR(Production[[#This Row],[Date]]),1,0),"000"),""),"")</f>
        <v>24-213</v>
      </c>
      <c r="B435" s="209" t="str">
        <f>IFERROR(IF(INDEX(Ingredients[Ingr1],MATCH(Production[[#This Row],[Product]],Ingredients[ProdName],0))&lt;&gt;"",INDEX(Ingredients[Ingr1],MATCH(Production[[#This Row],[Product]],Ingredients[ProdName],0)),INDEX(Ingredients[Ingr2],MATCH(Production[[#This Row],[Product]],Ingredients[ProdName],0))),"")</f>
        <v>Chicken - Ground</v>
      </c>
      <c r="C435" s="203">
        <v>45504</v>
      </c>
      <c r="D435" s="204" t="s">
        <v>20</v>
      </c>
      <c r="E435" s="205">
        <v>2069</v>
      </c>
      <c r="F435" s="206">
        <v>2</v>
      </c>
      <c r="G435" s="206">
        <v>12</v>
      </c>
      <c r="H435" s="208">
        <f>IFERROR(INDEX(Tier1[Wt],MATCH(Production[[#This Row],[Type]],Tier1[Ingredient],0))*Production[[#This Row],[Blocks Used]],0)</f>
        <v>600</v>
      </c>
      <c r="I435" s="220"/>
      <c r="J435" s="215" t="str">
        <f>IF(INDEX(Ingredients[Batter],MATCH(Production[[#This Row],[Product]],Ingredients[ProdName],0))*Production[[#This Row],[Batter Used]]&gt;0,INDEX(Ingredients[Batter],MATCH(Production[[#This Row],[Product]],Ingredients[ProdName],0))*Production[[#This Row],[Batter Used]],"")</f>
        <v/>
      </c>
      <c r="K435" s="215" t="str">
        <f>IF(INDEX(Ingredients[Breader],MATCH(Production[[#This Row],[Product]],Ingredients[ProdName],0))*Production[[#This Row],[Breader Used]]&gt;0,INDEX(Ingredients[Breader],MATCH(Production[[#This Row],[Product]],Ingredients[ProdName],0))*Production[[#This Row],[Breader Used]],"")</f>
        <v/>
      </c>
      <c r="L435" s="206"/>
      <c r="M435" s="206"/>
      <c r="N435" s="211">
        <f>IFERROR(IF(SUM(Production[[#This Row],[Meat Wt]:[BrTtl]])&lt;&gt;0,SUM(Production[[#This Row],[Meat Wt]:[BrTtl]]),""),"")</f>
        <v>600</v>
      </c>
      <c r="O435" s="205">
        <v>42</v>
      </c>
      <c r="P435" s="208">
        <f>INDEX(Ingredients[Case Wt.],MATCH(Production[[#This Row],[Product]],Ingredients[ProdName],0))*Production[[#This Row],[Case Total]]</f>
        <v>1050</v>
      </c>
      <c r="Q435" s="211">
        <f>IFERROR(Production[[#This Row],[SatWt]]-Production[[#This Row],[RawWt]],"")</f>
        <v>450</v>
      </c>
      <c r="R435" s="230" t="str">
        <f>IF(Production[[#This Row],[Species]]&lt;&gt;"",IF(SUM(Production[[#This Row],[BtTtl]:[BrTtl]])/Production[[#This Row],[SatWt]]&lt;&gt;0,SUM(Production[[#This Row],[BtTtl]:[BrTtl]])/Production[[#This Row],[SatWt]],""),"")</f>
        <v/>
      </c>
      <c r="S435" s="231" t="str">
        <f>INDEX(Ingredients[Species],MATCH(Production[[#This Row],[Product]],Ingredients[ProdName],0))</f>
        <v>Poultry</v>
      </c>
    </row>
    <row r="436" spans="1:19" ht="11.1" customHeight="1" x14ac:dyDescent="0.25">
      <c r="A436" s="207" t="str">
        <f>IFERROR(IF(Production[[#This Row],[Date]]&lt;&gt;"",TEXT(Production[[#This Row],[Date]],"yy")&amp;"-"&amp;TEXT(Production[[#This Row],[Date]]-DATE(YEAR(Production[[#This Row],[Date]]),1,0),"000"),""),"")</f>
        <v>24-214</v>
      </c>
      <c r="B436" s="209" t="str">
        <f>IFERROR(IF(INDEX(Ingredients[Ingr1],MATCH(Production[[#This Row],[Product]],Ingredients[ProdName],0))&lt;&gt;"",INDEX(Ingredients[Ingr1],MATCH(Production[[#This Row],[Product]],Ingredients[ProdName],0)),INDEX(Ingredients[Ingr2],MATCH(Production[[#This Row],[Product]],Ingredients[ProdName],0))),"")</f>
        <v>Chicken - Tenders</v>
      </c>
      <c r="C436" s="203">
        <v>45505</v>
      </c>
      <c r="D436" s="204" t="s">
        <v>25</v>
      </c>
      <c r="E436" s="205" t="s">
        <v>122</v>
      </c>
      <c r="F436" s="206">
        <v>8</v>
      </c>
      <c r="G436" s="206">
        <v>64</v>
      </c>
      <c r="H436" s="208">
        <f>IFERROR(INDEX(Tier1[Wt],MATCH(Production[[#This Row],[Type]],Tier1[Ingredient],0))*Production[[#This Row],[Blocks Used]],0)</f>
        <v>2560</v>
      </c>
      <c r="I436" s="220"/>
      <c r="J436" s="215" t="str">
        <f>IF(INDEX(Ingredients[Batter],MATCH(Production[[#This Row],[Product]],Ingredients[ProdName],0))*Production[[#This Row],[Batter Used]]&gt;0,INDEX(Ingredients[Batter],MATCH(Production[[#This Row],[Product]],Ingredients[ProdName],0))*Production[[#This Row],[Batter Used]],"")</f>
        <v/>
      </c>
      <c r="K436" s="215" t="str">
        <f>IF(INDEX(Ingredients[Breader],MATCH(Production[[#This Row],[Product]],Ingredients[ProdName],0))*Production[[#This Row],[Breader Used]]&gt;0,INDEX(Ingredients[Breader],MATCH(Production[[#This Row],[Product]],Ingredients[ProdName],0))*Production[[#This Row],[Breader Used]],"")</f>
        <v/>
      </c>
      <c r="L436" s="206"/>
      <c r="M436" s="206"/>
      <c r="N436" s="211">
        <f>IFERROR(IF(SUM(Production[[#This Row],[Meat Wt]:[BrTtl]])&lt;&gt;0,SUM(Production[[#This Row],[Meat Wt]:[BrTtl]]),""),"")</f>
        <v>2560</v>
      </c>
      <c r="O436" s="205">
        <v>107</v>
      </c>
      <c r="P436" s="208">
        <f>INDEX(Ingredients[Case Wt.],MATCH(Production[[#This Row],[Product]],Ingredients[ProdName],0))*Production[[#This Row],[Case Total]]</f>
        <v>3210</v>
      </c>
      <c r="Q436" s="211">
        <f>IFERROR(Production[[#This Row],[SatWt]]-Production[[#This Row],[RawWt]],"")</f>
        <v>650</v>
      </c>
      <c r="R436" s="230" t="str">
        <f>IF(Production[[#This Row],[Species]]&lt;&gt;"",IF(SUM(Production[[#This Row],[BtTtl]:[BrTtl]])/Production[[#This Row],[SatWt]]&lt;&gt;0,SUM(Production[[#This Row],[BtTtl]:[BrTtl]])/Production[[#This Row],[SatWt]],""),"")</f>
        <v/>
      </c>
      <c r="S436" s="231" t="str">
        <f>INDEX(Ingredients[Species],MATCH(Production[[#This Row],[Product]],Ingredients[ProdName],0))</f>
        <v>Poultry</v>
      </c>
    </row>
    <row r="437" spans="1:19" ht="11.1" customHeight="1" x14ac:dyDescent="0.25">
      <c r="A437" s="207" t="str">
        <f>IFERROR(IF(Production[[#This Row],[Date]]&lt;&gt;"",TEXT(Production[[#This Row],[Date]],"yy")&amp;"-"&amp;TEXT(Production[[#This Row],[Date]]-DATE(YEAR(Production[[#This Row],[Date]]),1,0),"000"),""),"")</f>
        <v>24-218</v>
      </c>
      <c r="B437" s="209" t="str">
        <f>IFERROR(IF(INDEX(Ingredients[Ingr1],MATCH(Production[[#This Row],[Product]],Ingredients[ProdName],0))&lt;&gt;"",INDEX(Ingredients[Ingr1],MATCH(Production[[#This Row],[Product]],Ingredients[ProdName],0)),INDEX(Ingredients[Ingr2],MATCH(Production[[#This Row],[Product]],Ingredients[ProdName],0))),"")</f>
        <v>Chicken - Tenders</v>
      </c>
      <c r="C437" s="203">
        <v>45509</v>
      </c>
      <c r="D437" s="204" t="s">
        <v>21</v>
      </c>
      <c r="E437" s="205" t="s">
        <v>281</v>
      </c>
      <c r="F437" s="206">
        <v>10</v>
      </c>
      <c r="G437" s="206">
        <v>70</v>
      </c>
      <c r="H437" s="208">
        <f>IFERROR(INDEX(Tier1[Wt],MATCH(Production[[#This Row],[Type]],Tier1[Ingredient],0))*Production[[#This Row],[Blocks Used]],0)</f>
        <v>2800</v>
      </c>
      <c r="I437" s="220"/>
      <c r="J437" s="215">
        <f>IF(INDEX(Ingredients[Batter],MATCH(Production[[#This Row],[Product]],Ingredients[ProdName],0))*Production[[#This Row],[Batter Used]]&gt;0,INDEX(Ingredients[Batter],MATCH(Production[[#This Row],[Product]],Ingredients[ProdName],0))*Production[[#This Row],[Batter Used]],"")</f>
        <v>150</v>
      </c>
      <c r="K437" s="215">
        <f>IF(INDEX(Ingredients[Breader],MATCH(Production[[#This Row],[Product]],Ingredients[ProdName],0))*Production[[#This Row],[Breader Used]]&gt;0,INDEX(Ingredients[Breader],MATCH(Production[[#This Row],[Product]],Ingredients[ProdName],0))*Production[[#This Row],[Breader Used]],"")</f>
        <v>600</v>
      </c>
      <c r="L437" s="206">
        <v>3</v>
      </c>
      <c r="M437" s="206">
        <v>12</v>
      </c>
      <c r="N437" s="211">
        <f>IFERROR(IF(SUM(Production[[#This Row],[Meat Wt]:[BrTtl]])&lt;&gt;0,SUM(Production[[#This Row],[Meat Wt]:[BrTtl]]),""),"")</f>
        <v>3550</v>
      </c>
      <c r="O437" s="205">
        <v>186</v>
      </c>
      <c r="P437" s="208">
        <f>INDEX(Ingredients[Case Wt.],MATCH(Production[[#This Row],[Product]],Ingredients[ProdName],0))*Production[[#This Row],[Case Total]]</f>
        <v>4650</v>
      </c>
      <c r="Q437" s="211">
        <f>IFERROR(Production[[#This Row],[SatWt]]-Production[[#This Row],[RawWt]],"")</f>
        <v>1100</v>
      </c>
      <c r="R437" s="230">
        <f>IF(Production[[#This Row],[Species]]&lt;&gt;"",IF(SUM(Production[[#This Row],[BtTtl]:[BrTtl]])/Production[[#This Row],[SatWt]]&lt;&gt;0,SUM(Production[[#This Row],[BtTtl]:[BrTtl]])/Production[[#This Row],[SatWt]],""),"")</f>
        <v>0.16129032258064516</v>
      </c>
      <c r="S437" s="231" t="str">
        <f>INDEX(Ingredients[Species],MATCH(Production[[#This Row],[Product]],Ingredients[ProdName],0))</f>
        <v>Poultry</v>
      </c>
    </row>
    <row r="438" spans="1:19" ht="12.75" customHeight="1" x14ac:dyDescent="0.25">
      <c r="A438" s="207" t="str">
        <f>IFERROR(IF(Production[[#This Row],[Date]]&lt;&gt;"",TEXT(Production[[#This Row],[Date]],"yy")&amp;"-"&amp;TEXT(Production[[#This Row],[Date]]-DATE(YEAR(Production[[#This Row],[Date]]),1,0),"000"),""),"")</f>
        <v>24-220</v>
      </c>
      <c r="B438" s="209" t="str">
        <f>IFERROR(IF(INDEX(Ingredients[Ingr1],MATCH(Production[[#This Row],[Product]],Ingredients[ProdName],0))&lt;&gt;"",INDEX(Ingredients[Ingr1],MATCH(Production[[#This Row],[Product]],Ingredients[ProdName],0)),INDEX(Ingredients[Ingr2],MATCH(Production[[#This Row],[Product]],Ingredients[ProdName],0))),"")</f>
        <v>Chicken - Tenders</v>
      </c>
      <c r="C438" s="203">
        <v>45511</v>
      </c>
      <c r="D438" s="204" t="s">
        <v>21</v>
      </c>
      <c r="E438" s="205" t="s">
        <v>281</v>
      </c>
      <c r="F438" s="206">
        <v>4</v>
      </c>
      <c r="G438" s="206">
        <v>28</v>
      </c>
      <c r="H438" s="208">
        <f>IFERROR(INDEX(Tier1[Wt],MATCH(Production[[#This Row],[Type]],Tier1[Ingredient],0))*Production[[#This Row],[Blocks Used]],0)</f>
        <v>1120</v>
      </c>
      <c r="I438" s="220"/>
      <c r="J438" s="215">
        <f>IF(INDEX(Ingredients[Batter],MATCH(Production[[#This Row],[Product]],Ingredients[ProdName],0))*Production[[#This Row],[Batter Used]]&gt;0,INDEX(Ingredients[Batter],MATCH(Production[[#This Row],[Product]],Ingredients[ProdName],0))*Production[[#This Row],[Batter Used]],"")</f>
        <v>150</v>
      </c>
      <c r="K438" s="215">
        <f>IF(INDEX(Ingredients[Breader],MATCH(Production[[#This Row],[Product]],Ingredients[ProdName],0))*Production[[#This Row],[Breader Used]]&gt;0,INDEX(Ingredients[Breader],MATCH(Production[[#This Row],[Product]],Ingredients[ProdName],0))*Production[[#This Row],[Breader Used]],"")</f>
        <v>150</v>
      </c>
      <c r="L438" s="206">
        <v>3</v>
      </c>
      <c r="M438" s="206">
        <v>3</v>
      </c>
      <c r="N438" s="211">
        <f>IFERROR(IF(SUM(Production[[#This Row],[Meat Wt]:[BrTtl]])&lt;&gt;0,SUM(Production[[#This Row],[Meat Wt]:[BrTtl]]),""),"")</f>
        <v>1420</v>
      </c>
      <c r="O438" s="205">
        <v>48</v>
      </c>
      <c r="P438" s="208">
        <f>INDEX(Ingredients[Case Wt.],MATCH(Production[[#This Row],[Product]],Ingredients[ProdName],0))*Production[[#This Row],[Case Total]]</f>
        <v>1200</v>
      </c>
      <c r="Q438" s="211">
        <f>IFERROR(Production[[#This Row],[SatWt]]-Production[[#This Row],[RawWt]],"")</f>
        <v>-220</v>
      </c>
      <c r="R438" s="230">
        <f>IF(Production[[#This Row],[Species]]&lt;&gt;"",IF(SUM(Production[[#This Row],[BtTtl]:[BrTtl]])/Production[[#This Row],[SatWt]]&lt;&gt;0,SUM(Production[[#This Row],[BtTtl]:[BrTtl]])/Production[[#This Row],[SatWt]],""),"")</f>
        <v>0.25</v>
      </c>
      <c r="S438" s="232" t="str">
        <f>INDEX(Ingredients[Species],MATCH(Production[[#This Row],[Product]],Ingredients[ProdName],0))</f>
        <v>Poultry</v>
      </c>
    </row>
    <row r="439" spans="1:19" ht="12.75" customHeight="1" x14ac:dyDescent="0.25">
      <c r="A439" s="207" t="str">
        <f>IFERROR(IF(Production[[#This Row],[Date]]&lt;&gt;"",TEXT(Production[[#This Row],[Date]],"yy")&amp;"-"&amp;TEXT(Production[[#This Row],[Date]]-DATE(YEAR(Production[[#This Row],[Date]]),1,0),"000"),""),"")</f>
        <v>24-221</v>
      </c>
      <c r="B439" s="209" t="str">
        <f>IFERROR(IF(INDEX(Ingredients[Ingr1],MATCH(Production[[#This Row],[Product]],Ingredients[ProdName],0))&lt;&gt;"",INDEX(Ingredients[Ingr1],MATCH(Production[[#This Row],[Product]],Ingredients[ProdName],0)),INDEX(Ingredients[Ingr2],MATCH(Production[[#This Row],[Product]],Ingredients[ProdName],0))),"")</f>
        <v>Chicken - Tenders</v>
      </c>
      <c r="C439" s="203">
        <v>45512</v>
      </c>
      <c r="D439" s="204" t="s">
        <v>21</v>
      </c>
      <c r="E439" s="205" t="s">
        <v>281</v>
      </c>
      <c r="F439" s="206">
        <v>10</v>
      </c>
      <c r="G439" s="206">
        <v>70</v>
      </c>
      <c r="H439" s="208">
        <f>IFERROR(INDEX(Tier1[Wt],MATCH(Production[[#This Row],[Type]],Tier1[Ingredient],0))*Production[[#This Row],[Blocks Used]],0)</f>
        <v>2800</v>
      </c>
      <c r="I439" s="220"/>
      <c r="J439" s="215">
        <f>IF(INDEX(Ingredients[Batter],MATCH(Production[[#This Row],[Product]],Ingredients[ProdName],0))*Production[[#This Row],[Batter Used]]&gt;0,INDEX(Ingredients[Batter],MATCH(Production[[#This Row],[Product]],Ingredients[ProdName],0))*Production[[#This Row],[Batter Used]],"")</f>
        <v>150</v>
      </c>
      <c r="K439" s="215">
        <f>IF(INDEX(Ingredients[Breader],MATCH(Production[[#This Row],[Product]],Ingredients[ProdName],0))*Production[[#This Row],[Breader Used]]&gt;0,INDEX(Ingredients[Breader],MATCH(Production[[#This Row],[Product]],Ingredients[ProdName],0))*Production[[#This Row],[Breader Used]],"")</f>
        <v>700</v>
      </c>
      <c r="L439" s="206">
        <v>3</v>
      </c>
      <c r="M439" s="206">
        <v>14</v>
      </c>
      <c r="N439" s="211">
        <f>IFERROR(IF(SUM(Production[[#This Row],[Meat Wt]:[BrTtl]])&lt;&gt;0,SUM(Production[[#This Row],[Meat Wt]:[BrTtl]]),""),"")</f>
        <v>3650</v>
      </c>
      <c r="O439" s="205">
        <v>204</v>
      </c>
      <c r="P439" s="208">
        <f>INDEX(Ingredients[Case Wt.],MATCH(Production[[#This Row],[Product]],Ingredients[ProdName],0))*Production[[#This Row],[Case Total]]</f>
        <v>5100</v>
      </c>
      <c r="Q439" s="211">
        <f>IFERROR(Production[[#This Row],[SatWt]]-Production[[#This Row],[RawWt]],"")</f>
        <v>1450</v>
      </c>
      <c r="R439" s="230">
        <f>IF(Production[[#This Row],[Species]]&lt;&gt;"",IF(SUM(Production[[#This Row],[BtTtl]:[BrTtl]])/Production[[#This Row],[SatWt]]&lt;&gt;0,SUM(Production[[#This Row],[BtTtl]:[BrTtl]])/Production[[#This Row],[SatWt]],""),"")</f>
        <v>0.16666666666666666</v>
      </c>
      <c r="S439" s="232" t="str">
        <f>INDEX(Ingredients[Species],MATCH(Production[[#This Row],[Product]],Ingredients[ProdName],0))</f>
        <v>Poultry</v>
      </c>
    </row>
    <row r="440" spans="1:19" ht="12.75" customHeight="1" x14ac:dyDescent="0.25">
      <c r="A440" s="207" t="str">
        <f>IFERROR(IF(Production[[#This Row],[Date]]&lt;&gt;"",TEXT(Production[[#This Row],[Date]],"yy")&amp;"-"&amp;TEXT(Production[[#This Row],[Date]]-DATE(YEAR(Production[[#This Row],[Date]]),1,0),"000"),""),"")</f>
        <v>24-225</v>
      </c>
      <c r="B440" s="209" t="str">
        <f>IFERROR(IF(INDEX(Ingredients[Ingr1],MATCH(Production[[#This Row],[Product]],Ingredients[ProdName],0))&lt;&gt;"",INDEX(Ingredients[Ingr1],MATCH(Production[[#This Row],[Product]],Ingredients[ProdName],0)),INDEX(Ingredients[Ingr2],MATCH(Production[[#This Row],[Product]],Ingredients[ProdName],0))),"")</f>
        <v>Chicken - Tenders</v>
      </c>
      <c r="C440" s="203">
        <v>45516</v>
      </c>
      <c r="D440" s="204" t="s">
        <v>151</v>
      </c>
      <c r="E440" s="205" t="s">
        <v>282</v>
      </c>
      <c r="F440" s="206">
        <v>10</v>
      </c>
      <c r="G440" s="206">
        <v>70</v>
      </c>
      <c r="H440" s="208">
        <f>IFERROR(INDEX(Tier1[Wt],MATCH(Production[[#This Row],[Type]],Tier1[Ingredient],0))*Production[[#This Row],[Blocks Used]],0)</f>
        <v>2800</v>
      </c>
      <c r="I440" s="220"/>
      <c r="J440" s="215">
        <f>IF(INDEX(Ingredients[Batter],MATCH(Production[[#This Row],[Product]],Ingredients[ProdName],0))*Production[[#This Row],[Batter Used]]&gt;0,INDEX(Ingredients[Batter],MATCH(Production[[#This Row],[Product]],Ingredients[ProdName],0))*Production[[#This Row],[Batter Used]],"")</f>
        <v>350</v>
      </c>
      <c r="K440" s="215">
        <f>IF(INDEX(Ingredients[Breader],MATCH(Production[[#This Row],[Product]],Ingredients[ProdName],0))*Production[[#This Row],[Breader Used]]&gt;0,INDEX(Ingredients[Breader],MATCH(Production[[#This Row],[Product]],Ingredients[ProdName],0))*Production[[#This Row],[Breader Used]],"")</f>
        <v>550</v>
      </c>
      <c r="L440" s="206">
        <v>7</v>
      </c>
      <c r="M440" s="206">
        <v>11</v>
      </c>
      <c r="N440" s="211">
        <f>IFERROR(IF(SUM(Production[[#This Row],[Meat Wt]:[BrTtl]])&lt;&gt;0,SUM(Production[[#This Row],[Meat Wt]:[BrTtl]]),""),"")</f>
        <v>3700</v>
      </c>
      <c r="O440" s="205">
        <v>191</v>
      </c>
      <c r="P440" s="208">
        <f>INDEX(Ingredients[Case Wt.],MATCH(Production[[#This Row],[Product]],Ingredients[ProdName],0))*Production[[#This Row],[Case Total]]</f>
        <v>5730</v>
      </c>
      <c r="Q440" s="211">
        <f>IFERROR(Production[[#This Row],[SatWt]]-Production[[#This Row],[RawWt]],"")</f>
        <v>2030</v>
      </c>
      <c r="R440" s="230">
        <f>IF(Production[[#This Row],[Species]]&lt;&gt;"",IF(SUM(Production[[#This Row],[BtTtl]:[BrTtl]])/Production[[#This Row],[SatWt]]&lt;&gt;0,SUM(Production[[#This Row],[BtTtl]:[BrTtl]])/Production[[#This Row],[SatWt]],""),"")</f>
        <v>0.15706806282722513</v>
      </c>
      <c r="S440" s="232" t="str">
        <f>INDEX(Ingredients[Species],MATCH(Production[[#This Row],[Product]],Ingredients[ProdName],0))</f>
        <v>Poultry</v>
      </c>
    </row>
    <row r="441" spans="1:19" ht="12.75" customHeight="1" x14ac:dyDescent="0.25">
      <c r="A441" s="207" t="str">
        <f>IFERROR(IF(Production[[#This Row],[Date]]&lt;&gt;"",TEXT(Production[[#This Row],[Date]],"yy")&amp;"-"&amp;TEXT(Production[[#This Row],[Date]]-DATE(YEAR(Production[[#This Row],[Date]]),1,0),"000"),""),"")</f>
        <v>24-226</v>
      </c>
      <c r="B441" s="209" t="str">
        <f>IFERROR(IF(INDEX(Ingredients[Ingr1],MATCH(Production[[#This Row],[Product]],Ingredients[ProdName],0))&lt;&gt;"",INDEX(Ingredients[Ingr1],MATCH(Production[[#This Row],[Product]],Ingredients[ProdName],0)),INDEX(Ingredients[Ingr2],MATCH(Production[[#This Row],[Product]],Ingredients[ProdName],0))),"")</f>
        <v>Chicken - Tenders</v>
      </c>
      <c r="C441" s="203">
        <v>45517</v>
      </c>
      <c r="D441" s="204" t="s">
        <v>151</v>
      </c>
      <c r="E441" s="205" t="s">
        <v>283</v>
      </c>
      <c r="F441" s="206">
        <v>10</v>
      </c>
      <c r="G441" s="206">
        <v>70</v>
      </c>
      <c r="H441" s="208">
        <f>IFERROR(INDEX(Tier1[Wt],MATCH(Production[[#This Row],[Type]],Tier1[Ingredient],0))*Production[[#This Row],[Blocks Used]],0)</f>
        <v>2800</v>
      </c>
      <c r="I441" s="220"/>
      <c r="J441" s="215">
        <f>IF(INDEX(Ingredients[Batter],MATCH(Production[[#This Row],[Product]],Ingredients[ProdName],0))*Production[[#This Row],[Batter Used]]&gt;0,INDEX(Ingredients[Batter],MATCH(Production[[#This Row],[Product]],Ingredients[ProdName],0))*Production[[#This Row],[Batter Used]],"")</f>
        <v>150</v>
      </c>
      <c r="K441" s="215">
        <f>IF(INDEX(Ingredients[Breader],MATCH(Production[[#This Row],[Product]],Ingredients[ProdName],0))*Production[[#This Row],[Breader Used]]&gt;0,INDEX(Ingredients[Breader],MATCH(Production[[#This Row],[Product]],Ingredients[ProdName],0))*Production[[#This Row],[Breader Used]],"")</f>
        <v>550</v>
      </c>
      <c r="L441" s="206">
        <v>3</v>
      </c>
      <c r="M441" s="206">
        <v>11</v>
      </c>
      <c r="N441" s="211">
        <f>IFERROR(IF(SUM(Production[[#This Row],[Meat Wt]:[BrTtl]])&lt;&gt;0,SUM(Production[[#This Row],[Meat Wt]:[BrTtl]]),""),"")</f>
        <v>3500</v>
      </c>
      <c r="O441" s="205">
        <v>190</v>
      </c>
      <c r="P441" s="208">
        <f>INDEX(Ingredients[Case Wt.],MATCH(Production[[#This Row],[Product]],Ingredients[ProdName],0))*Production[[#This Row],[Case Total]]</f>
        <v>5700</v>
      </c>
      <c r="Q441" s="211">
        <f>IFERROR(Production[[#This Row],[SatWt]]-Production[[#This Row],[RawWt]],"")</f>
        <v>2200</v>
      </c>
      <c r="R441" s="230">
        <f>IF(Production[[#This Row],[Species]]&lt;&gt;"",IF(SUM(Production[[#This Row],[BtTtl]:[BrTtl]])/Production[[#This Row],[SatWt]]&lt;&gt;0,SUM(Production[[#This Row],[BtTtl]:[BrTtl]])/Production[[#This Row],[SatWt]],""),"")</f>
        <v>0.12280701754385964</v>
      </c>
      <c r="S441" s="232" t="str">
        <f>INDEX(Ingredients[Species],MATCH(Production[[#This Row],[Product]],Ingredients[ProdName],0))</f>
        <v>Poultry</v>
      </c>
    </row>
    <row r="442" spans="1:19" ht="11.1" customHeight="1" x14ac:dyDescent="0.25">
      <c r="A442" s="207" t="str">
        <f>IFERROR(IF(Production[[#This Row],[Date]]&lt;&gt;"",TEXT(Production[[#This Row],[Date]],"yy")&amp;"-"&amp;TEXT(Production[[#This Row],[Date]]-DATE(YEAR(Production[[#This Row],[Date]]),1,0),"000"),""),"")</f>
        <v>24-228</v>
      </c>
      <c r="B442" s="209" t="str">
        <f>IFERROR(IF(INDEX(Ingredients[Ingr1],MATCH(Production[[#This Row],[Product]],Ingredients[ProdName],0))&lt;&gt;"",INDEX(Ingredients[Ingr1],MATCH(Production[[#This Row],[Product]],Ingredients[ProdName],0)),INDEX(Ingredients[Ingr2],MATCH(Production[[#This Row],[Product]],Ingredients[ProdName],0))),"")</f>
        <v>Apples - Sliced</v>
      </c>
      <c r="C442" s="203">
        <v>45519</v>
      </c>
      <c r="D442" s="204" t="s">
        <v>43</v>
      </c>
      <c r="E442" s="205" t="s">
        <v>284</v>
      </c>
      <c r="F442" s="206"/>
      <c r="G442" s="206"/>
      <c r="H442" s="208">
        <f>IFERROR(INDEX(Tier1[Wt],MATCH(Production[[#This Row],[Type]],Tier1[Ingredient],0))*Production[[#This Row],[Blocks Used]],0)</f>
        <v>0</v>
      </c>
      <c r="I442" s="220"/>
      <c r="J442" s="215" t="str">
        <f>IF(INDEX(Ingredients[Batter],MATCH(Production[[#This Row],[Product]],Ingredients[ProdName],0))*Production[[#This Row],[Batter Used]]&gt;0,INDEX(Ingredients[Batter],MATCH(Production[[#This Row],[Product]],Ingredients[ProdName],0))*Production[[#This Row],[Batter Used]],"")</f>
        <v/>
      </c>
      <c r="K442" s="215" t="str">
        <f>IF(INDEX(Ingredients[Breader],MATCH(Production[[#This Row],[Product]],Ingredients[ProdName],0))*Production[[#This Row],[Breader Used]]&gt;0,INDEX(Ingredients[Breader],MATCH(Production[[#This Row],[Product]],Ingredients[ProdName],0))*Production[[#This Row],[Breader Used]],"")</f>
        <v/>
      </c>
      <c r="L442" s="206"/>
      <c r="M442" s="206"/>
      <c r="N442" s="211" t="str">
        <f>IFERROR(IF(SUM(Production[[#This Row],[Meat Wt]:[BrTtl]])&lt;&gt;0,SUM(Production[[#This Row],[Meat Wt]:[BrTtl]]),""),"")</f>
        <v/>
      </c>
      <c r="O442" s="205">
        <v>40</v>
      </c>
      <c r="P442" s="208">
        <f>INDEX(Ingredients[Case Wt.],MATCH(Production[[#This Row],[Product]],Ingredients[ProdName],0))*Production[[#This Row],[Case Total]]</f>
        <v>1200</v>
      </c>
      <c r="Q442" s="211" t="str">
        <f>IFERROR(Production[[#This Row],[SatWt]]-Production[[#This Row],[RawWt]],"")</f>
        <v/>
      </c>
      <c r="R442" s="230" t="str">
        <f>IF(Production[[#This Row],[Species]]&lt;&gt;"",IF(SUM(Production[[#This Row],[BtTtl]:[BrTtl]])/Production[[#This Row],[SatWt]]&lt;&gt;0,SUM(Production[[#This Row],[BtTtl]:[BrTtl]])/Production[[#This Row],[SatWt]],""),"")</f>
        <v/>
      </c>
      <c r="S442" s="231" t="str">
        <f>INDEX(Ingredients[Species],MATCH(Production[[#This Row],[Product]],Ingredients[ProdName],0))</f>
        <v/>
      </c>
    </row>
    <row r="443" spans="1:19" ht="11.1" customHeight="1" x14ac:dyDescent="0.25">
      <c r="A443" s="207" t="str">
        <f>IFERROR(IF(Production[[#This Row],[Date]]&lt;&gt;"",TEXT(Production[[#This Row],[Date]],"yy")&amp;"-"&amp;TEXT(Production[[#This Row],[Date]]-DATE(YEAR(Production[[#This Row],[Date]]),1,0),"000"),""),"")</f>
        <v>24-232</v>
      </c>
      <c r="B443" s="209" t="str">
        <f>IFERROR(IF(INDEX(Ingredients[Ingr1],MATCH(Production[[#This Row],[Product]],Ingredients[ProdName],0))&lt;&gt;"",INDEX(Ingredients[Ingr1],MATCH(Production[[#This Row],[Product]],Ingredients[ProdName],0)),INDEX(Ingredients[Ingr2],MATCH(Production[[#This Row],[Product]],Ingredients[ProdName],0))),"")</f>
        <v>Apples - Sliced</v>
      </c>
      <c r="C443" s="203">
        <v>45523</v>
      </c>
      <c r="D443" s="204" t="s">
        <v>43</v>
      </c>
      <c r="E443" s="205" t="s">
        <v>285</v>
      </c>
      <c r="F443" s="206"/>
      <c r="G443" s="206"/>
      <c r="H443" s="208">
        <f>IFERROR(INDEX(Tier1[Wt],MATCH(Production[[#This Row],[Type]],Tier1[Ingredient],0))*Production[[#This Row],[Blocks Used]],0)</f>
        <v>0</v>
      </c>
      <c r="I443" s="220"/>
      <c r="J443" s="215" t="str">
        <f>IF(INDEX(Ingredients[Batter],MATCH(Production[[#This Row],[Product]],Ingredients[ProdName],0))*Production[[#This Row],[Batter Used]]&gt;0,INDEX(Ingredients[Batter],MATCH(Production[[#This Row],[Product]],Ingredients[ProdName],0))*Production[[#This Row],[Batter Used]],"")</f>
        <v/>
      </c>
      <c r="K443" s="215" t="str">
        <f>IF(INDEX(Ingredients[Breader],MATCH(Production[[#This Row],[Product]],Ingredients[ProdName],0))*Production[[#This Row],[Breader Used]]&gt;0,INDEX(Ingredients[Breader],MATCH(Production[[#This Row],[Product]],Ingredients[ProdName],0))*Production[[#This Row],[Breader Used]],"")</f>
        <v/>
      </c>
      <c r="L443" s="206"/>
      <c r="M443" s="206"/>
      <c r="N443" s="211" t="str">
        <f>IFERROR(IF(SUM(Production[[#This Row],[Meat Wt]:[BrTtl]])&lt;&gt;0,SUM(Production[[#This Row],[Meat Wt]:[BrTtl]]),""),"")</f>
        <v/>
      </c>
      <c r="O443" s="205">
        <v>32</v>
      </c>
      <c r="P443" s="208">
        <f>INDEX(Ingredients[Case Wt.],MATCH(Production[[#This Row],[Product]],Ingredients[ProdName],0))*Production[[#This Row],[Case Total]]</f>
        <v>960</v>
      </c>
      <c r="Q443" s="211" t="str">
        <f>IFERROR(Production[[#This Row],[SatWt]]-Production[[#This Row],[RawWt]],"")</f>
        <v/>
      </c>
      <c r="R443" s="230" t="str">
        <f>IF(Production[[#This Row],[Species]]&lt;&gt;"",IF(SUM(Production[[#This Row],[BtTtl]:[BrTtl]])/Production[[#This Row],[SatWt]]&lt;&gt;0,SUM(Production[[#This Row],[BtTtl]:[BrTtl]])/Production[[#This Row],[SatWt]],""),"")</f>
        <v/>
      </c>
      <c r="S443" s="231" t="str">
        <f>INDEX(Ingredients[Species],MATCH(Production[[#This Row],[Product]],Ingredients[ProdName],0))</f>
        <v/>
      </c>
    </row>
    <row r="444" spans="1:19" ht="11.1" customHeight="1" x14ac:dyDescent="0.25">
      <c r="A444" s="207" t="str">
        <f>IFERROR(IF(Production[[#This Row],[Date]]&lt;&gt;"",TEXT(Production[[#This Row],[Date]],"yy")&amp;"-"&amp;TEXT(Production[[#This Row],[Date]]-DATE(YEAR(Production[[#This Row],[Date]]),1,0),"000"),""),"")</f>
        <v>24-233</v>
      </c>
      <c r="B444" s="209" t="str">
        <f>IFERROR(IF(INDEX(Ingredients[Ingr1],MATCH(Production[[#This Row],[Product]],Ingredients[ProdName],0))&lt;&gt;"",INDEX(Ingredients[Ingr1],MATCH(Production[[#This Row],[Product]],Ingredients[ProdName],0)),INDEX(Ingredients[Ingr2],MATCH(Production[[#This Row],[Product]],Ingredients[ProdName],0))),"")</f>
        <v>Apples - Sliced</v>
      </c>
      <c r="C444" s="203">
        <v>45524</v>
      </c>
      <c r="D444" s="204" t="s">
        <v>43</v>
      </c>
      <c r="E444" s="205" t="s">
        <v>286</v>
      </c>
      <c r="F444" s="206"/>
      <c r="G444" s="206"/>
      <c r="H444" s="208">
        <f>IFERROR(INDEX(Tier1[Wt],MATCH(Production[[#This Row],[Type]],Tier1[Ingredient],0))*Production[[#This Row],[Blocks Used]],0)</f>
        <v>0</v>
      </c>
      <c r="I444" s="220"/>
      <c r="J444" s="215" t="str">
        <f>IF(INDEX(Ingredients[Batter],MATCH(Production[[#This Row],[Product]],Ingredients[ProdName],0))*Production[[#This Row],[Batter Used]]&gt;0,INDEX(Ingredients[Batter],MATCH(Production[[#This Row],[Product]],Ingredients[ProdName],0))*Production[[#This Row],[Batter Used]],"")</f>
        <v/>
      </c>
      <c r="K444" s="215" t="str">
        <f>IF(INDEX(Ingredients[Breader],MATCH(Production[[#This Row],[Product]],Ingredients[ProdName],0))*Production[[#This Row],[Breader Used]]&gt;0,INDEX(Ingredients[Breader],MATCH(Production[[#This Row],[Product]],Ingredients[ProdName],0))*Production[[#This Row],[Breader Used]],"")</f>
        <v/>
      </c>
      <c r="L444" s="206"/>
      <c r="M444" s="206"/>
      <c r="N444" s="211" t="str">
        <f>IFERROR(IF(SUM(Production[[#This Row],[Meat Wt]:[BrTtl]])&lt;&gt;0,SUM(Production[[#This Row],[Meat Wt]:[BrTtl]]),""),"")</f>
        <v/>
      </c>
      <c r="O444" s="205">
        <v>81</v>
      </c>
      <c r="P444" s="208">
        <f>INDEX(Ingredients[Case Wt.],MATCH(Production[[#This Row],[Product]],Ingredients[ProdName],0))*Production[[#This Row],[Case Total]]</f>
        <v>2430</v>
      </c>
      <c r="Q444" s="211" t="str">
        <f>IFERROR(Production[[#This Row],[SatWt]]-Production[[#This Row],[RawWt]],"")</f>
        <v/>
      </c>
      <c r="R444" s="230" t="str">
        <f>IF(Production[[#This Row],[Species]]&lt;&gt;"",IF(SUM(Production[[#This Row],[BtTtl]:[BrTtl]])/Production[[#This Row],[SatWt]]&lt;&gt;0,SUM(Production[[#This Row],[BtTtl]:[BrTtl]])/Production[[#This Row],[SatWt]],""),"")</f>
        <v/>
      </c>
      <c r="S444" s="231" t="str">
        <f>INDEX(Ingredients[Species],MATCH(Production[[#This Row],[Product]],Ingredients[ProdName],0))</f>
        <v/>
      </c>
    </row>
    <row r="445" spans="1:19" ht="11.1" customHeight="1" x14ac:dyDescent="0.25">
      <c r="A445" s="207" t="str">
        <f>IFERROR(IF(Production[[#This Row],[Date]]&lt;&gt;"",TEXT(Production[[#This Row],[Date]],"yy")&amp;"-"&amp;TEXT(Production[[#This Row],[Date]]-DATE(YEAR(Production[[#This Row],[Date]]),1,0),"000"),""),"")</f>
        <v>24-235</v>
      </c>
      <c r="B445" s="209" t="str">
        <f>IFERROR(IF(INDEX(Ingredients[Ingr1],MATCH(Production[[#This Row],[Product]],Ingredients[ProdName],0))&lt;&gt;"",INDEX(Ingredients[Ingr1],MATCH(Production[[#This Row],[Product]],Ingredients[ProdName],0)),INDEX(Ingredients[Ingr2],MATCH(Production[[#This Row],[Product]],Ingredients[ProdName],0))),"")</f>
        <v>Chicken - Tenders</v>
      </c>
      <c r="C445" s="203">
        <v>45526</v>
      </c>
      <c r="D445" s="204" t="s">
        <v>151</v>
      </c>
      <c r="E445" s="205" t="s">
        <v>287</v>
      </c>
      <c r="F445" s="206">
        <v>12</v>
      </c>
      <c r="G445" s="206">
        <v>84</v>
      </c>
      <c r="H445" s="208">
        <f>IFERROR(INDEX(Tier1[Wt],MATCH(Production[[#This Row],[Type]],Tier1[Ingredient],0))*Production[[#This Row],[Blocks Used]],0)</f>
        <v>3360</v>
      </c>
      <c r="I445" s="220"/>
      <c r="J445" s="215">
        <f>IF(INDEX(Ingredients[Batter],MATCH(Production[[#This Row],[Product]],Ingredients[ProdName],0))*Production[[#This Row],[Batter Used]]&gt;0,INDEX(Ingredients[Batter],MATCH(Production[[#This Row],[Product]],Ingredients[ProdName],0))*Production[[#This Row],[Batter Used]],"")</f>
        <v>150</v>
      </c>
      <c r="K445" s="215">
        <f>IF(INDEX(Ingredients[Breader],MATCH(Production[[#This Row],[Product]],Ingredients[ProdName],0))*Production[[#This Row],[Breader Used]]&gt;0,INDEX(Ingredients[Breader],MATCH(Production[[#This Row],[Product]],Ingredients[ProdName],0))*Production[[#This Row],[Breader Used]],"")</f>
        <v>750</v>
      </c>
      <c r="L445" s="206">
        <v>3</v>
      </c>
      <c r="M445" s="206">
        <v>15</v>
      </c>
      <c r="N445" s="211">
        <f>IFERROR(IF(SUM(Production[[#This Row],[Meat Wt]:[BrTtl]])&lt;&gt;0,SUM(Production[[#This Row],[Meat Wt]:[BrTtl]]),""),"")</f>
        <v>4260</v>
      </c>
      <c r="O445" s="205">
        <v>239</v>
      </c>
      <c r="P445" s="208">
        <f>INDEX(Ingredients[Case Wt.],MATCH(Production[[#This Row],[Product]],Ingredients[ProdName],0))*Production[[#This Row],[Case Total]]</f>
        <v>7170</v>
      </c>
      <c r="Q445" s="211">
        <f>IFERROR(Production[[#This Row],[SatWt]]-Production[[#This Row],[RawWt]],"")</f>
        <v>2910</v>
      </c>
      <c r="R445" s="230">
        <f>IF(Production[[#This Row],[Species]]&lt;&gt;"",IF(SUM(Production[[#This Row],[BtTtl]:[BrTtl]])/Production[[#This Row],[SatWt]]&lt;&gt;0,SUM(Production[[#This Row],[BtTtl]:[BrTtl]])/Production[[#This Row],[SatWt]],""),"")</f>
        <v>0.12552301255230125</v>
      </c>
      <c r="S445" s="231" t="str">
        <f>INDEX(Ingredients[Species],MATCH(Production[[#This Row],[Product]],Ingredients[ProdName],0))</f>
        <v>Poultry</v>
      </c>
    </row>
    <row r="446" spans="1:19" ht="11.1" customHeight="1" x14ac:dyDescent="0.25">
      <c r="A446" s="207" t="str">
        <f>IFERROR(IF(Production[[#This Row],[Date]]&lt;&gt;"",TEXT(Production[[#This Row],[Date]],"yy")&amp;"-"&amp;TEXT(Production[[#This Row],[Date]]-DATE(YEAR(Production[[#This Row],[Date]]),1,0),"000"),""),"")</f>
        <v>24-239</v>
      </c>
      <c r="B446" s="209" t="str">
        <f>IFERROR(IF(INDEX(Ingredients[Ingr1],MATCH(Production[[#This Row],[Product]],Ingredients[ProdName],0))&lt;&gt;"",INDEX(Ingredients[Ingr1],MATCH(Production[[#This Row],[Product]],Ingredients[ProdName],0)),INDEX(Ingredients[Ingr2],MATCH(Production[[#This Row],[Product]],Ingredients[ProdName],0))),"")</f>
        <v>Chicken - Ground</v>
      </c>
      <c r="C446" s="203">
        <v>45530</v>
      </c>
      <c r="D446" s="204" t="s">
        <v>7</v>
      </c>
      <c r="E446" s="205">
        <v>2069</v>
      </c>
      <c r="F446" s="206">
        <v>8</v>
      </c>
      <c r="G446" s="206">
        <v>48</v>
      </c>
      <c r="H446" s="208">
        <f>IFERROR(INDEX(Tier1[Wt],MATCH(Production[[#This Row],[Type]],Tier1[Ingredient],0))*Production[[#This Row],[Blocks Used]],0)</f>
        <v>2400</v>
      </c>
      <c r="I446" s="220"/>
      <c r="J446" s="215" t="str">
        <f>IF(INDEX(Ingredients[Batter],MATCH(Production[[#This Row],[Product]],Ingredients[ProdName],0))*Production[[#This Row],[Batter Used]]&gt;0,INDEX(Ingredients[Batter],MATCH(Production[[#This Row],[Product]],Ingredients[ProdName],0))*Production[[#This Row],[Batter Used]],"")</f>
        <v/>
      </c>
      <c r="K446" s="215" t="str">
        <f>IF(INDEX(Ingredients[Breader],MATCH(Production[[#This Row],[Product]],Ingredients[ProdName],0))*Production[[#This Row],[Breader Used]]&gt;0,INDEX(Ingredients[Breader],MATCH(Production[[#This Row],[Product]],Ingredients[ProdName],0))*Production[[#This Row],[Breader Used]],"")</f>
        <v/>
      </c>
      <c r="L446" s="206"/>
      <c r="M446" s="206"/>
      <c r="N446" s="211">
        <f>IFERROR(IF(SUM(Production[[#This Row],[Meat Wt]:[BrTtl]])&lt;&gt;0,SUM(Production[[#This Row],[Meat Wt]:[BrTtl]]),""),"")</f>
        <v>2400</v>
      </c>
      <c r="O446" s="205">
        <v>118</v>
      </c>
      <c r="P446" s="208">
        <f>INDEX(Ingredients[Case Wt.],MATCH(Production[[#This Row],[Product]],Ingredients[ProdName],0))*Production[[#This Row],[Case Total]]</f>
        <v>2950</v>
      </c>
      <c r="Q446" s="211">
        <f>IFERROR(Production[[#This Row],[SatWt]]-Production[[#This Row],[RawWt]],"")</f>
        <v>550</v>
      </c>
      <c r="R446" s="230" t="str">
        <f>IF(Production[[#This Row],[Species]]&lt;&gt;"",IF(SUM(Production[[#This Row],[BtTtl]:[BrTtl]])/Production[[#This Row],[SatWt]]&lt;&gt;0,SUM(Production[[#This Row],[BtTtl]:[BrTtl]])/Production[[#This Row],[SatWt]],""),"")</f>
        <v/>
      </c>
      <c r="S446" s="231" t="str">
        <f>INDEX(Ingredients[Species],MATCH(Production[[#This Row],[Product]],Ingredients[ProdName],0))</f>
        <v>Poultry</v>
      </c>
    </row>
    <row r="447" spans="1:19" ht="11.1" customHeight="1" x14ac:dyDescent="0.25">
      <c r="A447" s="207" t="str">
        <f>IFERROR(IF(Production[[#This Row],[Date]]&lt;&gt;"",TEXT(Production[[#This Row],[Date]],"yy")&amp;"-"&amp;TEXT(Production[[#This Row],[Date]]-DATE(YEAR(Production[[#This Row],[Date]]),1,0),"000"),""),"")</f>
        <v>24-240</v>
      </c>
      <c r="B447" s="209" t="str">
        <f>IFERROR(IF(INDEX(Ingredients[Ingr1],MATCH(Production[[#This Row],[Product]],Ingredients[ProdName],0))&lt;&gt;"",INDEX(Ingredients[Ingr1],MATCH(Production[[#This Row],[Product]],Ingredients[ProdName],0)),INDEX(Ingredients[Ingr2],MATCH(Production[[#This Row],[Product]],Ingredients[ProdName],0))),"")</f>
        <v>Chicken - Ground</v>
      </c>
      <c r="C447" s="203">
        <v>45531</v>
      </c>
      <c r="D447" s="204" t="s">
        <v>17</v>
      </c>
      <c r="E447" s="205">
        <v>2069</v>
      </c>
      <c r="F447" s="206">
        <v>10</v>
      </c>
      <c r="G447" s="206">
        <v>60</v>
      </c>
      <c r="H447" s="208">
        <f>IFERROR(INDEX(Tier1[Wt],MATCH(Production[[#This Row],[Type]],Tier1[Ingredient],0))*Production[[#This Row],[Blocks Used]],0)</f>
        <v>3000</v>
      </c>
      <c r="I447" s="220"/>
      <c r="J447" s="215" t="str">
        <f>IF(INDEX(Ingredients[Batter],MATCH(Production[[#This Row],[Product]],Ingredients[ProdName],0))*Production[[#This Row],[Batter Used]]&gt;0,INDEX(Ingredients[Batter],MATCH(Production[[#This Row],[Product]],Ingredients[ProdName],0))*Production[[#This Row],[Batter Used]],"")</f>
        <v/>
      </c>
      <c r="K447" s="215" t="str">
        <f>IF(INDEX(Ingredients[Breader],MATCH(Production[[#This Row],[Product]],Ingredients[ProdName],0))*Production[[#This Row],[Breader Used]]&gt;0,INDEX(Ingredients[Breader],MATCH(Production[[#This Row],[Product]],Ingredients[ProdName],0))*Production[[#This Row],[Breader Used]],"")</f>
        <v/>
      </c>
      <c r="L447" s="206"/>
      <c r="M447" s="206">
        <v>5</v>
      </c>
      <c r="N447" s="211">
        <f>IFERROR(IF(SUM(Production[[#This Row],[Meat Wt]:[BrTtl]])&lt;&gt;0,SUM(Production[[#This Row],[Meat Wt]:[BrTtl]]),""),"")</f>
        <v>3000</v>
      </c>
      <c r="O447" s="205">
        <v>171</v>
      </c>
      <c r="P447" s="208">
        <f>INDEX(Ingredients[Case Wt.],MATCH(Production[[#This Row],[Product]],Ingredients[ProdName],0))*Production[[#This Row],[Case Total]]</f>
        <v>4275</v>
      </c>
      <c r="Q447" s="211">
        <f>IFERROR(Production[[#This Row],[SatWt]]-Production[[#This Row],[RawWt]],"")</f>
        <v>1275</v>
      </c>
      <c r="R447" s="230" t="str">
        <f>IF(Production[[#This Row],[Species]]&lt;&gt;"",IF(SUM(Production[[#This Row],[BtTtl]:[BrTtl]])/Production[[#This Row],[SatWt]]&lt;&gt;0,SUM(Production[[#This Row],[BtTtl]:[BrTtl]])/Production[[#This Row],[SatWt]],""),"")</f>
        <v/>
      </c>
      <c r="S447" s="231" t="str">
        <f>INDEX(Ingredients[Species],MATCH(Production[[#This Row],[Product]],Ingredients[ProdName],0))</f>
        <v>Poultry</v>
      </c>
    </row>
    <row r="448" spans="1:19" ht="11.1" customHeight="1" x14ac:dyDescent="0.25">
      <c r="A448" s="207" t="str">
        <f>IFERROR(IF(Production[[#This Row],[Date]]&lt;&gt;"",TEXT(Production[[#This Row],[Date]],"yy")&amp;"-"&amp;TEXT(Production[[#This Row],[Date]]-DATE(YEAR(Production[[#This Row],[Date]]),1,0),"000"),""),"")</f>
        <v>24-241</v>
      </c>
      <c r="B448" s="209" t="str">
        <f>IFERROR(IF(INDEX(Ingredients[Ingr1],MATCH(Production[[#This Row],[Product]],Ingredients[ProdName],0))&lt;&gt;"",INDEX(Ingredients[Ingr1],MATCH(Production[[#This Row],[Product]],Ingredients[ProdName],0)),INDEX(Ingredients[Ingr2],MATCH(Production[[#This Row],[Product]],Ingredients[ProdName],0))),"")</f>
        <v>Apples - Sliced</v>
      </c>
      <c r="C448" s="203">
        <v>45532</v>
      </c>
      <c r="D448" s="204" t="s">
        <v>43</v>
      </c>
      <c r="E448" s="205" t="s">
        <v>288</v>
      </c>
      <c r="F448" s="206"/>
      <c r="G448" s="206"/>
      <c r="H448" s="208">
        <f>IFERROR(INDEX(Tier1[Wt],MATCH(Production[[#This Row],[Type]],Tier1[Ingredient],0))*Production[[#This Row],[Blocks Used]],0)</f>
        <v>0</v>
      </c>
      <c r="I448" s="220"/>
      <c r="J448" s="215" t="str">
        <f>IF(INDEX(Ingredients[Batter],MATCH(Production[[#This Row],[Product]],Ingredients[ProdName],0))*Production[[#This Row],[Batter Used]]&gt;0,INDEX(Ingredients[Batter],MATCH(Production[[#This Row],[Product]],Ingredients[ProdName],0))*Production[[#This Row],[Batter Used]],"")</f>
        <v/>
      </c>
      <c r="K448" s="215" t="str">
        <f>IF(INDEX(Ingredients[Breader],MATCH(Production[[#This Row],[Product]],Ingredients[ProdName],0))*Production[[#This Row],[Breader Used]]&gt;0,INDEX(Ingredients[Breader],MATCH(Production[[#This Row],[Product]],Ingredients[ProdName],0))*Production[[#This Row],[Breader Used]],"")</f>
        <v/>
      </c>
      <c r="L448" s="206"/>
      <c r="M448" s="206"/>
      <c r="N448" s="211" t="str">
        <f>IFERROR(IF(SUM(Production[[#This Row],[Meat Wt]:[BrTtl]])&lt;&gt;0,SUM(Production[[#This Row],[Meat Wt]:[BrTtl]]),""),"")</f>
        <v/>
      </c>
      <c r="O448" s="205">
        <v>44</v>
      </c>
      <c r="P448" s="208">
        <f>INDEX(Ingredients[Case Wt.],MATCH(Production[[#This Row],[Product]],Ingredients[ProdName],0))*Production[[#This Row],[Case Total]]</f>
        <v>1320</v>
      </c>
      <c r="Q448" s="211" t="str">
        <f>IFERROR(Production[[#This Row],[SatWt]]-Production[[#This Row],[RawWt]],"")</f>
        <v/>
      </c>
      <c r="R448" s="230" t="str">
        <f>IF(Production[[#This Row],[Species]]&lt;&gt;"",IF(SUM(Production[[#This Row],[BtTtl]:[BrTtl]])/Production[[#This Row],[SatWt]]&lt;&gt;0,SUM(Production[[#This Row],[BtTtl]:[BrTtl]])/Production[[#This Row],[SatWt]],""),"")</f>
        <v/>
      </c>
      <c r="S448" s="231" t="str">
        <f>INDEX(Ingredients[Species],MATCH(Production[[#This Row],[Product]],Ingredients[ProdName],0))</f>
        <v/>
      </c>
    </row>
    <row r="449" spans="1:19" ht="11.1" customHeight="1" x14ac:dyDescent="0.25">
      <c r="A449" s="207" t="str">
        <f>IFERROR(IF(Production[[#This Row],[Date]]&lt;&gt;"",TEXT(Production[[#This Row],[Date]],"yy")&amp;"-"&amp;TEXT(Production[[#This Row],[Date]]-DATE(YEAR(Production[[#This Row],[Date]]),1,0),"000"),""),"")</f>
        <v>24-242</v>
      </c>
      <c r="B449" s="209" t="str">
        <f>IFERROR(IF(INDEX(Ingredients[Ingr1],MATCH(Production[[#This Row],[Product]],Ingredients[ProdName],0))&lt;&gt;"",INDEX(Ingredients[Ingr1],MATCH(Production[[#This Row],[Product]],Ingredients[ProdName],0)),INDEX(Ingredients[Ingr2],MATCH(Production[[#This Row],[Product]],Ingredients[ProdName],0))),"")</f>
        <v>Beef - Ground</v>
      </c>
      <c r="C449" s="203">
        <v>45533</v>
      </c>
      <c r="D449" s="204" t="s">
        <v>270</v>
      </c>
      <c r="E449" s="205" t="s">
        <v>289</v>
      </c>
      <c r="F449" s="206">
        <v>10</v>
      </c>
      <c r="G449" s="206">
        <v>50</v>
      </c>
      <c r="H449" s="208">
        <f>IFERROR(INDEX(Tier1[Wt],MATCH(Production[[#This Row],[Type]],Tier1[Ingredient],0))*Production[[#This Row],[Blocks Used]],0)</f>
        <v>2500</v>
      </c>
      <c r="I449" s="220"/>
      <c r="J449" s="215" t="str">
        <f>IF(INDEX(Ingredients[Batter],MATCH(Production[[#This Row],[Product]],Ingredients[ProdName],0))*Production[[#This Row],[Batter Used]]&gt;0,INDEX(Ingredients[Batter],MATCH(Production[[#This Row],[Product]],Ingredients[ProdName],0))*Production[[#This Row],[Batter Used]],"")</f>
        <v/>
      </c>
      <c r="K449" s="215" t="str">
        <f>IF(INDEX(Ingredients[Breader],MATCH(Production[[#This Row],[Product]],Ingredients[ProdName],0))*Production[[#This Row],[Breader Used]]&gt;0,INDEX(Ingredients[Breader],MATCH(Production[[#This Row],[Product]],Ingredients[ProdName],0))*Production[[#This Row],[Breader Used]],"")</f>
        <v/>
      </c>
      <c r="L449" s="206"/>
      <c r="M449" s="206"/>
      <c r="N449" s="211">
        <f>IFERROR(IF(SUM(Production[[#This Row],[Meat Wt]:[BrTtl]])&lt;&gt;0,SUM(Production[[#This Row],[Meat Wt]:[BrTtl]]),""),"")</f>
        <v>2500</v>
      </c>
      <c r="O449" s="205">
        <v>137</v>
      </c>
      <c r="P449" s="208">
        <f>INDEX(Ingredients[Case Wt.],MATCH(Production[[#This Row],[Product]],Ingredients[ProdName],0))*Production[[#This Row],[Case Total]]</f>
        <v>3425</v>
      </c>
      <c r="Q449" s="211">
        <f>IFERROR(Production[[#This Row],[SatWt]]-Production[[#This Row],[RawWt]],"")</f>
        <v>925</v>
      </c>
      <c r="R449" s="230" t="str">
        <f>IF(Production[[#This Row],[Species]]&lt;&gt;"",IF(SUM(Production[[#This Row],[BtTtl]:[BrTtl]])/Production[[#This Row],[SatWt]]&lt;&gt;0,SUM(Production[[#This Row],[BtTtl]:[BrTtl]])/Production[[#This Row],[SatWt]],""),"")</f>
        <v/>
      </c>
      <c r="S449" s="231" t="str">
        <f>INDEX(Ingredients[Species],MATCH(Production[[#This Row],[Product]],Ingredients[ProdName],0))</f>
        <v>Meat</v>
      </c>
    </row>
    <row r="450" spans="1:19" ht="11.1" customHeight="1" x14ac:dyDescent="0.25">
      <c r="A450" s="207" t="str">
        <f>IFERROR(IF(Production[[#This Row],[Date]]&lt;&gt;"",TEXT(Production[[#This Row],[Date]],"yy")&amp;"-"&amp;TEXT(Production[[#This Row],[Date]]-DATE(YEAR(Production[[#This Row],[Date]]),1,0),"000"),""),"")</f>
        <v>24-247</v>
      </c>
      <c r="B450" s="209" t="str">
        <f>IFERROR(IF(INDEX(Ingredients[Ingr1],MATCH(Production[[#This Row],[Product]],Ingredients[ProdName],0))&lt;&gt;"",INDEX(Ingredients[Ingr1],MATCH(Production[[#This Row],[Product]],Ingredients[ProdName],0)),INDEX(Ingredients[Ingr2],MATCH(Production[[#This Row],[Product]],Ingredients[ProdName],0))),"")</f>
        <v>Chicken - Ground</v>
      </c>
      <c r="C450" s="203">
        <v>45538</v>
      </c>
      <c r="D450" s="204" t="s">
        <v>15</v>
      </c>
      <c r="E450" s="205">
        <v>2069</v>
      </c>
      <c r="F450" s="206">
        <v>10</v>
      </c>
      <c r="G450" s="206">
        <v>60</v>
      </c>
      <c r="H450" s="208">
        <f>IFERROR(INDEX(Tier1[Wt],MATCH(Production[[#This Row],[Type]],Tier1[Ingredient],0))*Production[[#This Row],[Blocks Used]],0)</f>
        <v>3000</v>
      </c>
      <c r="I450" s="220"/>
      <c r="J450" s="215" t="str">
        <f>IF(INDEX(Ingredients[Batter],MATCH(Production[[#This Row],[Product]],Ingredients[ProdName],0))*Production[[#This Row],[Batter Used]]&gt;0,INDEX(Ingredients[Batter],MATCH(Production[[#This Row],[Product]],Ingredients[ProdName],0))*Production[[#This Row],[Batter Used]],"")</f>
        <v/>
      </c>
      <c r="K450" s="215" t="str">
        <f>IF(INDEX(Ingredients[Breader],MATCH(Production[[#This Row],[Product]],Ingredients[ProdName],0))*Production[[#This Row],[Breader Used]]&gt;0,INDEX(Ingredients[Breader],MATCH(Production[[#This Row],[Product]],Ingredients[ProdName],0))*Production[[#This Row],[Breader Used]],"")</f>
        <v/>
      </c>
      <c r="L450" s="206"/>
      <c r="M450" s="206"/>
      <c r="N450" s="211">
        <f>IFERROR(IF(SUM(Production[[#This Row],[Meat Wt]:[BrTtl]])&lt;&gt;0,SUM(Production[[#This Row],[Meat Wt]:[BrTtl]]),""),"")</f>
        <v>3000</v>
      </c>
      <c r="O450" s="205">
        <v>123</v>
      </c>
      <c r="P450" s="208">
        <f>INDEX(Ingredients[Case Wt.],MATCH(Production[[#This Row],[Product]],Ingredients[ProdName],0))*Production[[#This Row],[Case Total]]</f>
        <v>3690</v>
      </c>
      <c r="Q450" s="211">
        <f>IFERROR(Production[[#This Row],[SatWt]]-Production[[#This Row],[RawWt]],"")</f>
        <v>690</v>
      </c>
      <c r="R450" s="230" t="str">
        <f>IF(Production[[#This Row],[Species]]&lt;&gt;"",IF(SUM(Production[[#This Row],[BtTtl]:[BrTtl]])/Production[[#This Row],[SatWt]]&lt;&gt;0,SUM(Production[[#This Row],[BtTtl]:[BrTtl]])/Production[[#This Row],[SatWt]],""),"")</f>
        <v/>
      </c>
      <c r="S450" s="231" t="str">
        <f>INDEX(Ingredients[Species],MATCH(Production[[#This Row],[Product]],Ingredients[ProdName],0))</f>
        <v>Poultry</v>
      </c>
    </row>
    <row r="451" spans="1:19" ht="11.1" customHeight="1" x14ac:dyDescent="0.25">
      <c r="A451" s="207" t="str">
        <f>IFERROR(IF(Production[[#This Row],[Date]]&lt;&gt;"",TEXT(Production[[#This Row],[Date]],"yy")&amp;"-"&amp;TEXT(Production[[#This Row],[Date]]-DATE(YEAR(Production[[#This Row],[Date]]),1,0),"000"),""),"")</f>
        <v>24-248</v>
      </c>
      <c r="B451" s="209" t="str">
        <f>IFERROR(IF(INDEX(Ingredients[Ingr1],MATCH(Production[[#This Row],[Product]],Ingredients[ProdName],0))&lt;&gt;"",INDEX(Ingredients[Ingr1],MATCH(Production[[#This Row],[Product]],Ingredients[ProdName],0)),INDEX(Ingredients[Ingr2],MATCH(Production[[#This Row],[Product]],Ingredients[ProdName],0))),"")</f>
        <v>Chicken - Ground</v>
      </c>
      <c r="C451" s="203">
        <v>45539</v>
      </c>
      <c r="D451" s="204" t="s">
        <v>13</v>
      </c>
      <c r="E451" s="205">
        <v>2069</v>
      </c>
      <c r="F451" s="206">
        <v>15</v>
      </c>
      <c r="G451" s="206">
        <v>90</v>
      </c>
      <c r="H451" s="208">
        <f>IFERROR(INDEX(Tier1[Wt],MATCH(Production[[#This Row],[Type]],Tier1[Ingredient],0))*Production[[#This Row],[Blocks Used]],0)</f>
        <v>4500</v>
      </c>
      <c r="I451" s="220"/>
      <c r="J451" s="215" t="str">
        <f>IF(INDEX(Ingredients[Batter],MATCH(Production[[#This Row],[Product]],Ingredients[ProdName],0))*Production[[#This Row],[Batter Used]]&gt;0,INDEX(Ingredients[Batter],MATCH(Production[[#This Row],[Product]],Ingredients[ProdName],0))*Production[[#This Row],[Batter Used]],"")</f>
        <v/>
      </c>
      <c r="K451" s="215" t="str">
        <f>IF(INDEX(Ingredients[Breader],MATCH(Production[[#This Row],[Product]],Ingredients[ProdName],0))*Production[[#This Row],[Breader Used]]&gt;0,INDEX(Ingredients[Breader],MATCH(Production[[#This Row],[Product]],Ingredients[ProdName],0))*Production[[#This Row],[Breader Used]],"")</f>
        <v/>
      </c>
      <c r="L451" s="206"/>
      <c r="M451" s="206">
        <v>8</v>
      </c>
      <c r="N451" s="211">
        <f>IFERROR(IF(SUM(Production[[#This Row],[Meat Wt]:[BrTtl]])&lt;&gt;0,SUM(Production[[#This Row],[Meat Wt]:[BrTtl]]),""),"")</f>
        <v>4500</v>
      </c>
      <c r="O451" s="205">
        <v>208</v>
      </c>
      <c r="P451" s="208">
        <f>INDEX(Ingredients[Case Wt.],MATCH(Production[[#This Row],[Product]],Ingredients[ProdName],0))*Production[[#This Row],[Case Total]]</f>
        <v>6240</v>
      </c>
      <c r="Q451" s="211">
        <f>IFERROR(Production[[#This Row],[SatWt]]-Production[[#This Row],[RawWt]],"")</f>
        <v>1740</v>
      </c>
      <c r="R451" s="230" t="str">
        <f>IF(Production[[#This Row],[Species]]&lt;&gt;"",IF(SUM(Production[[#This Row],[BtTtl]:[BrTtl]])/Production[[#This Row],[SatWt]]&lt;&gt;0,SUM(Production[[#This Row],[BtTtl]:[BrTtl]])/Production[[#This Row],[SatWt]],""),"")</f>
        <v/>
      </c>
      <c r="S451" s="231" t="str">
        <f>INDEX(Ingredients[Species],MATCH(Production[[#This Row],[Product]],Ingredients[ProdName],0))</f>
        <v>Poultry</v>
      </c>
    </row>
    <row r="452" spans="1:19" ht="11.1" customHeight="1" x14ac:dyDescent="0.25">
      <c r="A452" s="207" t="str">
        <f>IFERROR(IF(Production[[#This Row],[Date]]&lt;&gt;"",TEXT(Production[[#This Row],[Date]],"yy")&amp;"-"&amp;TEXT(Production[[#This Row],[Date]]-DATE(YEAR(Production[[#This Row],[Date]]),1,0),"000"),""),"")</f>
        <v>24-249</v>
      </c>
      <c r="B452" s="209" t="str">
        <f>IFERROR(IF(INDEX(Ingredients[Ingr1],MATCH(Production[[#This Row],[Product]],Ingredients[ProdName],0))&lt;&gt;"",INDEX(Ingredients[Ingr1],MATCH(Production[[#This Row],[Product]],Ingredients[ProdName],0)),INDEX(Ingredients[Ingr2],MATCH(Production[[#This Row],[Product]],Ingredients[ProdName],0))),"")</f>
        <v>Apples - Sliced</v>
      </c>
      <c r="C452" s="203">
        <v>45540</v>
      </c>
      <c r="D452" s="204" t="s">
        <v>43</v>
      </c>
      <c r="E452" s="205" t="s">
        <v>290</v>
      </c>
      <c r="F452" s="206"/>
      <c r="G452" s="206"/>
      <c r="H452" s="208">
        <f>IFERROR(INDEX(Tier1[Wt],MATCH(Production[[#This Row],[Type]],Tier1[Ingredient],0))*Production[[#This Row],[Blocks Used]],0)</f>
        <v>0</v>
      </c>
      <c r="I452" s="220"/>
      <c r="J452" s="215" t="str">
        <f>IF(INDEX(Ingredients[Batter],MATCH(Production[[#This Row],[Product]],Ingredients[ProdName],0))*Production[[#This Row],[Batter Used]]&gt;0,INDEX(Ingredients[Batter],MATCH(Production[[#This Row],[Product]],Ingredients[ProdName],0))*Production[[#This Row],[Batter Used]],"")</f>
        <v/>
      </c>
      <c r="K452" s="215" t="str">
        <f>IF(INDEX(Ingredients[Breader],MATCH(Production[[#This Row],[Product]],Ingredients[ProdName],0))*Production[[#This Row],[Breader Used]]&gt;0,INDEX(Ingredients[Breader],MATCH(Production[[#This Row],[Product]],Ingredients[ProdName],0))*Production[[#This Row],[Breader Used]],"")</f>
        <v/>
      </c>
      <c r="L452" s="206"/>
      <c r="M452" s="206"/>
      <c r="N452" s="211" t="str">
        <f>IFERROR(IF(SUM(Production[[#This Row],[Meat Wt]:[BrTtl]])&lt;&gt;0,SUM(Production[[#This Row],[Meat Wt]:[BrTtl]]),""),"")</f>
        <v/>
      </c>
      <c r="O452" s="205">
        <v>83</v>
      </c>
      <c r="P452" s="208">
        <f>INDEX(Ingredients[Case Wt.],MATCH(Production[[#This Row],[Product]],Ingredients[ProdName],0))*Production[[#This Row],[Case Total]]</f>
        <v>2490</v>
      </c>
      <c r="Q452" s="211" t="str">
        <f>IFERROR(Production[[#This Row],[SatWt]]-Production[[#This Row],[RawWt]],"")</f>
        <v/>
      </c>
      <c r="R452" s="230" t="str">
        <f>IF(Production[[#This Row],[Species]]&lt;&gt;"",IF(SUM(Production[[#This Row],[BtTtl]:[BrTtl]])/Production[[#This Row],[SatWt]]&lt;&gt;0,SUM(Production[[#This Row],[BtTtl]:[BrTtl]])/Production[[#This Row],[SatWt]],""),"")</f>
        <v/>
      </c>
      <c r="S452" s="231" t="str">
        <f>INDEX(Ingredients[Species],MATCH(Production[[#This Row],[Product]],Ingredients[ProdName],0))</f>
        <v/>
      </c>
    </row>
    <row r="453" spans="1:19" ht="11.1" customHeight="1" x14ac:dyDescent="0.25">
      <c r="A453" s="207" t="str">
        <f>IFERROR(IF(Production[[#This Row],[Date]]&lt;&gt;"",TEXT(Production[[#This Row],[Date]],"yy")&amp;"-"&amp;TEXT(Production[[#This Row],[Date]]-DATE(YEAR(Production[[#This Row],[Date]]),1,0),"000"),""),"")</f>
        <v>24-253</v>
      </c>
      <c r="B453" s="209" t="str">
        <f>IFERROR(IF(INDEX(Ingredients[Ingr1],MATCH(Production[[#This Row],[Product]],Ingredients[ProdName],0))&lt;&gt;"",INDEX(Ingredients[Ingr1],MATCH(Production[[#This Row],[Product]],Ingredients[ProdName],0)),INDEX(Ingredients[Ingr2],MATCH(Production[[#This Row],[Product]],Ingredients[ProdName],0))),"")</f>
        <v>Apples - Sliced</v>
      </c>
      <c r="C453" s="203">
        <v>45544</v>
      </c>
      <c r="D453" s="204" t="s">
        <v>43</v>
      </c>
      <c r="E453" s="205" t="s">
        <v>291</v>
      </c>
      <c r="F453" s="206"/>
      <c r="G453" s="206"/>
      <c r="H453" s="208">
        <f>IFERROR(INDEX(Tier1[Wt],MATCH(Production[[#This Row],[Type]],Tier1[Ingredient],0))*Production[[#This Row],[Blocks Used]],0)</f>
        <v>0</v>
      </c>
      <c r="I453" s="220"/>
      <c r="J453" s="215" t="str">
        <f>IF(INDEX(Ingredients[Batter],MATCH(Production[[#This Row],[Product]],Ingredients[ProdName],0))*Production[[#This Row],[Batter Used]]&gt;0,INDEX(Ingredients[Batter],MATCH(Production[[#This Row],[Product]],Ingredients[ProdName],0))*Production[[#This Row],[Batter Used]],"")</f>
        <v/>
      </c>
      <c r="K453" s="215" t="str">
        <f>IF(INDEX(Ingredients[Breader],MATCH(Production[[#This Row],[Product]],Ingredients[ProdName],0))*Production[[#This Row],[Breader Used]]&gt;0,INDEX(Ingredients[Breader],MATCH(Production[[#This Row],[Product]],Ingredients[ProdName],0))*Production[[#This Row],[Breader Used]],"")</f>
        <v/>
      </c>
      <c r="L453" s="206"/>
      <c r="M453" s="206"/>
      <c r="N453" s="211" t="str">
        <f>IFERROR(IF(SUM(Production[[#This Row],[Meat Wt]:[BrTtl]])&lt;&gt;0,SUM(Production[[#This Row],[Meat Wt]:[BrTtl]]),""),"")</f>
        <v/>
      </c>
      <c r="O453" s="205">
        <v>54</v>
      </c>
      <c r="P453" s="208">
        <f>INDEX(Ingredients[Case Wt.],MATCH(Production[[#This Row],[Product]],Ingredients[ProdName],0))*Production[[#This Row],[Case Total]]</f>
        <v>1620</v>
      </c>
      <c r="Q453" s="211" t="str">
        <f>IFERROR(Production[[#This Row],[SatWt]]-Production[[#This Row],[RawWt]],"")</f>
        <v/>
      </c>
      <c r="R453" s="230" t="str">
        <f>IF(Production[[#This Row],[Species]]&lt;&gt;"",IF(SUM(Production[[#This Row],[BtTtl]:[BrTtl]])/Production[[#This Row],[SatWt]]&lt;&gt;0,SUM(Production[[#This Row],[BtTtl]:[BrTtl]])/Production[[#This Row],[SatWt]],""),"")</f>
        <v/>
      </c>
      <c r="S453" s="231" t="str">
        <f>INDEX(Ingredients[Species],MATCH(Production[[#This Row],[Product]],Ingredients[ProdName],0))</f>
        <v/>
      </c>
    </row>
    <row r="454" spans="1:19" ht="11.1" customHeight="1" x14ac:dyDescent="0.25">
      <c r="A454" s="207" t="str">
        <f>IFERROR(IF(Production[[#This Row],[Date]]&lt;&gt;"",TEXT(Production[[#This Row],[Date]],"yy")&amp;"-"&amp;TEXT(Production[[#This Row],[Date]]-DATE(YEAR(Production[[#This Row],[Date]]),1,0),"000"),""),"")</f>
        <v>24-254</v>
      </c>
      <c r="B454" s="209" t="str">
        <f>IFERROR(IF(INDEX(Ingredients[Ingr1],MATCH(Production[[#This Row],[Product]],Ingredients[ProdName],0))&lt;&gt;"",INDEX(Ingredients[Ingr1],MATCH(Production[[#This Row],[Product]],Ingredients[ProdName],0)),INDEX(Ingredients[Ingr2],MATCH(Production[[#This Row],[Product]],Ingredients[ProdName],0))),"")</f>
        <v>Chicken - Tenders</v>
      </c>
      <c r="C454" s="203">
        <v>45545</v>
      </c>
      <c r="D454" s="204" t="s">
        <v>151</v>
      </c>
      <c r="E454" s="205" t="s">
        <v>287</v>
      </c>
      <c r="F454" s="206">
        <v>10</v>
      </c>
      <c r="G454" s="206">
        <v>70</v>
      </c>
      <c r="H454" s="208">
        <f>IFERROR(INDEX(Tier1[Wt],MATCH(Production[[#This Row],[Type]],Tier1[Ingredient],0))*Production[[#This Row],[Blocks Used]],0)</f>
        <v>2800</v>
      </c>
      <c r="I454" s="220"/>
      <c r="J454" s="215">
        <f>IF(INDEX(Ingredients[Batter],MATCH(Production[[#This Row],[Product]],Ingredients[ProdName],0))*Production[[#This Row],[Batter Used]]&gt;0,INDEX(Ingredients[Batter],MATCH(Production[[#This Row],[Product]],Ingredients[ProdName],0))*Production[[#This Row],[Batter Used]],"")</f>
        <v>300</v>
      </c>
      <c r="K454" s="215">
        <f>IF(INDEX(Ingredients[Breader],MATCH(Production[[#This Row],[Product]],Ingredients[ProdName],0))*Production[[#This Row],[Breader Used]]&gt;0,INDEX(Ingredients[Breader],MATCH(Production[[#This Row],[Product]],Ingredients[ProdName],0))*Production[[#This Row],[Breader Used]],"")</f>
        <v>500</v>
      </c>
      <c r="L454" s="206">
        <v>6</v>
      </c>
      <c r="M454" s="206">
        <v>10</v>
      </c>
      <c r="N454" s="211">
        <f>IFERROR(IF(SUM(Production[[#This Row],[Meat Wt]:[BrTtl]])&lt;&gt;0,SUM(Production[[#This Row],[Meat Wt]:[BrTtl]]),""),"")</f>
        <v>3600</v>
      </c>
      <c r="O454" s="205">
        <v>176</v>
      </c>
      <c r="P454" s="208">
        <f>INDEX(Ingredients[Case Wt.],MATCH(Production[[#This Row],[Product]],Ingredients[ProdName],0))*Production[[#This Row],[Case Total]]</f>
        <v>5280</v>
      </c>
      <c r="Q454" s="211">
        <f>IFERROR(Production[[#This Row],[SatWt]]-Production[[#This Row],[RawWt]],"")</f>
        <v>1680</v>
      </c>
      <c r="R454" s="230">
        <f>IF(Production[[#This Row],[Species]]&lt;&gt;"",IF(SUM(Production[[#This Row],[BtTtl]:[BrTtl]])/Production[[#This Row],[SatWt]]&lt;&gt;0,SUM(Production[[#This Row],[BtTtl]:[BrTtl]])/Production[[#This Row],[SatWt]],""),"")</f>
        <v>0.15151515151515152</v>
      </c>
      <c r="S454" s="231" t="str">
        <f>INDEX(Ingredients[Species],MATCH(Production[[#This Row],[Product]],Ingredients[ProdName],0))</f>
        <v>Poultry</v>
      </c>
    </row>
    <row r="455" spans="1:19" ht="11.1" customHeight="1" x14ac:dyDescent="0.25">
      <c r="A455" s="207" t="str">
        <f>IFERROR(IF(Production[[#This Row],[Date]]&lt;&gt;"",TEXT(Production[[#This Row],[Date]],"yy")&amp;"-"&amp;TEXT(Production[[#This Row],[Date]]-DATE(YEAR(Production[[#This Row],[Date]]),1,0),"000"),""),"")</f>
        <v>24-255</v>
      </c>
      <c r="B455" s="209" t="str">
        <f>IFERROR(IF(INDEX(Ingredients[Ingr1],MATCH(Production[[#This Row],[Product]],Ingredients[ProdName],0))&lt;&gt;"",INDEX(Ingredients[Ingr1],MATCH(Production[[#This Row],[Product]],Ingredients[ProdName],0)),INDEX(Ingredients[Ingr2],MATCH(Production[[#This Row],[Product]],Ingredients[ProdName],0))),"")</f>
        <v>Apples - Sliced</v>
      </c>
      <c r="C455" s="203">
        <v>45546</v>
      </c>
      <c r="D455" s="204" t="s">
        <v>43</v>
      </c>
      <c r="E455" s="205" t="s">
        <v>292</v>
      </c>
      <c r="F455" s="206"/>
      <c r="G455" s="206"/>
      <c r="H455" s="208">
        <f>IFERROR(INDEX(Tier1[Wt],MATCH(Production[[#This Row],[Type]],Tier1[Ingredient],0))*Production[[#This Row],[Blocks Used]],0)</f>
        <v>0</v>
      </c>
      <c r="I455" s="220"/>
      <c r="J455" s="215" t="str">
        <f>IF(INDEX(Ingredients[Batter],MATCH(Production[[#This Row],[Product]],Ingredients[ProdName],0))*Production[[#This Row],[Batter Used]]&gt;0,INDEX(Ingredients[Batter],MATCH(Production[[#This Row],[Product]],Ingredients[ProdName],0))*Production[[#This Row],[Batter Used]],"")</f>
        <v/>
      </c>
      <c r="K455" s="215" t="str">
        <f>IF(INDEX(Ingredients[Breader],MATCH(Production[[#This Row],[Product]],Ingredients[ProdName],0))*Production[[#This Row],[Breader Used]]&gt;0,INDEX(Ingredients[Breader],MATCH(Production[[#This Row],[Product]],Ingredients[ProdName],0))*Production[[#This Row],[Breader Used]],"")</f>
        <v/>
      </c>
      <c r="L455" s="206"/>
      <c r="M455" s="206"/>
      <c r="N455" s="211" t="str">
        <f>IFERROR(IF(SUM(Production[[#This Row],[Meat Wt]:[BrTtl]])&lt;&gt;0,SUM(Production[[#This Row],[Meat Wt]:[BrTtl]]),""),"")</f>
        <v/>
      </c>
      <c r="O455" s="205">
        <v>38</v>
      </c>
      <c r="P455" s="208">
        <f>INDEX(Ingredients[Case Wt.],MATCH(Production[[#This Row],[Product]],Ingredients[ProdName],0))*Production[[#This Row],[Case Total]]</f>
        <v>1140</v>
      </c>
      <c r="Q455" s="211" t="str">
        <f>IFERROR(Production[[#This Row],[SatWt]]-Production[[#This Row],[RawWt]],"")</f>
        <v/>
      </c>
      <c r="R455" s="230" t="str">
        <f>IF(Production[[#This Row],[Species]]&lt;&gt;"",IF(SUM(Production[[#This Row],[BtTtl]:[BrTtl]])/Production[[#This Row],[SatWt]]&lt;&gt;0,SUM(Production[[#This Row],[BtTtl]:[BrTtl]])/Production[[#This Row],[SatWt]],""),"")</f>
        <v/>
      </c>
      <c r="S455" s="231" t="str">
        <f>INDEX(Ingredients[Species],MATCH(Production[[#This Row],[Product]],Ingredients[ProdName],0))</f>
        <v/>
      </c>
    </row>
    <row r="456" spans="1:19" ht="11.1" customHeight="1" x14ac:dyDescent="0.25">
      <c r="A456" s="207" t="str">
        <f>IFERROR(IF(Production[[#This Row],[Date]]&lt;&gt;"",TEXT(Production[[#This Row],[Date]],"yy")&amp;"-"&amp;TEXT(Production[[#This Row],[Date]]-DATE(YEAR(Production[[#This Row],[Date]]),1,0),"000"),""),"")</f>
        <v>24-256</v>
      </c>
      <c r="B456" s="209" t="str">
        <f>IFERROR(IF(INDEX(Ingredients[Ingr1],MATCH(Production[[#This Row],[Product]],Ingredients[ProdName],0))&lt;&gt;"",INDEX(Ingredients[Ingr1],MATCH(Production[[#This Row],[Product]],Ingredients[ProdName],0)),INDEX(Ingredients[Ingr2],MATCH(Production[[#This Row],[Product]],Ingredients[ProdName],0))),"")</f>
        <v>Apples - Sliced</v>
      </c>
      <c r="C456" s="203">
        <v>45547</v>
      </c>
      <c r="D456" s="204" t="s">
        <v>43</v>
      </c>
      <c r="E456" s="205" t="s">
        <v>293</v>
      </c>
      <c r="F456" s="206"/>
      <c r="G456" s="206"/>
      <c r="H456" s="208">
        <f>IFERROR(INDEX(Tier1[Wt],MATCH(Production[[#This Row],[Type]],Tier1[Ingredient],0))*Production[[#This Row],[Blocks Used]],0)</f>
        <v>0</v>
      </c>
      <c r="I456" s="220"/>
      <c r="J456" s="215" t="str">
        <f>IF(INDEX(Ingredients[Batter],MATCH(Production[[#This Row],[Product]],Ingredients[ProdName],0))*Production[[#This Row],[Batter Used]]&gt;0,INDEX(Ingredients[Batter],MATCH(Production[[#This Row],[Product]],Ingredients[ProdName],0))*Production[[#This Row],[Batter Used]],"")</f>
        <v/>
      </c>
      <c r="K456" s="215" t="str">
        <f>IF(INDEX(Ingredients[Breader],MATCH(Production[[#This Row],[Product]],Ingredients[ProdName],0))*Production[[#This Row],[Breader Used]]&gt;0,INDEX(Ingredients[Breader],MATCH(Production[[#This Row],[Product]],Ingredients[ProdName],0))*Production[[#This Row],[Breader Used]],"")</f>
        <v/>
      </c>
      <c r="L456" s="206"/>
      <c r="M456" s="206"/>
      <c r="N456" s="211" t="str">
        <f>IFERROR(IF(SUM(Production[[#This Row],[Meat Wt]:[BrTtl]])&lt;&gt;0,SUM(Production[[#This Row],[Meat Wt]:[BrTtl]]),""),"")</f>
        <v/>
      </c>
      <c r="O456" s="205">
        <v>41</v>
      </c>
      <c r="P456" s="208">
        <f>INDEX(Ingredients[Case Wt.],MATCH(Production[[#This Row],[Product]],Ingredients[ProdName],0))*Production[[#This Row],[Case Total]]</f>
        <v>1230</v>
      </c>
      <c r="Q456" s="211" t="str">
        <f>IFERROR(Production[[#This Row],[SatWt]]-Production[[#This Row],[RawWt]],"")</f>
        <v/>
      </c>
      <c r="R456" s="230" t="str">
        <f>IF(Production[[#This Row],[Species]]&lt;&gt;"",IF(SUM(Production[[#This Row],[BtTtl]:[BrTtl]])/Production[[#This Row],[SatWt]]&lt;&gt;0,SUM(Production[[#This Row],[BtTtl]:[BrTtl]])/Production[[#This Row],[SatWt]],""),"")</f>
        <v/>
      </c>
      <c r="S456" s="231" t="str">
        <f>INDEX(Ingredients[Species],MATCH(Production[[#This Row],[Product]],Ingredients[ProdName],0))</f>
        <v/>
      </c>
    </row>
    <row r="457" spans="1:19" ht="11.1" customHeight="1" x14ac:dyDescent="0.25">
      <c r="A457" s="207" t="str">
        <f>IFERROR(IF(Production[[#This Row],[Date]]&lt;&gt;"",TEXT(Production[[#This Row],[Date]],"yy")&amp;"-"&amp;TEXT(Production[[#This Row],[Date]]-DATE(YEAR(Production[[#This Row],[Date]]),1,0),"000"),""),"")</f>
        <v>24-260</v>
      </c>
      <c r="B457" s="209" t="str">
        <f>IFERROR(IF(INDEX(Ingredients[Ingr1],MATCH(Production[[#This Row],[Product]],Ingredients[ProdName],0))&lt;&gt;"",INDEX(Ingredients[Ingr1],MATCH(Production[[#This Row],[Product]],Ingredients[ProdName],0)),INDEX(Ingredients[Ingr2],MATCH(Production[[#This Row],[Product]],Ingredients[ProdName],0))),"")</f>
        <v>Chicken - Tenders</v>
      </c>
      <c r="C457" s="203">
        <v>45551</v>
      </c>
      <c r="D457" s="204" t="s">
        <v>151</v>
      </c>
      <c r="E457" s="205" t="s">
        <v>287</v>
      </c>
      <c r="F457" s="206">
        <v>10</v>
      </c>
      <c r="G457" s="206">
        <v>70</v>
      </c>
      <c r="H457" s="208">
        <f>IFERROR(INDEX(Tier1[Wt],MATCH(Production[[#This Row],[Type]],Tier1[Ingredient],0))*Production[[#This Row],[Blocks Used]],0)</f>
        <v>2800</v>
      </c>
      <c r="I457" s="220"/>
      <c r="J457" s="215">
        <f>IF(INDEX(Ingredients[Batter],MATCH(Production[[#This Row],[Product]],Ingredients[ProdName],0))*Production[[#This Row],[Batter Used]]&gt;0,INDEX(Ingredients[Batter],MATCH(Production[[#This Row],[Product]],Ingredients[ProdName],0))*Production[[#This Row],[Batter Used]],"")</f>
        <v>150</v>
      </c>
      <c r="K457" s="215">
        <f>IF(INDEX(Ingredients[Breader],MATCH(Production[[#This Row],[Product]],Ingredients[ProdName],0))*Production[[#This Row],[Breader Used]]&gt;0,INDEX(Ingredients[Breader],MATCH(Production[[#This Row],[Product]],Ingredients[ProdName],0))*Production[[#This Row],[Breader Used]],"")</f>
        <v>450</v>
      </c>
      <c r="L457" s="206">
        <v>3</v>
      </c>
      <c r="M457" s="206">
        <v>9</v>
      </c>
      <c r="N457" s="211">
        <f>IFERROR(IF(SUM(Production[[#This Row],[Meat Wt]:[BrTtl]])&lt;&gt;0,SUM(Production[[#This Row],[Meat Wt]:[BrTtl]]),""),"")</f>
        <v>3400</v>
      </c>
      <c r="O457" s="205">
        <v>182</v>
      </c>
      <c r="P457" s="208">
        <f>INDEX(Ingredients[Case Wt.],MATCH(Production[[#This Row],[Product]],Ingredients[ProdName],0))*Production[[#This Row],[Case Total]]</f>
        <v>5460</v>
      </c>
      <c r="Q457" s="211">
        <f>IFERROR(Production[[#This Row],[SatWt]]-Production[[#This Row],[RawWt]],"")</f>
        <v>2060</v>
      </c>
      <c r="R457" s="230">
        <f>IF(Production[[#This Row],[Species]]&lt;&gt;"",IF(SUM(Production[[#This Row],[BtTtl]:[BrTtl]])/Production[[#This Row],[SatWt]]&lt;&gt;0,SUM(Production[[#This Row],[BtTtl]:[BrTtl]])/Production[[#This Row],[SatWt]],""),"")</f>
        <v>0.10989010989010989</v>
      </c>
      <c r="S457" s="231" t="str">
        <f>INDEX(Ingredients[Species],MATCH(Production[[#This Row],[Product]],Ingredients[ProdName],0))</f>
        <v>Poultry</v>
      </c>
    </row>
    <row r="458" spans="1:19" ht="11.1" customHeight="1" x14ac:dyDescent="0.25">
      <c r="A458" s="207" t="str">
        <f>IFERROR(IF(Production[[#This Row],[Date]]&lt;&gt;"",TEXT(Production[[#This Row],[Date]],"yy")&amp;"-"&amp;TEXT(Production[[#This Row],[Date]]-DATE(YEAR(Production[[#This Row],[Date]]),1,0),"000"),""),"")</f>
        <v>24-261</v>
      </c>
      <c r="B458" s="209" t="str">
        <f>IFERROR(IF(INDEX(Ingredients[Ingr1],MATCH(Production[[#This Row],[Product]],Ingredients[ProdName],0))&lt;&gt;"",INDEX(Ingredients[Ingr1],MATCH(Production[[#This Row],[Product]],Ingredients[ProdName],0)),INDEX(Ingredients[Ingr2],MATCH(Production[[#This Row],[Product]],Ingredients[ProdName],0))),"")</f>
        <v>Chicken - Tenders</v>
      </c>
      <c r="C458" s="203">
        <v>45552</v>
      </c>
      <c r="D458" s="204" t="s">
        <v>151</v>
      </c>
      <c r="E458" s="205" t="s">
        <v>287</v>
      </c>
      <c r="F458" s="206">
        <v>10</v>
      </c>
      <c r="G458" s="206">
        <v>70</v>
      </c>
      <c r="H458" s="208">
        <f>IFERROR(INDEX(Tier1[Wt],MATCH(Production[[#This Row],[Type]],Tier1[Ingredient],0))*Production[[#This Row],[Blocks Used]],0)</f>
        <v>2800</v>
      </c>
      <c r="I458" s="220"/>
      <c r="J458" s="215">
        <f>IF(INDEX(Ingredients[Batter],MATCH(Production[[#This Row],[Product]],Ingredients[ProdName],0))*Production[[#This Row],[Batter Used]]&gt;0,INDEX(Ingredients[Batter],MATCH(Production[[#This Row],[Product]],Ingredients[ProdName],0))*Production[[#This Row],[Batter Used]],"")</f>
        <v>150</v>
      </c>
      <c r="K458" s="215">
        <f>IF(INDEX(Ingredients[Breader],MATCH(Production[[#This Row],[Product]],Ingredients[ProdName],0))*Production[[#This Row],[Breader Used]]&gt;0,INDEX(Ingredients[Breader],MATCH(Production[[#This Row],[Product]],Ingredients[ProdName],0))*Production[[#This Row],[Breader Used]],"")</f>
        <v>450</v>
      </c>
      <c r="L458" s="206">
        <v>3</v>
      </c>
      <c r="M458" s="206">
        <v>9</v>
      </c>
      <c r="N458" s="211">
        <f>IFERROR(IF(SUM(Production[[#This Row],[Meat Wt]:[BrTtl]])&lt;&gt;0,SUM(Production[[#This Row],[Meat Wt]:[BrTtl]]),""),"")</f>
        <v>3400</v>
      </c>
      <c r="O458" s="205">
        <v>190</v>
      </c>
      <c r="P458" s="208">
        <f>INDEX(Ingredients[Case Wt.],MATCH(Production[[#This Row],[Product]],Ingredients[ProdName],0))*Production[[#This Row],[Case Total]]</f>
        <v>5700</v>
      </c>
      <c r="Q458" s="211">
        <f>IFERROR(Production[[#This Row],[SatWt]]-Production[[#This Row],[RawWt]],"")</f>
        <v>2300</v>
      </c>
      <c r="R458" s="230">
        <f>IF(Production[[#This Row],[Species]]&lt;&gt;"",IF(SUM(Production[[#This Row],[BtTtl]:[BrTtl]])/Production[[#This Row],[SatWt]]&lt;&gt;0,SUM(Production[[#This Row],[BtTtl]:[BrTtl]])/Production[[#This Row],[SatWt]],""),"")</f>
        <v>0.10526315789473684</v>
      </c>
      <c r="S458" s="231" t="str">
        <f>INDEX(Ingredients[Species],MATCH(Production[[#This Row],[Product]],Ingredients[ProdName],0))</f>
        <v>Poultry</v>
      </c>
    </row>
    <row r="459" spans="1:19" ht="11.1" customHeight="1" x14ac:dyDescent="0.25">
      <c r="A459" s="207" t="str">
        <f>IFERROR(IF(Production[[#This Row],[Date]]&lt;&gt;"",TEXT(Production[[#This Row],[Date]],"yy")&amp;"-"&amp;TEXT(Production[[#This Row],[Date]]-DATE(YEAR(Production[[#This Row],[Date]]),1,0),"000"),""),"")</f>
        <v>24-262</v>
      </c>
      <c r="B459" s="209" t="str">
        <f>IFERROR(IF(INDEX(Ingredients[Ingr1],MATCH(Production[[#This Row],[Product]],Ingredients[ProdName],0))&lt;&gt;"",INDEX(Ingredients[Ingr1],MATCH(Production[[#This Row],[Product]],Ingredients[ProdName],0)),INDEX(Ingredients[Ingr2],MATCH(Production[[#This Row],[Product]],Ingredients[ProdName],0))),"")</f>
        <v>Chicken - Ground</v>
      </c>
      <c r="C459" s="203">
        <v>45553</v>
      </c>
      <c r="D459" s="204" t="s">
        <v>7</v>
      </c>
      <c r="E459" s="205">
        <v>2069</v>
      </c>
      <c r="F459" s="206">
        <v>12</v>
      </c>
      <c r="G459" s="206">
        <v>72</v>
      </c>
      <c r="H459" s="208">
        <f>IFERROR(INDEX(Tier1[Wt],MATCH(Production[[#This Row],[Type]],Tier1[Ingredient],0))*Production[[#This Row],[Blocks Used]],0)</f>
        <v>3600</v>
      </c>
      <c r="I459" s="220"/>
      <c r="J459" s="215" t="str">
        <f>IF(INDEX(Ingredients[Batter],MATCH(Production[[#This Row],[Product]],Ingredients[ProdName],0))*Production[[#This Row],[Batter Used]]&gt;0,INDEX(Ingredients[Batter],MATCH(Production[[#This Row],[Product]],Ingredients[ProdName],0))*Production[[#This Row],[Batter Used]],"")</f>
        <v/>
      </c>
      <c r="K459" s="215" t="str">
        <f>IF(INDEX(Ingredients[Breader],MATCH(Production[[#This Row],[Product]],Ingredients[ProdName],0))*Production[[#This Row],[Breader Used]]&gt;0,INDEX(Ingredients[Breader],MATCH(Production[[#This Row],[Product]],Ingredients[ProdName],0))*Production[[#This Row],[Breader Used]],"")</f>
        <v/>
      </c>
      <c r="L459" s="206"/>
      <c r="M459" s="206"/>
      <c r="N459" s="211">
        <f>IFERROR(IF(SUM(Production[[#This Row],[Meat Wt]:[BrTtl]])&lt;&gt;0,SUM(Production[[#This Row],[Meat Wt]:[BrTtl]]),""),"")</f>
        <v>3600</v>
      </c>
      <c r="O459" s="205">
        <v>183</v>
      </c>
      <c r="P459" s="208">
        <f>INDEX(Ingredients[Case Wt.],MATCH(Production[[#This Row],[Product]],Ingredients[ProdName],0))*Production[[#This Row],[Case Total]]</f>
        <v>4575</v>
      </c>
      <c r="Q459" s="211">
        <f>IFERROR(Production[[#This Row],[SatWt]]-Production[[#This Row],[RawWt]],"")</f>
        <v>975</v>
      </c>
      <c r="R459" s="230" t="str">
        <f>IF(Production[[#This Row],[Species]]&lt;&gt;"",IF(SUM(Production[[#This Row],[BtTtl]:[BrTtl]])/Production[[#This Row],[SatWt]]&lt;&gt;0,SUM(Production[[#This Row],[BtTtl]:[BrTtl]])/Production[[#This Row],[SatWt]],""),"")</f>
        <v/>
      </c>
      <c r="S459" s="231" t="str">
        <f>INDEX(Ingredients[Species],MATCH(Production[[#This Row],[Product]],Ingredients[ProdName],0))</f>
        <v>Poultry</v>
      </c>
    </row>
    <row r="460" spans="1:19" ht="11.1" customHeight="1" x14ac:dyDescent="0.25">
      <c r="A460" s="207" t="str">
        <f>IFERROR(IF(Production[[#This Row],[Date]]&lt;&gt;"",TEXT(Production[[#This Row],[Date]],"yy")&amp;"-"&amp;TEXT(Production[[#This Row],[Date]]-DATE(YEAR(Production[[#This Row],[Date]]),1,0),"000"),""),"")</f>
        <v>24-263</v>
      </c>
      <c r="B460" s="209" t="str">
        <f>IFERROR(IF(INDEX(Ingredients[Ingr1],MATCH(Production[[#This Row],[Product]],Ingredients[ProdName],0))&lt;&gt;"",INDEX(Ingredients[Ingr1],MATCH(Production[[#This Row],[Product]],Ingredients[ProdName],0)),INDEX(Ingredients[Ingr2],MATCH(Production[[#This Row],[Product]],Ingredients[ProdName],0))),"")</f>
        <v>Apples - Sliced</v>
      </c>
      <c r="C460" s="203">
        <v>45554</v>
      </c>
      <c r="D460" s="204" t="s">
        <v>43</v>
      </c>
      <c r="E460" s="205" t="s">
        <v>294</v>
      </c>
      <c r="F460" s="206"/>
      <c r="G460" s="206"/>
      <c r="H460" s="208">
        <f>IFERROR(INDEX(Tier1[Wt],MATCH(Production[[#This Row],[Type]],Tier1[Ingredient],0))*Production[[#This Row],[Blocks Used]],0)</f>
        <v>0</v>
      </c>
      <c r="I460" s="220"/>
      <c r="J460" s="215" t="str">
        <f>IF(INDEX(Ingredients[Batter],MATCH(Production[[#This Row],[Product]],Ingredients[ProdName],0))*Production[[#This Row],[Batter Used]]&gt;0,INDEX(Ingredients[Batter],MATCH(Production[[#This Row],[Product]],Ingredients[ProdName],0))*Production[[#This Row],[Batter Used]],"")</f>
        <v/>
      </c>
      <c r="K460" s="215" t="str">
        <f>IF(INDEX(Ingredients[Breader],MATCH(Production[[#This Row],[Product]],Ingredients[ProdName],0))*Production[[#This Row],[Breader Used]]&gt;0,INDEX(Ingredients[Breader],MATCH(Production[[#This Row],[Product]],Ingredients[ProdName],0))*Production[[#This Row],[Breader Used]],"")</f>
        <v/>
      </c>
      <c r="L460" s="206"/>
      <c r="M460" s="206"/>
      <c r="N460" s="211" t="str">
        <f>IFERROR(IF(SUM(Production[[#This Row],[Meat Wt]:[BrTtl]])&lt;&gt;0,SUM(Production[[#This Row],[Meat Wt]:[BrTtl]]),""),"")</f>
        <v/>
      </c>
      <c r="O460" s="205">
        <v>28</v>
      </c>
      <c r="P460" s="208">
        <f>INDEX(Ingredients[Case Wt.],MATCH(Production[[#This Row],[Product]],Ingredients[ProdName],0))*Production[[#This Row],[Case Total]]</f>
        <v>840</v>
      </c>
      <c r="Q460" s="211" t="str">
        <f>IFERROR(Production[[#This Row],[SatWt]]-Production[[#This Row],[RawWt]],"")</f>
        <v/>
      </c>
      <c r="R460" s="230" t="str">
        <f>IF(Production[[#This Row],[Species]]&lt;&gt;"",IF(SUM(Production[[#This Row],[BtTtl]:[BrTtl]])/Production[[#This Row],[SatWt]]&lt;&gt;0,SUM(Production[[#This Row],[BtTtl]:[BrTtl]])/Production[[#This Row],[SatWt]],""),"")</f>
        <v/>
      </c>
      <c r="S460" s="231" t="str">
        <f>INDEX(Ingredients[Species],MATCH(Production[[#This Row],[Product]],Ingredients[ProdName],0))</f>
        <v/>
      </c>
    </row>
    <row r="461" spans="1:19" ht="11.1" customHeight="1" x14ac:dyDescent="0.25">
      <c r="A461" s="207" t="str">
        <f>IFERROR(IF(Production[[#This Row],[Date]]&lt;&gt;"",TEXT(Production[[#This Row],[Date]],"yy")&amp;"-"&amp;TEXT(Production[[#This Row],[Date]]-DATE(YEAR(Production[[#This Row],[Date]]),1,0),"000"),""),"")</f>
        <v>24-267</v>
      </c>
      <c r="B461" s="209" t="str">
        <f>IFERROR(IF(INDEX(Ingredients[Ingr1],MATCH(Production[[#This Row],[Product]],Ingredients[ProdName],0))&lt;&gt;"",INDEX(Ingredients[Ingr1],MATCH(Production[[#This Row],[Product]],Ingredients[ProdName],0)),INDEX(Ingredients[Ingr2],MATCH(Production[[#This Row],[Product]],Ingredients[ProdName],0))),"")</f>
        <v>Chicken - Ground</v>
      </c>
      <c r="C461" s="203">
        <v>45558</v>
      </c>
      <c r="D461" s="204" t="s">
        <v>17</v>
      </c>
      <c r="E461" s="205">
        <v>2069</v>
      </c>
      <c r="F461" s="206">
        <v>12</v>
      </c>
      <c r="G461" s="206">
        <v>72</v>
      </c>
      <c r="H461" s="208">
        <f>IFERROR(INDEX(Tier1[Wt],MATCH(Production[[#This Row],[Type]],Tier1[Ingredient],0))*Production[[#This Row],[Blocks Used]],0)</f>
        <v>3600</v>
      </c>
      <c r="I461" s="220"/>
      <c r="J461" s="215" t="str">
        <f>IF(INDEX(Ingredients[Batter],MATCH(Production[[#This Row],[Product]],Ingredients[ProdName],0))*Production[[#This Row],[Batter Used]]&gt;0,INDEX(Ingredients[Batter],MATCH(Production[[#This Row],[Product]],Ingredients[ProdName],0))*Production[[#This Row],[Batter Used]],"")</f>
        <v/>
      </c>
      <c r="K461" s="215" t="str">
        <f>IF(INDEX(Ingredients[Breader],MATCH(Production[[#This Row],[Product]],Ingredients[ProdName],0))*Production[[#This Row],[Breader Used]]&gt;0,INDEX(Ingredients[Breader],MATCH(Production[[#This Row],[Product]],Ingredients[ProdName],0))*Production[[#This Row],[Breader Used]],"")</f>
        <v/>
      </c>
      <c r="L461" s="206"/>
      <c r="M461" s="206">
        <v>6</v>
      </c>
      <c r="N461" s="211">
        <f>IFERROR(IF(SUM(Production[[#This Row],[Meat Wt]:[BrTtl]])&lt;&gt;0,SUM(Production[[#This Row],[Meat Wt]:[BrTtl]]),""),"")</f>
        <v>3600</v>
      </c>
      <c r="O461" s="205">
        <v>219</v>
      </c>
      <c r="P461" s="208">
        <f>INDEX(Ingredients[Case Wt.],MATCH(Production[[#This Row],[Product]],Ingredients[ProdName],0))*Production[[#This Row],[Case Total]]</f>
        <v>5475</v>
      </c>
      <c r="Q461" s="211">
        <f>IFERROR(Production[[#This Row],[SatWt]]-Production[[#This Row],[RawWt]],"")</f>
        <v>1875</v>
      </c>
      <c r="R461" s="230" t="str">
        <f>IF(Production[[#This Row],[Species]]&lt;&gt;"",IF(SUM(Production[[#This Row],[BtTtl]:[BrTtl]])/Production[[#This Row],[SatWt]]&lt;&gt;0,SUM(Production[[#This Row],[BtTtl]:[BrTtl]])/Production[[#This Row],[SatWt]],""),"")</f>
        <v/>
      </c>
      <c r="S461" s="231" t="str">
        <f>INDEX(Ingredients[Species],MATCH(Production[[#This Row],[Product]],Ingredients[ProdName],0))</f>
        <v>Poultry</v>
      </c>
    </row>
    <row r="462" spans="1:19" ht="11.1" customHeight="1" x14ac:dyDescent="0.25">
      <c r="A462" s="207" t="str">
        <f>IFERROR(IF(Production[[#This Row],[Date]]&lt;&gt;"",TEXT(Production[[#This Row],[Date]],"yy")&amp;"-"&amp;TEXT(Production[[#This Row],[Date]]-DATE(YEAR(Production[[#This Row],[Date]]),1,0),"000"),""),"")</f>
        <v>24-268</v>
      </c>
      <c r="B462" s="209" t="str">
        <f>IFERROR(IF(INDEX(Ingredients[Ingr1],MATCH(Production[[#This Row],[Product]],Ingredients[ProdName],0))&lt;&gt;"",INDEX(Ingredients[Ingr1],MATCH(Production[[#This Row],[Product]],Ingredients[ProdName],0)),INDEX(Ingredients[Ingr2],MATCH(Production[[#This Row],[Product]],Ingredients[ProdName],0))),"")</f>
        <v>Chicken - Ground</v>
      </c>
      <c r="C462" s="203">
        <v>45559</v>
      </c>
      <c r="D462" s="204" t="s">
        <v>16</v>
      </c>
      <c r="E462" s="205">
        <v>2069</v>
      </c>
      <c r="F462" s="206">
        <v>10</v>
      </c>
      <c r="G462" s="206">
        <v>60</v>
      </c>
      <c r="H462" s="208">
        <f>IFERROR(INDEX(Tier1[Wt],MATCH(Production[[#This Row],[Type]],Tier1[Ingredient],0))*Production[[#This Row],[Blocks Used]],0)</f>
        <v>3000</v>
      </c>
      <c r="I462" s="220"/>
      <c r="J462" s="215" t="str">
        <f>IF(INDEX(Ingredients[Batter],MATCH(Production[[#This Row],[Product]],Ingredients[ProdName],0))*Production[[#This Row],[Batter Used]]&gt;0,INDEX(Ingredients[Batter],MATCH(Production[[#This Row],[Product]],Ingredients[ProdName],0))*Production[[#This Row],[Batter Used]],"")</f>
        <v/>
      </c>
      <c r="K462" s="215" t="str">
        <f>IF(INDEX(Ingredients[Breader],MATCH(Production[[#This Row],[Product]],Ingredients[ProdName],0))*Production[[#This Row],[Breader Used]]&gt;0,INDEX(Ingredients[Breader],MATCH(Production[[#This Row],[Product]],Ingredients[ProdName],0))*Production[[#This Row],[Breader Used]],"")</f>
        <v/>
      </c>
      <c r="L462" s="206"/>
      <c r="M462" s="206"/>
      <c r="N462" s="211">
        <f>IFERROR(IF(SUM(Production[[#This Row],[Meat Wt]:[BrTtl]])&lt;&gt;0,SUM(Production[[#This Row],[Meat Wt]:[BrTtl]]),""),"")</f>
        <v>3000</v>
      </c>
      <c r="O462" s="205">
        <v>126</v>
      </c>
      <c r="P462" s="208">
        <f>INDEX(Ingredients[Case Wt.],MATCH(Production[[#This Row],[Product]],Ingredients[ProdName],0))*Production[[#This Row],[Case Total]]</f>
        <v>3780</v>
      </c>
      <c r="Q462" s="211">
        <f>IFERROR(Production[[#This Row],[SatWt]]-Production[[#This Row],[RawWt]],"")</f>
        <v>780</v>
      </c>
      <c r="R462" s="230" t="str">
        <f>IF(Production[[#This Row],[Species]]&lt;&gt;"",IF(SUM(Production[[#This Row],[BtTtl]:[BrTtl]])/Production[[#This Row],[SatWt]]&lt;&gt;0,SUM(Production[[#This Row],[BtTtl]:[BrTtl]])/Production[[#This Row],[SatWt]],""),"")</f>
        <v/>
      </c>
      <c r="S462" s="231" t="str">
        <f>INDEX(Ingredients[Species],MATCH(Production[[#This Row],[Product]],Ingredients[ProdName],0))</f>
        <v>Poultry</v>
      </c>
    </row>
    <row r="463" spans="1:19" ht="11.1" customHeight="1" x14ac:dyDescent="0.25">
      <c r="A463" s="207" t="str">
        <f>IFERROR(IF(Production[[#This Row],[Date]]&lt;&gt;"",TEXT(Production[[#This Row],[Date]],"yy")&amp;"-"&amp;TEXT(Production[[#This Row],[Date]]-DATE(YEAR(Production[[#This Row],[Date]]),1,0),"000"),""),"")</f>
        <v>24-269</v>
      </c>
      <c r="B463" s="209" t="str">
        <f>IFERROR(IF(INDEX(Ingredients[Ingr1],MATCH(Production[[#This Row],[Product]],Ingredients[ProdName],0))&lt;&gt;"",INDEX(Ingredients[Ingr1],MATCH(Production[[#This Row],[Product]],Ingredients[ProdName],0)),INDEX(Ingredients[Ingr2],MATCH(Production[[#This Row],[Product]],Ingredients[ProdName],0))),"")</f>
        <v>Chicken - Ground</v>
      </c>
      <c r="C463" s="203">
        <v>45560</v>
      </c>
      <c r="D463" s="204" t="s">
        <v>19</v>
      </c>
      <c r="E463" s="205">
        <v>2069</v>
      </c>
      <c r="F463" s="206">
        <v>12</v>
      </c>
      <c r="G463" s="206">
        <v>72</v>
      </c>
      <c r="H463" s="208">
        <f>IFERROR(INDEX(Tier1[Wt],MATCH(Production[[#This Row],[Type]],Tier1[Ingredient],0))*Production[[#This Row],[Blocks Used]],0)</f>
        <v>3600</v>
      </c>
      <c r="I463" s="220"/>
      <c r="J463" s="215" t="str">
        <f>IF(INDEX(Ingredients[Batter],MATCH(Production[[#This Row],[Product]],Ingredients[ProdName],0))*Production[[#This Row],[Batter Used]]&gt;0,INDEX(Ingredients[Batter],MATCH(Production[[#This Row],[Product]],Ingredients[ProdName],0))*Production[[#This Row],[Batter Used]],"")</f>
        <v/>
      </c>
      <c r="K463" s="215" t="str">
        <f>IF(INDEX(Ingredients[Breader],MATCH(Production[[#This Row],[Product]],Ingredients[ProdName],0))*Production[[#This Row],[Breader Used]]&gt;0,INDEX(Ingredients[Breader],MATCH(Production[[#This Row],[Product]],Ingredients[ProdName],0))*Production[[#This Row],[Breader Used]],"")</f>
        <v/>
      </c>
      <c r="L463" s="206"/>
      <c r="M463" s="206"/>
      <c r="N463" s="211">
        <f>IFERROR(IF(SUM(Production[[#This Row],[Meat Wt]:[BrTtl]])&lt;&gt;0,SUM(Production[[#This Row],[Meat Wt]:[BrTtl]]),""),"")</f>
        <v>3600</v>
      </c>
      <c r="O463" s="205">
        <v>193</v>
      </c>
      <c r="P463" s="208">
        <f>INDEX(Ingredients[Case Wt.],MATCH(Production[[#This Row],[Product]],Ingredients[ProdName],0))*Production[[#This Row],[Case Total]]</f>
        <v>4825</v>
      </c>
      <c r="Q463" s="211">
        <f>IFERROR(Production[[#This Row],[SatWt]]-Production[[#This Row],[RawWt]],"")</f>
        <v>1225</v>
      </c>
      <c r="R463" s="230" t="str">
        <f>IF(Production[[#This Row],[Species]]&lt;&gt;"",IF(SUM(Production[[#This Row],[BtTtl]:[BrTtl]])/Production[[#This Row],[SatWt]]&lt;&gt;0,SUM(Production[[#This Row],[BtTtl]:[BrTtl]])/Production[[#This Row],[SatWt]],""),"")</f>
        <v/>
      </c>
      <c r="S463" s="231" t="str">
        <f>INDEX(Ingredients[Species],MATCH(Production[[#This Row],[Product]],Ingredients[ProdName],0))</f>
        <v>Poultry</v>
      </c>
    </row>
    <row r="464" spans="1:19" ht="11.1" customHeight="1" x14ac:dyDescent="0.25">
      <c r="A464" s="207" t="str">
        <f>IFERROR(IF(Production[[#This Row],[Date]]&lt;&gt;"",TEXT(Production[[#This Row],[Date]],"yy")&amp;"-"&amp;TEXT(Production[[#This Row],[Date]]-DATE(YEAR(Production[[#This Row],[Date]]),1,0),"000"),""),"")</f>
        <v>24-270</v>
      </c>
      <c r="B464" s="209" t="str">
        <f>IFERROR(IF(INDEX(Ingredients[Ingr1],MATCH(Production[[#This Row],[Product]],Ingredients[ProdName],0))&lt;&gt;"",INDEX(Ingredients[Ingr1],MATCH(Production[[#This Row],[Product]],Ingredients[ProdName],0)),INDEX(Ingredients[Ingr2],MATCH(Production[[#This Row],[Product]],Ingredients[ProdName],0))),"")</f>
        <v>Chicken - Ground</v>
      </c>
      <c r="C464" s="203">
        <v>45561</v>
      </c>
      <c r="D464" s="204" t="s">
        <v>20</v>
      </c>
      <c r="E464" s="205">
        <v>2200</v>
      </c>
      <c r="F464" s="206">
        <v>12</v>
      </c>
      <c r="G464" s="206">
        <v>72</v>
      </c>
      <c r="H464" s="208">
        <f>IFERROR(INDEX(Tier1[Wt],MATCH(Production[[#This Row],[Type]],Tier1[Ingredient],0))*Production[[#This Row],[Blocks Used]],0)</f>
        <v>3600</v>
      </c>
      <c r="I464" s="220"/>
      <c r="J464" s="215" t="str">
        <f>IF(INDEX(Ingredients[Batter],MATCH(Production[[#This Row],[Product]],Ingredients[ProdName],0))*Production[[#This Row],[Batter Used]]&gt;0,INDEX(Ingredients[Batter],MATCH(Production[[#This Row],[Product]],Ingredients[ProdName],0))*Production[[#This Row],[Batter Used]],"")</f>
        <v/>
      </c>
      <c r="K464" s="215" t="str">
        <f>IF(INDEX(Ingredients[Breader],MATCH(Production[[#This Row],[Product]],Ingredients[ProdName],0))*Production[[#This Row],[Breader Used]]&gt;0,INDEX(Ingredients[Breader],MATCH(Production[[#This Row],[Product]],Ingredients[ProdName],0))*Production[[#This Row],[Breader Used]],"")</f>
        <v/>
      </c>
      <c r="L464" s="206"/>
      <c r="M464" s="206"/>
      <c r="N464" s="211">
        <f>IFERROR(IF(SUM(Production[[#This Row],[Meat Wt]:[BrTtl]])&lt;&gt;0,SUM(Production[[#This Row],[Meat Wt]:[BrTtl]]),""),"")</f>
        <v>3600</v>
      </c>
      <c r="O464" s="205">
        <v>204</v>
      </c>
      <c r="P464" s="208">
        <f>INDEX(Ingredients[Case Wt.],MATCH(Production[[#This Row],[Product]],Ingredients[ProdName],0))*Production[[#This Row],[Case Total]]</f>
        <v>5100</v>
      </c>
      <c r="Q464" s="211">
        <f>IFERROR(Production[[#This Row],[SatWt]]-Production[[#This Row],[RawWt]],"")</f>
        <v>1500</v>
      </c>
      <c r="R464" s="230" t="str">
        <f>IF(Production[[#This Row],[Species]]&lt;&gt;"",IF(SUM(Production[[#This Row],[BtTtl]:[BrTtl]])/Production[[#This Row],[SatWt]]&lt;&gt;0,SUM(Production[[#This Row],[BtTtl]:[BrTtl]])/Production[[#This Row],[SatWt]],""),"")</f>
        <v/>
      </c>
      <c r="S464" s="231" t="str">
        <f>INDEX(Ingredients[Species],MATCH(Production[[#This Row],[Product]],Ingredients[ProdName],0))</f>
        <v>Poultry</v>
      </c>
    </row>
    <row r="465" spans="1:19" ht="11.1" customHeight="1" x14ac:dyDescent="0.25">
      <c r="A465" s="207" t="str">
        <f>IFERROR(IF(Production[[#This Row],[Date]]&lt;&gt;"",TEXT(Production[[#This Row],[Date]],"yy")&amp;"-"&amp;TEXT(Production[[#This Row],[Date]]-DATE(YEAR(Production[[#This Row],[Date]]),1,0),"000"),""),"")</f>
        <v>24-274</v>
      </c>
      <c r="B465" s="209" t="str">
        <f>IFERROR(IF(INDEX(Ingredients[Ingr1],MATCH(Production[[#This Row],[Product]],Ingredients[ProdName],0))&lt;&gt;"",INDEX(Ingredients[Ingr1],MATCH(Production[[#This Row],[Product]],Ingredients[ProdName],0)),INDEX(Ingredients[Ingr2],MATCH(Production[[#This Row],[Product]],Ingredients[ProdName],0))),"")</f>
        <v>Cornmeal</v>
      </c>
      <c r="C465" s="203">
        <v>45565</v>
      </c>
      <c r="D465" s="204" t="s">
        <v>24</v>
      </c>
      <c r="E465" s="205" t="s">
        <v>295</v>
      </c>
      <c r="F465" s="206"/>
      <c r="G465" s="206"/>
      <c r="H465" s="208">
        <f>IFERROR(INDEX(Tier1[Wt],MATCH(Production[[#This Row],[Type]],Tier1[Ingredient],0))*Production[[#This Row],[Blocks Used]],0)</f>
        <v>0</v>
      </c>
      <c r="I465" s="220"/>
      <c r="J465" s="215" t="str">
        <f>IF(INDEX(Ingredients[Batter],MATCH(Production[[#This Row],[Product]],Ingredients[ProdName],0))*Production[[#This Row],[Batter Used]]&gt;0,INDEX(Ingredients[Batter],MATCH(Production[[#This Row],[Product]],Ingredients[ProdName],0))*Production[[#This Row],[Batter Used]],"")</f>
        <v/>
      </c>
      <c r="K465" s="215" t="str">
        <f>IF(INDEX(Ingredients[Breader],MATCH(Production[[#This Row],[Product]],Ingredients[ProdName],0))*Production[[#This Row],[Breader Used]]&gt;0,INDEX(Ingredients[Breader],MATCH(Production[[#This Row],[Product]],Ingredients[ProdName],0))*Production[[#This Row],[Breader Used]],"")</f>
        <v/>
      </c>
      <c r="L465" s="206"/>
      <c r="M465" s="206"/>
      <c r="N465" s="211" t="str">
        <f>IFERROR(IF(SUM(Production[[#This Row],[Meat Wt]:[BrTtl]])&lt;&gt;0,SUM(Production[[#This Row],[Meat Wt]:[BrTtl]]),""),"")</f>
        <v/>
      </c>
      <c r="O465" s="205">
        <v>29</v>
      </c>
      <c r="P465" s="208">
        <f>INDEX(Ingredients[Case Wt.],MATCH(Production[[#This Row],[Product]],Ingredients[ProdName],0))*Production[[#This Row],[Case Total]]</f>
        <v>145</v>
      </c>
      <c r="Q465" s="211" t="str">
        <f>IFERROR(Production[[#This Row],[SatWt]]-Production[[#This Row],[RawWt]],"")</f>
        <v/>
      </c>
      <c r="R465" s="230" t="str">
        <f>IF(Production[[#This Row],[Species]]&lt;&gt;"",IF(SUM(Production[[#This Row],[BtTtl]:[BrTtl]])/Production[[#This Row],[SatWt]]&lt;&gt;0,SUM(Production[[#This Row],[BtTtl]:[BrTtl]])/Production[[#This Row],[SatWt]],""),"")</f>
        <v/>
      </c>
      <c r="S465" s="231" t="str">
        <f>INDEX(Ingredients[Species],MATCH(Production[[#This Row],[Product]],Ingredients[ProdName],0))</f>
        <v/>
      </c>
    </row>
    <row r="466" spans="1:19" ht="11.1" customHeight="1" x14ac:dyDescent="0.25">
      <c r="A466" s="207" t="str">
        <f>IFERROR(IF(Production[[#This Row],[Date]]&lt;&gt;"",TEXT(Production[[#This Row],[Date]],"yy")&amp;"-"&amp;TEXT(Production[[#This Row],[Date]]-DATE(YEAR(Production[[#This Row],[Date]]),1,0),"000"),""),"")</f>
        <v>24-274</v>
      </c>
      <c r="B466" s="209" t="str">
        <f>IFERROR(IF(INDEX(Ingredients[Ingr1],MATCH(Production[[#This Row],[Product]],Ingredients[ProdName],0))&lt;&gt;"",INDEX(Ingredients[Ingr1],MATCH(Production[[#This Row],[Product]],Ingredients[ProdName],0)),INDEX(Ingredients[Ingr2],MATCH(Production[[#This Row],[Product]],Ingredients[ProdName],0))),"")</f>
        <v>Apples - Sliced</v>
      </c>
      <c r="C466" s="203">
        <v>45565</v>
      </c>
      <c r="D466" s="204" t="s">
        <v>43</v>
      </c>
      <c r="E466" s="205" t="s">
        <v>296</v>
      </c>
      <c r="F466" s="206"/>
      <c r="G466" s="206"/>
      <c r="H466" s="208">
        <f>IFERROR(INDEX(Tier1[Wt],MATCH(Production[[#This Row],[Type]],Tier1[Ingredient],0))*Production[[#This Row],[Blocks Used]],0)</f>
        <v>0</v>
      </c>
      <c r="I466" s="220"/>
      <c r="J466" s="215" t="str">
        <f>IF(INDEX(Ingredients[Batter],MATCH(Production[[#This Row],[Product]],Ingredients[ProdName],0))*Production[[#This Row],[Batter Used]]&gt;0,INDEX(Ingredients[Batter],MATCH(Production[[#This Row],[Product]],Ingredients[ProdName],0))*Production[[#This Row],[Batter Used]],"")</f>
        <v/>
      </c>
      <c r="K466" s="215" t="str">
        <f>IF(INDEX(Ingredients[Breader],MATCH(Production[[#This Row],[Product]],Ingredients[ProdName],0))*Production[[#This Row],[Breader Used]]&gt;0,INDEX(Ingredients[Breader],MATCH(Production[[#This Row],[Product]],Ingredients[ProdName],0))*Production[[#This Row],[Breader Used]],"")</f>
        <v/>
      </c>
      <c r="L466" s="206"/>
      <c r="M466" s="206"/>
      <c r="N466" s="211" t="str">
        <f>IFERROR(IF(SUM(Production[[#This Row],[Meat Wt]:[BrTtl]])&lt;&gt;0,SUM(Production[[#This Row],[Meat Wt]:[BrTtl]]),""),"")</f>
        <v/>
      </c>
      <c r="O466" s="205">
        <v>36</v>
      </c>
      <c r="P466" s="208">
        <f>INDEX(Ingredients[Case Wt.],MATCH(Production[[#This Row],[Product]],Ingredients[ProdName],0))*Production[[#This Row],[Case Total]]</f>
        <v>1080</v>
      </c>
      <c r="Q466" s="211" t="str">
        <f>IFERROR(Production[[#This Row],[SatWt]]-Production[[#This Row],[RawWt]],"")</f>
        <v/>
      </c>
      <c r="R466" s="230" t="str">
        <f>IF(Production[[#This Row],[Species]]&lt;&gt;"",IF(SUM(Production[[#This Row],[BtTtl]:[BrTtl]])/Production[[#This Row],[SatWt]]&lt;&gt;0,SUM(Production[[#This Row],[BtTtl]:[BrTtl]])/Production[[#This Row],[SatWt]],""),"")</f>
        <v/>
      </c>
      <c r="S466" s="231" t="str">
        <f>INDEX(Ingredients[Species],MATCH(Production[[#This Row],[Product]],Ingredients[ProdName],0))</f>
        <v/>
      </c>
    </row>
    <row r="467" spans="1:19" ht="11.1" customHeight="1" x14ac:dyDescent="0.25">
      <c r="A467" s="207" t="str">
        <f>IFERROR(IF(Production[[#This Row],[Date]]&lt;&gt;"",TEXT(Production[[#This Row],[Date]],"yy")&amp;"-"&amp;TEXT(Production[[#This Row],[Date]]-DATE(YEAR(Production[[#This Row],[Date]]),1,0),"000"),""),"")</f>
        <v>24-275</v>
      </c>
      <c r="B467" s="209" t="str">
        <f>IFERROR(IF(INDEX(Ingredients[Ingr1],MATCH(Production[[#This Row],[Product]],Ingredients[ProdName],0))&lt;&gt;"",INDEX(Ingredients[Ingr1],MATCH(Production[[#This Row],[Product]],Ingredients[ProdName],0)),INDEX(Ingredients[Ingr2],MATCH(Production[[#This Row],[Product]],Ingredients[ProdName],0))),"")</f>
        <v>Cornmeal</v>
      </c>
      <c r="C467" s="203">
        <v>45566</v>
      </c>
      <c r="D467" s="204" t="s">
        <v>24</v>
      </c>
      <c r="E467" s="205" t="s">
        <v>297</v>
      </c>
      <c r="F467" s="206"/>
      <c r="G467" s="206"/>
      <c r="H467" s="208">
        <f>IFERROR(INDEX(Tier1[Wt],MATCH(Production[[#This Row],[Type]],Tier1[Ingredient],0))*Production[[#This Row],[Blocks Used]],0)</f>
        <v>0</v>
      </c>
      <c r="I467" s="220"/>
      <c r="J467" s="215" t="str">
        <f>IF(INDEX(Ingredients[Batter],MATCH(Production[[#This Row],[Product]],Ingredients[ProdName],0))*Production[[#This Row],[Batter Used]]&gt;0,INDEX(Ingredients[Batter],MATCH(Production[[#This Row],[Product]],Ingredients[ProdName],0))*Production[[#This Row],[Batter Used]],"")</f>
        <v/>
      </c>
      <c r="K467" s="215" t="str">
        <f>IF(INDEX(Ingredients[Breader],MATCH(Production[[#This Row],[Product]],Ingredients[ProdName],0))*Production[[#This Row],[Breader Used]]&gt;0,INDEX(Ingredients[Breader],MATCH(Production[[#This Row],[Product]],Ingredients[ProdName],0))*Production[[#This Row],[Breader Used]],"")</f>
        <v/>
      </c>
      <c r="L467" s="206"/>
      <c r="M467" s="206"/>
      <c r="N467" s="211" t="str">
        <f>IFERROR(IF(SUM(Production[[#This Row],[Meat Wt]:[BrTtl]])&lt;&gt;0,SUM(Production[[#This Row],[Meat Wt]:[BrTtl]]),""),"")</f>
        <v/>
      </c>
      <c r="O467" s="205">
        <v>29</v>
      </c>
      <c r="P467" s="208">
        <f>INDEX(Ingredients[Case Wt.],MATCH(Production[[#This Row],[Product]],Ingredients[ProdName],0))*Production[[#This Row],[Case Total]]</f>
        <v>145</v>
      </c>
      <c r="Q467" s="211" t="str">
        <f>IFERROR(Production[[#This Row],[SatWt]]-Production[[#This Row],[RawWt]],"")</f>
        <v/>
      </c>
      <c r="R467" s="230" t="str">
        <f>IF(Production[[#This Row],[Species]]&lt;&gt;"",IF(SUM(Production[[#This Row],[BtTtl]:[BrTtl]])/Production[[#This Row],[SatWt]]&lt;&gt;0,SUM(Production[[#This Row],[BtTtl]:[BrTtl]])/Production[[#This Row],[SatWt]],""),"")</f>
        <v/>
      </c>
      <c r="S467" s="231" t="str">
        <f>INDEX(Ingredients[Species],MATCH(Production[[#This Row],[Product]],Ingredients[ProdName],0))</f>
        <v/>
      </c>
    </row>
    <row r="468" spans="1:19" ht="11.1" customHeight="1" x14ac:dyDescent="0.25">
      <c r="A468" s="207" t="str">
        <f>IFERROR(IF(Production[[#This Row],[Date]]&lt;&gt;"",TEXT(Production[[#This Row],[Date]],"yy")&amp;"-"&amp;TEXT(Production[[#This Row],[Date]]-DATE(YEAR(Production[[#This Row],[Date]]),1,0),"000"),""),"")</f>
        <v>24-275</v>
      </c>
      <c r="B468" s="209" t="str">
        <f>IFERROR(IF(INDEX(Ingredients[Ingr1],MATCH(Production[[#This Row],[Product]],Ingredients[ProdName],0))&lt;&gt;"",INDEX(Ingredients[Ingr1],MATCH(Production[[#This Row],[Product]],Ingredients[ProdName],0)),INDEX(Ingredients[Ingr2],MATCH(Production[[#This Row],[Product]],Ingredients[ProdName],0))),"")</f>
        <v>Apples - Sliced</v>
      </c>
      <c r="C468" s="203">
        <v>45566</v>
      </c>
      <c r="D468" s="204" t="s">
        <v>43</v>
      </c>
      <c r="E468" s="205" t="s">
        <v>298</v>
      </c>
      <c r="F468" s="206"/>
      <c r="G468" s="206"/>
      <c r="H468" s="208">
        <f>IFERROR(INDEX(Tier1[Wt],MATCH(Production[[#This Row],[Type]],Tier1[Ingredient],0))*Production[[#This Row],[Blocks Used]],0)</f>
        <v>0</v>
      </c>
      <c r="I468" s="220"/>
      <c r="J468" s="215" t="str">
        <f>IF(INDEX(Ingredients[Batter],MATCH(Production[[#This Row],[Product]],Ingredients[ProdName],0))*Production[[#This Row],[Batter Used]]&gt;0,INDEX(Ingredients[Batter],MATCH(Production[[#This Row],[Product]],Ingredients[ProdName],0))*Production[[#This Row],[Batter Used]],"")</f>
        <v/>
      </c>
      <c r="K468" s="215" t="str">
        <f>IF(INDEX(Ingredients[Breader],MATCH(Production[[#This Row],[Product]],Ingredients[ProdName],0))*Production[[#This Row],[Breader Used]]&gt;0,INDEX(Ingredients[Breader],MATCH(Production[[#This Row],[Product]],Ingredients[ProdName],0))*Production[[#This Row],[Breader Used]],"")</f>
        <v/>
      </c>
      <c r="L468" s="206"/>
      <c r="M468" s="206"/>
      <c r="N468" s="211" t="str">
        <f>IFERROR(IF(SUM(Production[[#This Row],[Meat Wt]:[BrTtl]])&lt;&gt;0,SUM(Production[[#This Row],[Meat Wt]:[BrTtl]]),""),"")</f>
        <v/>
      </c>
      <c r="O468" s="205">
        <v>39</v>
      </c>
      <c r="P468" s="208">
        <f>INDEX(Ingredients[Case Wt.],MATCH(Production[[#This Row],[Product]],Ingredients[ProdName],0))*Production[[#This Row],[Case Total]]</f>
        <v>1170</v>
      </c>
      <c r="Q468" s="211" t="str">
        <f>IFERROR(Production[[#This Row],[SatWt]]-Production[[#This Row],[RawWt]],"")</f>
        <v/>
      </c>
      <c r="R468" s="230" t="str">
        <f>IF(Production[[#This Row],[Species]]&lt;&gt;"",IF(SUM(Production[[#This Row],[BtTtl]:[BrTtl]])/Production[[#This Row],[SatWt]]&lt;&gt;0,SUM(Production[[#This Row],[BtTtl]:[BrTtl]])/Production[[#This Row],[SatWt]],""),"")</f>
        <v/>
      </c>
      <c r="S468" s="231" t="str">
        <f>INDEX(Ingredients[Species],MATCH(Production[[#This Row],[Product]],Ingredients[ProdName],0))</f>
        <v/>
      </c>
    </row>
    <row r="469" spans="1:19" ht="11.1" customHeight="1" x14ac:dyDescent="0.25">
      <c r="A469" s="207" t="str">
        <f>IFERROR(IF(Production[[#This Row],[Date]]&lt;&gt;"",TEXT(Production[[#This Row],[Date]],"yy")&amp;"-"&amp;TEXT(Production[[#This Row],[Date]]-DATE(YEAR(Production[[#This Row],[Date]]),1,0),"000"),""),"")</f>
        <v>24-276</v>
      </c>
      <c r="B469" s="209" t="str">
        <f>IFERROR(IF(INDEX(Ingredients[Ingr1],MATCH(Production[[#This Row],[Product]],Ingredients[ProdName],0))&lt;&gt;"",INDEX(Ingredients[Ingr1],MATCH(Production[[#This Row],[Product]],Ingredients[ProdName],0)),INDEX(Ingredients[Ingr2],MATCH(Production[[#This Row],[Product]],Ingredients[ProdName],0))),"")</f>
        <v>Chicken - Ground</v>
      </c>
      <c r="C469" s="203">
        <v>45567</v>
      </c>
      <c r="D469" s="204" t="s">
        <v>15</v>
      </c>
      <c r="E469" s="205">
        <v>2200</v>
      </c>
      <c r="F469" s="206">
        <v>12</v>
      </c>
      <c r="G469" s="206">
        <v>72</v>
      </c>
      <c r="H469" s="208">
        <f>IFERROR(INDEX(Tier1[Wt],MATCH(Production[[#This Row],[Type]],Tier1[Ingredient],0))*Production[[#This Row],[Blocks Used]],0)</f>
        <v>3600</v>
      </c>
      <c r="I469" s="220"/>
      <c r="J469" s="215" t="str">
        <f>IF(INDEX(Ingredients[Batter],MATCH(Production[[#This Row],[Product]],Ingredients[ProdName],0))*Production[[#This Row],[Batter Used]]&gt;0,INDEX(Ingredients[Batter],MATCH(Production[[#This Row],[Product]],Ingredients[ProdName],0))*Production[[#This Row],[Batter Used]],"")</f>
        <v/>
      </c>
      <c r="K469" s="215" t="str">
        <f>IF(INDEX(Ingredients[Breader],MATCH(Production[[#This Row],[Product]],Ingredients[ProdName],0))*Production[[#This Row],[Breader Used]]&gt;0,INDEX(Ingredients[Breader],MATCH(Production[[#This Row],[Product]],Ingredients[ProdName],0))*Production[[#This Row],[Breader Used]],"")</f>
        <v/>
      </c>
      <c r="L469" s="206"/>
      <c r="M469" s="206"/>
      <c r="N469" s="211">
        <f>IFERROR(IF(SUM(Production[[#This Row],[Meat Wt]:[BrTtl]])&lt;&gt;0,SUM(Production[[#This Row],[Meat Wt]:[BrTtl]]),""),"")</f>
        <v>3600</v>
      </c>
      <c r="O469" s="205">
        <v>151</v>
      </c>
      <c r="P469" s="208">
        <f>INDEX(Ingredients[Case Wt.],MATCH(Production[[#This Row],[Product]],Ingredients[ProdName],0))*Production[[#This Row],[Case Total]]</f>
        <v>4530</v>
      </c>
      <c r="Q469" s="211">
        <f>IFERROR(Production[[#This Row],[SatWt]]-Production[[#This Row],[RawWt]],"")</f>
        <v>930</v>
      </c>
      <c r="R469" s="230" t="str">
        <f>IF(Production[[#This Row],[Species]]&lt;&gt;"",IF(SUM(Production[[#This Row],[BtTtl]:[BrTtl]])/Production[[#This Row],[SatWt]]&lt;&gt;0,SUM(Production[[#This Row],[BtTtl]:[BrTtl]])/Production[[#This Row],[SatWt]],""),"")</f>
        <v/>
      </c>
      <c r="S469" s="231" t="str">
        <f>INDEX(Ingredients[Species],MATCH(Production[[#This Row],[Product]],Ingredients[ProdName],0))</f>
        <v>Poultry</v>
      </c>
    </row>
    <row r="470" spans="1:19" ht="11.1" customHeight="1" x14ac:dyDescent="0.25">
      <c r="A470" s="207" t="str">
        <f>IFERROR(IF(Production[[#This Row],[Date]]&lt;&gt;"",TEXT(Production[[#This Row],[Date]],"yy")&amp;"-"&amp;TEXT(Production[[#This Row],[Date]]-DATE(YEAR(Production[[#This Row],[Date]]),1,0),"000"),""),"")</f>
        <v>24-277</v>
      </c>
      <c r="B470" s="209" t="str">
        <f>IFERROR(IF(INDEX(Ingredients[Ingr1],MATCH(Production[[#This Row],[Product]],Ingredients[ProdName],0))&lt;&gt;"",INDEX(Ingredients[Ingr1],MATCH(Production[[#This Row],[Product]],Ingredients[ProdName],0)),INDEX(Ingredients[Ingr2],MATCH(Production[[#This Row],[Product]],Ingredients[ProdName],0))),"")</f>
        <v>Apples - Sliced</v>
      </c>
      <c r="C470" s="203">
        <v>45568</v>
      </c>
      <c r="D470" s="204" t="s">
        <v>43</v>
      </c>
      <c r="E470" s="205" t="s">
        <v>299</v>
      </c>
      <c r="F470" s="206"/>
      <c r="G470" s="206"/>
      <c r="H470" s="208">
        <f>IFERROR(INDEX(Tier1[Wt],MATCH(Production[[#This Row],[Type]],Tier1[Ingredient],0))*Production[[#This Row],[Blocks Used]],0)</f>
        <v>0</v>
      </c>
      <c r="I470" s="220"/>
      <c r="J470" s="215" t="str">
        <f>IF(INDEX(Ingredients[Batter],MATCH(Production[[#This Row],[Product]],Ingredients[ProdName],0))*Production[[#This Row],[Batter Used]]&gt;0,INDEX(Ingredients[Batter],MATCH(Production[[#This Row],[Product]],Ingredients[ProdName],0))*Production[[#This Row],[Batter Used]],"")</f>
        <v/>
      </c>
      <c r="K470" s="215" t="str">
        <f>IF(INDEX(Ingredients[Breader],MATCH(Production[[#This Row],[Product]],Ingredients[ProdName],0))*Production[[#This Row],[Breader Used]]&gt;0,INDEX(Ingredients[Breader],MATCH(Production[[#This Row],[Product]],Ingredients[ProdName],0))*Production[[#This Row],[Breader Used]],"")</f>
        <v/>
      </c>
      <c r="L470" s="206"/>
      <c r="M470" s="206"/>
      <c r="N470" s="211" t="str">
        <f>IFERROR(IF(SUM(Production[[#This Row],[Meat Wt]:[BrTtl]])&lt;&gt;0,SUM(Production[[#This Row],[Meat Wt]:[BrTtl]]),""),"")</f>
        <v/>
      </c>
      <c r="O470" s="205">
        <v>30</v>
      </c>
      <c r="P470" s="208">
        <f>INDEX(Ingredients[Case Wt.],MATCH(Production[[#This Row],[Product]],Ingredients[ProdName],0))*Production[[#This Row],[Case Total]]</f>
        <v>900</v>
      </c>
      <c r="Q470" s="211" t="str">
        <f>IFERROR(Production[[#This Row],[SatWt]]-Production[[#This Row],[RawWt]],"")</f>
        <v/>
      </c>
      <c r="R470" s="230" t="str">
        <f>IF(Production[[#This Row],[Species]]&lt;&gt;"",IF(SUM(Production[[#This Row],[BtTtl]:[BrTtl]])/Production[[#This Row],[SatWt]]&lt;&gt;0,SUM(Production[[#This Row],[BtTtl]:[BrTtl]])/Production[[#This Row],[SatWt]],""),"")</f>
        <v/>
      </c>
      <c r="S470" s="231" t="str">
        <f>INDEX(Ingredients[Species],MATCH(Production[[#This Row],[Product]],Ingredients[ProdName],0))</f>
        <v/>
      </c>
    </row>
    <row r="471" spans="1:19" ht="11.1" customHeight="1" x14ac:dyDescent="0.25">
      <c r="A471" s="207" t="str">
        <f>IFERROR(IF(Production[[#This Row],[Date]]&lt;&gt;"",TEXT(Production[[#This Row],[Date]],"yy")&amp;"-"&amp;TEXT(Production[[#This Row],[Date]]-DATE(YEAR(Production[[#This Row],[Date]]),1,0),"000"),""),"")</f>
        <v>24-281</v>
      </c>
      <c r="B471" s="209" t="str">
        <f>IFERROR(IF(INDEX(Ingredients[Ingr1],MATCH(Production[[#This Row],[Product]],Ingredients[ProdName],0))&lt;&gt;"",INDEX(Ingredients[Ingr1],MATCH(Production[[#This Row],[Product]],Ingredients[ProdName],0)),INDEX(Ingredients[Ingr2],MATCH(Production[[#This Row],[Product]],Ingredients[ProdName],0))),"")</f>
        <v>Chicken - Tenders</v>
      </c>
      <c r="C471" s="203">
        <v>45572</v>
      </c>
      <c r="D471" s="204" t="s">
        <v>14</v>
      </c>
      <c r="E471" s="205" t="s">
        <v>287</v>
      </c>
      <c r="F471" s="206">
        <v>12</v>
      </c>
      <c r="G471" s="206">
        <v>84</v>
      </c>
      <c r="H471" s="208">
        <f>IFERROR(INDEX(Tier1[Wt],MATCH(Production[[#This Row],[Type]],Tier1[Ingredient],0))*Production[[#This Row],[Blocks Used]],0)</f>
        <v>3360</v>
      </c>
      <c r="I471" s="220"/>
      <c r="J471" s="215" t="str">
        <f>IF(INDEX(Ingredients[Batter],MATCH(Production[[#This Row],[Product]],Ingredients[ProdName],0))*Production[[#This Row],[Batter Used]]&gt;0,INDEX(Ingredients[Batter],MATCH(Production[[#This Row],[Product]],Ingredients[ProdName],0))*Production[[#This Row],[Batter Used]],"")</f>
        <v/>
      </c>
      <c r="K471" s="215" t="str">
        <f>IF(INDEX(Ingredients[Breader],MATCH(Production[[#This Row],[Product]],Ingredients[ProdName],0))*Production[[#This Row],[Breader Used]]&gt;0,INDEX(Ingredients[Breader],MATCH(Production[[#This Row],[Product]],Ingredients[ProdName],0))*Production[[#This Row],[Breader Used]],"")</f>
        <v/>
      </c>
      <c r="L471" s="206"/>
      <c r="M471" s="206"/>
      <c r="N471" s="211">
        <f>IFERROR(IF(SUM(Production[[#This Row],[Meat Wt]:[BrTtl]])&lt;&gt;0,SUM(Production[[#This Row],[Meat Wt]:[BrTtl]]),""),"")</f>
        <v>3360</v>
      </c>
      <c r="O471" s="205">
        <v>198</v>
      </c>
      <c r="P471" s="208">
        <f>INDEX(Ingredients[Case Wt.],MATCH(Production[[#This Row],[Product]],Ingredients[ProdName],0))*Production[[#This Row],[Case Total]]</f>
        <v>4950</v>
      </c>
      <c r="Q471" s="211">
        <f>IFERROR(Production[[#This Row],[SatWt]]-Production[[#This Row],[RawWt]],"")</f>
        <v>1590</v>
      </c>
      <c r="R471" s="230" t="str">
        <f>IF(Production[[#This Row],[Species]]&lt;&gt;"",IF(SUM(Production[[#This Row],[BtTtl]:[BrTtl]])/Production[[#This Row],[SatWt]]&lt;&gt;0,SUM(Production[[#This Row],[BtTtl]:[BrTtl]])/Production[[#This Row],[SatWt]],""),"")</f>
        <v/>
      </c>
      <c r="S471" s="231" t="str">
        <f>INDEX(Ingredients[Species],MATCH(Production[[#This Row],[Product]],Ingredients[ProdName],0))</f>
        <v>Poultry</v>
      </c>
    </row>
  </sheetData>
  <conditionalFormatting sqref="A3:S471">
    <cfRule type="cellIs" dxfId="15" priority="1" operator="equal">
      <formula>""</formula>
    </cfRule>
  </conditionalFormatting>
  <pageMargins left="0.7" right="0.7" top="0.75" bottom="0.75" header="0.3" footer="0.3"/>
  <pageSetup orientation="portrait" r:id="rId1"/>
  <ignoredErrors>
    <ignoredError sqref="E360:E406" numberStoredAsText="1"/>
  </ignoredErrors>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8D20A0EA-5734-4C5D-A1AF-14C03F2C9EC5}">
          <x14:formula1>
            <xm:f>Ingredients!$A$3:$A$31</xm:f>
          </x14:formula1>
          <xm:sqref>D3:D471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1F779-0384-4ED6-85B9-9520500BC554}">
  <sheetPr codeName="Sheet3"/>
  <dimension ref="A1:U36"/>
  <sheetViews>
    <sheetView topLeftCell="D1" zoomScaleNormal="100" workbookViewId="0">
      <selection activeCell="E36" sqref="E36"/>
    </sheetView>
    <sheetView workbookViewId="1"/>
  </sheetViews>
  <sheetFormatPr defaultRowHeight="11.45" customHeight="1" x14ac:dyDescent="0.25"/>
  <cols>
    <col min="1" max="1" width="20.140625" bestFit="1" customWidth="1"/>
    <col min="2" max="2" width="12.140625" customWidth="1"/>
    <col min="3" max="3" width="14.85546875" customWidth="1"/>
    <col min="4" max="4" width="12.140625" customWidth="1"/>
    <col min="5" max="5" width="12.28515625" customWidth="1"/>
    <col min="6" max="6" width="11.28515625" customWidth="1"/>
    <col min="7" max="7" width="8.28515625" customWidth="1"/>
    <col min="8" max="8" width="12.85546875" bestFit="1" customWidth="1"/>
    <col min="9" max="9" width="9.85546875" bestFit="1" customWidth="1"/>
    <col min="10" max="10" width="6.42578125" customWidth="1"/>
    <col min="11" max="13" width="7.42578125" customWidth="1"/>
    <col min="14" max="14" width="7.42578125" hidden="1" customWidth="1"/>
    <col min="15" max="15" width="7.42578125" customWidth="1"/>
    <col min="16" max="16" width="9.140625" bestFit="1" customWidth="1"/>
    <col min="17" max="17" width="7.85546875" bestFit="1" customWidth="1"/>
    <col min="18" max="18" width="9.28515625" bestFit="1" customWidth="1"/>
    <col min="19" max="19" width="9.5703125" bestFit="1" customWidth="1"/>
    <col min="20" max="20" width="10.5703125" bestFit="1" customWidth="1"/>
    <col min="21" max="21" width="8.7109375" bestFit="1" customWidth="1"/>
  </cols>
  <sheetData>
    <row r="1" spans="1:21" ht="15" x14ac:dyDescent="0.25">
      <c r="A1" s="2" t="s">
        <v>198</v>
      </c>
    </row>
    <row r="2" spans="1:21" ht="11.45" customHeight="1" x14ac:dyDescent="0.25">
      <c r="A2" s="17" t="s">
        <v>26</v>
      </c>
      <c r="B2" s="17" t="s">
        <v>3</v>
      </c>
      <c r="C2" s="17" t="s">
        <v>27</v>
      </c>
      <c r="D2" s="17" t="s">
        <v>28</v>
      </c>
      <c r="E2" s="17" t="s">
        <v>29</v>
      </c>
      <c r="F2" s="17" t="s">
        <v>30</v>
      </c>
      <c r="G2" s="17" t="s">
        <v>31</v>
      </c>
      <c r="H2" s="17" t="s">
        <v>152</v>
      </c>
      <c r="I2" s="17" t="s">
        <v>32</v>
      </c>
      <c r="J2" s="17" t="s">
        <v>33</v>
      </c>
      <c r="K2" s="17" t="s">
        <v>34</v>
      </c>
      <c r="L2" s="17" t="s">
        <v>35</v>
      </c>
      <c r="M2" s="17" t="s">
        <v>36</v>
      </c>
      <c r="N2" s="17" t="s">
        <v>157</v>
      </c>
      <c r="O2" s="17" t="s">
        <v>37</v>
      </c>
      <c r="P2" s="17" t="s">
        <v>38</v>
      </c>
      <c r="Q2" s="17" t="s">
        <v>39</v>
      </c>
      <c r="R2" s="17" t="s">
        <v>40</v>
      </c>
      <c r="S2" s="18" t="s">
        <v>41</v>
      </c>
      <c r="T2" s="17" t="s">
        <v>42</v>
      </c>
      <c r="U2" s="130" t="s">
        <v>242</v>
      </c>
    </row>
    <row r="3" spans="1:21" ht="11.45" customHeight="1" x14ac:dyDescent="0.25">
      <c r="A3" s="19"/>
      <c r="B3" s="19"/>
      <c r="C3" s="19"/>
      <c r="D3" s="19"/>
      <c r="E3" s="19"/>
      <c r="F3" s="19"/>
      <c r="G3" s="19"/>
      <c r="H3" s="19"/>
      <c r="I3" s="19"/>
      <c r="J3" s="19"/>
      <c r="K3" s="19"/>
      <c r="L3" s="19"/>
      <c r="M3" s="19"/>
      <c r="N3" s="19" t="str">
        <f>IFERROR(IF(SUM(Ingredients[[#This Row],[Wt2]:[Wt5]])&gt;0,SUM(Ingredients[[#This Row],[Wt2]:[Wt5]]),""),"")</f>
        <v/>
      </c>
      <c r="O3" s="19"/>
      <c r="P3" s="17"/>
      <c r="Q3" s="19"/>
      <c r="R3" s="19"/>
      <c r="S3" s="1"/>
      <c r="T3" s="312">
        <f>Ingredients[[#This Row],[Price Lb.]]*Ingredients[[#This Row],[Case Wt.]]</f>
        <v>0</v>
      </c>
      <c r="U3" s="313" t="str" cm="1">
        <f t="array" ref="U3">IFERROR(_xlfn.IFS(LEFT(Ingredients[[#This Row],[Ingr1]],7)="Chicken","Poultry",LEFT(Ingredients[[#This Row],[Ingr1]],4)="Pork","Meat",LEFT(Ingredients[[#This Row],[Ingr1]],4)="Beef","Meat"),"")</f>
        <v/>
      </c>
    </row>
    <row r="4" spans="1:21" ht="11.45" customHeight="1" x14ac:dyDescent="0.25">
      <c r="A4" s="19" t="s">
        <v>43</v>
      </c>
      <c r="B4" s="19" t="s">
        <v>44</v>
      </c>
      <c r="C4" s="19" t="s">
        <v>143</v>
      </c>
      <c r="D4" s="19"/>
      <c r="E4" s="19"/>
      <c r="F4" s="19"/>
      <c r="G4" s="19"/>
      <c r="H4" s="19"/>
      <c r="I4" s="19"/>
      <c r="J4" s="19"/>
      <c r="K4" s="19"/>
      <c r="L4" s="19"/>
      <c r="M4" s="19"/>
      <c r="N4" s="19" t="str">
        <f>IFERROR(IF(SUM(Ingredients[[#This Row],[Wt2]:[Wt5]])&gt;0,SUM(Ingredients[[#This Row],[Wt2]:[Wt5]]),""),"")</f>
        <v/>
      </c>
      <c r="O4" s="19">
        <v>30</v>
      </c>
      <c r="P4" s="20" t="s">
        <v>97</v>
      </c>
      <c r="Q4" s="19"/>
      <c r="R4" s="19"/>
      <c r="S4" s="1">
        <v>0.6</v>
      </c>
      <c r="T4" s="312">
        <f>Ingredients[[#This Row],[Price Lb.]]*Ingredients[[#This Row],[Case Wt.]]</f>
        <v>18</v>
      </c>
      <c r="U4" s="313" t="str" cm="1">
        <f t="array" ref="U4">IFERROR(_xlfn.IFS(LEFT(Ingredients[[#This Row],[Ingr1]],7)="Chicken","Poultry",LEFT(Ingredients[[#This Row],[Ingr1]],4)="Pork","Meat",LEFT(Ingredients[[#This Row],[Ingr1]],4)="Beef","Meat"),"")</f>
        <v/>
      </c>
    </row>
    <row r="5" spans="1:21" ht="11.45" customHeight="1" x14ac:dyDescent="0.25">
      <c r="A5" s="19" t="s">
        <v>10</v>
      </c>
      <c r="B5" s="19" t="s">
        <v>10</v>
      </c>
      <c r="C5" s="19" t="s">
        <v>59</v>
      </c>
      <c r="D5" s="19" t="s">
        <v>141</v>
      </c>
      <c r="E5" s="19" t="s">
        <v>140</v>
      </c>
      <c r="F5" s="19" t="s">
        <v>10</v>
      </c>
      <c r="G5" s="19"/>
      <c r="H5" s="19"/>
      <c r="I5" s="19">
        <v>344.5</v>
      </c>
      <c r="J5" s="19">
        <v>15</v>
      </c>
      <c r="K5" s="19">
        <v>15</v>
      </c>
      <c r="L5" s="19">
        <v>5</v>
      </c>
      <c r="M5" s="19"/>
      <c r="N5" s="19">
        <f>IFERROR(IF(SUM(Ingredients[[#This Row],[Wt2]:[Wt5]])&gt;0,SUM(Ingredients[[#This Row],[Wt2]:[Wt5]]),""),"")</f>
        <v>35</v>
      </c>
      <c r="O5" s="19">
        <v>25</v>
      </c>
      <c r="P5" s="20" t="s">
        <v>97</v>
      </c>
      <c r="Q5" s="19"/>
      <c r="R5" s="19"/>
      <c r="S5" s="1">
        <v>0.01</v>
      </c>
      <c r="T5" s="312">
        <f>Ingredients[[#This Row],[Price Lb.]]*Ingredients[[#This Row],[Case Wt.]]</f>
        <v>0.25</v>
      </c>
      <c r="U5" s="313" t="str" cm="1">
        <f t="array" ref="U5">IFERROR(_xlfn.IFS(LEFT(Ingredients[[#This Row],[Ingr1]],7)="Chicken","Poultry",LEFT(Ingredients[[#This Row],[Ingr1]],4)="Pork","Meat",LEFT(Ingredients[[#This Row],[Ingr1]],4)="Beef","Meat"),"")</f>
        <v/>
      </c>
    </row>
    <row r="6" spans="1:21" ht="11.45" customHeight="1" x14ac:dyDescent="0.25">
      <c r="A6" s="19" t="s">
        <v>270</v>
      </c>
      <c r="B6" s="19" t="s">
        <v>271</v>
      </c>
      <c r="C6" s="19" t="s">
        <v>269</v>
      </c>
      <c r="D6" s="19"/>
      <c r="E6" s="19"/>
      <c r="F6" s="19"/>
      <c r="G6" s="19"/>
      <c r="H6" s="19"/>
      <c r="I6" s="19">
        <v>300</v>
      </c>
      <c r="J6" s="19"/>
      <c r="K6" s="19"/>
      <c r="L6" s="19"/>
      <c r="M6" s="19"/>
      <c r="N6" s="19" t="str">
        <f>IFERROR(IF(SUM(Ingredients[[#This Row],[Wt2]:[Wt5]])&gt;0,SUM(Ingredients[[#This Row],[Wt2]:[Wt5]]),""),"")</f>
        <v/>
      </c>
      <c r="O6" s="19">
        <v>25</v>
      </c>
      <c r="P6" s="20" t="s">
        <v>97</v>
      </c>
      <c r="Q6" s="19"/>
      <c r="R6" s="19"/>
      <c r="S6" s="1"/>
      <c r="T6" s="312">
        <f>Ingredients[[#This Row],[Price Lb.]]*Ingredients[[#This Row],[Case Wt.]]</f>
        <v>0</v>
      </c>
      <c r="U6" s="313" t="str" cm="1">
        <f t="array" ref="U6">IFERROR(_xlfn.IFS(LEFT(Ingredients[[#This Row],[Ingr1]],7)="Chicken","Poultry",LEFT(Ingredients[[#This Row],[Ingr1]],4)="Pork","Meat",LEFT(Ingredients[[#This Row],[Ingr1]],4)="Beef","Meat"),"")</f>
        <v>Meat</v>
      </c>
    </row>
    <row r="7" spans="1:21" ht="11.45" customHeight="1" x14ac:dyDescent="0.25">
      <c r="A7" s="19" t="s">
        <v>123</v>
      </c>
      <c r="B7" s="19" t="s">
        <v>147</v>
      </c>
      <c r="C7" s="19" t="s">
        <v>53</v>
      </c>
      <c r="D7" s="19" t="s">
        <v>55</v>
      </c>
      <c r="E7" s="19" t="s">
        <v>62</v>
      </c>
      <c r="F7" s="19"/>
      <c r="G7" s="19"/>
      <c r="H7" s="19" t="s">
        <v>61</v>
      </c>
      <c r="I7" s="19">
        <v>280</v>
      </c>
      <c r="J7" s="19">
        <v>50</v>
      </c>
      <c r="K7" s="19">
        <v>4</v>
      </c>
      <c r="L7" s="19"/>
      <c r="M7" s="19"/>
      <c r="N7" s="19">
        <f>IFERROR(IF(SUM(Ingredients[[#This Row],[Wt2]:[Wt5]])&gt;0,SUM(Ingredients[[#This Row],[Wt2]:[Wt5]]),""),"")</f>
        <v>54</v>
      </c>
      <c r="O7" s="19">
        <v>25</v>
      </c>
      <c r="P7" s="20" t="s">
        <v>97</v>
      </c>
      <c r="Q7" s="19">
        <v>50</v>
      </c>
      <c r="R7" s="19">
        <v>50</v>
      </c>
      <c r="S7" s="1">
        <v>1.2</v>
      </c>
      <c r="T7" s="312">
        <f>Ingredients[[#This Row],[Price Lb.]]*Ingredients[[#This Row],[Case Wt.]]</f>
        <v>30</v>
      </c>
      <c r="U7" s="313" t="str" cm="1">
        <f t="array" ref="U7">IFERROR(_xlfn.IFS(LEFT(Ingredients[[#This Row],[Ingr1]],7)="Chicken","Poultry",LEFT(Ingredients[[#This Row],[Ingr1]],4)="Pork","Meat",LEFT(Ingredients[[#This Row],[Ingr1]],4)="Beef","Meat"),"")</f>
        <v>Poultry</v>
      </c>
    </row>
    <row r="8" spans="1:21" ht="11.45" customHeight="1" x14ac:dyDescent="0.25">
      <c r="A8" s="19" t="s">
        <v>21</v>
      </c>
      <c r="B8" s="19" t="s">
        <v>147</v>
      </c>
      <c r="C8" s="19" t="s">
        <v>53</v>
      </c>
      <c r="D8" s="19" t="s">
        <v>55</v>
      </c>
      <c r="E8" s="19" t="s">
        <v>62</v>
      </c>
      <c r="F8" s="19"/>
      <c r="G8" s="19"/>
      <c r="H8" s="19" t="s">
        <v>61</v>
      </c>
      <c r="I8" s="19">
        <v>280</v>
      </c>
      <c r="J8" s="19">
        <v>50</v>
      </c>
      <c r="K8" s="19">
        <v>4</v>
      </c>
      <c r="L8" s="19"/>
      <c r="M8" s="19"/>
      <c r="N8" s="19">
        <f>IFERROR(IF(SUM(Ingredients[[#This Row],[Wt2]:[Wt5]])&gt;0,SUM(Ingredients[[#This Row],[Wt2]:[Wt5]]),""),"")</f>
        <v>54</v>
      </c>
      <c r="O8" s="19">
        <v>25</v>
      </c>
      <c r="P8" s="20" t="s">
        <v>97</v>
      </c>
      <c r="Q8" s="19">
        <v>50</v>
      </c>
      <c r="R8" s="19">
        <v>50</v>
      </c>
      <c r="S8" s="1">
        <v>1.2</v>
      </c>
      <c r="T8" s="312">
        <f>Ingredients[[#This Row],[Price Lb.]]*Ingredients[[#This Row],[Case Wt.]]</f>
        <v>30</v>
      </c>
      <c r="U8" s="313" t="str" cm="1">
        <f t="array" ref="U8">IFERROR(_xlfn.IFS(LEFT(Ingredients[[#This Row],[Ingr1]],7)="Chicken","Poultry",LEFT(Ingredients[[#This Row],[Ingr1]],4)="Pork","Meat",LEFT(Ingredients[[#This Row],[Ingr1]],4)="Beef","Meat"),"")</f>
        <v>Poultry</v>
      </c>
    </row>
    <row r="9" spans="1:21" ht="11.45" customHeight="1" x14ac:dyDescent="0.25">
      <c r="A9" s="19" t="s">
        <v>151</v>
      </c>
      <c r="B9" s="19" t="s">
        <v>147</v>
      </c>
      <c r="C9" s="19" t="s">
        <v>53</v>
      </c>
      <c r="D9" s="19" t="s">
        <v>55</v>
      </c>
      <c r="E9" s="19" t="s">
        <v>62</v>
      </c>
      <c r="F9" s="19"/>
      <c r="G9" s="19"/>
      <c r="H9" s="19" t="s">
        <v>61</v>
      </c>
      <c r="I9" s="19">
        <v>280</v>
      </c>
      <c r="J9" s="19">
        <v>50</v>
      </c>
      <c r="K9" s="19">
        <v>4</v>
      </c>
      <c r="L9" s="19"/>
      <c r="M9" s="19"/>
      <c r="N9" s="19">
        <f>IFERROR(IF(SUM(Ingredients[[#This Row],[Wt2]:[Wt5]])&gt;0,SUM(Ingredients[[#This Row],[Wt2]:[Wt5]]),""),"")</f>
        <v>54</v>
      </c>
      <c r="O9" s="19">
        <v>30</v>
      </c>
      <c r="P9" s="20" t="s">
        <v>97</v>
      </c>
      <c r="Q9" s="19">
        <v>50</v>
      </c>
      <c r="R9" s="19">
        <v>50</v>
      </c>
      <c r="S9" s="1">
        <v>1.2</v>
      </c>
      <c r="T9" s="312">
        <f>Ingredients[[#This Row],[Price Lb.]]*Ingredients[[#This Row],[Case Wt.]]</f>
        <v>36</v>
      </c>
      <c r="U9" s="313" t="str" cm="1">
        <f t="array" ref="U9">IFERROR(_xlfn.IFS(LEFT(Ingredients[[#This Row],[Ingr1]],7)="Chicken","Poultry",LEFT(Ingredients[[#This Row],[Ingr1]],4)="Pork","Meat",LEFT(Ingredients[[#This Row],[Ingr1]],4)="Beef","Meat"),"")</f>
        <v>Poultry</v>
      </c>
    </row>
    <row r="10" spans="1:21" ht="11.45" customHeight="1" x14ac:dyDescent="0.25">
      <c r="A10" s="19" t="s">
        <v>22</v>
      </c>
      <c r="B10" s="19" t="s">
        <v>149</v>
      </c>
      <c r="C10" s="19" t="s">
        <v>56</v>
      </c>
      <c r="D10" s="19" t="s">
        <v>301</v>
      </c>
      <c r="E10" s="19"/>
      <c r="F10" s="19"/>
      <c r="G10" s="19"/>
      <c r="H10" s="19" t="s">
        <v>63</v>
      </c>
      <c r="I10" s="19">
        <v>300</v>
      </c>
      <c r="J10" s="19">
        <v>40.799999999999997</v>
      </c>
      <c r="K10" s="19"/>
      <c r="L10" s="19"/>
      <c r="M10" s="19"/>
      <c r="N10" s="19">
        <f>IFERROR(IF(SUM(Ingredients[[#This Row],[Wt2]:[Wt5]])&gt;0,SUM(Ingredients[[#This Row],[Wt2]:[Wt5]]),""),"")</f>
        <v>40.799999999999997</v>
      </c>
      <c r="O10" s="19">
        <v>25</v>
      </c>
      <c r="P10" s="20" t="s">
        <v>97</v>
      </c>
      <c r="Q10" s="19">
        <v>50</v>
      </c>
      <c r="R10" s="19">
        <v>25</v>
      </c>
      <c r="S10" s="1">
        <v>1.5</v>
      </c>
      <c r="T10" s="312">
        <f>Ingredients[[#This Row],[Price Lb.]]*Ingredients[[#This Row],[Case Wt.]]</f>
        <v>37.5</v>
      </c>
      <c r="U10" s="313" t="str" cm="1">
        <f t="array" ref="U10">IFERROR(_xlfn.IFS(LEFT(Ingredients[[#This Row],[Ingr1]],7)="Chicken","Poultry",LEFT(Ingredients[[#This Row],[Ingr1]],4)="Pork","Meat",LEFT(Ingredients[[#This Row],[Ingr1]],4)="Beef","Meat"),"")</f>
        <v>Meat</v>
      </c>
    </row>
    <row r="11" spans="1:21" ht="11.45" customHeight="1" x14ac:dyDescent="0.25">
      <c r="A11" s="19" t="s">
        <v>19</v>
      </c>
      <c r="B11" s="19" t="s">
        <v>146</v>
      </c>
      <c r="C11" s="19" t="s">
        <v>54</v>
      </c>
      <c r="D11" s="19" t="s">
        <v>114</v>
      </c>
      <c r="E11" s="19"/>
      <c r="F11" s="19"/>
      <c r="G11" s="19"/>
      <c r="H11" s="19"/>
      <c r="I11" s="19">
        <v>300</v>
      </c>
      <c r="J11" s="19">
        <v>11.65</v>
      </c>
      <c r="K11" s="19"/>
      <c r="L11" s="19"/>
      <c r="M11" s="19"/>
      <c r="N11" s="19">
        <f>IFERROR(IF(SUM(Ingredients[[#This Row],[Wt2]:[Wt5]])&gt;0,SUM(Ingredients[[#This Row],[Wt2]:[Wt5]]),""),"")</f>
        <v>11.65</v>
      </c>
      <c r="O11" s="19">
        <v>25</v>
      </c>
      <c r="P11" s="20" t="s">
        <v>97</v>
      </c>
      <c r="Q11" s="19"/>
      <c r="R11" s="19"/>
      <c r="S11" s="1">
        <v>1.06</v>
      </c>
      <c r="T11" s="312">
        <f>Ingredients[[#This Row],[Price Lb.]]*Ingredients[[#This Row],[Case Wt.]]</f>
        <v>26.5</v>
      </c>
      <c r="U11" s="313" t="str" cm="1">
        <f t="array" ref="U11">IFERROR(_xlfn.IFS(LEFT(Ingredients[[#This Row],[Ingr1]],7)="Chicken","Poultry",LEFT(Ingredients[[#This Row],[Ingr1]],4)="Pork","Meat",LEFT(Ingredients[[#This Row],[Ingr1]],4)="Beef","Meat"),"")</f>
        <v>Poultry</v>
      </c>
    </row>
    <row r="12" spans="1:21" ht="11.45" customHeight="1" x14ac:dyDescent="0.25">
      <c r="A12" s="19" t="s">
        <v>20</v>
      </c>
      <c r="B12" s="19" t="s">
        <v>146</v>
      </c>
      <c r="C12" s="19" t="s">
        <v>54</v>
      </c>
      <c r="D12" s="19" t="s">
        <v>112</v>
      </c>
      <c r="E12" s="19"/>
      <c r="F12" s="19"/>
      <c r="G12" s="19"/>
      <c r="H12" s="19"/>
      <c r="I12" s="19">
        <v>300</v>
      </c>
      <c r="J12" s="19">
        <v>20.399999999999999</v>
      </c>
      <c r="K12" s="19"/>
      <c r="L12" s="19"/>
      <c r="M12" s="19"/>
      <c r="N12" s="19">
        <f>IFERROR(IF(SUM(Ingredients[[#This Row],[Wt2]:[Wt5]])&gt;0,SUM(Ingredients[[#This Row],[Wt2]:[Wt5]]),""),"")</f>
        <v>20.399999999999999</v>
      </c>
      <c r="O12" s="19">
        <v>25</v>
      </c>
      <c r="P12" s="20" t="s">
        <v>97</v>
      </c>
      <c r="Q12" s="19"/>
      <c r="R12" s="19"/>
      <c r="S12" s="1">
        <v>1.06</v>
      </c>
      <c r="T12" s="312">
        <f>Ingredients[[#This Row],[Price Lb.]]*Ingredients[[#This Row],[Case Wt.]]</f>
        <v>26.5</v>
      </c>
      <c r="U12" s="313" t="str" cm="1">
        <f t="array" ref="U12">IFERROR(_xlfn.IFS(LEFT(Ingredients[[#This Row],[Ingr1]],7)="Chicken","Poultry",LEFT(Ingredients[[#This Row],[Ingr1]],4)="Pork","Meat",LEFT(Ingredients[[#This Row],[Ingr1]],4)="Beef","Meat"),"")</f>
        <v>Poultry</v>
      </c>
    </row>
    <row r="13" spans="1:21" ht="11.45" customHeight="1" x14ac:dyDescent="0.25">
      <c r="A13" s="19" t="s">
        <v>16</v>
      </c>
      <c r="B13" s="19" t="s">
        <v>146</v>
      </c>
      <c r="C13" s="19" t="s">
        <v>54</v>
      </c>
      <c r="D13" s="19" t="s">
        <v>112</v>
      </c>
      <c r="E13" s="19"/>
      <c r="F13" s="19"/>
      <c r="G13" s="19"/>
      <c r="H13" s="19"/>
      <c r="I13" s="19">
        <v>300</v>
      </c>
      <c r="J13" s="19">
        <v>20.399999999999999</v>
      </c>
      <c r="K13" s="19"/>
      <c r="L13" s="19"/>
      <c r="M13" s="19"/>
      <c r="N13" s="19">
        <f>IFERROR(IF(SUM(Ingredients[[#This Row],[Wt2]:[Wt5]])&gt;0,SUM(Ingredients[[#This Row],[Wt2]:[Wt5]]),""),"")</f>
        <v>20.399999999999999</v>
      </c>
      <c r="O13" s="19">
        <v>30</v>
      </c>
      <c r="P13" s="20" t="s">
        <v>97</v>
      </c>
      <c r="Q13" s="19"/>
      <c r="R13" s="19"/>
      <c r="S13" s="1">
        <v>1.06</v>
      </c>
      <c r="T13" s="312">
        <f>Ingredients[[#This Row],[Price Lb.]]*Ingredients[[#This Row],[Case Wt.]]</f>
        <v>31.8</v>
      </c>
      <c r="U13" s="313" t="str" cm="1">
        <f t="array" ref="U13">IFERROR(_xlfn.IFS(LEFT(Ingredients[[#This Row],[Ingr1]],7)="Chicken","Poultry",LEFT(Ingredients[[#This Row],[Ingr1]],4)="Pork","Meat",LEFT(Ingredients[[#This Row],[Ingr1]],4)="Beef","Meat"),"")</f>
        <v>Poultry</v>
      </c>
    </row>
    <row r="14" spans="1:21" ht="11.45" customHeight="1" x14ac:dyDescent="0.25">
      <c r="A14" s="19" t="s">
        <v>15</v>
      </c>
      <c r="B14" s="19" t="s">
        <v>146</v>
      </c>
      <c r="C14" s="19" t="s">
        <v>54</v>
      </c>
      <c r="D14" s="19" t="s">
        <v>114</v>
      </c>
      <c r="E14" s="19"/>
      <c r="F14" s="19"/>
      <c r="G14" s="19"/>
      <c r="H14" s="19"/>
      <c r="I14" s="19">
        <v>300</v>
      </c>
      <c r="J14" s="19">
        <v>11.65</v>
      </c>
      <c r="K14" s="19"/>
      <c r="L14" s="19"/>
      <c r="M14" s="19"/>
      <c r="N14" s="19">
        <f>IFERROR(IF(SUM(Ingredients[[#This Row],[Wt2]:[Wt5]])&gt;0,SUM(Ingredients[[#This Row],[Wt2]:[Wt5]]),""),"")</f>
        <v>11.65</v>
      </c>
      <c r="O14" s="19">
        <v>30</v>
      </c>
      <c r="P14" s="20" t="s">
        <v>97</v>
      </c>
      <c r="Q14" s="19"/>
      <c r="R14" s="19"/>
      <c r="S14" s="1">
        <v>1.06</v>
      </c>
      <c r="T14" s="312">
        <f>Ingredients[[#This Row],[Price Lb.]]*Ingredients[[#This Row],[Case Wt.]]</f>
        <v>31.8</v>
      </c>
      <c r="U14" s="313" t="str" cm="1">
        <f t="array" ref="U14">IFERROR(_xlfn.IFS(LEFT(Ingredients[[#This Row],[Ingr1]],7)="Chicken","Poultry",LEFT(Ingredients[[#This Row],[Ingr1]],4)="Pork","Meat",LEFT(Ingredients[[#This Row],[Ingr1]],4)="Beef","Meat"),"")</f>
        <v>Poultry</v>
      </c>
    </row>
    <row r="15" spans="1:21" ht="11.45" customHeight="1" x14ac:dyDescent="0.25">
      <c r="A15" s="19" t="s">
        <v>18</v>
      </c>
      <c r="B15" s="19" t="s">
        <v>148</v>
      </c>
      <c r="C15" s="19" t="s">
        <v>56</v>
      </c>
      <c r="D15" s="19" t="s">
        <v>114</v>
      </c>
      <c r="E15" s="19"/>
      <c r="F15" s="19"/>
      <c r="G15" s="19"/>
      <c r="H15" s="19"/>
      <c r="I15" s="19">
        <v>300</v>
      </c>
      <c r="J15" s="19">
        <v>11.65</v>
      </c>
      <c r="K15" s="19"/>
      <c r="L15" s="19"/>
      <c r="M15" s="19"/>
      <c r="N15" s="19">
        <f>IFERROR(IF(SUM(Ingredients[[#This Row],[Wt2]:[Wt5]])&gt;0,SUM(Ingredients[[#This Row],[Wt2]:[Wt5]]),""),"")</f>
        <v>11.65</v>
      </c>
      <c r="O15" s="19">
        <v>30</v>
      </c>
      <c r="P15" s="20" t="s">
        <v>97</v>
      </c>
      <c r="Q15" s="19"/>
      <c r="R15" s="19"/>
      <c r="S15" s="1">
        <v>1.45</v>
      </c>
      <c r="T15" s="312">
        <f>Ingredients[[#This Row],[Price Lb.]]*Ingredients[[#This Row],[Case Wt.]]</f>
        <v>43.5</v>
      </c>
      <c r="U15" s="313" t="str" cm="1">
        <f t="array" ref="U15">IFERROR(_xlfn.IFS(LEFT(Ingredients[[#This Row],[Ingr1]],7)="Chicken","Poultry",LEFT(Ingredients[[#This Row],[Ingr1]],4)="Pork","Meat",LEFT(Ingredients[[#This Row],[Ingr1]],4)="Beef","Meat"),"")</f>
        <v>Meat</v>
      </c>
    </row>
    <row r="16" spans="1:21" ht="11.45" customHeight="1" x14ac:dyDescent="0.25">
      <c r="A16" s="19" t="s">
        <v>23</v>
      </c>
      <c r="B16" s="19" t="s">
        <v>146</v>
      </c>
      <c r="C16" s="19" t="s">
        <v>54</v>
      </c>
      <c r="D16" s="19" t="s">
        <v>114</v>
      </c>
      <c r="E16" s="19"/>
      <c r="F16" s="19"/>
      <c r="G16" s="19"/>
      <c r="H16" s="19"/>
      <c r="I16" s="19">
        <v>300</v>
      </c>
      <c r="J16" s="19">
        <v>11.65</v>
      </c>
      <c r="K16" s="19"/>
      <c r="L16" s="19"/>
      <c r="M16" s="19"/>
      <c r="N16" s="19">
        <f>IFERROR(IF(SUM(Ingredients[[#This Row],[Wt2]:[Wt5]])&gt;0,SUM(Ingredients[[#This Row],[Wt2]:[Wt5]]),""),"")</f>
        <v>11.65</v>
      </c>
      <c r="O16" s="19">
        <v>30</v>
      </c>
      <c r="P16" s="20" t="s">
        <v>97</v>
      </c>
      <c r="Q16" s="19"/>
      <c r="R16" s="19"/>
      <c r="S16" s="1">
        <v>1.06</v>
      </c>
      <c r="T16" s="312">
        <f>Ingredients[[#This Row],[Price Lb.]]*Ingredients[[#This Row],[Case Wt.]]</f>
        <v>31.8</v>
      </c>
      <c r="U16" s="313" t="str" cm="1">
        <f t="array" ref="U16">IFERROR(_xlfn.IFS(LEFT(Ingredients[[#This Row],[Ingr1]],7)="Chicken","Poultry",LEFT(Ingredients[[#This Row],[Ingr1]],4)="Pork","Meat",LEFT(Ingredients[[#This Row],[Ingr1]],4)="Beef","Meat"),"")</f>
        <v>Poultry</v>
      </c>
    </row>
    <row r="17" spans="1:21" ht="11.45" customHeight="1" x14ac:dyDescent="0.25">
      <c r="A17" s="19" t="s">
        <v>9</v>
      </c>
      <c r="B17" s="19" t="s">
        <v>146</v>
      </c>
      <c r="C17" s="19" t="s">
        <v>54</v>
      </c>
      <c r="D17" s="19"/>
      <c r="E17" s="19"/>
      <c r="F17" s="19"/>
      <c r="G17" s="19"/>
      <c r="H17" s="19"/>
      <c r="I17" s="19">
        <v>300</v>
      </c>
      <c r="J17" s="19"/>
      <c r="K17" s="19"/>
      <c r="L17" s="19"/>
      <c r="M17" s="19"/>
      <c r="N17" s="19" t="str">
        <f>IFERROR(IF(SUM(Ingredients[[#This Row],[Wt2]:[Wt5]])&gt;0,SUM(Ingredients[[#This Row],[Wt2]:[Wt5]]),""),"")</f>
        <v/>
      </c>
      <c r="O17" s="19">
        <v>30</v>
      </c>
      <c r="P17" s="20" t="s">
        <v>97</v>
      </c>
      <c r="Q17" s="19"/>
      <c r="R17" s="19"/>
      <c r="S17" s="1">
        <v>0.92</v>
      </c>
      <c r="T17" s="312">
        <f>Ingredients[[#This Row],[Price Lb.]]*Ingredients[[#This Row],[Case Wt.]]</f>
        <v>27.6</v>
      </c>
      <c r="U17" s="313" t="str" cm="1">
        <f t="array" ref="U17">IFERROR(_xlfn.IFS(LEFT(Ingredients[[#This Row],[Ingr1]],7)="Chicken","Poultry",LEFT(Ingredients[[#This Row],[Ingr1]],4)="Pork","Meat",LEFT(Ingredients[[#This Row],[Ingr1]],4)="Beef","Meat"),"")</f>
        <v>Poultry</v>
      </c>
    </row>
    <row r="18" spans="1:21" ht="11.45" customHeight="1" x14ac:dyDescent="0.25">
      <c r="A18" s="19" t="s">
        <v>212</v>
      </c>
      <c r="B18" s="19" t="s">
        <v>148</v>
      </c>
      <c r="C18" s="72" t="s">
        <v>56</v>
      </c>
      <c r="D18" s="72"/>
      <c r="E18" s="72"/>
      <c r="F18" s="72"/>
      <c r="G18" s="72"/>
      <c r="H18" s="19"/>
      <c r="I18" s="72">
        <v>300</v>
      </c>
      <c r="J18" s="72"/>
      <c r="K18" s="72"/>
      <c r="L18" s="72"/>
      <c r="M18" s="72"/>
      <c r="N18" s="19" t="str">
        <f>IFERROR(IF(SUM(Ingredients[[#This Row],[Wt2]:[Wt5]])&gt;0,SUM(Ingredients[[#This Row],[Wt2]:[Wt5]]),""),"")</f>
        <v/>
      </c>
      <c r="O18" s="72">
        <v>30</v>
      </c>
      <c r="P18" s="20" t="s">
        <v>97</v>
      </c>
      <c r="Q18" s="72"/>
      <c r="R18" s="72"/>
      <c r="S18" s="73">
        <v>1.45</v>
      </c>
      <c r="T18" s="314">
        <f>Ingredients[[#This Row],[Price Lb.]]*Ingredients[[#This Row],[Case Wt.]]</f>
        <v>43.5</v>
      </c>
      <c r="U18" s="313" t="str" cm="1">
        <f t="array" ref="U18">IFERROR(_xlfn.IFS(LEFT(Ingredients[[#This Row],[Ingr1]],7)="Chicken","Poultry",LEFT(Ingredients[[#This Row],[Ingr1]],4)="Pork","Meat",LEFT(Ingredients[[#This Row],[Ingr1]],4)="Beef","Meat"),"")</f>
        <v>Meat</v>
      </c>
    </row>
    <row r="19" spans="1:21" ht="11.45" customHeight="1" x14ac:dyDescent="0.25">
      <c r="A19" s="19" t="s">
        <v>7</v>
      </c>
      <c r="B19" s="19" t="s">
        <v>146</v>
      </c>
      <c r="C19" s="19" t="s">
        <v>54</v>
      </c>
      <c r="D19" s="19" t="s">
        <v>7</v>
      </c>
      <c r="E19" s="19"/>
      <c r="F19" s="19"/>
      <c r="G19" s="19"/>
      <c r="H19" s="19"/>
      <c r="I19" s="19">
        <v>300</v>
      </c>
      <c r="J19" s="19">
        <v>6.75</v>
      </c>
      <c r="K19" s="19"/>
      <c r="L19" s="19"/>
      <c r="M19" s="19"/>
      <c r="N19" s="19">
        <f>IFERROR(IF(SUM(Ingredients[[#This Row],[Wt2]:[Wt5]])&gt;0,SUM(Ingredients[[#This Row],[Wt2]:[Wt5]]),""),"")</f>
        <v>6.75</v>
      </c>
      <c r="O19" s="19">
        <v>25</v>
      </c>
      <c r="P19" s="20" t="s">
        <v>97</v>
      </c>
      <c r="Q19" s="19"/>
      <c r="R19" s="19"/>
      <c r="S19" s="1">
        <v>0.94</v>
      </c>
      <c r="T19" s="312">
        <f>Ingredients[[#This Row],[Price Lb.]]*Ingredients[[#This Row],[Case Wt.]]</f>
        <v>23.5</v>
      </c>
      <c r="U19" s="313" t="str" cm="1">
        <f t="array" ref="U19">IFERROR(_xlfn.IFS(LEFT(Ingredients[[#This Row],[Ingr1]],7)="Chicken","Poultry",LEFT(Ingredients[[#This Row],[Ingr1]],4)="Pork","Meat",LEFT(Ingredients[[#This Row],[Ingr1]],4)="Beef","Meat"),"")</f>
        <v>Poultry</v>
      </c>
    </row>
    <row r="20" spans="1:21" ht="11.45" customHeight="1" x14ac:dyDescent="0.25">
      <c r="A20" s="19" t="s">
        <v>45</v>
      </c>
      <c r="B20" s="19" t="s">
        <v>44</v>
      </c>
      <c r="C20" s="19" t="s">
        <v>115</v>
      </c>
      <c r="D20" s="19"/>
      <c r="E20" s="19"/>
      <c r="F20" s="19"/>
      <c r="G20" s="19"/>
      <c r="H20" s="19"/>
      <c r="I20" s="19"/>
      <c r="J20" s="19"/>
      <c r="K20" s="19"/>
      <c r="L20" s="19"/>
      <c r="M20" s="19"/>
      <c r="N20" s="19" t="str">
        <f>IFERROR(IF(SUM(Ingredients[[#This Row],[Wt2]:[Wt5]])&gt;0,SUM(Ingredients[[#This Row],[Wt2]:[Wt5]]),""),"")</f>
        <v/>
      </c>
      <c r="O20" s="19">
        <v>30</v>
      </c>
      <c r="P20" s="20" t="s">
        <v>97</v>
      </c>
      <c r="Q20" s="19"/>
      <c r="R20" s="19"/>
      <c r="S20" s="1">
        <v>1.5</v>
      </c>
      <c r="T20" s="312">
        <f>Ingredients[[#This Row],[Price Lb.]]*Ingredients[[#This Row],[Case Wt.]]</f>
        <v>45</v>
      </c>
      <c r="U20" s="313" t="str" cm="1">
        <f t="array" ref="U20">IFERROR(_xlfn.IFS(LEFT(Ingredients[[#This Row],[Ingr1]],7)="Chicken","Poultry",LEFT(Ingredients[[#This Row],[Ingr1]],4)="Pork","Meat",LEFT(Ingredients[[#This Row],[Ingr1]],4)="Beef","Meat"),"")</f>
        <v/>
      </c>
    </row>
    <row r="21" spans="1:21" ht="11.45" customHeight="1" x14ac:dyDescent="0.25">
      <c r="A21" s="19" t="s">
        <v>13</v>
      </c>
      <c r="B21" s="19" t="s">
        <v>146</v>
      </c>
      <c r="C21" s="19" t="s">
        <v>54</v>
      </c>
      <c r="D21" s="19" t="s">
        <v>140</v>
      </c>
      <c r="E21" s="19" t="s">
        <v>61</v>
      </c>
      <c r="F21" s="19" t="s">
        <v>108</v>
      </c>
      <c r="G21" s="19"/>
      <c r="H21" s="19"/>
      <c r="I21" s="19">
        <v>300</v>
      </c>
      <c r="J21" s="19">
        <v>15</v>
      </c>
      <c r="K21" s="19">
        <v>25</v>
      </c>
      <c r="L21" s="19">
        <v>7.5</v>
      </c>
      <c r="M21" s="19"/>
      <c r="N21" s="19">
        <f>IFERROR(IF(SUM(Ingredients[[#This Row],[Wt2]:[Wt5]])&gt;0,SUM(Ingredients[[#This Row],[Wt2]:[Wt5]]),""),"")</f>
        <v>47.5</v>
      </c>
      <c r="O21" s="19">
        <v>30</v>
      </c>
      <c r="P21" s="20" t="s">
        <v>97</v>
      </c>
      <c r="Q21" s="19"/>
      <c r="R21" s="19"/>
      <c r="S21" s="1">
        <v>1.06</v>
      </c>
      <c r="T21" s="312">
        <f>Ingredients[[#This Row],[Price Lb.]]*Ingredients[[#This Row],[Case Wt.]]</f>
        <v>31.8</v>
      </c>
      <c r="U21" s="313" t="str" cm="1">
        <f t="array" ref="U21">IFERROR(_xlfn.IFS(LEFT(Ingredients[[#This Row],[Ingr1]],7)="Chicken","Poultry",LEFT(Ingredients[[#This Row],[Ingr1]],4)="Pork","Meat",LEFT(Ingredients[[#This Row],[Ingr1]],4)="Beef","Meat"),"")</f>
        <v>Poultry</v>
      </c>
    </row>
    <row r="22" spans="1:21" ht="11.45" customHeight="1" x14ac:dyDescent="0.25">
      <c r="A22" s="19" t="s">
        <v>46</v>
      </c>
      <c r="B22" s="19" t="s">
        <v>44</v>
      </c>
      <c r="C22" s="19"/>
      <c r="D22" s="19" t="s">
        <v>58</v>
      </c>
      <c r="E22" s="19" t="s">
        <v>142</v>
      </c>
      <c r="F22" s="19"/>
      <c r="G22" s="19"/>
      <c r="H22" s="19" t="s">
        <v>61</v>
      </c>
      <c r="I22" s="19"/>
      <c r="J22" s="19">
        <v>150</v>
      </c>
      <c r="K22" s="19">
        <v>15</v>
      </c>
      <c r="L22" s="19"/>
      <c r="M22" s="19"/>
      <c r="N22" s="19">
        <f>IFERROR(IF(SUM(Ingredients[[#This Row],[Wt2]:[Wt5]])&gt;0,SUM(Ingredients[[#This Row],[Wt2]:[Wt5]]),""),"")</f>
        <v>165</v>
      </c>
      <c r="O22" s="19">
        <v>25</v>
      </c>
      <c r="P22" s="20" t="s">
        <v>97</v>
      </c>
      <c r="Q22" s="19">
        <v>50</v>
      </c>
      <c r="R22" s="19">
        <v>50</v>
      </c>
      <c r="S22" s="1">
        <v>1.26</v>
      </c>
      <c r="T22" s="312">
        <f>Ingredients[[#This Row],[Price Lb.]]*Ingredients[[#This Row],[Case Wt.]]</f>
        <v>31.5</v>
      </c>
      <c r="U22" s="313" t="str" cm="1">
        <f t="array" ref="U22">IFERROR(_xlfn.IFS(LEFT(Ingredients[[#This Row],[Ingr1]],7)="Chicken","Poultry",LEFT(Ingredients[[#This Row],[Ingr1]],4)="Pork","Meat",LEFT(Ingredients[[#This Row],[Ingr1]],4)="Beef","Meat"),"")</f>
        <v/>
      </c>
    </row>
    <row r="23" spans="1:21" ht="11.45" customHeight="1" x14ac:dyDescent="0.25">
      <c r="A23" s="19" t="s">
        <v>24</v>
      </c>
      <c r="B23" s="19" t="s">
        <v>44</v>
      </c>
      <c r="C23" s="19" t="s">
        <v>144</v>
      </c>
      <c r="D23" s="19"/>
      <c r="E23" s="19"/>
      <c r="F23" s="19"/>
      <c r="G23" s="19"/>
      <c r="H23" s="19"/>
      <c r="I23" s="19"/>
      <c r="J23" s="19"/>
      <c r="K23" s="19"/>
      <c r="L23" s="19"/>
      <c r="M23" s="19"/>
      <c r="N23" s="19" t="str">
        <f>IFERROR(IF(SUM(Ingredients[[#This Row],[Wt2]:[Wt5]])&gt;0,SUM(Ingredients[[#This Row],[Wt2]:[Wt5]]),""),"")</f>
        <v/>
      </c>
      <c r="O23" s="19">
        <v>5</v>
      </c>
      <c r="P23" s="20" t="s">
        <v>98</v>
      </c>
      <c r="Q23" s="19"/>
      <c r="R23" s="19"/>
      <c r="S23" s="1">
        <v>0.5</v>
      </c>
      <c r="T23" s="312">
        <f>Ingredients[[#This Row],[Price Lb.]]*Ingredients[[#This Row],[Case Wt.]]</f>
        <v>2.5</v>
      </c>
      <c r="U23" s="313" t="str" cm="1">
        <f t="array" ref="U23">IFERROR(_xlfn.IFS(LEFT(Ingredients[[#This Row],[Ingr1]],7)="Chicken","Poultry",LEFT(Ingredients[[#This Row],[Ingr1]],4)="Pork","Meat",LEFT(Ingredients[[#This Row],[Ingr1]],4)="Beef","Meat"),"")</f>
        <v/>
      </c>
    </row>
    <row r="24" spans="1:21" ht="11.45" customHeight="1" x14ac:dyDescent="0.25">
      <c r="A24" s="19" t="s">
        <v>47</v>
      </c>
      <c r="B24" s="19" t="s">
        <v>47</v>
      </c>
      <c r="C24" s="19" t="s">
        <v>57</v>
      </c>
      <c r="D24" s="19" t="s">
        <v>141</v>
      </c>
      <c r="E24" s="19" t="s">
        <v>140</v>
      </c>
      <c r="F24" s="19"/>
      <c r="G24" s="19"/>
      <c r="H24" s="19"/>
      <c r="I24" s="19">
        <v>286</v>
      </c>
      <c r="J24" s="19">
        <v>15</v>
      </c>
      <c r="K24" s="19">
        <v>15</v>
      </c>
      <c r="L24" s="19"/>
      <c r="M24" s="19"/>
      <c r="N24" s="19">
        <f>IFERROR(IF(SUM(Ingredients[[#This Row],[Wt2]:[Wt5]])&gt;0,SUM(Ingredients[[#This Row],[Wt2]:[Wt5]]),""),"")</f>
        <v>30</v>
      </c>
      <c r="O24" s="19">
        <v>25</v>
      </c>
      <c r="P24" s="20" t="s">
        <v>97</v>
      </c>
      <c r="Q24" s="19">
        <v>50</v>
      </c>
      <c r="R24" s="19">
        <v>50</v>
      </c>
      <c r="S24" s="1">
        <v>0.99</v>
      </c>
      <c r="T24" s="312">
        <f>Ingredients[[#This Row],[Price Lb.]]*Ingredients[[#This Row],[Case Wt.]]</f>
        <v>24.75</v>
      </c>
      <c r="U24" s="313" t="str" cm="1">
        <f t="array" ref="U24">IFERROR(_xlfn.IFS(LEFT(Ingredients[[#This Row],[Ingr1]],7)="Chicken","Poultry",LEFT(Ingredients[[#This Row],[Ingr1]],4)="Pork","Meat",LEFT(Ingredients[[#This Row],[Ingr1]],4)="Beef","Meat"),"")</f>
        <v/>
      </c>
    </row>
    <row r="25" spans="1:21" ht="11.45" customHeight="1" x14ac:dyDescent="0.25">
      <c r="A25" s="19" t="s">
        <v>17</v>
      </c>
      <c r="B25" s="19" t="s">
        <v>146</v>
      </c>
      <c r="C25" s="19" t="s">
        <v>54</v>
      </c>
      <c r="D25" s="19" t="s">
        <v>141</v>
      </c>
      <c r="E25" s="19" t="s">
        <v>140</v>
      </c>
      <c r="F25" s="19" t="s">
        <v>109</v>
      </c>
      <c r="G25" s="19"/>
      <c r="H25" s="19"/>
      <c r="I25" s="19">
        <v>336</v>
      </c>
      <c r="J25" s="19">
        <v>15</v>
      </c>
      <c r="K25" s="19">
        <v>15</v>
      </c>
      <c r="L25" s="19">
        <v>11.95</v>
      </c>
      <c r="M25" s="19"/>
      <c r="N25" s="19">
        <f>IFERROR(IF(SUM(Ingredients[[#This Row],[Wt2]:[Wt5]])&gt;0,SUM(Ingredients[[#This Row],[Wt2]:[Wt5]]),""),"")</f>
        <v>41.95</v>
      </c>
      <c r="O25" s="19">
        <v>25</v>
      </c>
      <c r="P25" s="20" t="s">
        <v>97</v>
      </c>
      <c r="Q25" s="19"/>
      <c r="R25" s="19"/>
      <c r="S25" s="1">
        <v>1.06</v>
      </c>
      <c r="T25" s="312">
        <f>Ingredients[[#This Row],[Price Lb.]]*Ingredients[[#This Row],[Case Wt.]]</f>
        <v>26.5</v>
      </c>
      <c r="U25" s="313" t="str" cm="1">
        <f t="array" ref="U25">IFERROR(_xlfn.IFS(LEFT(Ingredients[[#This Row],[Ingr1]],7)="Chicken","Poultry",LEFT(Ingredients[[#This Row],[Ingr1]],4)="Pork","Meat",LEFT(Ingredients[[#This Row],[Ingr1]],4)="Beef","Meat"),"")</f>
        <v>Poultry</v>
      </c>
    </row>
    <row r="26" spans="1:21" ht="11.45" customHeight="1" x14ac:dyDescent="0.25">
      <c r="A26" s="19" t="s">
        <v>11</v>
      </c>
      <c r="B26" s="19" t="s">
        <v>148</v>
      </c>
      <c r="C26" s="19" t="s">
        <v>56</v>
      </c>
      <c r="D26" s="19" t="s">
        <v>301</v>
      </c>
      <c r="E26" s="19"/>
      <c r="F26" s="19"/>
      <c r="G26" s="19"/>
      <c r="H26" s="19"/>
      <c r="I26" s="19">
        <v>300</v>
      </c>
      <c r="J26" s="19">
        <v>40.799999999999997</v>
      </c>
      <c r="K26" s="19"/>
      <c r="L26" s="19"/>
      <c r="M26" s="19"/>
      <c r="N26" s="19">
        <f>IFERROR(IF(SUM(Ingredients[[#This Row],[Wt2]:[Wt5]])&gt;0,SUM(Ingredients[[#This Row],[Wt2]:[Wt5]]),""),"")</f>
        <v>40.799999999999997</v>
      </c>
      <c r="O26" s="19">
        <v>25</v>
      </c>
      <c r="P26" s="20" t="s">
        <v>97</v>
      </c>
      <c r="Q26" s="19"/>
      <c r="R26" s="19"/>
      <c r="S26" s="1">
        <v>1.7</v>
      </c>
      <c r="T26" s="312">
        <f>Ingredients[[#This Row],[Price Lb.]]*Ingredients[[#This Row],[Case Wt.]]</f>
        <v>42.5</v>
      </c>
      <c r="U26" s="313" t="str" cm="1">
        <f t="array" ref="U26">IFERROR(_xlfn.IFS(LEFT(Ingredients[[#This Row],[Ingr1]],7)="Chicken","Poultry",LEFT(Ingredients[[#This Row],[Ingr1]],4)="Pork","Meat",LEFT(Ingredients[[#This Row],[Ingr1]],4)="Beef","Meat"),"")</f>
        <v>Meat</v>
      </c>
    </row>
    <row r="27" spans="1:21" ht="11.45" customHeight="1" x14ac:dyDescent="0.25">
      <c r="A27" s="19" t="s">
        <v>12</v>
      </c>
      <c r="B27" s="19" t="s">
        <v>147</v>
      </c>
      <c r="C27" s="19" t="s">
        <v>53</v>
      </c>
      <c r="D27" s="19" t="s">
        <v>55</v>
      </c>
      <c r="E27" s="19" t="s">
        <v>111</v>
      </c>
      <c r="F27" s="19"/>
      <c r="G27" s="19"/>
      <c r="H27" s="19" t="s">
        <v>61</v>
      </c>
      <c r="I27" s="19">
        <v>280</v>
      </c>
      <c r="J27" s="19">
        <v>50</v>
      </c>
      <c r="K27" s="19">
        <v>9.8000000000000007</v>
      </c>
      <c r="L27" s="19"/>
      <c r="M27" s="19"/>
      <c r="N27" s="19">
        <f>IFERROR(IF(SUM(Ingredients[[#This Row],[Wt2]:[Wt5]])&gt;0,SUM(Ingredients[[#This Row],[Wt2]:[Wt5]]),""),"")</f>
        <v>59.8</v>
      </c>
      <c r="O27" s="19">
        <v>25</v>
      </c>
      <c r="P27" s="20" t="s">
        <v>97</v>
      </c>
      <c r="Q27" s="19">
        <v>50</v>
      </c>
      <c r="R27" s="19">
        <v>50</v>
      </c>
      <c r="S27" s="1">
        <v>1.2</v>
      </c>
      <c r="T27" s="312">
        <f>Ingredients[[#This Row],[Price Lb.]]*Ingredients[[#This Row],[Case Wt.]]</f>
        <v>30</v>
      </c>
      <c r="U27" s="313" t="str" cm="1">
        <f t="array" ref="U27">IFERROR(_xlfn.IFS(LEFT(Ingredients[[#This Row],[Ingr1]],7)="Chicken","Poultry",LEFT(Ingredients[[#This Row],[Ingr1]],4)="Pork","Meat",LEFT(Ingredients[[#This Row],[Ingr1]],4)="Beef","Meat"),"")</f>
        <v>Poultry</v>
      </c>
    </row>
    <row r="28" spans="1:21" ht="11.45" customHeight="1" x14ac:dyDescent="0.25">
      <c r="A28" s="19" t="s">
        <v>8</v>
      </c>
      <c r="B28" s="19" t="s">
        <v>146</v>
      </c>
      <c r="C28" s="19" t="s">
        <v>54</v>
      </c>
      <c r="D28" s="19" t="s">
        <v>58</v>
      </c>
      <c r="E28" s="19" t="s">
        <v>140</v>
      </c>
      <c r="F28" s="19" t="s">
        <v>141</v>
      </c>
      <c r="G28" s="19" t="s">
        <v>110</v>
      </c>
      <c r="H28" s="19"/>
      <c r="I28" s="19">
        <v>416</v>
      </c>
      <c r="J28" s="19">
        <v>20</v>
      </c>
      <c r="K28" s="19">
        <v>15</v>
      </c>
      <c r="L28" s="19">
        <v>15</v>
      </c>
      <c r="M28" s="19">
        <v>15.2</v>
      </c>
      <c r="N28" s="19">
        <f>IFERROR(IF(SUM(Ingredients[[#This Row],[Wt2]:[Wt5]])&gt;0,SUM(Ingredients[[#This Row],[Wt2]:[Wt5]]),""),"")</f>
        <v>65.2</v>
      </c>
      <c r="O28" s="19">
        <v>25</v>
      </c>
      <c r="P28" s="20" t="s">
        <v>97</v>
      </c>
      <c r="Q28" s="19"/>
      <c r="R28" s="19"/>
      <c r="S28" s="1">
        <v>1.08</v>
      </c>
      <c r="T28" s="312">
        <f>Ingredients[[#This Row],[Price Lb.]]*Ingredients[[#This Row],[Case Wt.]]</f>
        <v>27</v>
      </c>
      <c r="U28" s="313" t="str" cm="1">
        <f t="array" ref="U28">IFERROR(_xlfn.IFS(LEFT(Ingredients[[#This Row],[Ingr1]],7)="Chicken","Poultry",LEFT(Ingredients[[#This Row],[Ingr1]],4)="Pork","Meat",LEFT(Ingredients[[#This Row],[Ingr1]],4)="Beef","Meat"),"")</f>
        <v>Poultry</v>
      </c>
    </row>
    <row r="29" spans="1:21" ht="11.45" customHeight="1" x14ac:dyDescent="0.25">
      <c r="A29" s="19" t="s">
        <v>48</v>
      </c>
      <c r="B29" s="19" t="s">
        <v>48</v>
      </c>
      <c r="C29" s="19" t="s">
        <v>115</v>
      </c>
      <c r="D29" s="19" t="s">
        <v>300</v>
      </c>
      <c r="E29" s="19"/>
      <c r="F29" s="19"/>
      <c r="G29" s="19"/>
      <c r="H29" s="19"/>
      <c r="I29" s="19">
        <v>300</v>
      </c>
      <c r="J29" s="19">
        <v>25</v>
      </c>
      <c r="K29" s="19"/>
      <c r="L29" s="19"/>
      <c r="M29" s="19"/>
      <c r="N29" s="19">
        <f>IFERROR(IF(SUM(Ingredients[[#This Row],[Wt2]:[Wt5]])&gt;0,SUM(Ingredients[[#This Row],[Wt2]:[Wt5]]),""),"")</f>
        <v>25</v>
      </c>
      <c r="O29" s="19">
        <v>25</v>
      </c>
      <c r="P29" s="20" t="s">
        <v>97</v>
      </c>
      <c r="Q29" s="19">
        <v>50</v>
      </c>
      <c r="R29" s="19">
        <v>50</v>
      </c>
      <c r="S29" s="1">
        <v>1.25</v>
      </c>
      <c r="T29" s="312">
        <f>Ingredients[[#This Row],[Price Lb.]]*Ingredients[[#This Row],[Case Wt.]]</f>
        <v>31.25</v>
      </c>
      <c r="U29" s="313" t="str" cm="1">
        <f t="array" ref="U29">IFERROR(_xlfn.IFS(LEFT(Ingredients[[#This Row],[Ingr1]],7)="Chicken","Poultry",LEFT(Ingredients[[#This Row],[Ingr1]],4)="Pork","Meat",LEFT(Ingredients[[#This Row],[Ingr1]],4)="Beef","Meat"),"")</f>
        <v/>
      </c>
    </row>
    <row r="30" spans="1:21" ht="11.45" customHeight="1" x14ac:dyDescent="0.25">
      <c r="A30" s="19" t="s">
        <v>14</v>
      </c>
      <c r="B30" s="19" t="s">
        <v>146</v>
      </c>
      <c r="C30" s="19" t="s">
        <v>53</v>
      </c>
      <c r="D30" s="19" t="s">
        <v>55</v>
      </c>
      <c r="E30" s="19" t="s">
        <v>107</v>
      </c>
      <c r="F30" s="19"/>
      <c r="G30" s="19"/>
      <c r="H30" s="19"/>
      <c r="I30" s="19">
        <v>280</v>
      </c>
      <c r="J30" s="19">
        <v>50</v>
      </c>
      <c r="K30" s="19">
        <v>12.15</v>
      </c>
      <c r="L30" s="19"/>
      <c r="M30" s="19"/>
      <c r="N30" s="19">
        <f>IFERROR(IF(SUM(Ingredients[[#This Row],[Wt2]:[Wt5]])&gt;0,SUM(Ingredients[[#This Row],[Wt2]:[Wt5]]),""),"")</f>
        <v>62.15</v>
      </c>
      <c r="O30" s="19">
        <v>25</v>
      </c>
      <c r="P30" s="20" t="s">
        <v>97</v>
      </c>
      <c r="Q30" s="19"/>
      <c r="R30" s="19"/>
      <c r="S30" s="1">
        <v>1.2</v>
      </c>
      <c r="T30" s="312">
        <f>Ingredients[[#This Row],[Price Lb.]]*Ingredients[[#This Row],[Case Wt.]]</f>
        <v>30</v>
      </c>
      <c r="U30" s="313" t="str" cm="1">
        <f t="array" ref="U30">IFERROR(_xlfn.IFS(LEFT(Ingredients[[#This Row],[Ingr1]],7)="Chicken","Poultry",LEFT(Ingredients[[#This Row],[Ingr1]],4)="Pork","Meat",LEFT(Ingredients[[#This Row],[Ingr1]],4)="Beef","Meat"),"")</f>
        <v>Poultry</v>
      </c>
    </row>
    <row r="31" spans="1:21" ht="11.45" customHeight="1" x14ac:dyDescent="0.25">
      <c r="A31" s="19" t="s">
        <v>25</v>
      </c>
      <c r="B31" s="19" t="s">
        <v>146</v>
      </c>
      <c r="C31" s="19" t="s">
        <v>53</v>
      </c>
      <c r="D31" s="19" t="s">
        <v>55</v>
      </c>
      <c r="E31" s="19" t="s">
        <v>107</v>
      </c>
      <c r="F31" s="19"/>
      <c r="G31" s="19"/>
      <c r="H31" s="19"/>
      <c r="I31" s="19">
        <v>280</v>
      </c>
      <c r="J31" s="19">
        <v>50</v>
      </c>
      <c r="K31" s="19">
        <v>12.15</v>
      </c>
      <c r="L31" s="19"/>
      <c r="M31" s="19"/>
      <c r="N31" s="19">
        <f>IFERROR(IF(SUM(Ingredients[[#This Row],[Wt2]:[Wt5]])&gt;0,SUM(Ingredients[[#This Row],[Wt2]:[Wt5]]),""),"")</f>
        <v>62.15</v>
      </c>
      <c r="O31" s="19">
        <v>30</v>
      </c>
      <c r="P31" s="20" t="s">
        <v>97</v>
      </c>
      <c r="Q31" s="19"/>
      <c r="R31" s="19"/>
      <c r="S31" s="1">
        <v>1.2</v>
      </c>
      <c r="T31" s="312">
        <f>Ingredients[[#This Row],[Price Lb.]]*Ingredients[[#This Row],[Case Wt.]]</f>
        <v>36</v>
      </c>
      <c r="U31" s="313" t="str" cm="1">
        <f t="array" ref="U31">IFERROR(_xlfn.IFS(LEFT(Ingredients[[#This Row],[Ingr1]],7)="Chicken","Poultry",LEFT(Ingredients[[#This Row],[Ingr1]],4)="Pork","Meat",LEFT(Ingredients[[#This Row],[Ingr1]],4)="Beef","Meat"),"")</f>
        <v>Poultry</v>
      </c>
    </row>
    <row r="36" spans="6:6" ht="11.45" customHeight="1" x14ac:dyDescent="0.25">
      <c r="F36" s="67"/>
    </row>
  </sheetData>
  <phoneticPr fontId="6" type="noConversion"/>
  <conditionalFormatting sqref="A3:U31">
    <cfRule type="containsBlanks" dxfId="1" priority="3">
      <formula>LEN(TRIM(A3))=0</formula>
    </cfRule>
  </conditionalFormatting>
  <dataValidations count="1">
    <dataValidation type="list" allowBlank="1" showInputMessage="1" showErrorMessage="1" sqref="B3:B31" xr:uid="{67C3FFF5-37E2-4048-8645-127825EDBD91}">
      <formula1>"Ground Beef, Breaded Chicken, Ground Chicken, Breaded Pork, Ground Pork,Krabby Patty,Surf Burger,Bean Burger,Other"</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05E9D943-60FE-4AFB-AAB8-370074FD275B}">
          <x14:formula1>
            <xm:f>'Ingredient Cost'!$G$4:$G$22</xm:f>
          </x14:formula1>
          <xm:sqref>D3:G31</xm:sqref>
        </x14:dataValidation>
        <x14:dataValidation type="list" allowBlank="1" showInputMessage="1" showErrorMessage="1" xr:uid="{0ABC6B1E-71F6-4515-A582-E05B3AE7BF1C}">
          <x14:formula1>
            <xm:f>'Ingredient Cost'!$A$4:$A$12</xm:f>
          </x14:formula1>
          <xm:sqref>C3:C31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1F2BE-0859-407E-8BDE-A1420AB2A9C3}">
  <sheetPr codeName="Sheet4">
    <pageSetUpPr fitToPage="1"/>
  </sheetPr>
  <dimension ref="A1:C22"/>
  <sheetViews>
    <sheetView workbookViewId="0">
      <selection activeCell="A3" sqref="A3:A22"/>
    </sheetView>
    <sheetView workbookViewId="1"/>
  </sheetViews>
  <sheetFormatPr defaultRowHeight="11.45" customHeight="1" x14ac:dyDescent="0.25"/>
  <cols>
    <col min="1" max="1" width="19.140625" bestFit="1" customWidth="1"/>
    <col min="2" max="2" width="10.140625" bestFit="1" customWidth="1"/>
    <col min="3" max="3" width="9.42578125" bestFit="1" customWidth="1"/>
    <col min="4" max="5" width="16.7109375" bestFit="1" customWidth="1"/>
  </cols>
  <sheetData>
    <row r="1" spans="1:3" ht="15" x14ac:dyDescent="0.25">
      <c r="A1" s="2" t="s">
        <v>200</v>
      </c>
    </row>
    <row r="2" spans="1:3" s="16" customFormat="1" ht="11.45" customHeight="1" x14ac:dyDescent="0.25">
      <c r="A2" s="21" t="s">
        <v>2</v>
      </c>
      <c r="B2" s="21" t="s">
        <v>49</v>
      </c>
      <c r="C2" s="21" t="s">
        <v>50</v>
      </c>
    </row>
    <row r="3" spans="1:3" ht="11.45" customHeight="1" x14ac:dyDescent="0.25">
      <c r="A3" s="22" t="s">
        <v>123</v>
      </c>
      <c r="B3" s="23">
        <f>IFERROR(AVERAGEIFS(Production[Case Total],Production[Product],CaseAvg[[#This Row],[Product]])/AVERAGEIFS(Production[Lots Done],Production[Product],CaseAvg[[#This Row],[Product]]),"")</f>
        <v>19.714285714285715</v>
      </c>
      <c r="C3" s="22">
        <f>IFERROR(INDEX(Ingredients[Case Wt.],MATCH(CaseAvg[[#This Row],[Product]],Ingredients[ProdName],0)),"")</f>
        <v>25</v>
      </c>
    </row>
    <row r="4" spans="1:3" ht="11.45" customHeight="1" x14ac:dyDescent="0.25">
      <c r="A4" s="22" t="s">
        <v>21</v>
      </c>
      <c r="B4" s="23">
        <f>IFERROR(AVERAGEIFS(Production[Case Total],Production[Product],CaseAvg[[#This Row],[Product]])/AVERAGEIFS(Production[Lots Done],Production[Product],CaseAvg[[#This Row],[Product]]),"")</f>
        <v>20.921008403361345</v>
      </c>
      <c r="C4" s="22">
        <f>IFERROR(INDEX(Ingredients[Case Wt.],MATCH(CaseAvg[[#This Row],[Product]],Ingredients[ProdName],0)),"")</f>
        <v>25</v>
      </c>
    </row>
    <row r="5" spans="1:3" ht="11.45" customHeight="1" x14ac:dyDescent="0.25">
      <c r="A5" s="22" t="s">
        <v>151</v>
      </c>
      <c r="B5" s="23">
        <f>IFERROR(AVERAGEIFS(Production[Case Total],Production[Product],CaseAvg[[#This Row],[Product]])/AVERAGEIFS(Production[Lots Done],Production[Product],CaseAvg[[#This Row],[Product]]),"")</f>
        <v>18.887499999999999</v>
      </c>
      <c r="C5" s="22">
        <f>IFERROR(INDEX(Ingredients[Case Wt.],MATCH(CaseAvg[[#This Row],[Product]],Ingredients[ProdName],0)),"")</f>
        <v>30</v>
      </c>
    </row>
    <row r="6" spans="1:3" ht="11.45" customHeight="1" x14ac:dyDescent="0.25">
      <c r="A6" s="22" t="s">
        <v>22</v>
      </c>
      <c r="B6" s="23">
        <f>IFERROR(AVERAGEIFS(Production[Case Total],Production[Product],CaseAvg[[#This Row],[Product]])/AVERAGEIFS(Production[Lots Done],Production[Product],CaseAvg[[#This Row],[Product]]),"")</f>
        <v>20.098591549295776</v>
      </c>
      <c r="C6" s="22">
        <f>IFERROR(INDEX(Ingredients[Case Wt.],MATCH(CaseAvg[[#This Row],[Product]],Ingredients[ProdName],0)),"")</f>
        <v>25</v>
      </c>
    </row>
    <row r="7" spans="1:3" ht="11.45" customHeight="1" x14ac:dyDescent="0.25">
      <c r="A7" s="22" t="s">
        <v>19</v>
      </c>
      <c r="B7" s="23">
        <f>IFERROR(AVERAGEIFS(Production[Case Total],Production[Product],CaseAvg[[#This Row],[Product]])/AVERAGEIFS(Production[Lots Done],Production[Product],CaseAvg[[#This Row],[Product]]),"")</f>
        <v>16.701612903225804</v>
      </c>
      <c r="C7" s="22">
        <f>IFERROR(INDEX(Ingredients[Case Wt.],MATCH(CaseAvg[[#This Row],[Product]],Ingredients[ProdName],0)),"")</f>
        <v>25</v>
      </c>
    </row>
    <row r="8" spans="1:3" ht="11.45" customHeight="1" x14ac:dyDescent="0.25">
      <c r="A8" s="22" t="s">
        <v>20</v>
      </c>
      <c r="B8" s="23">
        <f>IFERROR(AVERAGEIFS(Production[Case Total],Production[Product],CaseAvg[[#This Row],[Product]])/AVERAGEIFS(Production[Lots Done],Production[Product],CaseAvg[[#This Row],[Product]]),"")</f>
        <v>17.532467532467532</v>
      </c>
      <c r="C8" s="22">
        <f>IFERROR(INDEX(Ingredients[Case Wt.],MATCH(CaseAvg[[#This Row],[Product]],Ingredients[ProdName],0)),"")</f>
        <v>25</v>
      </c>
    </row>
    <row r="9" spans="1:3" ht="11.45" customHeight="1" x14ac:dyDescent="0.25">
      <c r="A9" s="22" t="s">
        <v>16</v>
      </c>
      <c r="B9" s="23">
        <f>IFERROR(AVERAGEIFS(Production[Case Total],Production[Product],CaseAvg[[#This Row],[Product]])/AVERAGEIFS(Production[Lots Done],Production[Product],CaseAvg[[#This Row],[Product]]),"")</f>
        <v>13.93859649122807</v>
      </c>
      <c r="C9" s="22">
        <f>IFERROR(INDEX(Ingredients[Case Wt.],MATCH(CaseAvg[[#This Row],[Product]],Ingredients[ProdName],0)),"")</f>
        <v>30</v>
      </c>
    </row>
    <row r="10" spans="1:3" ht="11.45" customHeight="1" x14ac:dyDescent="0.25">
      <c r="A10" s="22" t="s">
        <v>15</v>
      </c>
      <c r="B10" s="23">
        <f>IFERROR(AVERAGEIFS(Production[Case Total],Production[Product],CaseAvg[[#This Row],[Product]])/AVERAGEIFS(Production[Lots Done],Production[Product],CaseAvg[[#This Row],[Product]]),"")</f>
        <v>13.721669980119284</v>
      </c>
      <c r="C10" s="22">
        <f>IFERROR(INDEX(Ingredients[Case Wt.],MATCH(CaseAvg[[#This Row],[Product]],Ingredients[ProdName],0)),"")</f>
        <v>30</v>
      </c>
    </row>
    <row r="11" spans="1:3" ht="11.45" customHeight="1" x14ac:dyDescent="0.25">
      <c r="A11" s="22" t="s">
        <v>18</v>
      </c>
      <c r="B11" s="23">
        <f>IFERROR(AVERAGEIFS(Production[Case Total],Production[Product],CaseAvg[[#This Row],[Product]])/AVERAGEIFS(Production[Lots Done],Production[Product],CaseAvg[[#This Row],[Product]]),"")</f>
        <v>12.590909090909092</v>
      </c>
      <c r="C11" s="22">
        <f>IFERROR(INDEX(Ingredients[Case Wt.],MATCH(CaseAvg[[#This Row],[Product]],Ingredients[ProdName],0)),"")</f>
        <v>30</v>
      </c>
    </row>
    <row r="12" spans="1:3" ht="11.45" customHeight="1" x14ac:dyDescent="0.25">
      <c r="A12" s="22" t="s">
        <v>23</v>
      </c>
      <c r="B12" s="23">
        <f>IFERROR(AVERAGEIFS(Production[Case Total],Production[Product],CaseAvg[[#This Row],[Product]])/AVERAGEIFS(Production[Lots Done],Production[Product],CaseAvg[[#This Row],[Product]]),"")</f>
        <v>14.364583333333334</v>
      </c>
      <c r="C12" s="22">
        <f>IFERROR(INDEX(Ingredients[Case Wt.],MATCH(CaseAvg[[#This Row],[Product]],Ingredients[ProdName],0)),"")</f>
        <v>30</v>
      </c>
    </row>
    <row r="13" spans="1:3" ht="11.45" customHeight="1" x14ac:dyDescent="0.25">
      <c r="A13" s="22" t="s">
        <v>9</v>
      </c>
      <c r="B13" s="23">
        <f>IFERROR(AVERAGEIFS(Production[Case Total],Production[Product],CaseAvg[[#This Row],[Product]])/AVERAGEIFS(Production[Lots Done],Production[Product],CaseAvg[[#This Row],[Product]]),"")</f>
        <v>13.091383812010445</v>
      </c>
      <c r="C13" s="22">
        <f>IFERROR(INDEX(Ingredients[Case Wt.],MATCH(CaseAvg[[#This Row],[Product]],Ingredients[ProdName],0)),"")</f>
        <v>30</v>
      </c>
    </row>
    <row r="14" spans="1:3" ht="11.45" customHeight="1" x14ac:dyDescent="0.25">
      <c r="A14" s="74" t="s">
        <v>212</v>
      </c>
      <c r="B14" s="75">
        <f>IFERROR(AVERAGEIFS(Production[Case Total],Production[Product],CaseAvg[[#This Row],[Product]])/AVERAGEIFS(Production[Lots Done],Production[Product],CaseAvg[[#This Row],[Product]]),"")</f>
        <v>13.4</v>
      </c>
      <c r="C14" s="74">
        <f>IFERROR(INDEX(Ingredients[Case Wt.],MATCH(CaseAvg[[#This Row],[Product]],Ingredients[ProdName],0)),"")</f>
        <v>30</v>
      </c>
    </row>
    <row r="15" spans="1:3" ht="11.45" customHeight="1" x14ac:dyDescent="0.25">
      <c r="A15" s="22" t="s">
        <v>7</v>
      </c>
      <c r="B15" s="23">
        <f>IFERROR(AVERAGEIFS(Production[Case Total],Production[Product],CaseAvg[[#This Row],[Product]])/AVERAGEIFS(Production[Lots Done],Production[Product],CaseAvg[[#This Row],[Product]]),"")</f>
        <v>16.314666666666668</v>
      </c>
      <c r="C15" s="22">
        <f>IFERROR(INDEX(Ingredients[Case Wt.],MATCH(CaseAvg[[#This Row],[Product]],Ingredients[ProdName],0)),"")</f>
        <v>25</v>
      </c>
    </row>
    <row r="16" spans="1:3" ht="11.45" customHeight="1" x14ac:dyDescent="0.25">
      <c r="A16" s="22" t="s">
        <v>13</v>
      </c>
      <c r="B16" s="23">
        <f>IFERROR(AVERAGEIFS(Production[Case Total],Production[Product],CaseAvg[[#This Row],[Product]])/AVERAGEIFS(Production[Lots Done],Production[Product],CaseAvg[[#This Row],[Product]]),"")</f>
        <v>14.861271676300579</v>
      </c>
      <c r="C16" s="22">
        <f>IFERROR(INDEX(Ingredients[Case Wt.],MATCH(CaseAvg[[#This Row],[Product]],Ingredients[ProdName],0)),"")</f>
        <v>30</v>
      </c>
    </row>
    <row r="17" spans="1:3" ht="11.45" customHeight="1" x14ac:dyDescent="0.25">
      <c r="A17" s="22" t="s">
        <v>17</v>
      </c>
      <c r="B17" s="23">
        <f>IFERROR(AVERAGEIFS(Production[Case Total],Production[Product],CaseAvg[[#This Row],[Product]])/AVERAGEIFS(Production[Lots Done],Production[Product],CaseAvg[[#This Row],[Product]]),"")</f>
        <v>17.901734104046241</v>
      </c>
      <c r="C17" s="22">
        <f>IFERROR(INDEX(Ingredients[Case Wt.],MATCH(CaseAvg[[#This Row],[Product]],Ingredients[ProdName],0)),"")</f>
        <v>25</v>
      </c>
    </row>
    <row r="18" spans="1:3" ht="11.45" customHeight="1" x14ac:dyDescent="0.25">
      <c r="A18" s="22" t="s">
        <v>11</v>
      </c>
      <c r="B18" s="23">
        <f>IFERROR(AVERAGEIFS(Production[Case Total],Production[Product],CaseAvg[[#This Row],[Product]])/AVERAGEIFS(Production[Lots Done],Production[Product],CaseAvg[[#This Row],[Product]]),"")</f>
        <v>17.046153846153846</v>
      </c>
      <c r="C18" s="22">
        <f>IFERROR(INDEX(Ingredients[Case Wt.],MATCH(CaseAvg[[#This Row],[Product]],Ingredients[ProdName],0)),"")</f>
        <v>25</v>
      </c>
    </row>
    <row r="19" spans="1:3" ht="11.45" customHeight="1" x14ac:dyDescent="0.25">
      <c r="A19" s="22" t="s">
        <v>12</v>
      </c>
      <c r="B19" s="23">
        <f>IFERROR(AVERAGEIFS(Production[Case Total],Production[Product],CaseAvg[[#This Row],[Product]])/AVERAGEIFS(Production[Lots Done],Production[Product],CaseAvg[[#This Row],[Product]]),"")</f>
        <v>21.22935779816514</v>
      </c>
      <c r="C19" s="22">
        <f>IFERROR(INDEX(Ingredients[Case Wt.],MATCH(CaseAvg[[#This Row],[Product]],Ingredients[ProdName],0)),"")</f>
        <v>25</v>
      </c>
    </row>
    <row r="20" spans="1:3" ht="11.45" customHeight="1" x14ac:dyDescent="0.25">
      <c r="A20" s="22" t="s">
        <v>8</v>
      </c>
      <c r="B20" s="23">
        <f>IFERROR(AVERAGEIFS(Production[Case Total],Production[Product],CaseAvg[[#This Row],[Product]])/AVERAGEIFS(Production[Lots Done],Production[Product],CaseAvg[[#This Row],[Product]]),"")</f>
        <v>19.454545454545457</v>
      </c>
      <c r="C20" s="22">
        <f>IFERROR(INDEX(Ingredients[Case Wt.],MATCH(CaseAvg[[#This Row],[Product]],Ingredients[ProdName],0)),"")</f>
        <v>25</v>
      </c>
    </row>
    <row r="21" spans="1:3" ht="11.45" customHeight="1" x14ac:dyDescent="0.25">
      <c r="A21" s="22" t="s">
        <v>14</v>
      </c>
      <c r="B21" s="23">
        <f>IFERROR(AVERAGEIFS(Production[Case Total],Production[Product],CaseAvg[[#This Row],[Product]])/AVERAGEIFS(Production[Lots Done],Production[Product],CaseAvg[[#This Row],[Product]]),"")</f>
        <v>17.75874125874126</v>
      </c>
      <c r="C21" s="22">
        <f>IFERROR(INDEX(Ingredients[Case Wt.],MATCH(CaseAvg[[#This Row],[Product]],Ingredients[ProdName],0)),"")</f>
        <v>25</v>
      </c>
    </row>
    <row r="22" spans="1:3" ht="11.45" customHeight="1" x14ac:dyDescent="0.25">
      <c r="A22" s="22" t="s">
        <v>25</v>
      </c>
      <c r="B22" s="23">
        <f>IFERROR(AVERAGEIFS(Production[Case Total],Production[Product],CaseAvg[[#This Row],[Product]])/AVERAGEIFS(Production[Lots Done],Production[Product],CaseAvg[[#This Row],[Product]]),"")</f>
        <v>13.25</v>
      </c>
      <c r="C22" s="22">
        <f>IFERROR(INDEX(Ingredients[Case Wt.],MATCH(CaseAvg[[#This Row],[Product]],Ingredients[ProdName],0)),"")</f>
        <v>30</v>
      </c>
    </row>
  </sheetData>
  <phoneticPr fontId="6" type="noConversion"/>
  <conditionalFormatting sqref="A3:C22">
    <cfRule type="containsBlanks" dxfId="14" priority="1">
      <formula>LEN(TRIM(A3))=0</formula>
    </cfRule>
  </conditionalFormatting>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E0FAD384-9775-4724-8DD2-DBE42CE0CCDF}">
          <x14:formula1>
            <xm:f>Ingredients!$A$3:$A$31</xm:f>
          </x14:formula1>
          <xm:sqref>A3:A22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E924-7138-47A9-B06B-7511D7C0277A}">
  <sheetPr codeName="Sheet2"/>
  <dimension ref="A1:R32"/>
  <sheetViews>
    <sheetView zoomScaleNormal="100" workbookViewId="0">
      <selection activeCell="I10" sqref="I10"/>
    </sheetView>
    <sheetView tabSelected="1" workbookViewId="1">
      <selection activeCell="L4" sqref="L4:L32"/>
    </sheetView>
  </sheetViews>
  <sheetFormatPr defaultColWidth="9.140625" defaultRowHeight="11.45" customHeight="1" x14ac:dyDescent="0.15"/>
  <cols>
    <col min="1" max="1" width="19" style="4" bestFit="1" customWidth="1"/>
    <col min="2" max="2" width="5.7109375" style="4" bestFit="1" customWidth="1"/>
    <col min="3" max="3" width="5.7109375" style="4" customWidth="1"/>
    <col min="4" max="4" width="5.5703125" style="4" bestFit="1" customWidth="1"/>
    <col min="5" max="5" width="8" style="4" bestFit="1" customWidth="1"/>
    <col min="6" max="6" width="1.28515625" style="4" customWidth="1"/>
    <col min="7" max="7" width="16.7109375" style="4" bestFit="1" customWidth="1"/>
    <col min="8" max="8" width="8" style="4" bestFit="1" customWidth="1"/>
    <col min="9" max="9" width="6.5703125" style="4" bestFit="1" customWidth="1"/>
    <col min="10" max="10" width="9" style="4" bestFit="1" customWidth="1"/>
    <col min="11" max="11" width="1.28515625" style="4" customWidth="1"/>
    <col min="12" max="12" width="20.42578125" style="4" bestFit="1" customWidth="1"/>
    <col min="13" max="13" width="10.28515625" style="4" bestFit="1" customWidth="1"/>
    <col min="14" max="14" width="1.28515625" style="4" customWidth="1"/>
    <col min="15" max="15" width="15.5703125" style="4" bestFit="1" customWidth="1"/>
    <col min="16" max="16" width="7.140625" style="4" bestFit="1" customWidth="1"/>
    <col min="17" max="17" width="6.42578125" style="4" bestFit="1" customWidth="1"/>
    <col min="18" max="18" width="9" style="4" bestFit="1" customWidth="1"/>
    <col min="19" max="16384" width="9.140625" style="4"/>
  </cols>
  <sheetData>
    <row r="1" spans="1:18" ht="10.5" x14ac:dyDescent="0.15">
      <c r="A1" s="4" t="s">
        <v>201</v>
      </c>
      <c r="G1" s="4" t="s">
        <v>204</v>
      </c>
      <c r="L1" s="4" t="s">
        <v>203</v>
      </c>
      <c r="O1" s="4" t="s">
        <v>202</v>
      </c>
    </row>
    <row r="2" spans="1:18" s="70" customFormat="1" ht="11.45" customHeight="1" x14ac:dyDescent="0.25">
      <c r="A2" s="68" t="s">
        <v>92</v>
      </c>
      <c r="B2" s="68"/>
      <c r="C2" s="68"/>
      <c r="D2" s="68"/>
      <c r="E2" s="68"/>
      <c r="F2" s="69"/>
      <c r="G2" s="68" t="s">
        <v>194</v>
      </c>
      <c r="H2" s="68"/>
      <c r="I2" s="68"/>
      <c r="J2" s="68"/>
      <c r="K2" s="69"/>
      <c r="L2" s="68" t="s">
        <v>93</v>
      </c>
      <c r="M2" s="68"/>
      <c r="N2" s="69"/>
      <c r="O2" s="68" t="s">
        <v>94</v>
      </c>
      <c r="P2" s="68"/>
      <c r="Q2" s="68"/>
      <c r="R2" s="68"/>
    </row>
    <row r="3" spans="1:18" ht="11.45" customHeight="1" x14ac:dyDescent="0.15">
      <c r="A3" s="4" t="s">
        <v>51</v>
      </c>
      <c r="B3" s="4" t="s">
        <v>96</v>
      </c>
      <c r="C3" s="4" t="s">
        <v>145</v>
      </c>
      <c r="D3" s="4" t="s">
        <v>118</v>
      </c>
      <c r="E3" s="4" t="s">
        <v>60</v>
      </c>
      <c r="F3" s="3"/>
      <c r="G3" s="4" t="s">
        <v>51</v>
      </c>
      <c r="H3" s="4" t="s">
        <v>96</v>
      </c>
      <c r="I3" s="4" t="s">
        <v>118</v>
      </c>
      <c r="J3" s="4" t="s">
        <v>52</v>
      </c>
      <c r="K3" s="3"/>
      <c r="L3" s="4" t="s">
        <v>51</v>
      </c>
      <c r="M3" s="4" t="s">
        <v>60</v>
      </c>
      <c r="N3" s="3"/>
      <c r="O3" s="4" t="s">
        <v>95</v>
      </c>
      <c r="P3" s="4" t="s">
        <v>96</v>
      </c>
      <c r="Q3" s="4" t="s">
        <v>100</v>
      </c>
      <c r="R3" s="4" t="s">
        <v>52</v>
      </c>
    </row>
    <row r="4" spans="1:18" ht="11.45" customHeight="1" x14ac:dyDescent="0.15">
      <c r="A4" s="4" t="s">
        <v>269</v>
      </c>
      <c r="B4" s="4" t="s">
        <v>137</v>
      </c>
      <c r="C4" s="4">
        <v>6</v>
      </c>
      <c r="D4" s="5">
        <v>50</v>
      </c>
      <c r="E4" s="6">
        <v>3.5</v>
      </c>
      <c r="F4" s="3"/>
      <c r="G4" s="4" t="s">
        <v>300</v>
      </c>
      <c r="H4" s="4" t="s">
        <v>119</v>
      </c>
      <c r="I4" s="5">
        <v>50</v>
      </c>
      <c r="J4" s="6">
        <v>40</v>
      </c>
      <c r="K4" s="3"/>
      <c r="L4" s="4" t="s">
        <v>91</v>
      </c>
      <c r="M4" s="6">
        <v>3</v>
      </c>
      <c r="N4" s="3"/>
      <c r="O4" s="4" t="s">
        <v>97</v>
      </c>
      <c r="P4" s="4" t="s">
        <v>102</v>
      </c>
      <c r="Q4" s="4">
        <v>1</v>
      </c>
      <c r="R4" s="6">
        <v>1</v>
      </c>
    </row>
    <row r="5" spans="1:18" ht="11.45" customHeight="1" x14ac:dyDescent="0.15">
      <c r="A5" s="4" t="s">
        <v>53</v>
      </c>
      <c r="B5" s="4" t="s">
        <v>137</v>
      </c>
      <c r="C5" s="4">
        <v>7</v>
      </c>
      <c r="D5" s="5">
        <v>40</v>
      </c>
      <c r="E5" s="6">
        <v>0.65</v>
      </c>
      <c r="F5" s="3"/>
      <c r="G5" s="4" t="s">
        <v>301</v>
      </c>
      <c r="H5" s="4" t="s">
        <v>119</v>
      </c>
      <c r="I5" s="5">
        <v>40.799999999999997</v>
      </c>
      <c r="J5" s="6">
        <v>130</v>
      </c>
      <c r="K5" s="3"/>
      <c r="L5" s="4" t="s">
        <v>88</v>
      </c>
      <c r="M5" s="6">
        <v>3</v>
      </c>
      <c r="N5" s="3"/>
      <c r="O5" s="4" t="s">
        <v>98</v>
      </c>
      <c r="P5" s="4" t="s">
        <v>102</v>
      </c>
      <c r="Q5" s="4">
        <v>1</v>
      </c>
      <c r="R5" s="6">
        <v>0.5</v>
      </c>
    </row>
    <row r="6" spans="1:18" ht="11.45" customHeight="1" x14ac:dyDescent="0.15">
      <c r="A6" s="4" t="s">
        <v>54</v>
      </c>
      <c r="B6" s="4" t="s">
        <v>137</v>
      </c>
      <c r="C6" s="4">
        <v>6</v>
      </c>
      <c r="D6" s="5">
        <v>50</v>
      </c>
      <c r="E6" s="6">
        <v>0.6</v>
      </c>
      <c r="F6" s="3"/>
      <c r="G6" s="4" t="s">
        <v>10</v>
      </c>
      <c r="H6" s="4" t="s">
        <v>120</v>
      </c>
      <c r="I6" s="5">
        <f>INDEX(IngrWt[[#Totals],[Tuscan Herb]:[Bean Burger]],MATCH(Tier2[[#This Row],[Ingredient]],IngrWt[[#Headers],[Tuscan Herb]:[Bean Burger]],0))</f>
        <v>5</v>
      </c>
      <c r="J6" s="6">
        <v>20</v>
      </c>
      <c r="K6" s="3"/>
      <c r="L6" s="4" t="s">
        <v>87</v>
      </c>
      <c r="M6" s="6">
        <v>7</v>
      </c>
      <c r="N6" s="3"/>
      <c r="O6" s="4" t="s">
        <v>101</v>
      </c>
      <c r="P6" s="4" t="s">
        <v>102</v>
      </c>
      <c r="Q6" s="4">
        <v>1</v>
      </c>
      <c r="R6" s="6">
        <v>0.05</v>
      </c>
    </row>
    <row r="7" spans="1:18" ht="11.45" customHeight="1" x14ac:dyDescent="0.15">
      <c r="A7" s="4" t="s">
        <v>56</v>
      </c>
      <c r="B7" s="4" t="s">
        <v>137</v>
      </c>
      <c r="C7" s="4">
        <v>5</v>
      </c>
      <c r="D7" s="5">
        <v>60</v>
      </c>
      <c r="E7" s="6">
        <v>1.1000000000000001</v>
      </c>
      <c r="F7" s="3"/>
      <c r="G7" s="4" t="s">
        <v>62</v>
      </c>
      <c r="H7" s="4" t="s">
        <v>119</v>
      </c>
      <c r="I7" s="5">
        <v>4</v>
      </c>
      <c r="J7" s="6">
        <v>9</v>
      </c>
      <c r="K7" s="3"/>
      <c r="L7" s="4" t="s">
        <v>86</v>
      </c>
      <c r="M7" s="6">
        <v>1</v>
      </c>
      <c r="N7" s="3"/>
      <c r="O7" s="4" t="s">
        <v>99</v>
      </c>
      <c r="P7" s="4" t="s">
        <v>102</v>
      </c>
      <c r="Q7" s="4">
        <v>1</v>
      </c>
      <c r="R7" s="6">
        <v>0.2</v>
      </c>
    </row>
    <row r="8" spans="1:18" ht="11.45" customHeight="1" x14ac:dyDescent="0.15">
      <c r="A8" s="4" t="s">
        <v>115</v>
      </c>
      <c r="B8" s="4" t="s">
        <v>139</v>
      </c>
      <c r="D8" s="5">
        <v>1</v>
      </c>
      <c r="E8" s="6">
        <v>1.5</v>
      </c>
      <c r="F8" s="3"/>
      <c r="G8" s="4" t="s">
        <v>63</v>
      </c>
      <c r="H8" s="4" t="s">
        <v>119</v>
      </c>
      <c r="I8" s="5">
        <v>25</v>
      </c>
      <c r="J8" s="6">
        <v>20</v>
      </c>
      <c r="K8" s="3"/>
      <c r="L8" s="4" t="s">
        <v>85</v>
      </c>
      <c r="M8" s="6">
        <v>2.5</v>
      </c>
      <c r="N8" s="3"/>
      <c r="O8" s="4" t="s">
        <v>103</v>
      </c>
      <c r="P8" s="4" t="s">
        <v>116</v>
      </c>
      <c r="Q8" s="4">
        <v>1</v>
      </c>
      <c r="R8" s="6">
        <v>50</v>
      </c>
    </row>
    <row r="9" spans="1:18" ht="11.45" customHeight="1" x14ac:dyDescent="0.15">
      <c r="A9" s="4" t="s">
        <v>57</v>
      </c>
      <c r="B9" s="4" t="s">
        <v>138</v>
      </c>
      <c r="D9" s="5">
        <v>30</v>
      </c>
      <c r="E9" s="6">
        <v>0.6</v>
      </c>
      <c r="F9" s="3"/>
      <c r="G9" s="4" t="s">
        <v>61</v>
      </c>
      <c r="H9" s="4" t="s">
        <v>119</v>
      </c>
      <c r="I9" s="5">
        <v>50</v>
      </c>
      <c r="J9" s="6">
        <v>50</v>
      </c>
      <c r="K9" s="3"/>
      <c r="L9" s="4" t="s">
        <v>84</v>
      </c>
      <c r="M9" s="6">
        <v>5</v>
      </c>
      <c r="N9" s="3"/>
      <c r="O9" s="4" t="s">
        <v>104</v>
      </c>
      <c r="P9" s="4" t="s">
        <v>116</v>
      </c>
      <c r="Q9" s="4">
        <v>1</v>
      </c>
      <c r="R9" s="6">
        <v>45</v>
      </c>
    </row>
    <row r="10" spans="1:18" ht="11.45" customHeight="1" x14ac:dyDescent="0.15">
      <c r="A10" s="4" t="s">
        <v>59</v>
      </c>
      <c r="B10" s="4" t="s">
        <v>139</v>
      </c>
      <c r="D10" s="5">
        <v>1</v>
      </c>
      <c r="E10" s="6">
        <v>0.1</v>
      </c>
      <c r="F10" s="3"/>
      <c r="G10" s="4" t="s">
        <v>114</v>
      </c>
      <c r="H10" s="4" t="s">
        <v>120</v>
      </c>
      <c r="I10" s="5">
        <f>INDEX(IngrWt[[#Totals],[Tuscan Herb]:[Bean Burger]],MATCH(Tier2[[#This Row],[Ingredient]],IngrWt[[#Headers],[Tuscan Herb]:[Bean Burger]],0))</f>
        <v>11.65</v>
      </c>
      <c r="J10" s="6">
        <v>20</v>
      </c>
      <c r="K10" s="3"/>
      <c r="L10" s="4" t="s">
        <v>83</v>
      </c>
      <c r="M10" s="6">
        <v>4</v>
      </c>
      <c r="N10" s="3"/>
      <c r="O10" s="4" t="s">
        <v>105</v>
      </c>
      <c r="P10" s="4" t="s">
        <v>102</v>
      </c>
      <c r="Q10" s="4">
        <v>1</v>
      </c>
      <c r="R10" s="6">
        <v>0.5</v>
      </c>
    </row>
    <row r="11" spans="1:18" ht="11.45" customHeight="1" x14ac:dyDescent="0.15">
      <c r="A11" s="4" t="s">
        <v>143</v>
      </c>
      <c r="B11" s="4" t="s">
        <v>139</v>
      </c>
      <c r="D11" s="5">
        <v>1</v>
      </c>
      <c r="E11" s="6">
        <v>0.1</v>
      </c>
      <c r="F11" s="3"/>
      <c r="G11" s="4" t="s">
        <v>58</v>
      </c>
      <c r="H11" s="4" t="s">
        <v>155</v>
      </c>
      <c r="I11" s="5">
        <v>1</v>
      </c>
      <c r="J11" s="6">
        <v>1</v>
      </c>
      <c r="K11" s="3"/>
      <c r="L11" s="4" t="s">
        <v>82</v>
      </c>
      <c r="M11" s="6">
        <v>3.5</v>
      </c>
      <c r="N11" s="3"/>
      <c r="O11" s="4" t="s">
        <v>106</v>
      </c>
      <c r="P11" s="4" t="s">
        <v>117</v>
      </c>
      <c r="Q11" s="4">
        <v>1</v>
      </c>
      <c r="R11" s="6">
        <v>100</v>
      </c>
    </row>
    <row r="12" spans="1:18" ht="11.45" customHeight="1" x14ac:dyDescent="0.15">
      <c r="A12" s="4" t="s">
        <v>144</v>
      </c>
      <c r="B12" s="4" t="s">
        <v>139</v>
      </c>
      <c r="D12" s="5">
        <v>25</v>
      </c>
      <c r="E12" s="7">
        <v>0.1</v>
      </c>
      <c r="F12" s="3"/>
      <c r="G12" s="4" t="s">
        <v>55</v>
      </c>
      <c r="H12" s="4" t="s">
        <v>155</v>
      </c>
      <c r="I12" s="5">
        <v>50</v>
      </c>
      <c r="J12" s="6">
        <v>0.5</v>
      </c>
      <c r="K12" s="3"/>
      <c r="L12" s="4" t="s">
        <v>121</v>
      </c>
      <c r="M12" s="6">
        <v>3</v>
      </c>
      <c r="N12" s="3"/>
    </row>
    <row r="13" spans="1:18" ht="11.45" customHeight="1" x14ac:dyDescent="0.15">
      <c r="F13" s="3"/>
      <c r="G13" s="4" t="s">
        <v>7</v>
      </c>
      <c r="H13" s="4" t="s">
        <v>120</v>
      </c>
      <c r="I13" s="5">
        <f>INDEX(IngrWt[[#Totals],[Tuscan Herb]:[Bean Burger]],MATCH(Tier2[[#This Row],[Ingredient]],IngrWt[[#Headers],[Tuscan Herb]:[Bean Burger]],0))</f>
        <v>6.75</v>
      </c>
      <c r="J13" s="6">
        <v>15</v>
      </c>
      <c r="K13" s="3"/>
      <c r="L13" s="4" t="s">
        <v>81</v>
      </c>
      <c r="M13" s="6">
        <v>4</v>
      </c>
      <c r="N13" s="3"/>
    </row>
    <row r="14" spans="1:18" ht="11.45" customHeight="1" x14ac:dyDescent="0.15">
      <c r="F14" s="3"/>
      <c r="G14" s="4" t="s">
        <v>108</v>
      </c>
      <c r="H14" s="4" t="s">
        <v>120</v>
      </c>
      <c r="I14" s="5">
        <f>INDEX(IngrWt[[#Totals],[Tuscan Herb]:[Bean Burger]],MATCH(Tier2[[#This Row],[Ingredient]],IngrWt[[#Headers],[Tuscan Herb]:[Bean Burger]],0))</f>
        <v>7.5</v>
      </c>
      <c r="J14" s="6">
        <v>25</v>
      </c>
      <c r="K14" s="3"/>
      <c r="L14" s="4" t="s">
        <v>80</v>
      </c>
      <c r="M14" s="6">
        <v>3</v>
      </c>
      <c r="N14" s="3"/>
    </row>
    <row r="15" spans="1:18" ht="11.45" customHeight="1" x14ac:dyDescent="0.15">
      <c r="F15" s="3"/>
      <c r="G15" s="4" t="s">
        <v>142</v>
      </c>
      <c r="H15" s="4" t="s">
        <v>138</v>
      </c>
      <c r="I15" s="5">
        <v>30</v>
      </c>
      <c r="J15" s="6">
        <v>0.25</v>
      </c>
      <c r="K15" s="3"/>
      <c r="L15" s="4" t="s">
        <v>79</v>
      </c>
      <c r="M15" s="6">
        <v>5</v>
      </c>
      <c r="N15" s="3"/>
    </row>
    <row r="16" spans="1:18" ht="11.45" customHeight="1" x14ac:dyDescent="0.15">
      <c r="F16" s="3"/>
      <c r="G16" s="4" t="s">
        <v>112</v>
      </c>
      <c r="H16" s="4" t="s">
        <v>120</v>
      </c>
      <c r="I16" s="5">
        <f>INDEX(IngrWt[[#Totals],[Tuscan Herb]:[Bean Burger]],MATCH(Tier2[[#This Row],[Ingredient]],IngrWt[[#Headers],[Tuscan Herb]:[Bean Burger]],0))</f>
        <v>20.399999999999999</v>
      </c>
      <c r="J16" s="6">
        <v>45</v>
      </c>
      <c r="K16" s="3"/>
      <c r="L16" s="4" t="s">
        <v>78</v>
      </c>
      <c r="M16" s="6">
        <v>7</v>
      </c>
      <c r="N16" s="3"/>
    </row>
    <row r="17" spans="6:14" ht="11.45" customHeight="1" x14ac:dyDescent="0.15">
      <c r="F17" s="3"/>
      <c r="G17" s="4" t="s">
        <v>109</v>
      </c>
      <c r="H17" s="4" t="s">
        <v>120</v>
      </c>
      <c r="I17" s="5">
        <f>INDEX(IngrWt[[#Totals],[Tuscan Herb]:[Bean Burger]],MATCH(Tier2[[#This Row],[Ingredient]],IngrWt[[#Headers],[Tuscan Herb]:[Bean Burger]],0))</f>
        <v>11.95</v>
      </c>
      <c r="J17" s="6">
        <v>50</v>
      </c>
      <c r="K17" s="3"/>
      <c r="L17" s="4" t="s">
        <v>77</v>
      </c>
      <c r="M17" s="6">
        <v>1.5</v>
      </c>
      <c r="N17" s="3"/>
    </row>
    <row r="18" spans="6:14" ht="11.45" customHeight="1" x14ac:dyDescent="0.15">
      <c r="F18" s="3"/>
      <c r="G18" s="4" t="s">
        <v>140</v>
      </c>
      <c r="H18" s="4" t="s">
        <v>138</v>
      </c>
      <c r="I18" s="5">
        <v>30</v>
      </c>
      <c r="J18" s="6">
        <v>0.25</v>
      </c>
      <c r="K18" s="3"/>
      <c r="L18" s="4" t="s">
        <v>90</v>
      </c>
      <c r="M18" s="6">
        <v>9.5</v>
      </c>
      <c r="N18" s="3"/>
    </row>
    <row r="19" spans="6:14" ht="11.45" customHeight="1" x14ac:dyDescent="0.15">
      <c r="F19" s="3"/>
      <c r="G19" s="4" t="s">
        <v>141</v>
      </c>
      <c r="H19" s="4" t="s">
        <v>138</v>
      </c>
      <c r="I19" s="5">
        <v>30</v>
      </c>
      <c r="J19" s="6">
        <v>0.25</v>
      </c>
      <c r="K19" s="3"/>
      <c r="L19" s="4" t="s">
        <v>89</v>
      </c>
      <c r="M19" s="6">
        <v>10</v>
      </c>
      <c r="N19" s="3"/>
    </row>
    <row r="20" spans="6:14" ht="11.45" customHeight="1" x14ac:dyDescent="0.15">
      <c r="F20" s="3"/>
      <c r="G20" s="4" t="s">
        <v>110</v>
      </c>
      <c r="H20" s="4" t="s">
        <v>120</v>
      </c>
      <c r="I20" s="5">
        <f>INDEX(IngrWt[[#Totals],[Tuscan Herb]:[Bean Burger]],MATCH(Tier2[[#This Row],[Ingredient]],IngrWt[[#Headers],[Tuscan Herb]:[Bean Burger]],0))</f>
        <v>15.2</v>
      </c>
      <c r="J20" s="6">
        <v>80</v>
      </c>
      <c r="K20" s="3"/>
      <c r="L20" s="4" t="s">
        <v>76</v>
      </c>
      <c r="M20" s="6">
        <v>3.5</v>
      </c>
      <c r="N20" s="3"/>
    </row>
    <row r="21" spans="6:14" ht="11.45" customHeight="1" x14ac:dyDescent="0.15">
      <c r="F21" s="3"/>
      <c r="G21" s="4" t="s">
        <v>111</v>
      </c>
      <c r="H21" s="4" t="s">
        <v>120</v>
      </c>
      <c r="I21" s="5">
        <f>INDEX(IngrWt[[#Totals],[Tuscan Herb]:[Bean Burger]],MATCH(Tier2[[#This Row],[Ingredient]],IngrWt[[#Headers],[Tuscan Herb]:[Bean Burger]],0))</f>
        <v>9.8000000000000007</v>
      </c>
      <c r="J21" s="6">
        <v>40</v>
      </c>
      <c r="K21" s="3"/>
      <c r="L21" s="4" t="s">
        <v>75</v>
      </c>
      <c r="M21" s="6">
        <v>5</v>
      </c>
      <c r="N21" s="3"/>
    </row>
    <row r="22" spans="6:14" ht="11.45" customHeight="1" x14ac:dyDescent="0.15">
      <c r="F22" s="3"/>
      <c r="G22" s="4" t="s">
        <v>107</v>
      </c>
      <c r="H22" s="4" t="s">
        <v>120</v>
      </c>
      <c r="I22" s="5">
        <f>INDEX(IngrWt[[#Totals],[Tuscan Herb]:[Bean Burger]],MATCH(Tier2[[#This Row],[Ingredient]],IngrWt[[#Headers],[Tuscan Herb]:[Bean Burger]],0))</f>
        <v>12.15</v>
      </c>
      <c r="J22" s="6">
        <v>40</v>
      </c>
      <c r="K22" s="3"/>
      <c r="L22" s="4" t="s">
        <v>74</v>
      </c>
      <c r="M22" s="6">
        <v>6</v>
      </c>
      <c r="N22" s="3"/>
    </row>
    <row r="23" spans="6:14" ht="11.45" customHeight="1" x14ac:dyDescent="0.15">
      <c r="K23" s="3"/>
      <c r="L23" s="4" t="s">
        <v>73</v>
      </c>
      <c r="M23" s="6">
        <v>24</v>
      </c>
      <c r="N23" s="3"/>
    </row>
    <row r="24" spans="6:14" ht="11.45" customHeight="1" x14ac:dyDescent="0.15">
      <c r="K24" s="3"/>
      <c r="L24" s="4" t="s">
        <v>72</v>
      </c>
      <c r="M24" s="6">
        <v>4</v>
      </c>
      <c r="N24" s="3"/>
    </row>
    <row r="25" spans="6:14" ht="11.45" customHeight="1" x14ac:dyDescent="0.15">
      <c r="K25" s="3"/>
      <c r="L25" s="4" t="s">
        <v>71</v>
      </c>
      <c r="M25" s="6">
        <v>0.5</v>
      </c>
      <c r="N25" s="3"/>
    </row>
    <row r="26" spans="6:14" ht="11.45" customHeight="1" x14ac:dyDescent="0.15">
      <c r="K26" s="3"/>
      <c r="L26" s="4" t="s">
        <v>70</v>
      </c>
      <c r="M26" s="6">
        <v>11.5</v>
      </c>
      <c r="N26" s="3"/>
    </row>
    <row r="27" spans="6:14" ht="11.45" customHeight="1" x14ac:dyDescent="0.15">
      <c r="K27" s="3"/>
      <c r="L27" s="4" t="s">
        <v>69</v>
      </c>
      <c r="M27" s="6">
        <v>3</v>
      </c>
      <c r="N27" s="3"/>
    </row>
    <row r="28" spans="6:14" ht="11.45" customHeight="1" x14ac:dyDescent="0.15">
      <c r="K28" s="3"/>
      <c r="L28" s="4" t="s">
        <v>68</v>
      </c>
      <c r="M28" s="6">
        <v>1</v>
      </c>
      <c r="N28" s="3"/>
    </row>
    <row r="29" spans="6:14" ht="11.45" customHeight="1" x14ac:dyDescent="0.15">
      <c r="K29" s="3"/>
      <c r="L29" s="4" t="s">
        <v>67</v>
      </c>
      <c r="M29" s="6">
        <v>5</v>
      </c>
      <c r="N29" s="3"/>
    </row>
    <row r="30" spans="6:14" ht="11.45" customHeight="1" x14ac:dyDescent="0.15">
      <c r="K30" s="3"/>
      <c r="L30" s="4" t="s">
        <v>66</v>
      </c>
      <c r="M30" s="6">
        <v>9</v>
      </c>
      <c r="N30" s="3"/>
    </row>
    <row r="31" spans="6:14" ht="11.45" customHeight="1" x14ac:dyDescent="0.15">
      <c r="K31" s="3"/>
      <c r="L31" s="4" t="s">
        <v>65</v>
      </c>
      <c r="M31" s="6">
        <v>8</v>
      </c>
      <c r="N31" s="3"/>
    </row>
    <row r="32" spans="6:14" ht="11.45" customHeight="1" x14ac:dyDescent="0.15">
      <c r="K32" s="3"/>
      <c r="L32" s="4" t="s">
        <v>64</v>
      </c>
      <c r="M32" s="6">
        <v>4.5</v>
      </c>
      <c r="N32" s="3"/>
    </row>
  </sheetData>
  <sortState xmlns:xlrd2="http://schemas.microsoft.com/office/spreadsheetml/2017/richdata2" ref="A31:A59">
    <sortCondition descending="1" ref="A31:A59"/>
  </sortState>
  <phoneticPr fontId="6" type="noConversion"/>
  <conditionalFormatting sqref="A4:E12">
    <cfRule type="containsBlanks" dxfId="13" priority="1">
      <formula>LEN(TRIM(A4))=0</formula>
    </cfRule>
  </conditionalFormatting>
  <conditionalFormatting sqref="G4:J22">
    <cfRule type="containsBlanks" dxfId="12" priority="10">
      <formula>LEN(TRIM(G4))=0</formula>
    </cfRule>
  </conditionalFormatting>
  <conditionalFormatting sqref="M4:M32">
    <cfRule type="containsBlanks" dxfId="11" priority="3">
      <formula>LEN(TRIM(M4))=0</formula>
    </cfRule>
  </conditionalFormatting>
  <conditionalFormatting sqref="O4:R11">
    <cfRule type="containsBlanks" dxfId="10" priority="9">
      <formula>LEN(TRIM(O4))=0</formula>
    </cfRule>
  </conditionalFormatting>
  <pageMargins left="0.7" right="0.7" top="0.75" bottom="0.75" header="0.3" footer="0.3"/>
  <tableParts count="4">
    <tablePart r:id="rId1"/>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F4873-FFA8-4C23-BCB3-B7796553D9A1}">
  <sheetPr codeName="Sheet5"/>
  <dimension ref="A1:U39"/>
  <sheetViews>
    <sheetView workbookViewId="0">
      <selection activeCell="M22" sqref="M22"/>
    </sheetView>
    <sheetView workbookViewId="1"/>
  </sheetViews>
  <sheetFormatPr defaultColWidth="9.140625" defaultRowHeight="11.45" customHeight="1" x14ac:dyDescent="0.15"/>
  <cols>
    <col min="1" max="1" width="15.7109375" style="10" bestFit="1" customWidth="1"/>
    <col min="2" max="2" width="9.85546875" style="10" bestFit="1" customWidth="1"/>
    <col min="3" max="3" width="10.140625" style="10" bestFit="1" customWidth="1"/>
    <col min="4" max="4" width="7.85546875" style="10" customWidth="1"/>
    <col min="5" max="5" width="8.42578125" style="10" bestFit="1" customWidth="1"/>
    <col min="6" max="6" width="10.5703125" style="10" bestFit="1" customWidth="1"/>
    <col min="7" max="7" width="9.85546875" style="10" bestFit="1" customWidth="1"/>
    <col min="8" max="8" width="8.140625" style="10" customWidth="1"/>
    <col min="9" max="9" width="8.5703125" style="10" customWidth="1"/>
    <col min="10" max="10" width="9.5703125" style="10" bestFit="1" customWidth="1"/>
    <col min="11" max="11" width="2.140625" style="10" customWidth="1"/>
    <col min="12" max="12" width="15.7109375" style="10" bestFit="1" customWidth="1"/>
    <col min="13" max="13" width="9.85546875" style="10" bestFit="1" customWidth="1"/>
    <col min="14" max="14" width="10.140625" style="10" bestFit="1" customWidth="1"/>
    <col min="15" max="15" width="7.140625" style="10" bestFit="1" customWidth="1"/>
    <col min="16" max="16" width="8.42578125" style="10" bestFit="1" customWidth="1"/>
    <col min="17" max="17" width="10.5703125" style="10" bestFit="1" customWidth="1"/>
    <col min="18" max="18" width="9.85546875" style="10" bestFit="1" customWidth="1"/>
    <col min="19" max="19" width="9.28515625" style="10" customWidth="1"/>
    <col min="20" max="20" width="9.5703125" style="10" customWidth="1"/>
    <col min="21" max="21" width="9.5703125" style="10" bestFit="1" customWidth="1"/>
    <col min="22" max="16384" width="9.140625" style="10"/>
  </cols>
  <sheetData>
    <row r="1" spans="1:21" ht="10.5" x14ac:dyDescent="0.15">
      <c r="A1" s="10" t="s">
        <v>205</v>
      </c>
      <c r="L1" s="10" t="s">
        <v>206</v>
      </c>
    </row>
    <row r="2" spans="1:21" ht="21" x14ac:dyDescent="0.15">
      <c r="A2" s="8" t="s">
        <v>51</v>
      </c>
      <c r="B2" s="9" t="s">
        <v>107</v>
      </c>
      <c r="C2" s="9" t="s">
        <v>108</v>
      </c>
      <c r="D2" s="9" t="s">
        <v>109</v>
      </c>
      <c r="E2" s="9" t="s">
        <v>110</v>
      </c>
      <c r="F2" s="9" t="s">
        <v>111</v>
      </c>
      <c r="G2" s="9" t="s">
        <v>7</v>
      </c>
      <c r="H2" s="9" t="s">
        <v>114</v>
      </c>
      <c r="I2" s="9" t="s">
        <v>112</v>
      </c>
      <c r="J2" s="9" t="s">
        <v>10</v>
      </c>
      <c r="L2" s="11" t="s">
        <v>51</v>
      </c>
      <c r="M2" s="9" t="s">
        <v>107</v>
      </c>
      <c r="N2" s="9" t="s">
        <v>108</v>
      </c>
      <c r="O2" s="9" t="s">
        <v>109</v>
      </c>
      <c r="P2" s="9" t="s">
        <v>110</v>
      </c>
      <c r="Q2" s="9" t="s">
        <v>111</v>
      </c>
      <c r="R2" s="9" t="s">
        <v>7</v>
      </c>
      <c r="S2" s="9" t="s">
        <v>114</v>
      </c>
      <c r="T2" s="9" t="s">
        <v>112</v>
      </c>
      <c r="U2" s="9" t="s">
        <v>10</v>
      </c>
    </row>
    <row r="3" spans="1:21" ht="11.45" customHeight="1" x14ac:dyDescent="0.15">
      <c r="A3" s="4" t="s">
        <v>91</v>
      </c>
      <c r="B3" s="12">
        <v>3.5</v>
      </c>
      <c r="C3" s="12"/>
      <c r="D3" s="12"/>
      <c r="E3" s="12"/>
      <c r="F3" s="12">
        <v>3.25</v>
      </c>
      <c r="G3" s="12"/>
      <c r="H3" s="12"/>
      <c r="I3" s="12"/>
      <c r="J3" s="12"/>
      <c r="L3" s="4" t="s">
        <v>91</v>
      </c>
      <c r="M3" s="13" cm="1">
        <f t="array" ref="M3">IFERROR(IF(INDEX(Tier3[[Cost/lb.]:[Cost/lb.]],MATCH(IngrCost[[#This Row],[Ingredient]:[Ingredient]],Tier3[[Ingredient]:[Ingredient]],0))*INDEX(IngrWt[Tuscan Herb],MATCH(IngrCost[[#This Row],[Ingredient]:[Ingredient]],IngrWt[[Ingredient]:[Ingredient]],0))&gt;0,INDEX(Tier3[[Cost/lb.]:[Cost/lb.]],MATCH(IngrCost[[#This Row],[Ingredient]:[Ingredient]],Tier3[[Ingredient]:[Ingredient]],0))*INDEX(IngrWt[Tuscan Herb],MATCH(IngrCost[[#This Row],[Ingredient]:[Ingredient]],IngrWt[[Ingredient]:[Ingredient]],0)),""),"")</f>
        <v>10.5</v>
      </c>
      <c r="N3" s="13" t="str" cm="1">
        <f t="array" ref="N3">IFERROR(IF(INDEX(Tier3[[Cost/lb.]:[Cost/lb.]],MATCH(IngrCost[[#This Row],[Ingredient]:[Ingredient]],Tier3[[Ingredient]:[Ingredient]],0))*INDEX(IngrWt[Garlic &amp; Herb],MATCH(IngrCost[[#This Row],[Ingredient]:[Ingredient]],IngrWt[[Ingredient]:[Ingredient]],0))&gt;0,INDEX(Tier3[[Cost/lb.]:[Cost/lb.]],MATCH(IngrCost[[#This Row],[Ingredient]:[Ingredient]],Tier3[[Ingredient]:[Ingredient]],0))*INDEX(IngrWt[Garlic &amp; Herb],MATCH(IngrCost[[#This Row],[Ingredient]:[Ingredient]],IngrWt[[Ingredient]:[Ingredient]],0)),""),"")</f>
        <v/>
      </c>
      <c r="O3" s="13" t="str" cm="1">
        <f t="array" ref="O3">IFERROR(IF(INDEX(Tier3[[Cost/lb.]:[Cost/lb.]],MATCH(IngrCost[[#This Row],[Ingredient]:[Ingredient]],Tier3[[Ingredient]:[Ingredient]],0))*INDEX(IngrWt[Meatloaf],MATCH(IngrCost[[#This Row],[Ingredient]:[Ingredient]],IngrWt[[Ingredient]:[Ingredient]],0))&gt;0,INDEX(Tier3[[Cost/lb.]:[Cost/lb.]],MATCH(IngrCost[[#This Row],[Ingredient]:[Ingredient]],Tier3[[Ingredient]:[Ingredient]],0))*INDEX(IngrWt[Meatloaf],MATCH(IngrCost[[#This Row],[Ingredient]:[Ingredient]],IngrWt[[Ingredient]:[Ingredient]],0)),""),"")</f>
        <v/>
      </c>
      <c r="P3" s="13" t="str" cm="1">
        <f t="array" ref="P3">IFERROR(IF(INDEX(Tier3[[Cost/lb.]:[Cost/lb.]],MATCH(IngrCost[[#This Row],[Ingredient]:[Ingredient]],Tier3[[Ingredient]:[Ingredient]],0))*INDEX(IngrWt[Pizza Patty],MATCH(IngrCost[[#This Row],[Ingredient]:[Ingredient]],IngrWt[[Ingredient]:[Ingredient]],0))&gt;0,INDEX(Tier3[[Cost/lb.]:[Cost/lb.]],MATCH(IngrCost[[#This Row],[Ingredient]:[Ingredient]],Tier3[[Ingredient]:[Ingredient]],0))*INDEX(IngrWt[Pizza Patty],MATCH(IngrCost[[#This Row],[Ingredient]:[Ingredient]],IngrWt[[Ingredient]:[Ingredient]],0)),""),"")</f>
        <v/>
      </c>
      <c r="Q3" s="13" cm="1">
        <f t="array" ref="Q3">IFERROR(IF(INDEX(Tier3[[Cost/lb.]:[Cost/lb.]],MATCH(IngrCost[[#This Row],[Ingredient]:[Ingredient]],Tier3[[Ingredient]:[Ingredient]],0))*INDEX(IngrWt[Spicy Internal],MATCH(IngrCost[[#This Row],[Ingredient]:[Ingredient]],IngrWt[[Ingredient]:[Ingredient]],0))&gt;0,INDEX(Tier3[[Cost/lb.]:[Cost/lb.]],MATCH(IngrCost[[#This Row],[Ingredient]:[Ingredient]],Tier3[[Ingredient]:[Ingredient]],0))*INDEX(IngrWt[Spicy Internal],MATCH(IngrCost[[#This Row],[Ingredient]:[Ingredient]],IngrWt[[Ingredient]:[Ingredient]],0)),""),"")</f>
        <v>9.75</v>
      </c>
      <c r="R3" s="13" t="str" cm="1">
        <f t="array" ref="R3">IFERROR(IF(INDEX(Tier3[[Cost/lb.]:[Cost/lb.]],MATCH(IngrCost[[#This Row],[Ingredient]:[Ingredient]],Tier3[[Ingredient]:[Ingredient]],0))*INDEX(IngrWt[Dinner Patty],MATCH(IngrCost[[#This Row],[Ingredient]:[Ingredient]],IngrWt[[Ingredient]:[Ingredient]],0))&gt;0,INDEX(Tier3[[Cost/lb.]:[Cost/lb.]],MATCH(IngrCost[[#This Row],[Ingredient]:[Ingredient]],Tier3[[Ingredient]:[Ingredient]],0))*INDEX(IngrWt[Dinner Patty],MATCH(IngrCost[[#This Row],[Ingredient]:[Ingredient]],IngrWt[[Ingredient]:[Ingredient]],0)),""),"")</f>
        <v/>
      </c>
      <c r="S3" s="13" t="str" cm="1">
        <f t="array" ref="S3">IFERROR(IF(INDEX(Tier3[[Cost/lb.]:[Cost/lb.]],MATCH(IngrCost[[#This Row],[Ingredient]:[Ingredient]],Tier3[[Ingredient]:[Ingredient]],0))*INDEX(IngrWt[Breakfast],MATCH(IngrCost[[#This Row],[Ingredient]:[Ingredient]],IngrWt[[Ingredient]:[Ingredient]],0))&gt;0,INDEX(Tier3[[Cost/lb.]:[Cost/lb.]],MATCH(IngrCost[[#This Row],[Ingredient]:[Ingredient]],Tier3[[Ingredient]:[Ingredient]],0))*INDEX(IngrWt[Breakfast],MATCH(IngrCost[[#This Row],[Ingredient]:[Ingredient]],IngrWt[[Ingredient]:[Ingredient]],0)),""),"")</f>
        <v/>
      </c>
      <c r="T3" s="13" t="str" cm="1">
        <f t="array" ref="T3">IFERROR(IF(INDEX(Tier3[[Cost/lb.]:[Cost/lb.]],MATCH(IngrCost[[#This Row],[Ingredient]:[Ingredient]],Tier3[[Ingredient]:[Ingredient]],0))*INDEX(IngrWt[Maple Breakfast],MATCH(IngrCost[[#This Row],[Ingredient]:[Ingredient]],IngrWt[[Ingredient]:[Ingredient]],0))&gt;0,INDEX(Tier3[[Cost/lb.]:[Cost/lb.]],MATCH(IngrCost[[#This Row],[Ingredient]:[Ingredient]],Tier3[[Ingredient]:[Ingredient]],0))*INDEX(IngrWt[Maple Breakfast],MATCH(IngrCost[[#This Row],[Ingredient]:[Ingredient]],IngrWt[[Ingredient]:[Ingredient]],0)),""),"")</f>
        <v/>
      </c>
      <c r="U3" s="13" t="str" cm="1">
        <f t="array" ref="U3">IFERROR(IF(INDEX(Tier3[[Cost/lb.]:[Cost/lb.]],MATCH(IngrCost[[#This Row],[Ingredient]:[Ingredient]],Tier3[[Ingredient]:[Ingredient]],0))*INDEX(IngrWt[Bean Burger],MATCH(IngrCost[[#This Row],[Ingredient]:[Ingredient]],IngrWt[[Ingredient]:[Ingredient]],0))&gt;0,INDEX(Tier3[[Cost/lb.]:[Cost/lb.]],MATCH(IngrCost[[#This Row],[Ingredient]:[Ingredient]],Tier3[[Ingredient]:[Ingredient]],0))*INDEX(IngrWt[Bean Burger],MATCH(IngrCost[[#This Row],[Ingredient]:[Ingredient]],IngrWt[[Ingredient]:[Ingredient]],0)),""),"")</f>
        <v/>
      </c>
    </row>
    <row r="4" spans="1:21" ht="11.45" customHeight="1" x14ac:dyDescent="0.15">
      <c r="A4" s="4" t="s">
        <v>88</v>
      </c>
      <c r="B4" s="14">
        <v>0.5</v>
      </c>
      <c r="C4" s="14"/>
      <c r="D4" s="14"/>
      <c r="E4" s="14">
        <v>0.5</v>
      </c>
      <c r="F4" s="14"/>
      <c r="G4" s="14"/>
      <c r="H4" s="12"/>
      <c r="I4" s="12"/>
      <c r="J4" s="12"/>
      <c r="L4" s="4" t="s">
        <v>88</v>
      </c>
      <c r="M4" s="13" cm="1">
        <f t="array" ref="M4">IFERROR(IF(INDEX(Tier3[[Cost/lb.]:[Cost/lb.]],MATCH(IngrCost[[#This Row],[Ingredient]:[Ingredient]],Tier3[[Ingredient]:[Ingredient]],0))*INDEX(IngrWt[Tuscan Herb],MATCH(IngrCost[[#This Row],[Ingredient]:[Ingredient]],IngrWt[[Ingredient]:[Ingredient]],0))&gt;0,INDEX(Tier3[[Cost/lb.]:[Cost/lb.]],MATCH(IngrCost[[#This Row],[Ingredient]:[Ingredient]],Tier3[[Ingredient]:[Ingredient]],0))*INDEX(IngrWt[Tuscan Herb],MATCH(IngrCost[[#This Row],[Ingredient]:[Ingredient]],IngrWt[[Ingredient]:[Ingredient]],0)),""),"")</f>
        <v>1.5</v>
      </c>
      <c r="N4" s="13" t="str" cm="1">
        <f t="array" ref="N4">IFERROR(IF(INDEX(Tier3[[Cost/lb.]:[Cost/lb.]],MATCH(IngrCost[[#This Row],[Ingredient]:[Ingredient]],Tier3[[Ingredient]:[Ingredient]],0))*INDEX(IngrWt[Garlic &amp; Herb],MATCH(IngrCost[[#This Row],[Ingredient]:[Ingredient]],IngrWt[[Ingredient]:[Ingredient]],0))&gt;0,INDEX(Tier3[[Cost/lb.]:[Cost/lb.]],MATCH(IngrCost[[#This Row],[Ingredient]:[Ingredient]],Tier3[[Ingredient]:[Ingredient]],0))*INDEX(IngrWt[Garlic &amp; Herb],MATCH(IngrCost[[#This Row],[Ingredient]:[Ingredient]],IngrWt[[Ingredient]:[Ingredient]],0)),""),"")</f>
        <v/>
      </c>
      <c r="O4" s="13" t="str" cm="1">
        <f t="array" ref="O4">IFERROR(IF(INDEX(Tier3[[Cost/lb.]:[Cost/lb.]],MATCH(IngrCost[[#This Row],[Ingredient]:[Ingredient]],Tier3[[Ingredient]:[Ingredient]],0))*INDEX(IngrWt[Meatloaf],MATCH(IngrCost[[#This Row],[Ingredient]:[Ingredient]],IngrWt[[Ingredient]:[Ingredient]],0))&gt;0,INDEX(Tier3[[Cost/lb.]:[Cost/lb.]],MATCH(IngrCost[[#This Row],[Ingredient]:[Ingredient]],Tier3[[Ingredient]:[Ingredient]],0))*INDEX(IngrWt[Meatloaf],MATCH(IngrCost[[#This Row],[Ingredient]:[Ingredient]],IngrWt[[Ingredient]:[Ingredient]],0)),""),"")</f>
        <v/>
      </c>
      <c r="P4" s="13" cm="1">
        <f t="array" ref="P4">IFERROR(IF(INDEX(Tier3[[Cost/lb.]:[Cost/lb.]],MATCH(IngrCost[[#This Row],[Ingredient]:[Ingredient]],Tier3[[Ingredient]:[Ingredient]],0))*INDEX(IngrWt[Pizza Patty],MATCH(IngrCost[[#This Row],[Ingredient]:[Ingredient]],IngrWt[[Ingredient]:[Ingredient]],0))&gt;0,INDEX(Tier3[[Cost/lb.]:[Cost/lb.]],MATCH(IngrCost[[#This Row],[Ingredient]:[Ingredient]],Tier3[[Ingredient]:[Ingredient]],0))*INDEX(IngrWt[Pizza Patty],MATCH(IngrCost[[#This Row],[Ingredient]:[Ingredient]],IngrWt[[Ingredient]:[Ingredient]],0)),""),"")</f>
        <v>1.5</v>
      </c>
      <c r="Q4" s="13" t="str" cm="1">
        <f t="array" ref="Q4">IFERROR(IF(INDEX(Tier3[[Cost/lb.]:[Cost/lb.]],MATCH(IngrCost[[#This Row],[Ingredient]:[Ingredient]],Tier3[[Ingredient]:[Ingredient]],0))*INDEX(IngrWt[Spicy Internal],MATCH(IngrCost[[#This Row],[Ingredient]:[Ingredient]],IngrWt[[Ingredient]:[Ingredient]],0))&gt;0,INDEX(Tier3[[Cost/lb.]:[Cost/lb.]],MATCH(IngrCost[[#This Row],[Ingredient]:[Ingredient]],Tier3[[Ingredient]:[Ingredient]],0))*INDEX(IngrWt[Spicy Internal],MATCH(IngrCost[[#This Row],[Ingredient]:[Ingredient]],IngrWt[[Ingredient]:[Ingredient]],0)),""),"")</f>
        <v/>
      </c>
      <c r="R4" s="13" t="str" cm="1">
        <f t="array" ref="R4">IFERROR(IF(INDEX(Tier3[[Cost/lb.]:[Cost/lb.]],MATCH(IngrCost[[#This Row],[Ingredient]:[Ingredient]],Tier3[[Ingredient]:[Ingredient]],0))*INDEX(IngrWt[Dinner Patty],MATCH(IngrCost[[#This Row],[Ingredient]:[Ingredient]],IngrWt[[Ingredient]:[Ingredient]],0))&gt;0,INDEX(Tier3[[Cost/lb.]:[Cost/lb.]],MATCH(IngrCost[[#This Row],[Ingredient]:[Ingredient]],Tier3[[Ingredient]:[Ingredient]],0))*INDEX(IngrWt[Dinner Patty],MATCH(IngrCost[[#This Row],[Ingredient]:[Ingredient]],IngrWt[[Ingredient]:[Ingredient]],0)),""),"")</f>
        <v/>
      </c>
      <c r="S4" s="13" t="str" cm="1">
        <f t="array" ref="S4">IFERROR(IF(INDEX(Tier3[[Cost/lb.]:[Cost/lb.]],MATCH(IngrCost[[#This Row],[Ingredient]:[Ingredient]],Tier3[[Ingredient]:[Ingredient]],0))*INDEX(IngrWt[Breakfast],MATCH(IngrCost[[#This Row],[Ingredient]:[Ingredient]],IngrWt[[Ingredient]:[Ingredient]],0))&gt;0,INDEX(Tier3[[Cost/lb.]:[Cost/lb.]],MATCH(IngrCost[[#This Row],[Ingredient]:[Ingredient]],Tier3[[Ingredient]:[Ingredient]],0))*INDEX(IngrWt[Breakfast],MATCH(IngrCost[[#This Row],[Ingredient]:[Ingredient]],IngrWt[[Ingredient]:[Ingredient]],0)),""),"")</f>
        <v/>
      </c>
      <c r="T4" s="13" t="str" cm="1">
        <f t="array" ref="T4">IFERROR(IF(INDEX(Tier3[[Cost/lb.]:[Cost/lb.]],MATCH(IngrCost[[#This Row],[Ingredient]:[Ingredient]],Tier3[[Ingredient]:[Ingredient]],0))*INDEX(IngrWt[Maple Breakfast],MATCH(IngrCost[[#This Row],[Ingredient]:[Ingredient]],IngrWt[[Ingredient]:[Ingredient]],0))&gt;0,INDEX(Tier3[[Cost/lb.]:[Cost/lb.]],MATCH(IngrCost[[#This Row],[Ingredient]:[Ingredient]],Tier3[[Ingredient]:[Ingredient]],0))*INDEX(IngrWt[Maple Breakfast],MATCH(IngrCost[[#This Row],[Ingredient]:[Ingredient]],IngrWt[[Ingredient]:[Ingredient]],0)),""),"")</f>
        <v/>
      </c>
      <c r="U4" s="13" t="str" cm="1">
        <f t="array" ref="U4">IFERROR(IF(INDEX(Tier3[[Cost/lb.]:[Cost/lb.]],MATCH(IngrCost[[#This Row],[Ingredient]:[Ingredient]],Tier3[[Ingredient]:[Ingredient]],0))*INDEX(IngrWt[Bean Burger],MATCH(IngrCost[[#This Row],[Ingredient]:[Ingredient]],IngrWt[[Ingredient]:[Ingredient]],0))&gt;0,INDEX(Tier3[[Cost/lb.]:[Cost/lb.]],MATCH(IngrCost[[#This Row],[Ingredient]:[Ingredient]],Tier3[[Ingredient]:[Ingredient]],0))*INDEX(IngrWt[Bean Burger],MATCH(IngrCost[[#This Row],[Ingredient]:[Ingredient]],IngrWt[[Ingredient]:[Ingredient]],0)),""),"")</f>
        <v/>
      </c>
    </row>
    <row r="5" spans="1:21" ht="11.45" customHeight="1" x14ac:dyDescent="0.15">
      <c r="A5" s="4" t="s">
        <v>87</v>
      </c>
      <c r="B5" s="14">
        <v>0.5</v>
      </c>
      <c r="C5" s="14"/>
      <c r="D5" s="14">
        <v>1</v>
      </c>
      <c r="E5" s="14">
        <v>1</v>
      </c>
      <c r="F5" s="14">
        <v>0.75</v>
      </c>
      <c r="G5" s="14">
        <v>0.5</v>
      </c>
      <c r="H5" s="12">
        <v>0.75</v>
      </c>
      <c r="I5" s="12">
        <v>0.75</v>
      </c>
      <c r="J5" s="12">
        <v>1.5</v>
      </c>
      <c r="L5" s="4" t="s">
        <v>87</v>
      </c>
      <c r="M5" s="13" cm="1">
        <f t="array" ref="M5">IFERROR(IF(INDEX(Tier3[[Cost/lb.]:[Cost/lb.]],MATCH(IngrCost[[#This Row],[Ingredient]:[Ingredient]],Tier3[[Ingredient]:[Ingredient]],0))*INDEX(IngrWt[Tuscan Herb],MATCH(IngrCost[[#This Row],[Ingredient]:[Ingredient]],IngrWt[[Ingredient]:[Ingredient]],0))&gt;0,INDEX(Tier3[[Cost/lb.]:[Cost/lb.]],MATCH(IngrCost[[#This Row],[Ingredient]:[Ingredient]],Tier3[[Ingredient]:[Ingredient]],0))*INDEX(IngrWt[Tuscan Herb],MATCH(IngrCost[[#This Row],[Ingredient]:[Ingredient]],IngrWt[[Ingredient]:[Ingredient]],0)),""),"")</f>
        <v>3.5</v>
      </c>
      <c r="N5" s="13" t="str" cm="1">
        <f t="array" ref="N5">IFERROR(IF(INDEX(Tier3[[Cost/lb.]:[Cost/lb.]],MATCH(IngrCost[[#This Row],[Ingredient]:[Ingredient]],Tier3[[Ingredient]:[Ingredient]],0))*INDEX(IngrWt[Garlic &amp; Herb],MATCH(IngrCost[[#This Row],[Ingredient]:[Ingredient]],IngrWt[[Ingredient]:[Ingredient]],0))&gt;0,INDEX(Tier3[[Cost/lb.]:[Cost/lb.]],MATCH(IngrCost[[#This Row],[Ingredient]:[Ingredient]],Tier3[[Ingredient]:[Ingredient]],0))*INDEX(IngrWt[Garlic &amp; Herb],MATCH(IngrCost[[#This Row],[Ingredient]:[Ingredient]],IngrWt[[Ingredient]:[Ingredient]],0)),""),"")</f>
        <v/>
      </c>
      <c r="O5" s="13" cm="1">
        <f t="array" ref="O5">IFERROR(IF(INDEX(Tier3[[Cost/lb.]:[Cost/lb.]],MATCH(IngrCost[[#This Row],[Ingredient]:[Ingredient]],Tier3[[Ingredient]:[Ingredient]],0))*INDEX(IngrWt[Meatloaf],MATCH(IngrCost[[#This Row],[Ingredient]:[Ingredient]],IngrWt[[Ingredient]:[Ingredient]],0))&gt;0,INDEX(Tier3[[Cost/lb.]:[Cost/lb.]],MATCH(IngrCost[[#This Row],[Ingredient]:[Ingredient]],Tier3[[Ingredient]:[Ingredient]],0))*INDEX(IngrWt[Meatloaf],MATCH(IngrCost[[#This Row],[Ingredient]:[Ingredient]],IngrWt[[Ingredient]:[Ingredient]],0)),""),"")</f>
        <v>7</v>
      </c>
      <c r="P5" s="13" cm="1">
        <f t="array" ref="P5">IFERROR(IF(INDEX(Tier3[[Cost/lb.]:[Cost/lb.]],MATCH(IngrCost[[#This Row],[Ingredient]:[Ingredient]],Tier3[[Ingredient]:[Ingredient]],0))*INDEX(IngrWt[Pizza Patty],MATCH(IngrCost[[#This Row],[Ingredient]:[Ingredient]],IngrWt[[Ingredient]:[Ingredient]],0))&gt;0,INDEX(Tier3[[Cost/lb.]:[Cost/lb.]],MATCH(IngrCost[[#This Row],[Ingredient]:[Ingredient]],Tier3[[Ingredient]:[Ingredient]],0))*INDEX(IngrWt[Pizza Patty],MATCH(IngrCost[[#This Row],[Ingredient]:[Ingredient]],IngrWt[[Ingredient]:[Ingredient]],0)),""),"")</f>
        <v>7</v>
      </c>
      <c r="Q5" s="13" cm="1">
        <f t="array" ref="Q5">IFERROR(IF(INDEX(Tier3[[Cost/lb.]:[Cost/lb.]],MATCH(IngrCost[[#This Row],[Ingredient]:[Ingredient]],Tier3[[Ingredient]:[Ingredient]],0))*INDEX(IngrWt[Spicy Internal],MATCH(IngrCost[[#This Row],[Ingredient]:[Ingredient]],IngrWt[[Ingredient]:[Ingredient]],0))&gt;0,INDEX(Tier3[[Cost/lb.]:[Cost/lb.]],MATCH(IngrCost[[#This Row],[Ingredient]:[Ingredient]],Tier3[[Ingredient]:[Ingredient]],0))*INDEX(IngrWt[Spicy Internal],MATCH(IngrCost[[#This Row],[Ingredient]:[Ingredient]],IngrWt[[Ingredient]:[Ingredient]],0)),""),"")</f>
        <v>5.25</v>
      </c>
      <c r="R5" s="13" cm="1">
        <f t="array" ref="R5">IFERROR(IF(INDEX(Tier3[[Cost/lb.]:[Cost/lb.]],MATCH(IngrCost[[#This Row],[Ingredient]:[Ingredient]],Tier3[[Ingredient]:[Ingredient]],0))*INDEX(IngrWt[Dinner Patty],MATCH(IngrCost[[#This Row],[Ingredient]:[Ingredient]],IngrWt[[Ingredient]:[Ingredient]],0))&gt;0,INDEX(Tier3[[Cost/lb.]:[Cost/lb.]],MATCH(IngrCost[[#This Row],[Ingredient]:[Ingredient]],Tier3[[Ingredient]:[Ingredient]],0))*INDEX(IngrWt[Dinner Patty],MATCH(IngrCost[[#This Row],[Ingredient]:[Ingredient]],IngrWt[[Ingredient]:[Ingredient]],0)),""),"")</f>
        <v>3.5</v>
      </c>
      <c r="S5" s="13" cm="1">
        <f t="array" ref="S5">IFERROR(IF(INDEX(Tier3[[Cost/lb.]:[Cost/lb.]],MATCH(IngrCost[[#This Row],[Ingredient]:[Ingredient]],Tier3[[Ingredient]:[Ingredient]],0))*INDEX(IngrWt[Breakfast],MATCH(IngrCost[[#This Row],[Ingredient]:[Ingredient]],IngrWt[[Ingredient]:[Ingredient]],0))&gt;0,INDEX(Tier3[[Cost/lb.]:[Cost/lb.]],MATCH(IngrCost[[#This Row],[Ingredient]:[Ingredient]],Tier3[[Ingredient]:[Ingredient]],0))*INDEX(IngrWt[Breakfast],MATCH(IngrCost[[#This Row],[Ingredient]:[Ingredient]],IngrWt[[Ingredient]:[Ingredient]],0)),""),"")</f>
        <v>5.25</v>
      </c>
      <c r="T5" s="13" cm="1">
        <f t="array" ref="T5">IFERROR(IF(INDEX(Tier3[[Cost/lb.]:[Cost/lb.]],MATCH(IngrCost[[#This Row],[Ingredient]:[Ingredient]],Tier3[[Ingredient]:[Ingredient]],0))*INDEX(IngrWt[Maple Breakfast],MATCH(IngrCost[[#This Row],[Ingredient]:[Ingredient]],IngrWt[[Ingredient]:[Ingredient]],0))&gt;0,INDEX(Tier3[[Cost/lb.]:[Cost/lb.]],MATCH(IngrCost[[#This Row],[Ingredient]:[Ingredient]],Tier3[[Ingredient]:[Ingredient]],0))*INDEX(IngrWt[Maple Breakfast],MATCH(IngrCost[[#This Row],[Ingredient]:[Ingredient]],IngrWt[[Ingredient]:[Ingredient]],0)),""),"")</f>
        <v>5.25</v>
      </c>
      <c r="U5" s="13" cm="1">
        <f t="array" ref="U5">IFERROR(IF(INDEX(Tier3[[Cost/lb.]:[Cost/lb.]],MATCH(IngrCost[[#This Row],[Ingredient]:[Ingredient]],Tier3[[Ingredient]:[Ingredient]],0))*INDEX(IngrWt[Bean Burger],MATCH(IngrCost[[#This Row],[Ingredient]:[Ingredient]],IngrWt[[Ingredient]:[Ingredient]],0))&gt;0,INDEX(Tier3[[Cost/lb.]:[Cost/lb.]],MATCH(IngrCost[[#This Row],[Ingredient]:[Ingredient]],Tier3[[Ingredient]:[Ingredient]],0))*INDEX(IngrWt[Bean Burger],MATCH(IngrCost[[#This Row],[Ingredient]:[Ingredient]],IngrWt[[Ingredient]:[Ingredient]],0)),""),"")</f>
        <v>10.5</v>
      </c>
    </row>
    <row r="6" spans="1:21" ht="11.45" customHeight="1" x14ac:dyDescent="0.15">
      <c r="A6" s="4" t="s">
        <v>86</v>
      </c>
      <c r="B6" s="14"/>
      <c r="C6" s="14"/>
      <c r="D6" s="14"/>
      <c r="E6" s="14"/>
      <c r="F6" s="14"/>
      <c r="G6" s="14"/>
      <c r="H6" s="12"/>
      <c r="I6" s="12"/>
      <c r="J6" s="12"/>
      <c r="L6" s="4" t="s">
        <v>86</v>
      </c>
      <c r="M6" s="13" t="str" cm="1">
        <f t="array" ref="M6">IFERROR(IF(INDEX(Tier3[[Cost/lb.]:[Cost/lb.]],MATCH(IngrCost[[#This Row],[Ingredient]:[Ingredient]],Tier3[[Ingredient]:[Ingredient]],0))*INDEX(IngrWt[Tuscan Herb],MATCH(IngrCost[[#This Row],[Ingredient]:[Ingredient]],IngrWt[[Ingredient]:[Ingredient]],0))&gt;0,INDEX(Tier3[[Cost/lb.]:[Cost/lb.]],MATCH(IngrCost[[#This Row],[Ingredient]:[Ingredient]],Tier3[[Ingredient]:[Ingredient]],0))*INDEX(IngrWt[Tuscan Herb],MATCH(IngrCost[[#This Row],[Ingredient]:[Ingredient]],IngrWt[[Ingredient]:[Ingredient]],0)),""),"")</f>
        <v/>
      </c>
      <c r="N6" s="13" t="str" cm="1">
        <f t="array" ref="N6">IFERROR(IF(INDEX(Tier3[[Cost/lb.]:[Cost/lb.]],MATCH(IngrCost[[#This Row],[Ingredient]:[Ingredient]],Tier3[[Ingredient]:[Ingredient]],0))*INDEX(IngrWt[Garlic &amp; Herb],MATCH(IngrCost[[#This Row],[Ingredient]:[Ingredient]],IngrWt[[Ingredient]:[Ingredient]],0))&gt;0,INDEX(Tier3[[Cost/lb.]:[Cost/lb.]],MATCH(IngrCost[[#This Row],[Ingredient]:[Ingredient]],Tier3[[Ingredient]:[Ingredient]],0))*INDEX(IngrWt[Garlic &amp; Herb],MATCH(IngrCost[[#This Row],[Ingredient]:[Ingredient]],IngrWt[[Ingredient]:[Ingredient]],0)),""),"")</f>
        <v/>
      </c>
      <c r="O6" s="13" t="str" cm="1">
        <f t="array" ref="O6">IFERROR(IF(INDEX(Tier3[[Cost/lb.]:[Cost/lb.]],MATCH(IngrCost[[#This Row],[Ingredient]:[Ingredient]],Tier3[[Ingredient]:[Ingredient]],0))*INDEX(IngrWt[Meatloaf],MATCH(IngrCost[[#This Row],[Ingredient]:[Ingredient]],IngrWt[[Ingredient]:[Ingredient]],0))&gt;0,INDEX(Tier3[[Cost/lb.]:[Cost/lb.]],MATCH(IngrCost[[#This Row],[Ingredient]:[Ingredient]],Tier3[[Ingredient]:[Ingredient]],0))*INDEX(IngrWt[Meatloaf],MATCH(IngrCost[[#This Row],[Ingredient]:[Ingredient]],IngrWt[[Ingredient]:[Ingredient]],0)),""),"")</f>
        <v/>
      </c>
      <c r="P6" s="13" t="str" cm="1">
        <f t="array" ref="P6">IFERROR(IF(INDEX(Tier3[[Cost/lb.]:[Cost/lb.]],MATCH(IngrCost[[#This Row],[Ingredient]:[Ingredient]],Tier3[[Ingredient]:[Ingredient]],0))*INDEX(IngrWt[Pizza Patty],MATCH(IngrCost[[#This Row],[Ingredient]:[Ingredient]],IngrWt[[Ingredient]:[Ingredient]],0))&gt;0,INDEX(Tier3[[Cost/lb.]:[Cost/lb.]],MATCH(IngrCost[[#This Row],[Ingredient]:[Ingredient]],Tier3[[Ingredient]:[Ingredient]],0))*INDEX(IngrWt[Pizza Patty],MATCH(IngrCost[[#This Row],[Ingredient]:[Ingredient]],IngrWt[[Ingredient]:[Ingredient]],0)),""),"")</f>
        <v/>
      </c>
      <c r="Q6" s="13" t="str" cm="1">
        <f t="array" ref="Q6">IFERROR(IF(INDEX(Tier3[[Cost/lb.]:[Cost/lb.]],MATCH(IngrCost[[#This Row],[Ingredient]:[Ingredient]],Tier3[[Ingredient]:[Ingredient]],0))*INDEX(IngrWt[Spicy Internal],MATCH(IngrCost[[#This Row],[Ingredient]:[Ingredient]],IngrWt[[Ingredient]:[Ingredient]],0))&gt;0,INDEX(Tier3[[Cost/lb.]:[Cost/lb.]],MATCH(IngrCost[[#This Row],[Ingredient]:[Ingredient]],Tier3[[Ingredient]:[Ingredient]],0))*INDEX(IngrWt[Spicy Internal],MATCH(IngrCost[[#This Row],[Ingredient]:[Ingredient]],IngrWt[[Ingredient]:[Ingredient]],0)),""),"")</f>
        <v/>
      </c>
      <c r="R6" s="13" t="str" cm="1">
        <f t="array" ref="R6">IFERROR(IF(INDEX(Tier3[[Cost/lb.]:[Cost/lb.]],MATCH(IngrCost[[#This Row],[Ingredient]:[Ingredient]],Tier3[[Ingredient]:[Ingredient]],0))*INDEX(IngrWt[Dinner Patty],MATCH(IngrCost[[#This Row],[Ingredient]:[Ingredient]],IngrWt[[Ingredient]:[Ingredient]],0))&gt;0,INDEX(Tier3[[Cost/lb.]:[Cost/lb.]],MATCH(IngrCost[[#This Row],[Ingredient]:[Ingredient]],Tier3[[Ingredient]:[Ingredient]],0))*INDEX(IngrWt[Dinner Patty],MATCH(IngrCost[[#This Row],[Ingredient]:[Ingredient]],IngrWt[[Ingredient]:[Ingredient]],0)),""),"")</f>
        <v/>
      </c>
      <c r="S6" s="13" t="str" cm="1">
        <f t="array" ref="S6">IFERROR(IF(INDEX(Tier3[[Cost/lb.]:[Cost/lb.]],MATCH(IngrCost[[#This Row],[Ingredient]:[Ingredient]],Tier3[[Ingredient]:[Ingredient]],0))*INDEX(IngrWt[Breakfast],MATCH(IngrCost[[#This Row],[Ingredient]:[Ingredient]],IngrWt[[Ingredient]:[Ingredient]],0))&gt;0,INDEX(Tier3[[Cost/lb.]:[Cost/lb.]],MATCH(IngrCost[[#This Row],[Ingredient]:[Ingredient]],Tier3[[Ingredient]:[Ingredient]],0))*INDEX(IngrWt[Breakfast],MATCH(IngrCost[[#This Row],[Ingredient]:[Ingredient]],IngrWt[[Ingredient]:[Ingredient]],0)),""),"")</f>
        <v/>
      </c>
      <c r="T6" s="13" t="str" cm="1">
        <f t="array" ref="T6">IFERROR(IF(INDEX(Tier3[[Cost/lb.]:[Cost/lb.]],MATCH(IngrCost[[#This Row],[Ingredient]:[Ingredient]],Tier3[[Ingredient]:[Ingredient]],0))*INDEX(IngrWt[Maple Breakfast],MATCH(IngrCost[[#This Row],[Ingredient]:[Ingredient]],IngrWt[[Ingredient]:[Ingredient]],0))&gt;0,INDEX(Tier3[[Cost/lb.]:[Cost/lb.]],MATCH(IngrCost[[#This Row],[Ingredient]:[Ingredient]],Tier3[[Ingredient]:[Ingredient]],0))*INDEX(IngrWt[Maple Breakfast],MATCH(IngrCost[[#This Row],[Ingredient]:[Ingredient]],IngrWt[[Ingredient]:[Ingredient]],0)),""),"")</f>
        <v/>
      </c>
      <c r="U6" s="13" t="str" cm="1">
        <f t="array" ref="U6">IFERROR(IF(INDEX(Tier3[[Cost/lb.]:[Cost/lb.]],MATCH(IngrCost[[#This Row],[Ingredient]:[Ingredient]],Tier3[[Ingredient]:[Ingredient]],0))*INDEX(IngrWt[Bean Burger],MATCH(IngrCost[[#This Row],[Ingredient]:[Ingredient]],IngrWt[[Ingredient]:[Ingredient]],0))&gt;0,INDEX(Tier3[[Cost/lb.]:[Cost/lb.]],MATCH(IngrCost[[#This Row],[Ingredient]:[Ingredient]],Tier3[[Ingredient]:[Ingredient]],0))*INDEX(IngrWt[Bean Burger],MATCH(IngrCost[[#This Row],[Ingredient]:[Ingredient]],IngrWt[[Ingredient]:[Ingredient]],0)),""),"")</f>
        <v/>
      </c>
    </row>
    <row r="7" spans="1:21" ht="11.45" customHeight="1" x14ac:dyDescent="0.15">
      <c r="A7" s="4" t="s">
        <v>85</v>
      </c>
      <c r="B7" s="14"/>
      <c r="C7" s="14"/>
      <c r="D7" s="14"/>
      <c r="E7" s="14"/>
      <c r="F7" s="14"/>
      <c r="G7" s="14"/>
      <c r="H7" s="12">
        <v>0.25</v>
      </c>
      <c r="I7" s="12">
        <v>0.25</v>
      </c>
      <c r="J7" s="12"/>
      <c r="L7" s="4" t="s">
        <v>85</v>
      </c>
      <c r="M7" s="13" t="str" cm="1">
        <f t="array" ref="M7">IFERROR(IF(INDEX(Tier3[[Cost/lb.]:[Cost/lb.]],MATCH(IngrCost[[#This Row],[Ingredient]:[Ingredient]],Tier3[[Ingredient]:[Ingredient]],0))*INDEX(IngrWt[Tuscan Herb],MATCH(IngrCost[[#This Row],[Ingredient]:[Ingredient]],IngrWt[[Ingredient]:[Ingredient]],0))&gt;0,INDEX(Tier3[[Cost/lb.]:[Cost/lb.]],MATCH(IngrCost[[#This Row],[Ingredient]:[Ingredient]],Tier3[[Ingredient]:[Ingredient]],0))*INDEX(IngrWt[Tuscan Herb],MATCH(IngrCost[[#This Row],[Ingredient]:[Ingredient]],IngrWt[[Ingredient]:[Ingredient]],0)),""),"")</f>
        <v/>
      </c>
      <c r="N7" s="13" t="str" cm="1">
        <f t="array" ref="N7">IFERROR(IF(INDEX(Tier3[[Cost/lb.]:[Cost/lb.]],MATCH(IngrCost[[#This Row],[Ingredient]:[Ingredient]],Tier3[[Ingredient]:[Ingredient]],0))*INDEX(IngrWt[Garlic &amp; Herb],MATCH(IngrCost[[#This Row],[Ingredient]:[Ingredient]],IngrWt[[Ingredient]:[Ingredient]],0))&gt;0,INDEX(Tier3[[Cost/lb.]:[Cost/lb.]],MATCH(IngrCost[[#This Row],[Ingredient]:[Ingredient]],Tier3[[Ingredient]:[Ingredient]],0))*INDEX(IngrWt[Garlic &amp; Herb],MATCH(IngrCost[[#This Row],[Ingredient]:[Ingredient]],IngrWt[[Ingredient]:[Ingredient]],0)),""),"")</f>
        <v/>
      </c>
      <c r="O7" s="13" t="str" cm="1">
        <f t="array" ref="O7">IFERROR(IF(INDEX(Tier3[[Cost/lb.]:[Cost/lb.]],MATCH(IngrCost[[#This Row],[Ingredient]:[Ingredient]],Tier3[[Ingredient]:[Ingredient]],0))*INDEX(IngrWt[Meatloaf],MATCH(IngrCost[[#This Row],[Ingredient]:[Ingredient]],IngrWt[[Ingredient]:[Ingredient]],0))&gt;0,INDEX(Tier3[[Cost/lb.]:[Cost/lb.]],MATCH(IngrCost[[#This Row],[Ingredient]:[Ingredient]],Tier3[[Ingredient]:[Ingredient]],0))*INDEX(IngrWt[Meatloaf],MATCH(IngrCost[[#This Row],[Ingredient]:[Ingredient]],IngrWt[[Ingredient]:[Ingredient]],0)),""),"")</f>
        <v/>
      </c>
      <c r="P7" s="13" t="str" cm="1">
        <f t="array" ref="P7">IFERROR(IF(INDEX(Tier3[[Cost/lb.]:[Cost/lb.]],MATCH(IngrCost[[#This Row],[Ingredient]:[Ingredient]],Tier3[[Ingredient]:[Ingredient]],0))*INDEX(IngrWt[Pizza Patty],MATCH(IngrCost[[#This Row],[Ingredient]:[Ingredient]],IngrWt[[Ingredient]:[Ingredient]],0))&gt;0,INDEX(Tier3[[Cost/lb.]:[Cost/lb.]],MATCH(IngrCost[[#This Row],[Ingredient]:[Ingredient]],Tier3[[Ingredient]:[Ingredient]],0))*INDEX(IngrWt[Pizza Patty],MATCH(IngrCost[[#This Row],[Ingredient]:[Ingredient]],IngrWt[[Ingredient]:[Ingredient]],0)),""),"")</f>
        <v/>
      </c>
      <c r="Q7" s="13" t="str" cm="1">
        <f t="array" ref="Q7">IFERROR(IF(INDEX(Tier3[[Cost/lb.]:[Cost/lb.]],MATCH(IngrCost[[#This Row],[Ingredient]:[Ingredient]],Tier3[[Ingredient]:[Ingredient]],0))*INDEX(IngrWt[Spicy Internal],MATCH(IngrCost[[#This Row],[Ingredient]:[Ingredient]],IngrWt[[Ingredient]:[Ingredient]],0))&gt;0,INDEX(Tier3[[Cost/lb.]:[Cost/lb.]],MATCH(IngrCost[[#This Row],[Ingredient]:[Ingredient]],Tier3[[Ingredient]:[Ingredient]],0))*INDEX(IngrWt[Spicy Internal],MATCH(IngrCost[[#This Row],[Ingredient]:[Ingredient]],IngrWt[[Ingredient]:[Ingredient]],0)),""),"")</f>
        <v/>
      </c>
      <c r="R7" s="13" t="str" cm="1">
        <f t="array" ref="R7">IFERROR(IF(INDEX(Tier3[[Cost/lb.]:[Cost/lb.]],MATCH(IngrCost[[#This Row],[Ingredient]:[Ingredient]],Tier3[[Ingredient]:[Ingredient]],0))*INDEX(IngrWt[Dinner Patty],MATCH(IngrCost[[#This Row],[Ingredient]:[Ingredient]],IngrWt[[Ingredient]:[Ingredient]],0))&gt;0,INDEX(Tier3[[Cost/lb.]:[Cost/lb.]],MATCH(IngrCost[[#This Row],[Ingredient]:[Ingredient]],Tier3[[Ingredient]:[Ingredient]],0))*INDEX(IngrWt[Dinner Patty],MATCH(IngrCost[[#This Row],[Ingredient]:[Ingredient]],IngrWt[[Ingredient]:[Ingredient]],0)),""),"")</f>
        <v/>
      </c>
      <c r="S7" s="13" cm="1">
        <f t="array" ref="S7">IFERROR(IF(INDEX(Tier3[[Cost/lb.]:[Cost/lb.]],MATCH(IngrCost[[#This Row],[Ingredient]:[Ingredient]],Tier3[[Ingredient]:[Ingredient]],0))*INDEX(IngrWt[Breakfast],MATCH(IngrCost[[#This Row],[Ingredient]:[Ingredient]],IngrWt[[Ingredient]:[Ingredient]],0))&gt;0,INDEX(Tier3[[Cost/lb.]:[Cost/lb.]],MATCH(IngrCost[[#This Row],[Ingredient]:[Ingredient]],Tier3[[Ingredient]:[Ingredient]],0))*INDEX(IngrWt[Breakfast],MATCH(IngrCost[[#This Row],[Ingredient]:[Ingredient]],IngrWt[[Ingredient]:[Ingredient]],0)),""),"")</f>
        <v>0.625</v>
      </c>
      <c r="T7" s="13" cm="1">
        <f t="array" ref="T7">IFERROR(IF(INDEX(Tier3[[Cost/lb.]:[Cost/lb.]],MATCH(IngrCost[[#This Row],[Ingredient]:[Ingredient]],Tier3[[Ingredient]:[Ingredient]],0))*INDEX(IngrWt[Maple Breakfast],MATCH(IngrCost[[#This Row],[Ingredient]:[Ingredient]],IngrWt[[Ingredient]:[Ingredient]],0))&gt;0,INDEX(Tier3[[Cost/lb.]:[Cost/lb.]],MATCH(IngrCost[[#This Row],[Ingredient]:[Ingredient]],Tier3[[Ingredient]:[Ingredient]],0))*INDEX(IngrWt[Maple Breakfast],MATCH(IngrCost[[#This Row],[Ingredient]:[Ingredient]],IngrWt[[Ingredient]:[Ingredient]],0)),""),"")</f>
        <v>0.625</v>
      </c>
      <c r="U7" s="13" t="str" cm="1">
        <f t="array" ref="U7">IFERROR(IF(INDEX(Tier3[[Cost/lb.]:[Cost/lb.]],MATCH(IngrCost[[#This Row],[Ingredient]:[Ingredient]],Tier3[[Ingredient]:[Ingredient]],0))*INDEX(IngrWt[Bean Burger],MATCH(IngrCost[[#This Row],[Ingredient]:[Ingredient]],IngrWt[[Ingredient]:[Ingredient]],0))&gt;0,INDEX(Tier3[[Cost/lb.]:[Cost/lb.]],MATCH(IngrCost[[#This Row],[Ingredient]:[Ingredient]],Tier3[[Ingredient]:[Ingredient]],0))*INDEX(IngrWt[Bean Burger],MATCH(IngrCost[[#This Row],[Ingredient]:[Ingredient]],IngrWt[[Ingredient]:[Ingredient]],0)),""),"")</f>
        <v/>
      </c>
    </row>
    <row r="8" spans="1:21" ht="11.45" customHeight="1" x14ac:dyDescent="0.15">
      <c r="A8" s="4" t="s">
        <v>84</v>
      </c>
      <c r="B8" s="14"/>
      <c r="C8" s="14"/>
      <c r="D8" s="14"/>
      <c r="E8" s="14"/>
      <c r="F8" s="14"/>
      <c r="G8" s="14"/>
      <c r="H8" s="12">
        <v>0.75</v>
      </c>
      <c r="I8" s="12">
        <v>0.75</v>
      </c>
      <c r="J8" s="12">
        <v>1</v>
      </c>
      <c r="L8" s="4" t="s">
        <v>84</v>
      </c>
      <c r="M8" s="13" t="str" cm="1">
        <f t="array" ref="M8">IFERROR(IF(INDEX(Tier3[[Cost/lb.]:[Cost/lb.]],MATCH(IngrCost[[#This Row],[Ingredient]:[Ingredient]],Tier3[[Ingredient]:[Ingredient]],0))*INDEX(IngrWt[Tuscan Herb],MATCH(IngrCost[[#This Row],[Ingredient]:[Ingredient]],IngrWt[[Ingredient]:[Ingredient]],0))&gt;0,INDEX(Tier3[[Cost/lb.]:[Cost/lb.]],MATCH(IngrCost[[#This Row],[Ingredient]:[Ingredient]],Tier3[[Ingredient]:[Ingredient]],0))*INDEX(IngrWt[Tuscan Herb],MATCH(IngrCost[[#This Row],[Ingredient]:[Ingredient]],IngrWt[[Ingredient]:[Ingredient]],0)),""),"")</f>
        <v/>
      </c>
      <c r="N8" s="13" t="str" cm="1">
        <f t="array" ref="N8">IFERROR(IF(INDEX(Tier3[[Cost/lb.]:[Cost/lb.]],MATCH(IngrCost[[#This Row],[Ingredient]:[Ingredient]],Tier3[[Ingredient]:[Ingredient]],0))*INDEX(IngrWt[Garlic &amp; Herb],MATCH(IngrCost[[#This Row],[Ingredient]:[Ingredient]],IngrWt[[Ingredient]:[Ingredient]],0))&gt;0,INDEX(Tier3[[Cost/lb.]:[Cost/lb.]],MATCH(IngrCost[[#This Row],[Ingredient]:[Ingredient]],Tier3[[Ingredient]:[Ingredient]],0))*INDEX(IngrWt[Garlic &amp; Herb],MATCH(IngrCost[[#This Row],[Ingredient]:[Ingredient]],IngrWt[[Ingredient]:[Ingredient]],0)),""),"")</f>
        <v/>
      </c>
      <c r="O8" s="13" t="str" cm="1">
        <f t="array" ref="O8">IFERROR(IF(INDEX(Tier3[[Cost/lb.]:[Cost/lb.]],MATCH(IngrCost[[#This Row],[Ingredient]:[Ingredient]],Tier3[[Ingredient]:[Ingredient]],0))*INDEX(IngrWt[Meatloaf],MATCH(IngrCost[[#This Row],[Ingredient]:[Ingredient]],IngrWt[[Ingredient]:[Ingredient]],0))&gt;0,INDEX(Tier3[[Cost/lb.]:[Cost/lb.]],MATCH(IngrCost[[#This Row],[Ingredient]:[Ingredient]],Tier3[[Ingredient]:[Ingredient]],0))*INDEX(IngrWt[Meatloaf],MATCH(IngrCost[[#This Row],[Ingredient]:[Ingredient]],IngrWt[[Ingredient]:[Ingredient]],0)),""),"")</f>
        <v/>
      </c>
      <c r="P8" s="13" t="str" cm="1">
        <f t="array" ref="P8">IFERROR(IF(INDEX(Tier3[[Cost/lb.]:[Cost/lb.]],MATCH(IngrCost[[#This Row],[Ingredient]:[Ingredient]],Tier3[[Ingredient]:[Ingredient]],0))*INDEX(IngrWt[Pizza Patty],MATCH(IngrCost[[#This Row],[Ingredient]:[Ingredient]],IngrWt[[Ingredient]:[Ingredient]],0))&gt;0,INDEX(Tier3[[Cost/lb.]:[Cost/lb.]],MATCH(IngrCost[[#This Row],[Ingredient]:[Ingredient]],Tier3[[Ingredient]:[Ingredient]],0))*INDEX(IngrWt[Pizza Patty],MATCH(IngrCost[[#This Row],[Ingredient]:[Ingredient]],IngrWt[[Ingredient]:[Ingredient]],0)),""),"")</f>
        <v/>
      </c>
      <c r="Q8" s="13" t="str" cm="1">
        <f t="array" ref="Q8">IFERROR(IF(INDEX(Tier3[[Cost/lb.]:[Cost/lb.]],MATCH(IngrCost[[#This Row],[Ingredient]:[Ingredient]],Tier3[[Ingredient]:[Ingredient]],0))*INDEX(IngrWt[Spicy Internal],MATCH(IngrCost[[#This Row],[Ingredient]:[Ingredient]],IngrWt[[Ingredient]:[Ingredient]],0))&gt;0,INDEX(Tier3[[Cost/lb.]:[Cost/lb.]],MATCH(IngrCost[[#This Row],[Ingredient]:[Ingredient]],Tier3[[Ingredient]:[Ingredient]],0))*INDEX(IngrWt[Spicy Internal],MATCH(IngrCost[[#This Row],[Ingredient]:[Ingredient]],IngrWt[[Ingredient]:[Ingredient]],0)),""),"")</f>
        <v/>
      </c>
      <c r="R8" s="13" t="str" cm="1">
        <f t="array" ref="R8">IFERROR(IF(INDEX(Tier3[[Cost/lb.]:[Cost/lb.]],MATCH(IngrCost[[#This Row],[Ingredient]:[Ingredient]],Tier3[[Ingredient]:[Ingredient]],0))*INDEX(IngrWt[Dinner Patty],MATCH(IngrCost[[#This Row],[Ingredient]:[Ingredient]],IngrWt[[Ingredient]:[Ingredient]],0))&gt;0,INDEX(Tier3[[Cost/lb.]:[Cost/lb.]],MATCH(IngrCost[[#This Row],[Ingredient]:[Ingredient]],Tier3[[Ingredient]:[Ingredient]],0))*INDEX(IngrWt[Dinner Patty],MATCH(IngrCost[[#This Row],[Ingredient]:[Ingredient]],IngrWt[[Ingredient]:[Ingredient]],0)),""),"")</f>
        <v/>
      </c>
      <c r="S8" s="13" cm="1">
        <f t="array" ref="S8">IFERROR(IF(INDEX(Tier3[[Cost/lb.]:[Cost/lb.]],MATCH(IngrCost[[#This Row],[Ingredient]:[Ingredient]],Tier3[[Ingredient]:[Ingredient]],0))*INDEX(IngrWt[Breakfast],MATCH(IngrCost[[#This Row],[Ingredient]:[Ingredient]],IngrWt[[Ingredient]:[Ingredient]],0))&gt;0,INDEX(Tier3[[Cost/lb.]:[Cost/lb.]],MATCH(IngrCost[[#This Row],[Ingredient]:[Ingredient]],Tier3[[Ingredient]:[Ingredient]],0))*INDEX(IngrWt[Breakfast],MATCH(IngrCost[[#This Row],[Ingredient]:[Ingredient]],IngrWt[[Ingredient]:[Ingredient]],0)),""),"")</f>
        <v>3.75</v>
      </c>
      <c r="T8" s="13" cm="1">
        <f t="array" ref="T8">IFERROR(IF(INDEX(Tier3[[Cost/lb.]:[Cost/lb.]],MATCH(IngrCost[[#This Row],[Ingredient]:[Ingredient]],Tier3[[Ingredient]:[Ingredient]],0))*INDEX(IngrWt[Maple Breakfast],MATCH(IngrCost[[#This Row],[Ingredient]:[Ingredient]],IngrWt[[Ingredient]:[Ingredient]],0))&gt;0,INDEX(Tier3[[Cost/lb.]:[Cost/lb.]],MATCH(IngrCost[[#This Row],[Ingredient]:[Ingredient]],Tier3[[Ingredient]:[Ingredient]],0))*INDEX(IngrWt[Maple Breakfast],MATCH(IngrCost[[#This Row],[Ingredient]:[Ingredient]],IngrWt[[Ingredient]:[Ingredient]],0)),""),"")</f>
        <v>3.75</v>
      </c>
      <c r="U8" s="13" cm="1">
        <f t="array" ref="U8">IFERROR(IF(INDEX(Tier3[[Cost/lb.]:[Cost/lb.]],MATCH(IngrCost[[#This Row],[Ingredient]:[Ingredient]],Tier3[[Ingredient]:[Ingredient]],0))*INDEX(IngrWt[Bean Burger],MATCH(IngrCost[[#This Row],[Ingredient]:[Ingredient]],IngrWt[[Ingredient]:[Ingredient]],0))&gt;0,INDEX(Tier3[[Cost/lb.]:[Cost/lb.]],MATCH(IngrCost[[#This Row],[Ingredient]:[Ingredient]],Tier3[[Ingredient]:[Ingredient]],0))*INDEX(IngrWt[Bean Burger],MATCH(IngrCost[[#This Row],[Ingredient]:[Ingredient]],IngrWt[[Ingredient]:[Ingredient]],0)),""),"")</f>
        <v>5</v>
      </c>
    </row>
    <row r="9" spans="1:21" ht="11.45" customHeight="1" x14ac:dyDescent="0.15">
      <c r="A9" s="4" t="s">
        <v>83</v>
      </c>
      <c r="B9" s="14">
        <v>0.1</v>
      </c>
      <c r="C9" s="14"/>
      <c r="D9" s="14"/>
      <c r="E9" s="14">
        <v>0.05</v>
      </c>
      <c r="F9" s="14"/>
      <c r="G9" s="14"/>
      <c r="H9" s="12"/>
      <c r="I9" s="12"/>
      <c r="J9" s="12"/>
      <c r="L9" s="4" t="s">
        <v>83</v>
      </c>
      <c r="M9" s="13" cm="1">
        <f t="array" ref="M9">IFERROR(IF(INDEX(Tier3[[Cost/lb.]:[Cost/lb.]],MATCH(IngrCost[[#This Row],[Ingredient]:[Ingredient]],Tier3[[Ingredient]:[Ingredient]],0))*INDEX(IngrWt[Tuscan Herb],MATCH(IngrCost[[#This Row],[Ingredient]:[Ingredient]],IngrWt[[Ingredient]:[Ingredient]],0))&gt;0,INDEX(Tier3[[Cost/lb.]:[Cost/lb.]],MATCH(IngrCost[[#This Row],[Ingredient]:[Ingredient]],Tier3[[Ingredient]:[Ingredient]],0))*INDEX(IngrWt[Tuscan Herb],MATCH(IngrCost[[#This Row],[Ingredient]:[Ingredient]],IngrWt[[Ingredient]:[Ingredient]],0)),""),"")</f>
        <v>0.4</v>
      </c>
      <c r="N9" s="13" t="str" cm="1">
        <f t="array" ref="N9">IFERROR(IF(INDEX(Tier3[[Cost/lb.]:[Cost/lb.]],MATCH(IngrCost[[#This Row],[Ingredient]:[Ingredient]],Tier3[[Ingredient]:[Ingredient]],0))*INDEX(IngrWt[Garlic &amp; Herb],MATCH(IngrCost[[#This Row],[Ingredient]:[Ingredient]],IngrWt[[Ingredient]:[Ingredient]],0))&gt;0,INDEX(Tier3[[Cost/lb.]:[Cost/lb.]],MATCH(IngrCost[[#This Row],[Ingredient]:[Ingredient]],Tier3[[Ingredient]:[Ingredient]],0))*INDEX(IngrWt[Garlic &amp; Herb],MATCH(IngrCost[[#This Row],[Ingredient]:[Ingredient]],IngrWt[[Ingredient]:[Ingredient]],0)),""),"")</f>
        <v/>
      </c>
      <c r="O9" s="13" t="str" cm="1">
        <f t="array" ref="O9">IFERROR(IF(INDEX(Tier3[[Cost/lb.]:[Cost/lb.]],MATCH(IngrCost[[#This Row],[Ingredient]:[Ingredient]],Tier3[[Ingredient]:[Ingredient]],0))*INDEX(IngrWt[Meatloaf],MATCH(IngrCost[[#This Row],[Ingredient]:[Ingredient]],IngrWt[[Ingredient]:[Ingredient]],0))&gt;0,INDEX(Tier3[[Cost/lb.]:[Cost/lb.]],MATCH(IngrCost[[#This Row],[Ingredient]:[Ingredient]],Tier3[[Ingredient]:[Ingredient]],0))*INDEX(IngrWt[Meatloaf],MATCH(IngrCost[[#This Row],[Ingredient]:[Ingredient]],IngrWt[[Ingredient]:[Ingredient]],0)),""),"")</f>
        <v/>
      </c>
      <c r="P9" s="13" cm="1">
        <f t="array" ref="P9">IFERROR(IF(INDEX(Tier3[[Cost/lb.]:[Cost/lb.]],MATCH(IngrCost[[#This Row],[Ingredient]:[Ingredient]],Tier3[[Ingredient]:[Ingredient]],0))*INDEX(IngrWt[Pizza Patty],MATCH(IngrCost[[#This Row],[Ingredient]:[Ingredient]],IngrWt[[Ingredient]:[Ingredient]],0))&gt;0,INDEX(Tier3[[Cost/lb.]:[Cost/lb.]],MATCH(IngrCost[[#This Row],[Ingredient]:[Ingredient]],Tier3[[Ingredient]:[Ingredient]],0))*INDEX(IngrWt[Pizza Patty],MATCH(IngrCost[[#This Row],[Ingredient]:[Ingredient]],IngrWt[[Ingredient]:[Ingredient]],0)),""),"")</f>
        <v>0.2</v>
      </c>
      <c r="Q9" s="13" t="str" cm="1">
        <f t="array" ref="Q9">IFERROR(IF(INDEX(Tier3[[Cost/lb.]:[Cost/lb.]],MATCH(IngrCost[[#This Row],[Ingredient]:[Ingredient]],Tier3[[Ingredient]:[Ingredient]],0))*INDEX(IngrWt[Spicy Internal],MATCH(IngrCost[[#This Row],[Ingredient]:[Ingredient]],IngrWt[[Ingredient]:[Ingredient]],0))&gt;0,INDEX(Tier3[[Cost/lb.]:[Cost/lb.]],MATCH(IngrCost[[#This Row],[Ingredient]:[Ingredient]],Tier3[[Ingredient]:[Ingredient]],0))*INDEX(IngrWt[Spicy Internal],MATCH(IngrCost[[#This Row],[Ingredient]:[Ingredient]],IngrWt[[Ingredient]:[Ingredient]],0)),""),"")</f>
        <v/>
      </c>
      <c r="R9" s="13" t="str" cm="1">
        <f t="array" ref="R9">IFERROR(IF(INDEX(Tier3[[Cost/lb.]:[Cost/lb.]],MATCH(IngrCost[[#This Row],[Ingredient]:[Ingredient]],Tier3[[Ingredient]:[Ingredient]],0))*INDEX(IngrWt[Dinner Patty],MATCH(IngrCost[[#This Row],[Ingredient]:[Ingredient]],IngrWt[[Ingredient]:[Ingredient]],0))&gt;0,INDEX(Tier3[[Cost/lb.]:[Cost/lb.]],MATCH(IngrCost[[#This Row],[Ingredient]:[Ingredient]],Tier3[[Ingredient]:[Ingredient]],0))*INDEX(IngrWt[Dinner Patty],MATCH(IngrCost[[#This Row],[Ingredient]:[Ingredient]],IngrWt[[Ingredient]:[Ingredient]],0)),""),"")</f>
        <v/>
      </c>
      <c r="S9" s="13" t="str" cm="1">
        <f t="array" ref="S9">IFERROR(IF(INDEX(Tier3[[Cost/lb.]:[Cost/lb.]],MATCH(IngrCost[[#This Row],[Ingredient]:[Ingredient]],Tier3[[Ingredient]:[Ingredient]],0))*INDEX(IngrWt[Breakfast],MATCH(IngrCost[[#This Row],[Ingredient]:[Ingredient]],IngrWt[[Ingredient]:[Ingredient]],0))&gt;0,INDEX(Tier3[[Cost/lb.]:[Cost/lb.]],MATCH(IngrCost[[#This Row],[Ingredient]:[Ingredient]],Tier3[[Ingredient]:[Ingredient]],0))*INDEX(IngrWt[Breakfast],MATCH(IngrCost[[#This Row],[Ingredient]:[Ingredient]],IngrWt[[Ingredient]:[Ingredient]],0)),""),"")</f>
        <v/>
      </c>
      <c r="T9" s="13" t="str" cm="1">
        <f t="array" ref="T9">IFERROR(IF(INDEX(Tier3[[Cost/lb.]:[Cost/lb.]],MATCH(IngrCost[[#This Row],[Ingredient]:[Ingredient]],Tier3[[Ingredient]:[Ingredient]],0))*INDEX(IngrWt[Maple Breakfast],MATCH(IngrCost[[#This Row],[Ingredient]:[Ingredient]],IngrWt[[Ingredient]:[Ingredient]],0))&gt;0,INDEX(Tier3[[Cost/lb.]:[Cost/lb.]],MATCH(IngrCost[[#This Row],[Ingredient]:[Ingredient]],Tier3[[Ingredient]:[Ingredient]],0))*INDEX(IngrWt[Maple Breakfast],MATCH(IngrCost[[#This Row],[Ingredient]:[Ingredient]],IngrWt[[Ingredient]:[Ingredient]],0)),""),"")</f>
        <v/>
      </c>
      <c r="U9" s="13" t="str" cm="1">
        <f t="array" ref="U9">IFERROR(IF(INDEX(Tier3[[Cost/lb.]:[Cost/lb.]],MATCH(IngrCost[[#This Row],[Ingredient]:[Ingredient]],Tier3[[Ingredient]:[Ingredient]],0))*INDEX(IngrWt[Bean Burger],MATCH(IngrCost[[#This Row],[Ingredient]:[Ingredient]],IngrWt[[Ingredient]:[Ingredient]],0))&gt;0,INDEX(Tier3[[Cost/lb.]:[Cost/lb.]],MATCH(IngrCost[[#This Row],[Ingredient]:[Ingredient]],Tier3[[Ingredient]:[Ingredient]],0))*INDEX(IngrWt[Bean Burger],MATCH(IngrCost[[#This Row],[Ingredient]:[Ingredient]],IngrWt[[Ingredient]:[Ingredient]],0)),""),"")</f>
        <v/>
      </c>
    </row>
    <row r="10" spans="1:21" ht="11.45" customHeight="1" x14ac:dyDescent="0.15">
      <c r="A10" s="4" t="s">
        <v>82</v>
      </c>
      <c r="B10" s="14"/>
      <c r="C10" s="14"/>
      <c r="D10" s="14"/>
      <c r="E10" s="14"/>
      <c r="F10" s="14"/>
      <c r="G10" s="14"/>
      <c r="H10" s="12">
        <v>1.25</v>
      </c>
      <c r="I10" s="12">
        <v>1.25</v>
      </c>
      <c r="J10" s="12"/>
      <c r="L10" s="4" t="s">
        <v>82</v>
      </c>
      <c r="M10" s="13" t="str" cm="1">
        <f t="array" ref="M10">IFERROR(IF(INDEX(Tier3[[Cost/lb.]:[Cost/lb.]],MATCH(IngrCost[[#This Row],[Ingredient]:[Ingredient]],Tier3[[Ingredient]:[Ingredient]],0))*INDEX(IngrWt[Tuscan Herb],MATCH(IngrCost[[#This Row],[Ingredient]:[Ingredient]],IngrWt[[Ingredient]:[Ingredient]],0))&gt;0,INDEX(Tier3[[Cost/lb.]:[Cost/lb.]],MATCH(IngrCost[[#This Row],[Ingredient]:[Ingredient]],Tier3[[Ingredient]:[Ingredient]],0))*INDEX(IngrWt[Tuscan Herb],MATCH(IngrCost[[#This Row],[Ingredient]:[Ingredient]],IngrWt[[Ingredient]:[Ingredient]],0)),""),"")</f>
        <v/>
      </c>
      <c r="N10" s="13" t="str" cm="1">
        <f t="array" ref="N10">IFERROR(IF(INDEX(Tier3[[Cost/lb.]:[Cost/lb.]],MATCH(IngrCost[[#This Row],[Ingredient]:[Ingredient]],Tier3[[Ingredient]:[Ingredient]],0))*INDEX(IngrWt[Garlic &amp; Herb],MATCH(IngrCost[[#This Row],[Ingredient]:[Ingredient]],IngrWt[[Ingredient]:[Ingredient]],0))&gt;0,INDEX(Tier3[[Cost/lb.]:[Cost/lb.]],MATCH(IngrCost[[#This Row],[Ingredient]:[Ingredient]],Tier3[[Ingredient]:[Ingredient]],0))*INDEX(IngrWt[Garlic &amp; Herb],MATCH(IngrCost[[#This Row],[Ingredient]:[Ingredient]],IngrWt[[Ingredient]:[Ingredient]],0)),""),"")</f>
        <v/>
      </c>
      <c r="O10" s="13" t="str" cm="1">
        <f t="array" ref="O10">IFERROR(IF(INDEX(Tier3[[Cost/lb.]:[Cost/lb.]],MATCH(IngrCost[[#This Row],[Ingredient]:[Ingredient]],Tier3[[Ingredient]:[Ingredient]],0))*INDEX(IngrWt[Meatloaf],MATCH(IngrCost[[#This Row],[Ingredient]:[Ingredient]],IngrWt[[Ingredient]:[Ingredient]],0))&gt;0,INDEX(Tier3[[Cost/lb.]:[Cost/lb.]],MATCH(IngrCost[[#This Row],[Ingredient]:[Ingredient]],Tier3[[Ingredient]:[Ingredient]],0))*INDEX(IngrWt[Meatloaf],MATCH(IngrCost[[#This Row],[Ingredient]:[Ingredient]],IngrWt[[Ingredient]:[Ingredient]],0)),""),"")</f>
        <v/>
      </c>
      <c r="P10" s="13" t="str" cm="1">
        <f t="array" ref="P10">IFERROR(IF(INDEX(Tier3[[Cost/lb.]:[Cost/lb.]],MATCH(IngrCost[[#This Row],[Ingredient]:[Ingredient]],Tier3[[Ingredient]:[Ingredient]],0))*INDEX(IngrWt[Pizza Patty],MATCH(IngrCost[[#This Row],[Ingredient]:[Ingredient]],IngrWt[[Ingredient]:[Ingredient]],0))&gt;0,INDEX(Tier3[[Cost/lb.]:[Cost/lb.]],MATCH(IngrCost[[#This Row],[Ingredient]:[Ingredient]],Tier3[[Ingredient]:[Ingredient]],0))*INDEX(IngrWt[Pizza Patty],MATCH(IngrCost[[#This Row],[Ingredient]:[Ingredient]],IngrWt[[Ingredient]:[Ingredient]],0)),""),"")</f>
        <v/>
      </c>
      <c r="Q10" s="13" t="str" cm="1">
        <f t="array" ref="Q10">IFERROR(IF(INDEX(Tier3[[Cost/lb.]:[Cost/lb.]],MATCH(IngrCost[[#This Row],[Ingredient]:[Ingredient]],Tier3[[Ingredient]:[Ingredient]],0))*INDEX(IngrWt[Spicy Internal],MATCH(IngrCost[[#This Row],[Ingredient]:[Ingredient]],IngrWt[[Ingredient]:[Ingredient]],0))&gt;0,INDEX(Tier3[[Cost/lb.]:[Cost/lb.]],MATCH(IngrCost[[#This Row],[Ingredient]:[Ingredient]],Tier3[[Ingredient]:[Ingredient]],0))*INDEX(IngrWt[Spicy Internal],MATCH(IngrCost[[#This Row],[Ingredient]:[Ingredient]],IngrWt[[Ingredient]:[Ingredient]],0)),""),"")</f>
        <v/>
      </c>
      <c r="R10" s="13" t="str" cm="1">
        <f t="array" ref="R10">IFERROR(IF(INDEX(Tier3[[Cost/lb.]:[Cost/lb.]],MATCH(IngrCost[[#This Row],[Ingredient]:[Ingredient]],Tier3[[Ingredient]:[Ingredient]],0))*INDEX(IngrWt[Dinner Patty],MATCH(IngrCost[[#This Row],[Ingredient]:[Ingredient]],IngrWt[[Ingredient]:[Ingredient]],0))&gt;0,INDEX(Tier3[[Cost/lb.]:[Cost/lb.]],MATCH(IngrCost[[#This Row],[Ingredient]:[Ingredient]],Tier3[[Ingredient]:[Ingredient]],0))*INDEX(IngrWt[Dinner Patty],MATCH(IngrCost[[#This Row],[Ingredient]:[Ingredient]],IngrWt[[Ingredient]:[Ingredient]],0)),""),"")</f>
        <v/>
      </c>
      <c r="S10" s="13" cm="1">
        <f t="array" ref="S10">IFERROR(IF(INDEX(Tier3[[Cost/lb.]:[Cost/lb.]],MATCH(IngrCost[[#This Row],[Ingredient]:[Ingredient]],Tier3[[Ingredient]:[Ingredient]],0))*INDEX(IngrWt[Breakfast],MATCH(IngrCost[[#This Row],[Ingredient]:[Ingredient]],IngrWt[[Ingredient]:[Ingredient]],0))&gt;0,INDEX(Tier3[[Cost/lb.]:[Cost/lb.]],MATCH(IngrCost[[#This Row],[Ingredient]:[Ingredient]],Tier3[[Ingredient]:[Ingredient]],0))*INDEX(IngrWt[Breakfast],MATCH(IngrCost[[#This Row],[Ingredient]:[Ingredient]],IngrWt[[Ingredient]:[Ingredient]],0)),""),"")</f>
        <v>4.375</v>
      </c>
      <c r="T10" s="13" cm="1">
        <f t="array" ref="T10">IFERROR(IF(INDEX(Tier3[[Cost/lb.]:[Cost/lb.]],MATCH(IngrCost[[#This Row],[Ingredient]:[Ingredient]],Tier3[[Ingredient]:[Ingredient]],0))*INDEX(IngrWt[Maple Breakfast],MATCH(IngrCost[[#This Row],[Ingredient]:[Ingredient]],IngrWt[[Ingredient]:[Ingredient]],0))&gt;0,INDEX(Tier3[[Cost/lb.]:[Cost/lb.]],MATCH(IngrCost[[#This Row],[Ingredient]:[Ingredient]],Tier3[[Ingredient]:[Ingredient]],0))*INDEX(IngrWt[Maple Breakfast],MATCH(IngrCost[[#This Row],[Ingredient]:[Ingredient]],IngrWt[[Ingredient]:[Ingredient]],0)),""),"")</f>
        <v>4.375</v>
      </c>
      <c r="U10" s="13" t="str" cm="1">
        <f t="array" ref="U10">IFERROR(IF(INDEX(Tier3[[Cost/lb.]:[Cost/lb.]],MATCH(IngrCost[[#This Row],[Ingredient]:[Ingredient]],Tier3[[Ingredient]:[Ingredient]],0))*INDEX(IngrWt[Bean Burger],MATCH(IngrCost[[#This Row],[Ingredient]:[Ingredient]],IngrWt[[Ingredient]:[Ingredient]],0))&gt;0,INDEX(Tier3[[Cost/lb.]:[Cost/lb.]],MATCH(IngrCost[[#This Row],[Ingredient]:[Ingredient]],Tier3[[Ingredient]:[Ingredient]],0))*INDEX(IngrWt[Bean Burger],MATCH(IngrCost[[#This Row],[Ingredient]:[Ingredient]],IngrWt[[Ingredient]:[Ingredient]],0)),""),"")</f>
        <v/>
      </c>
    </row>
    <row r="11" spans="1:21" ht="11.45" customHeight="1" x14ac:dyDescent="0.15">
      <c r="A11" s="4" t="s">
        <v>121</v>
      </c>
      <c r="B11" s="14">
        <v>0.5</v>
      </c>
      <c r="C11" s="14"/>
      <c r="D11" s="14"/>
      <c r="E11" s="14">
        <v>1.25</v>
      </c>
      <c r="F11" s="14"/>
      <c r="G11" s="14"/>
      <c r="H11" s="12"/>
      <c r="I11" s="12"/>
      <c r="J11" s="12"/>
      <c r="L11" s="4" t="s">
        <v>121</v>
      </c>
      <c r="M11" s="13" cm="1">
        <f t="array" ref="M11">IFERROR(IF(INDEX(Tier3[[Cost/lb.]:[Cost/lb.]],MATCH(IngrCost[[#This Row],[Ingredient]:[Ingredient]],Tier3[[Ingredient]:[Ingredient]],0))*INDEX(IngrWt[Tuscan Herb],MATCH(IngrCost[[#This Row],[Ingredient]:[Ingredient]],IngrWt[[Ingredient]:[Ingredient]],0))&gt;0,INDEX(Tier3[[Cost/lb.]:[Cost/lb.]],MATCH(IngrCost[[#This Row],[Ingredient]:[Ingredient]],Tier3[[Ingredient]:[Ingredient]],0))*INDEX(IngrWt[Tuscan Herb],MATCH(IngrCost[[#This Row],[Ingredient]:[Ingredient]],IngrWt[[Ingredient]:[Ingredient]],0)),""),"")</f>
        <v>1.5</v>
      </c>
      <c r="N11" s="13" t="str" cm="1">
        <f t="array" ref="N11">IFERROR(IF(INDEX(Tier3[[Cost/lb.]:[Cost/lb.]],MATCH(IngrCost[[#This Row],[Ingredient]:[Ingredient]],Tier3[[Ingredient]:[Ingredient]],0))*INDEX(IngrWt[Garlic &amp; Herb],MATCH(IngrCost[[#This Row],[Ingredient]:[Ingredient]],IngrWt[[Ingredient]:[Ingredient]],0))&gt;0,INDEX(Tier3[[Cost/lb.]:[Cost/lb.]],MATCH(IngrCost[[#This Row],[Ingredient]:[Ingredient]],Tier3[[Ingredient]:[Ingredient]],0))*INDEX(IngrWt[Garlic &amp; Herb],MATCH(IngrCost[[#This Row],[Ingredient]:[Ingredient]],IngrWt[[Ingredient]:[Ingredient]],0)),""),"")</f>
        <v/>
      </c>
      <c r="O11" s="13" t="str" cm="1">
        <f t="array" ref="O11">IFERROR(IF(INDEX(Tier3[[Cost/lb.]:[Cost/lb.]],MATCH(IngrCost[[#This Row],[Ingredient]:[Ingredient]],Tier3[[Ingredient]:[Ingredient]],0))*INDEX(IngrWt[Meatloaf],MATCH(IngrCost[[#This Row],[Ingredient]:[Ingredient]],IngrWt[[Ingredient]:[Ingredient]],0))&gt;0,INDEX(Tier3[[Cost/lb.]:[Cost/lb.]],MATCH(IngrCost[[#This Row],[Ingredient]:[Ingredient]],Tier3[[Ingredient]:[Ingredient]],0))*INDEX(IngrWt[Meatloaf],MATCH(IngrCost[[#This Row],[Ingredient]:[Ingredient]],IngrWt[[Ingredient]:[Ingredient]],0)),""),"")</f>
        <v/>
      </c>
      <c r="P11" s="13" cm="1">
        <f t="array" ref="P11">IFERROR(IF(INDEX(Tier3[[Cost/lb.]:[Cost/lb.]],MATCH(IngrCost[[#This Row],[Ingredient]:[Ingredient]],Tier3[[Ingredient]:[Ingredient]],0))*INDEX(IngrWt[Pizza Patty],MATCH(IngrCost[[#This Row],[Ingredient]:[Ingredient]],IngrWt[[Ingredient]:[Ingredient]],0))&gt;0,INDEX(Tier3[[Cost/lb.]:[Cost/lb.]],MATCH(IngrCost[[#This Row],[Ingredient]:[Ingredient]],Tier3[[Ingredient]:[Ingredient]],0))*INDEX(IngrWt[Pizza Patty],MATCH(IngrCost[[#This Row],[Ingredient]:[Ingredient]],IngrWt[[Ingredient]:[Ingredient]],0)),""),"")</f>
        <v>3.75</v>
      </c>
      <c r="Q11" s="13" t="str" cm="1">
        <f t="array" ref="Q11">IFERROR(IF(INDEX(Tier3[[Cost/lb.]:[Cost/lb.]],MATCH(IngrCost[[#This Row],[Ingredient]:[Ingredient]],Tier3[[Ingredient]:[Ingredient]],0))*INDEX(IngrWt[Spicy Internal],MATCH(IngrCost[[#This Row],[Ingredient]:[Ingredient]],IngrWt[[Ingredient]:[Ingredient]],0))&gt;0,INDEX(Tier3[[Cost/lb.]:[Cost/lb.]],MATCH(IngrCost[[#This Row],[Ingredient]:[Ingredient]],Tier3[[Ingredient]:[Ingredient]],0))*INDEX(IngrWt[Spicy Internal],MATCH(IngrCost[[#This Row],[Ingredient]:[Ingredient]],IngrWt[[Ingredient]:[Ingredient]],0)),""),"")</f>
        <v/>
      </c>
      <c r="R11" s="13" t="str" cm="1">
        <f t="array" ref="R11">IFERROR(IF(INDEX(Tier3[[Cost/lb.]:[Cost/lb.]],MATCH(IngrCost[[#This Row],[Ingredient]:[Ingredient]],Tier3[[Ingredient]:[Ingredient]],0))*INDEX(IngrWt[Dinner Patty],MATCH(IngrCost[[#This Row],[Ingredient]:[Ingredient]],IngrWt[[Ingredient]:[Ingredient]],0))&gt;0,INDEX(Tier3[[Cost/lb.]:[Cost/lb.]],MATCH(IngrCost[[#This Row],[Ingredient]:[Ingredient]],Tier3[[Ingredient]:[Ingredient]],0))*INDEX(IngrWt[Dinner Patty],MATCH(IngrCost[[#This Row],[Ingredient]:[Ingredient]],IngrWt[[Ingredient]:[Ingredient]],0)),""),"")</f>
        <v/>
      </c>
      <c r="S11" s="13" t="str" cm="1">
        <f t="array" ref="S11">IFERROR(IF(INDEX(Tier3[[Cost/lb.]:[Cost/lb.]],MATCH(IngrCost[[#This Row],[Ingredient]:[Ingredient]],Tier3[[Ingredient]:[Ingredient]],0))*INDEX(IngrWt[Breakfast],MATCH(IngrCost[[#This Row],[Ingredient]:[Ingredient]],IngrWt[[Ingredient]:[Ingredient]],0))&gt;0,INDEX(Tier3[[Cost/lb.]:[Cost/lb.]],MATCH(IngrCost[[#This Row],[Ingredient]:[Ingredient]],Tier3[[Ingredient]:[Ingredient]],0))*INDEX(IngrWt[Breakfast],MATCH(IngrCost[[#This Row],[Ingredient]:[Ingredient]],IngrWt[[Ingredient]:[Ingredient]],0)),""),"")</f>
        <v/>
      </c>
      <c r="T11" s="13" t="str" cm="1">
        <f t="array" ref="T11">IFERROR(IF(INDEX(Tier3[[Cost/lb.]:[Cost/lb.]],MATCH(IngrCost[[#This Row],[Ingredient]:[Ingredient]],Tier3[[Ingredient]:[Ingredient]],0))*INDEX(IngrWt[Maple Breakfast],MATCH(IngrCost[[#This Row],[Ingredient]:[Ingredient]],IngrWt[[Ingredient]:[Ingredient]],0))&gt;0,INDEX(Tier3[[Cost/lb.]:[Cost/lb.]],MATCH(IngrCost[[#This Row],[Ingredient]:[Ingredient]],Tier3[[Ingredient]:[Ingredient]],0))*INDEX(IngrWt[Maple Breakfast],MATCH(IngrCost[[#This Row],[Ingredient]:[Ingredient]],IngrWt[[Ingredient]:[Ingredient]],0)),""),"")</f>
        <v/>
      </c>
      <c r="U11" s="13" t="str" cm="1">
        <f t="array" ref="U11">IFERROR(IF(INDEX(Tier3[[Cost/lb.]:[Cost/lb.]],MATCH(IngrCost[[#This Row],[Ingredient]:[Ingredient]],Tier3[[Ingredient]:[Ingredient]],0))*INDEX(IngrWt[Bean Burger],MATCH(IngrCost[[#This Row],[Ingredient]:[Ingredient]],IngrWt[[Ingredient]:[Ingredient]],0))&gt;0,INDEX(Tier3[[Cost/lb.]:[Cost/lb.]],MATCH(IngrCost[[#This Row],[Ingredient]:[Ingredient]],Tier3[[Ingredient]:[Ingredient]],0))*INDEX(IngrWt[Bean Burger],MATCH(IngrCost[[#This Row],[Ingredient]:[Ingredient]],IngrWt[[Ingredient]:[Ingredient]],0)),""),"")</f>
        <v/>
      </c>
    </row>
    <row r="12" spans="1:21" ht="11.45" customHeight="1" x14ac:dyDescent="0.15">
      <c r="A12" s="4" t="s">
        <v>81</v>
      </c>
      <c r="B12" s="14">
        <v>0.75</v>
      </c>
      <c r="C12" s="14">
        <v>1</v>
      </c>
      <c r="D12" s="14">
        <v>1</v>
      </c>
      <c r="E12" s="14">
        <v>1.25</v>
      </c>
      <c r="F12" s="14">
        <v>0.75</v>
      </c>
      <c r="G12" s="14">
        <v>1</v>
      </c>
      <c r="H12" s="12">
        <v>0.75</v>
      </c>
      <c r="I12" s="12">
        <v>0.75</v>
      </c>
      <c r="J12" s="12">
        <v>1</v>
      </c>
      <c r="L12" s="4" t="s">
        <v>81</v>
      </c>
      <c r="M12" s="13" cm="1">
        <f t="array" ref="M12">IFERROR(IF(INDEX(Tier3[[Cost/lb.]:[Cost/lb.]],MATCH(IngrCost[[#This Row],[Ingredient]:[Ingredient]],Tier3[[Ingredient]:[Ingredient]],0))*INDEX(IngrWt[Tuscan Herb],MATCH(IngrCost[[#This Row],[Ingredient]:[Ingredient]],IngrWt[[Ingredient]:[Ingredient]],0))&gt;0,INDEX(Tier3[[Cost/lb.]:[Cost/lb.]],MATCH(IngrCost[[#This Row],[Ingredient]:[Ingredient]],Tier3[[Ingredient]:[Ingredient]],0))*INDEX(IngrWt[Tuscan Herb],MATCH(IngrCost[[#This Row],[Ingredient]:[Ingredient]],IngrWt[[Ingredient]:[Ingredient]],0)),""),"")</f>
        <v>3</v>
      </c>
      <c r="N12" s="13" cm="1">
        <f t="array" ref="N12">IFERROR(IF(INDEX(Tier3[[Cost/lb.]:[Cost/lb.]],MATCH(IngrCost[[#This Row],[Ingredient]:[Ingredient]],Tier3[[Ingredient]:[Ingredient]],0))*INDEX(IngrWt[Garlic &amp; Herb],MATCH(IngrCost[[#This Row],[Ingredient]:[Ingredient]],IngrWt[[Ingredient]:[Ingredient]],0))&gt;0,INDEX(Tier3[[Cost/lb.]:[Cost/lb.]],MATCH(IngrCost[[#This Row],[Ingredient]:[Ingredient]],Tier3[[Ingredient]:[Ingredient]],0))*INDEX(IngrWt[Garlic &amp; Herb],MATCH(IngrCost[[#This Row],[Ingredient]:[Ingredient]],IngrWt[[Ingredient]:[Ingredient]],0)),""),"")</f>
        <v>4</v>
      </c>
      <c r="O12" s="13" cm="1">
        <f t="array" ref="O12">IFERROR(IF(INDEX(Tier3[[Cost/lb.]:[Cost/lb.]],MATCH(IngrCost[[#This Row],[Ingredient]:[Ingredient]],Tier3[[Ingredient]:[Ingredient]],0))*INDEX(IngrWt[Meatloaf],MATCH(IngrCost[[#This Row],[Ingredient]:[Ingredient]],IngrWt[[Ingredient]:[Ingredient]],0))&gt;0,INDEX(Tier3[[Cost/lb.]:[Cost/lb.]],MATCH(IngrCost[[#This Row],[Ingredient]:[Ingredient]],Tier3[[Ingredient]:[Ingredient]],0))*INDEX(IngrWt[Meatloaf],MATCH(IngrCost[[#This Row],[Ingredient]:[Ingredient]],IngrWt[[Ingredient]:[Ingredient]],0)),""),"")</f>
        <v>4</v>
      </c>
      <c r="P12" s="13" cm="1">
        <f t="array" ref="P12">IFERROR(IF(INDEX(Tier3[[Cost/lb.]:[Cost/lb.]],MATCH(IngrCost[[#This Row],[Ingredient]:[Ingredient]],Tier3[[Ingredient]:[Ingredient]],0))*INDEX(IngrWt[Pizza Patty],MATCH(IngrCost[[#This Row],[Ingredient]:[Ingredient]],IngrWt[[Ingredient]:[Ingredient]],0))&gt;0,INDEX(Tier3[[Cost/lb.]:[Cost/lb.]],MATCH(IngrCost[[#This Row],[Ingredient]:[Ingredient]],Tier3[[Ingredient]:[Ingredient]],0))*INDEX(IngrWt[Pizza Patty],MATCH(IngrCost[[#This Row],[Ingredient]:[Ingredient]],IngrWt[[Ingredient]:[Ingredient]],0)),""),"")</f>
        <v>5</v>
      </c>
      <c r="Q12" s="13" cm="1">
        <f t="array" ref="Q12">IFERROR(IF(INDEX(Tier3[[Cost/lb.]:[Cost/lb.]],MATCH(IngrCost[[#This Row],[Ingredient]:[Ingredient]],Tier3[[Ingredient]:[Ingredient]],0))*INDEX(IngrWt[Spicy Internal],MATCH(IngrCost[[#This Row],[Ingredient]:[Ingredient]],IngrWt[[Ingredient]:[Ingredient]],0))&gt;0,INDEX(Tier3[[Cost/lb.]:[Cost/lb.]],MATCH(IngrCost[[#This Row],[Ingredient]:[Ingredient]],Tier3[[Ingredient]:[Ingredient]],0))*INDEX(IngrWt[Spicy Internal],MATCH(IngrCost[[#This Row],[Ingredient]:[Ingredient]],IngrWt[[Ingredient]:[Ingredient]],0)),""),"")</f>
        <v>3</v>
      </c>
      <c r="R12" s="13" cm="1">
        <f t="array" ref="R12">IFERROR(IF(INDEX(Tier3[[Cost/lb.]:[Cost/lb.]],MATCH(IngrCost[[#This Row],[Ingredient]:[Ingredient]],Tier3[[Ingredient]:[Ingredient]],0))*INDEX(IngrWt[Dinner Patty],MATCH(IngrCost[[#This Row],[Ingredient]:[Ingredient]],IngrWt[[Ingredient]:[Ingredient]],0))&gt;0,INDEX(Tier3[[Cost/lb.]:[Cost/lb.]],MATCH(IngrCost[[#This Row],[Ingredient]:[Ingredient]],Tier3[[Ingredient]:[Ingredient]],0))*INDEX(IngrWt[Dinner Patty],MATCH(IngrCost[[#This Row],[Ingredient]:[Ingredient]],IngrWt[[Ingredient]:[Ingredient]],0)),""),"")</f>
        <v>4</v>
      </c>
      <c r="S12" s="13" cm="1">
        <f t="array" ref="S12">IFERROR(IF(INDEX(Tier3[[Cost/lb.]:[Cost/lb.]],MATCH(IngrCost[[#This Row],[Ingredient]:[Ingredient]],Tier3[[Ingredient]:[Ingredient]],0))*INDEX(IngrWt[Breakfast],MATCH(IngrCost[[#This Row],[Ingredient]:[Ingredient]],IngrWt[[Ingredient]:[Ingredient]],0))&gt;0,INDEX(Tier3[[Cost/lb.]:[Cost/lb.]],MATCH(IngrCost[[#This Row],[Ingredient]:[Ingredient]],Tier3[[Ingredient]:[Ingredient]],0))*INDEX(IngrWt[Breakfast],MATCH(IngrCost[[#This Row],[Ingredient]:[Ingredient]],IngrWt[[Ingredient]:[Ingredient]],0)),""),"")</f>
        <v>3</v>
      </c>
      <c r="T12" s="13" cm="1">
        <f t="array" ref="T12">IFERROR(IF(INDEX(Tier3[[Cost/lb.]:[Cost/lb.]],MATCH(IngrCost[[#This Row],[Ingredient]:[Ingredient]],Tier3[[Ingredient]:[Ingredient]],0))*INDEX(IngrWt[Maple Breakfast],MATCH(IngrCost[[#This Row],[Ingredient]:[Ingredient]],IngrWt[[Ingredient]:[Ingredient]],0))&gt;0,INDEX(Tier3[[Cost/lb.]:[Cost/lb.]],MATCH(IngrCost[[#This Row],[Ingredient]:[Ingredient]],Tier3[[Ingredient]:[Ingredient]],0))*INDEX(IngrWt[Maple Breakfast],MATCH(IngrCost[[#This Row],[Ingredient]:[Ingredient]],IngrWt[[Ingredient]:[Ingredient]],0)),""),"")</f>
        <v>3</v>
      </c>
      <c r="U12" s="13" cm="1">
        <f t="array" ref="U12">IFERROR(IF(INDEX(Tier3[[Cost/lb.]:[Cost/lb.]],MATCH(IngrCost[[#This Row],[Ingredient]:[Ingredient]],Tier3[[Ingredient]:[Ingredient]],0))*INDEX(IngrWt[Bean Burger],MATCH(IngrCost[[#This Row],[Ingredient]:[Ingredient]],IngrWt[[Ingredient]:[Ingredient]],0))&gt;0,INDEX(Tier3[[Cost/lb.]:[Cost/lb.]],MATCH(IngrCost[[#This Row],[Ingredient]:[Ingredient]],Tier3[[Ingredient]:[Ingredient]],0))*INDEX(IngrWt[Bean Burger],MATCH(IngrCost[[#This Row],[Ingredient]:[Ingredient]],IngrWt[[Ingredient]:[Ingredient]],0)),""),"")</f>
        <v>4</v>
      </c>
    </row>
    <row r="13" spans="1:21" ht="11.45" customHeight="1" x14ac:dyDescent="0.15">
      <c r="A13" s="4" t="s">
        <v>80</v>
      </c>
      <c r="B13" s="14"/>
      <c r="C13" s="14">
        <v>0.5</v>
      </c>
      <c r="D13" s="14"/>
      <c r="E13" s="14"/>
      <c r="F13" s="14"/>
      <c r="G13" s="14"/>
      <c r="H13" s="12">
        <v>0.4</v>
      </c>
      <c r="I13" s="12">
        <v>0.4</v>
      </c>
      <c r="J13" s="12"/>
      <c r="L13" s="4" t="s">
        <v>80</v>
      </c>
      <c r="M13" s="13" t="str" cm="1">
        <f t="array" ref="M13">IFERROR(IF(INDEX(Tier3[[Cost/lb.]:[Cost/lb.]],MATCH(IngrCost[[#This Row],[Ingredient]:[Ingredient]],Tier3[[Ingredient]:[Ingredient]],0))*INDEX(IngrWt[Tuscan Herb],MATCH(IngrCost[[#This Row],[Ingredient]:[Ingredient]],IngrWt[[Ingredient]:[Ingredient]],0))&gt;0,INDEX(Tier3[[Cost/lb.]:[Cost/lb.]],MATCH(IngrCost[[#This Row],[Ingredient]:[Ingredient]],Tier3[[Ingredient]:[Ingredient]],0))*INDEX(IngrWt[Tuscan Herb],MATCH(IngrCost[[#This Row],[Ingredient]:[Ingredient]],IngrWt[[Ingredient]:[Ingredient]],0)),""),"")</f>
        <v/>
      </c>
      <c r="N13" s="13" cm="1">
        <f t="array" ref="N13">IFERROR(IF(INDEX(Tier3[[Cost/lb.]:[Cost/lb.]],MATCH(IngrCost[[#This Row],[Ingredient]:[Ingredient]],Tier3[[Ingredient]:[Ingredient]],0))*INDEX(IngrWt[Garlic &amp; Herb],MATCH(IngrCost[[#This Row],[Ingredient]:[Ingredient]],IngrWt[[Ingredient]:[Ingredient]],0))&gt;0,INDEX(Tier3[[Cost/lb.]:[Cost/lb.]],MATCH(IngrCost[[#This Row],[Ingredient]:[Ingredient]],Tier3[[Ingredient]:[Ingredient]],0))*INDEX(IngrWt[Garlic &amp; Herb],MATCH(IngrCost[[#This Row],[Ingredient]:[Ingredient]],IngrWt[[Ingredient]:[Ingredient]],0)),""),"")</f>
        <v>1.5</v>
      </c>
      <c r="O13" s="13" t="str" cm="1">
        <f t="array" ref="O13">IFERROR(IF(INDEX(Tier3[[Cost/lb.]:[Cost/lb.]],MATCH(IngrCost[[#This Row],[Ingredient]:[Ingredient]],Tier3[[Ingredient]:[Ingredient]],0))*INDEX(IngrWt[Meatloaf],MATCH(IngrCost[[#This Row],[Ingredient]:[Ingredient]],IngrWt[[Ingredient]:[Ingredient]],0))&gt;0,INDEX(Tier3[[Cost/lb.]:[Cost/lb.]],MATCH(IngrCost[[#This Row],[Ingredient]:[Ingredient]],Tier3[[Ingredient]:[Ingredient]],0))*INDEX(IngrWt[Meatloaf],MATCH(IngrCost[[#This Row],[Ingredient]:[Ingredient]],IngrWt[[Ingredient]:[Ingredient]],0)),""),"")</f>
        <v/>
      </c>
      <c r="P13" s="13" t="str" cm="1">
        <f t="array" ref="P13">IFERROR(IF(INDEX(Tier3[[Cost/lb.]:[Cost/lb.]],MATCH(IngrCost[[#This Row],[Ingredient]:[Ingredient]],Tier3[[Ingredient]:[Ingredient]],0))*INDEX(IngrWt[Pizza Patty],MATCH(IngrCost[[#This Row],[Ingredient]:[Ingredient]],IngrWt[[Ingredient]:[Ingredient]],0))&gt;0,INDEX(Tier3[[Cost/lb.]:[Cost/lb.]],MATCH(IngrCost[[#This Row],[Ingredient]:[Ingredient]],Tier3[[Ingredient]:[Ingredient]],0))*INDEX(IngrWt[Pizza Patty],MATCH(IngrCost[[#This Row],[Ingredient]:[Ingredient]],IngrWt[[Ingredient]:[Ingredient]],0)),""),"")</f>
        <v/>
      </c>
      <c r="Q13" s="13" t="str" cm="1">
        <f t="array" ref="Q13">IFERROR(IF(INDEX(Tier3[[Cost/lb.]:[Cost/lb.]],MATCH(IngrCost[[#This Row],[Ingredient]:[Ingredient]],Tier3[[Ingredient]:[Ingredient]],0))*INDEX(IngrWt[Spicy Internal],MATCH(IngrCost[[#This Row],[Ingredient]:[Ingredient]],IngrWt[[Ingredient]:[Ingredient]],0))&gt;0,INDEX(Tier3[[Cost/lb.]:[Cost/lb.]],MATCH(IngrCost[[#This Row],[Ingredient]:[Ingredient]],Tier3[[Ingredient]:[Ingredient]],0))*INDEX(IngrWt[Spicy Internal],MATCH(IngrCost[[#This Row],[Ingredient]:[Ingredient]],IngrWt[[Ingredient]:[Ingredient]],0)),""),"")</f>
        <v/>
      </c>
      <c r="R13" s="13" t="str" cm="1">
        <f t="array" ref="R13">IFERROR(IF(INDEX(Tier3[[Cost/lb.]:[Cost/lb.]],MATCH(IngrCost[[#This Row],[Ingredient]:[Ingredient]],Tier3[[Ingredient]:[Ingredient]],0))*INDEX(IngrWt[Dinner Patty],MATCH(IngrCost[[#This Row],[Ingredient]:[Ingredient]],IngrWt[[Ingredient]:[Ingredient]],0))&gt;0,INDEX(Tier3[[Cost/lb.]:[Cost/lb.]],MATCH(IngrCost[[#This Row],[Ingredient]:[Ingredient]],Tier3[[Ingredient]:[Ingredient]],0))*INDEX(IngrWt[Dinner Patty],MATCH(IngrCost[[#This Row],[Ingredient]:[Ingredient]],IngrWt[[Ingredient]:[Ingredient]],0)),""),"")</f>
        <v/>
      </c>
      <c r="S13" s="13" cm="1">
        <f t="array" ref="S13">IFERROR(IF(INDEX(Tier3[[Cost/lb.]:[Cost/lb.]],MATCH(IngrCost[[#This Row],[Ingredient]:[Ingredient]],Tier3[[Ingredient]:[Ingredient]],0))*INDEX(IngrWt[Breakfast],MATCH(IngrCost[[#This Row],[Ingredient]:[Ingredient]],IngrWt[[Ingredient]:[Ingredient]],0))&gt;0,INDEX(Tier3[[Cost/lb.]:[Cost/lb.]],MATCH(IngrCost[[#This Row],[Ingredient]:[Ingredient]],Tier3[[Ingredient]:[Ingredient]],0))*INDEX(IngrWt[Breakfast],MATCH(IngrCost[[#This Row],[Ingredient]:[Ingredient]],IngrWt[[Ingredient]:[Ingredient]],0)),""),"")</f>
        <v>1.2000000000000002</v>
      </c>
      <c r="T13" s="13" cm="1">
        <f t="array" ref="T13">IFERROR(IF(INDEX(Tier3[[Cost/lb.]:[Cost/lb.]],MATCH(IngrCost[[#This Row],[Ingredient]:[Ingredient]],Tier3[[Ingredient]:[Ingredient]],0))*INDEX(IngrWt[Maple Breakfast],MATCH(IngrCost[[#This Row],[Ingredient]:[Ingredient]],IngrWt[[Ingredient]:[Ingredient]],0))&gt;0,INDEX(Tier3[[Cost/lb.]:[Cost/lb.]],MATCH(IngrCost[[#This Row],[Ingredient]:[Ingredient]],Tier3[[Ingredient]:[Ingredient]],0))*INDEX(IngrWt[Maple Breakfast],MATCH(IngrCost[[#This Row],[Ingredient]:[Ingredient]],IngrWt[[Ingredient]:[Ingredient]],0)),""),"")</f>
        <v>1.2000000000000002</v>
      </c>
      <c r="U13" s="13" t="str" cm="1">
        <f t="array" ref="U13">IFERROR(IF(INDEX(Tier3[[Cost/lb.]:[Cost/lb.]],MATCH(IngrCost[[#This Row],[Ingredient]:[Ingredient]],Tier3[[Ingredient]:[Ingredient]],0))*INDEX(IngrWt[Bean Burger],MATCH(IngrCost[[#This Row],[Ingredient]:[Ingredient]],IngrWt[[Ingredient]:[Ingredient]],0))&gt;0,INDEX(Tier3[[Cost/lb.]:[Cost/lb.]],MATCH(IngrCost[[#This Row],[Ingredient]:[Ingredient]],Tier3[[Ingredient]:[Ingredient]],0))*INDEX(IngrWt[Bean Burger],MATCH(IngrCost[[#This Row],[Ingredient]:[Ingredient]],IngrWt[[Ingredient]:[Ingredient]],0)),""),"")</f>
        <v/>
      </c>
    </row>
    <row r="14" spans="1:21" ht="11.45" customHeight="1" x14ac:dyDescent="0.15">
      <c r="A14" s="4" t="s">
        <v>79</v>
      </c>
      <c r="B14" s="14"/>
      <c r="C14" s="14"/>
      <c r="D14" s="14"/>
      <c r="E14" s="14"/>
      <c r="F14" s="14"/>
      <c r="G14" s="14">
        <v>0.25</v>
      </c>
      <c r="H14" s="12"/>
      <c r="I14" s="12"/>
      <c r="J14" s="12"/>
      <c r="L14" s="4" t="s">
        <v>79</v>
      </c>
      <c r="M14" s="13" t="str" cm="1">
        <f t="array" ref="M14">IFERROR(IF(INDEX(Tier3[[Cost/lb.]:[Cost/lb.]],MATCH(IngrCost[[#This Row],[Ingredient]:[Ingredient]],Tier3[[Ingredient]:[Ingredient]],0))*INDEX(IngrWt[Tuscan Herb],MATCH(IngrCost[[#This Row],[Ingredient]:[Ingredient]],IngrWt[[Ingredient]:[Ingredient]],0))&gt;0,INDEX(Tier3[[Cost/lb.]:[Cost/lb.]],MATCH(IngrCost[[#This Row],[Ingredient]:[Ingredient]],Tier3[[Ingredient]:[Ingredient]],0))*INDEX(IngrWt[Tuscan Herb],MATCH(IngrCost[[#This Row],[Ingredient]:[Ingredient]],IngrWt[[Ingredient]:[Ingredient]],0)),""),"")</f>
        <v/>
      </c>
      <c r="N14" s="13" t="str" cm="1">
        <f t="array" ref="N14">IFERROR(IF(INDEX(Tier3[[Cost/lb.]:[Cost/lb.]],MATCH(IngrCost[[#This Row],[Ingredient]:[Ingredient]],Tier3[[Ingredient]:[Ingredient]],0))*INDEX(IngrWt[Garlic &amp; Herb],MATCH(IngrCost[[#This Row],[Ingredient]:[Ingredient]],IngrWt[[Ingredient]:[Ingredient]],0))&gt;0,INDEX(Tier3[[Cost/lb.]:[Cost/lb.]],MATCH(IngrCost[[#This Row],[Ingredient]:[Ingredient]],Tier3[[Ingredient]:[Ingredient]],0))*INDEX(IngrWt[Garlic &amp; Herb],MATCH(IngrCost[[#This Row],[Ingredient]:[Ingredient]],IngrWt[[Ingredient]:[Ingredient]],0)),""),"")</f>
        <v/>
      </c>
      <c r="O14" s="13" t="str" cm="1">
        <f t="array" ref="O14">IFERROR(IF(INDEX(Tier3[[Cost/lb.]:[Cost/lb.]],MATCH(IngrCost[[#This Row],[Ingredient]:[Ingredient]],Tier3[[Ingredient]:[Ingredient]],0))*INDEX(IngrWt[Meatloaf],MATCH(IngrCost[[#This Row],[Ingredient]:[Ingredient]],IngrWt[[Ingredient]:[Ingredient]],0))&gt;0,INDEX(Tier3[[Cost/lb.]:[Cost/lb.]],MATCH(IngrCost[[#This Row],[Ingredient]:[Ingredient]],Tier3[[Ingredient]:[Ingredient]],0))*INDEX(IngrWt[Meatloaf],MATCH(IngrCost[[#This Row],[Ingredient]:[Ingredient]],IngrWt[[Ingredient]:[Ingredient]],0)),""),"")</f>
        <v/>
      </c>
      <c r="P14" s="13" t="str" cm="1">
        <f t="array" ref="P14">IFERROR(IF(INDEX(Tier3[[Cost/lb.]:[Cost/lb.]],MATCH(IngrCost[[#This Row],[Ingredient]:[Ingredient]],Tier3[[Ingredient]:[Ingredient]],0))*INDEX(IngrWt[Pizza Patty],MATCH(IngrCost[[#This Row],[Ingredient]:[Ingredient]],IngrWt[[Ingredient]:[Ingredient]],0))&gt;0,INDEX(Tier3[[Cost/lb.]:[Cost/lb.]],MATCH(IngrCost[[#This Row],[Ingredient]:[Ingredient]],Tier3[[Ingredient]:[Ingredient]],0))*INDEX(IngrWt[Pizza Patty],MATCH(IngrCost[[#This Row],[Ingredient]:[Ingredient]],IngrWt[[Ingredient]:[Ingredient]],0)),""),"")</f>
        <v/>
      </c>
      <c r="Q14" s="13" t="str" cm="1">
        <f t="array" ref="Q14">IFERROR(IF(INDEX(Tier3[[Cost/lb.]:[Cost/lb.]],MATCH(IngrCost[[#This Row],[Ingredient]:[Ingredient]],Tier3[[Ingredient]:[Ingredient]],0))*INDEX(IngrWt[Spicy Internal],MATCH(IngrCost[[#This Row],[Ingredient]:[Ingredient]],IngrWt[[Ingredient]:[Ingredient]],0))&gt;0,INDEX(Tier3[[Cost/lb.]:[Cost/lb.]],MATCH(IngrCost[[#This Row],[Ingredient]:[Ingredient]],Tier3[[Ingredient]:[Ingredient]],0))*INDEX(IngrWt[Spicy Internal],MATCH(IngrCost[[#This Row],[Ingredient]:[Ingredient]],IngrWt[[Ingredient]:[Ingredient]],0)),""),"")</f>
        <v/>
      </c>
      <c r="R14" s="13" cm="1">
        <f t="array" ref="R14">IFERROR(IF(INDEX(Tier3[[Cost/lb.]:[Cost/lb.]],MATCH(IngrCost[[#This Row],[Ingredient]:[Ingredient]],Tier3[[Ingredient]:[Ingredient]],0))*INDEX(IngrWt[Dinner Patty],MATCH(IngrCost[[#This Row],[Ingredient]:[Ingredient]],IngrWt[[Ingredient]:[Ingredient]],0))&gt;0,INDEX(Tier3[[Cost/lb.]:[Cost/lb.]],MATCH(IngrCost[[#This Row],[Ingredient]:[Ingredient]],Tier3[[Ingredient]:[Ingredient]],0))*INDEX(IngrWt[Dinner Patty],MATCH(IngrCost[[#This Row],[Ingredient]:[Ingredient]],IngrWt[[Ingredient]:[Ingredient]],0)),""),"")</f>
        <v>1.25</v>
      </c>
      <c r="S14" s="13" t="str" cm="1">
        <f t="array" ref="S14">IFERROR(IF(INDEX(Tier3[[Cost/lb.]:[Cost/lb.]],MATCH(IngrCost[[#This Row],[Ingredient]:[Ingredient]],Tier3[[Ingredient]:[Ingredient]],0))*INDEX(IngrWt[Breakfast],MATCH(IngrCost[[#This Row],[Ingredient]:[Ingredient]],IngrWt[[Ingredient]:[Ingredient]],0))&gt;0,INDEX(Tier3[[Cost/lb.]:[Cost/lb.]],MATCH(IngrCost[[#This Row],[Ingredient]:[Ingredient]],Tier3[[Ingredient]:[Ingredient]],0))*INDEX(IngrWt[Breakfast],MATCH(IngrCost[[#This Row],[Ingredient]:[Ingredient]],IngrWt[[Ingredient]:[Ingredient]],0)),""),"")</f>
        <v/>
      </c>
      <c r="T14" s="13" t="str" cm="1">
        <f t="array" ref="T14">IFERROR(IF(INDEX(Tier3[[Cost/lb.]:[Cost/lb.]],MATCH(IngrCost[[#This Row],[Ingredient]:[Ingredient]],Tier3[[Ingredient]:[Ingredient]],0))*INDEX(IngrWt[Maple Breakfast],MATCH(IngrCost[[#This Row],[Ingredient]:[Ingredient]],IngrWt[[Ingredient]:[Ingredient]],0))&gt;0,INDEX(Tier3[[Cost/lb.]:[Cost/lb.]],MATCH(IngrCost[[#This Row],[Ingredient]:[Ingredient]],Tier3[[Ingredient]:[Ingredient]],0))*INDEX(IngrWt[Maple Breakfast],MATCH(IngrCost[[#This Row],[Ingredient]:[Ingredient]],IngrWt[[Ingredient]:[Ingredient]],0)),""),"")</f>
        <v/>
      </c>
      <c r="U14" s="13" t="str" cm="1">
        <f t="array" ref="U14">IFERROR(IF(INDEX(Tier3[[Cost/lb.]:[Cost/lb.]],MATCH(IngrCost[[#This Row],[Ingredient]:[Ingredient]],Tier3[[Ingredient]:[Ingredient]],0))*INDEX(IngrWt[Bean Burger],MATCH(IngrCost[[#This Row],[Ingredient]:[Ingredient]],IngrWt[[Ingredient]:[Ingredient]],0))&gt;0,INDEX(Tier3[[Cost/lb.]:[Cost/lb.]],MATCH(IngrCost[[#This Row],[Ingredient]:[Ingredient]],Tier3[[Ingredient]:[Ingredient]],0))*INDEX(IngrWt[Bean Burger],MATCH(IngrCost[[#This Row],[Ingredient]:[Ingredient]],IngrWt[[Ingredient]:[Ingredient]],0)),""),"")</f>
        <v/>
      </c>
    </row>
    <row r="15" spans="1:21" ht="11.45" customHeight="1" x14ac:dyDescent="0.15">
      <c r="A15" s="4" t="s">
        <v>78</v>
      </c>
      <c r="B15" s="14"/>
      <c r="C15" s="14"/>
      <c r="D15" s="14"/>
      <c r="E15" s="14"/>
      <c r="F15" s="14"/>
      <c r="G15" s="14"/>
      <c r="H15" s="12"/>
      <c r="I15" s="12"/>
      <c r="J15" s="12"/>
      <c r="L15" s="4" t="s">
        <v>78</v>
      </c>
      <c r="M15" s="13" t="str" cm="1">
        <f t="array" ref="M15">IFERROR(IF(INDEX(Tier3[[Cost/lb.]:[Cost/lb.]],MATCH(IngrCost[[#This Row],[Ingredient]:[Ingredient]],Tier3[[Ingredient]:[Ingredient]],0))*INDEX(IngrWt[Tuscan Herb],MATCH(IngrCost[[#This Row],[Ingredient]:[Ingredient]],IngrWt[[Ingredient]:[Ingredient]],0))&gt;0,INDEX(Tier3[[Cost/lb.]:[Cost/lb.]],MATCH(IngrCost[[#This Row],[Ingredient]:[Ingredient]],Tier3[[Ingredient]:[Ingredient]],0))*INDEX(IngrWt[Tuscan Herb],MATCH(IngrCost[[#This Row],[Ingredient]:[Ingredient]],IngrWt[[Ingredient]:[Ingredient]],0)),""),"")</f>
        <v/>
      </c>
      <c r="N15" s="13" t="str" cm="1">
        <f t="array" ref="N15">IFERROR(IF(INDEX(Tier3[[Cost/lb.]:[Cost/lb.]],MATCH(IngrCost[[#This Row],[Ingredient]:[Ingredient]],Tier3[[Ingredient]:[Ingredient]],0))*INDEX(IngrWt[Garlic &amp; Herb],MATCH(IngrCost[[#This Row],[Ingredient]:[Ingredient]],IngrWt[[Ingredient]:[Ingredient]],0))&gt;0,INDEX(Tier3[[Cost/lb.]:[Cost/lb.]],MATCH(IngrCost[[#This Row],[Ingredient]:[Ingredient]],Tier3[[Ingredient]:[Ingredient]],0))*INDEX(IngrWt[Garlic &amp; Herb],MATCH(IngrCost[[#This Row],[Ingredient]:[Ingredient]],IngrWt[[Ingredient]:[Ingredient]],0)),""),"")</f>
        <v/>
      </c>
      <c r="O15" s="13" t="str" cm="1">
        <f t="array" ref="O15">IFERROR(IF(INDEX(Tier3[[Cost/lb.]:[Cost/lb.]],MATCH(IngrCost[[#This Row],[Ingredient]:[Ingredient]],Tier3[[Ingredient]:[Ingredient]],0))*INDEX(IngrWt[Meatloaf],MATCH(IngrCost[[#This Row],[Ingredient]:[Ingredient]],IngrWt[[Ingredient]:[Ingredient]],0))&gt;0,INDEX(Tier3[[Cost/lb.]:[Cost/lb.]],MATCH(IngrCost[[#This Row],[Ingredient]:[Ingredient]],Tier3[[Ingredient]:[Ingredient]],0))*INDEX(IngrWt[Meatloaf],MATCH(IngrCost[[#This Row],[Ingredient]:[Ingredient]],IngrWt[[Ingredient]:[Ingredient]],0)),""),"")</f>
        <v/>
      </c>
      <c r="P15" s="13" t="str" cm="1">
        <f t="array" ref="P15">IFERROR(IF(INDEX(Tier3[[Cost/lb.]:[Cost/lb.]],MATCH(IngrCost[[#This Row],[Ingredient]:[Ingredient]],Tier3[[Ingredient]:[Ingredient]],0))*INDEX(IngrWt[Pizza Patty],MATCH(IngrCost[[#This Row],[Ingredient]:[Ingredient]],IngrWt[[Ingredient]:[Ingredient]],0))&gt;0,INDEX(Tier3[[Cost/lb.]:[Cost/lb.]],MATCH(IngrCost[[#This Row],[Ingredient]:[Ingredient]],Tier3[[Ingredient]:[Ingredient]],0))*INDEX(IngrWt[Pizza Patty],MATCH(IngrCost[[#This Row],[Ingredient]:[Ingredient]],IngrWt[[Ingredient]:[Ingredient]],0)),""),"")</f>
        <v/>
      </c>
      <c r="Q15" s="13" t="str" cm="1">
        <f t="array" ref="Q15">IFERROR(IF(INDEX(Tier3[[Cost/lb.]:[Cost/lb.]],MATCH(IngrCost[[#This Row],[Ingredient]:[Ingredient]],Tier3[[Ingredient]:[Ingredient]],0))*INDEX(IngrWt[Spicy Internal],MATCH(IngrCost[[#This Row],[Ingredient]:[Ingredient]],IngrWt[[Ingredient]:[Ingredient]],0))&gt;0,INDEX(Tier3[[Cost/lb.]:[Cost/lb.]],MATCH(IngrCost[[#This Row],[Ingredient]:[Ingredient]],Tier3[[Ingredient]:[Ingredient]],0))*INDEX(IngrWt[Spicy Internal],MATCH(IngrCost[[#This Row],[Ingredient]:[Ingredient]],IngrWt[[Ingredient]:[Ingredient]],0)),""),"")</f>
        <v/>
      </c>
      <c r="R15" s="13" t="str" cm="1">
        <f t="array" ref="R15">IFERROR(IF(INDEX(Tier3[[Cost/lb.]:[Cost/lb.]],MATCH(IngrCost[[#This Row],[Ingredient]:[Ingredient]],Tier3[[Ingredient]:[Ingredient]],0))*INDEX(IngrWt[Dinner Patty],MATCH(IngrCost[[#This Row],[Ingredient]:[Ingredient]],IngrWt[[Ingredient]:[Ingredient]],0))&gt;0,INDEX(Tier3[[Cost/lb.]:[Cost/lb.]],MATCH(IngrCost[[#This Row],[Ingredient]:[Ingredient]],Tier3[[Ingredient]:[Ingredient]],0))*INDEX(IngrWt[Dinner Patty],MATCH(IngrCost[[#This Row],[Ingredient]:[Ingredient]],IngrWt[[Ingredient]:[Ingredient]],0)),""),"")</f>
        <v/>
      </c>
      <c r="S15" s="13" t="str" cm="1">
        <f t="array" ref="S15">IFERROR(IF(INDEX(Tier3[[Cost/lb.]:[Cost/lb.]],MATCH(IngrCost[[#This Row],[Ingredient]:[Ingredient]],Tier3[[Ingredient]:[Ingredient]],0))*INDEX(IngrWt[Breakfast],MATCH(IngrCost[[#This Row],[Ingredient]:[Ingredient]],IngrWt[[Ingredient]:[Ingredient]],0))&gt;0,INDEX(Tier3[[Cost/lb.]:[Cost/lb.]],MATCH(IngrCost[[#This Row],[Ingredient]:[Ingredient]],Tier3[[Ingredient]:[Ingredient]],0))*INDEX(IngrWt[Breakfast],MATCH(IngrCost[[#This Row],[Ingredient]:[Ingredient]],IngrWt[[Ingredient]:[Ingredient]],0)),""),"")</f>
        <v/>
      </c>
      <c r="T15" s="13" t="str" cm="1">
        <f t="array" ref="T15">IFERROR(IF(INDEX(Tier3[[Cost/lb.]:[Cost/lb.]],MATCH(IngrCost[[#This Row],[Ingredient]:[Ingredient]],Tier3[[Ingredient]:[Ingredient]],0))*INDEX(IngrWt[Maple Breakfast],MATCH(IngrCost[[#This Row],[Ingredient]:[Ingredient]],IngrWt[[Ingredient]:[Ingredient]],0))&gt;0,INDEX(Tier3[[Cost/lb.]:[Cost/lb.]],MATCH(IngrCost[[#This Row],[Ingredient]:[Ingredient]],Tier3[[Ingredient]:[Ingredient]],0))*INDEX(IngrWt[Maple Breakfast],MATCH(IngrCost[[#This Row],[Ingredient]:[Ingredient]],IngrWt[[Ingredient]:[Ingredient]],0)),""),"")</f>
        <v/>
      </c>
      <c r="U15" s="13" t="str" cm="1">
        <f t="array" ref="U15">IFERROR(IF(INDEX(Tier3[[Cost/lb.]:[Cost/lb.]],MATCH(IngrCost[[#This Row],[Ingredient]:[Ingredient]],Tier3[[Ingredient]:[Ingredient]],0))*INDEX(IngrWt[Bean Burger],MATCH(IngrCost[[#This Row],[Ingredient]:[Ingredient]],IngrWt[[Ingredient]:[Ingredient]],0))&gt;0,INDEX(Tier3[[Cost/lb.]:[Cost/lb.]],MATCH(IngrCost[[#This Row],[Ingredient]:[Ingredient]],Tier3[[Ingredient]:[Ingredient]],0))*INDEX(IngrWt[Bean Burger],MATCH(IngrCost[[#This Row],[Ingredient]:[Ingredient]],IngrWt[[Ingredient]:[Ingredient]],0)),""),"")</f>
        <v/>
      </c>
    </row>
    <row r="16" spans="1:21" ht="11.45" customHeight="1" x14ac:dyDescent="0.15">
      <c r="A16" s="4" t="s">
        <v>77</v>
      </c>
      <c r="B16" s="14"/>
      <c r="C16" s="14"/>
      <c r="D16" s="14"/>
      <c r="E16" s="14"/>
      <c r="F16" s="14"/>
      <c r="G16" s="14">
        <v>1</v>
      </c>
      <c r="H16" s="12"/>
      <c r="I16" s="12"/>
      <c r="J16" s="12"/>
      <c r="L16" s="4" t="s">
        <v>77</v>
      </c>
      <c r="M16" s="13" t="str" cm="1">
        <f t="array" ref="M16">IFERROR(IF(INDEX(Tier3[[Cost/lb.]:[Cost/lb.]],MATCH(IngrCost[[#This Row],[Ingredient]:[Ingredient]],Tier3[[Ingredient]:[Ingredient]],0))*INDEX(IngrWt[Tuscan Herb],MATCH(IngrCost[[#This Row],[Ingredient]:[Ingredient]],IngrWt[[Ingredient]:[Ingredient]],0))&gt;0,INDEX(Tier3[[Cost/lb.]:[Cost/lb.]],MATCH(IngrCost[[#This Row],[Ingredient]:[Ingredient]],Tier3[[Ingredient]:[Ingredient]],0))*INDEX(IngrWt[Tuscan Herb],MATCH(IngrCost[[#This Row],[Ingredient]:[Ingredient]],IngrWt[[Ingredient]:[Ingredient]],0)),""),"")</f>
        <v/>
      </c>
      <c r="N16" s="13" t="str" cm="1">
        <f t="array" ref="N16">IFERROR(IF(INDEX(Tier3[[Cost/lb.]:[Cost/lb.]],MATCH(IngrCost[[#This Row],[Ingredient]:[Ingredient]],Tier3[[Ingredient]:[Ingredient]],0))*INDEX(IngrWt[Garlic &amp; Herb],MATCH(IngrCost[[#This Row],[Ingredient]:[Ingredient]],IngrWt[[Ingredient]:[Ingredient]],0))&gt;0,INDEX(Tier3[[Cost/lb.]:[Cost/lb.]],MATCH(IngrCost[[#This Row],[Ingredient]:[Ingredient]],Tier3[[Ingredient]:[Ingredient]],0))*INDEX(IngrWt[Garlic &amp; Herb],MATCH(IngrCost[[#This Row],[Ingredient]:[Ingredient]],IngrWt[[Ingredient]:[Ingredient]],0)),""),"")</f>
        <v/>
      </c>
      <c r="O16" s="13" t="str" cm="1">
        <f t="array" ref="O16">IFERROR(IF(INDEX(Tier3[[Cost/lb.]:[Cost/lb.]],MATCH(IngrCost[[#This Row],[Ingredient]:[Ingredient]],Tier3[[Ingredient]:[Ingredient]],0))*INDEX(IngrWt[Meatloaf],MATCH(IngrCost[[#This Row],[Ingredient]:[Ingredient]],IngrWt[[Ingredient]:[Ingredient]],0))&gt;0,INDEX(Tier3[[Cost/lb.]:[Cost/lb.]],MATCH(IngrCost[[#This Row],[Ingredient]:[Ingredient]],Tier3[[Ingredient]:[Ingredient]],0))*INDEX(IngrWt[Meatloaf],MATCH(IngrCost[[#This Row],[Ingredient]:[Ingredient]],IngrWt[[Ingredient]:[Ingredient]],0)),""),"")</f>
        <v/>
      </c>
      <c r="P16" s="13" t="str" cm="1">
        <f t="array" ref="P16">IFERROR(IF(INDEX(Tier3[[Cost/lb.]:[Cost/lb.]],MATCH(IngrCost[[#This Row],[Ingredient]:[Ingredient]],Tier3[[Ingredient]:[Ingredient]],0))*INDEX(IngrWt[Pizza Patty],MATCH(IngrCost[[#This Row],[Ingredient]:[Ingredient]],IngrWt[[Ingredient]:[Ingredient]],0))&gt;0,INDEX(Tier3[[Cost/lb.]:[Cost/lb.]],MATCH(IngrCost[[#This Row],[Ingredient]:[Ingredient]],Tier3[[Ingredient]:[Ingredient]],0))*INDEX(IngrWt[Pizza Patty],MATCH(IngrCost[[#This Row],[Ingredient]:[Ingredient]],IngrWt[[Ingredient]:[Ingredient]],0)),""),"")</f>
        <v/>
      </c>
      <c r="Q16" s="13" t="str" cm="1">
        <f t="array" ref="Q16">IFERROR(IF(INDEX(Tier3[[Cost/lb.]:[Cost/lb.]],MATCH(IngrCost[[#This Row],[Ingredient]:[Ingredient]],Tier3[[Ingredient]:[Ingredient]],0))*INDEX(IngrWt[Spicy Internal],MATCH(IngrCost[[#This Row],[Ingredient]:[Ingredient]],IngrWt[[Ingredient]:[Ingredient]],0))&gt;0,INDEX(Tier3[[Cost/lb.]:[Cost/lb.]],MATCH(IngrCost[[#This Row],[Ingredient]:[Ingredient]],Tier3[[Ingredient]:[Ingredient]],0))*INDEX(IngrWt[Spicy Internal],MATCH(IngrCost[[#This Row],[Ingredient]:[Ingredient]],IngrWt[[Ingredient]:[Ingredient]],0)),""),"")</f>
        <v/>
      </c>
      <c r="R16" s="13" cm="1">
        <f t="array" ref="R16">IFERROR(IF(INDEX(Tier3[[Cost/lb.]:[Cost/lb.]],MATCH(IngrCost[[#This Row],[Ingredient]:[Ingredient]],Tier3[[Ingredient]:[Ingredient]],0))*INDEX(IngrWt[Dinner Patty],MATCH(IngrCost[[#This Row],[Ingredient]:[Ingredient]],IngrWt[[Ingredient]:[Ingredient]],0))&gt;0,INDEX(Tier3[[Cost/lb.]:[Cost/lb.]],MATCH(IngrCost[[#This Row],[Ingredient]:[Ingredient]],Tier3[[Ingredient]:[Ingredient]],0))*INDEX(IngrWt[Dinner Patty],MATCH(IngrCost[[#This Row],[Ingredient]:[Ingredient]],IngrWt[[Ingredient]:[Ingredient]],0)),""),"")</f>
        <v>1.5</v>
      </c>
      <c r="S16" s="13" t="str" cm="1">
        <f t="array" ref="S16">IFERROR(IF(INDEX(Tier3[[Cost/lb.]:[Cost/lb.]],MATCH(IngrCost[[#This Row],[Ingredient]:[Ingredient]],Tier3[[Ingredient]:[Ingredient]],0))*INDEX(IngrWt[Breakfast],MATCH(IngrCost[[#This Row],[Ingredient]:[Ingredient]],IngrWt[[Ingredient]:[Ingredient]],0))&gt;0,INDEX(Tier3[[Cost/lb.]:[Cost/lb.]],MATCH(IngrCost[[#This Row],[Ingredient]:[Ingredient]],Tier3[[Ingredient]:[Ingredient]],0))*INDEX(IngrWt[Breakfast],MATCH(IngrCost[[#This Row],[Ingredient]:[Ingredient]],IngrWt[[Ingredient]:[Ingredient]],0)),""),"")</f>
        <v/>
      </c>
      <c r="T16" s="13" t="str" cm="1">
        <f t="array" ref="T16">IFERROR(IF(INDEX(Tier3[[Cost/lb.]:[Cost/lb.]],MATCH(IngrCost[[#This Row],[Ingredient]:[Ingredient]],Tier3[[Ingredient]:[Ingredient]],0))*INDEX(IngrWt[Maple Breakfast],MATCH(IngrCost[[#This Row],[Ingredient]:[Ingredient]],IngrWt[[Ingredient]:[Ingredient]],0))&gt;0,INDEX(Tier3[[Cost/lb.]:[Cost/lb.]],MATCH(IngrCost[[#This Row],[Ingredient]:[Ingredient]],Tier3[[Ingredient]:[Ingredient]],0))*INDEX(IngrWt[Maple Breakfast],MATCH(IngrCost[[#This Row],[Ingredient]:[Ingredient]],IngrWt[[Ingredient]:[Ingredient]],0)),""),"")</f>
        <v/>
      </c>
      <c r="U16" s="13" t="str" cm="1">
        <f t="array" ref="U16">IFERROR(IF(INDEX(Tier3[[Cost/lb.]:[Cost/lb.]],MATCH(IngrCost[[#This Row],[Ingredient]:[Ingredient]],Tier3[[Ingredient]:[Ingredient]],0))*INDEX(IngrWt[Bean Burger],MATCH(IngrCost[[#This Row],[Ingredient]:[Ingredient]],IngrWt[[Ingredient]:[Ingredient]],0))&gt;0,INDEX(Tier3[[Cost/lb.]:[Cost/lb.]],MATCH(IngrCost[[#This Row],[Ingredient]:[Ingredient]],Tier3[[Ingredient]:[Ingredient]],0))*INDEX(IngrWt[Bean Burger],MATCH(IngrCost[[#This Row],[Ingredient]:[Ingredient]],IngrWt[[Ingredient]:[Ingredient]],0)),""),"")</f>
        <v/>
      </c>
    </row>
    <row r="17" spans="1:21" ht="11.45" customHeight="1" x14ac:dyDescent="0.15">
      <c r="A17" s="4" t="s">
        <v>90</v>
      </c>
      <c r="B17" s="14"/>
      <c r="C17" s="14"/>
      <c r="D17" s="14"/>
      <c r="E17" s="14"/>
      <c r="F17" s="14"/>
      <c r="G17" s="14"/>
      <c r="H17" s="12"/>
      <c r="I17" s="12">
        <v>0.5</v>
      </c>
      <c r="J17" s="12"/>
      <c r="L17" s="4" t="s">
        <v>90</v>
      </c>
      <c r="M17" s="13" t="str" cm="1">
        <f t="array" ref="M17">IFERROR(IF(INDEX(Tier3[[Cost/lb.]:[Cost/lb.]],MATCH(IngrCost[[#This Row],[Ingredient]:[Ingredient]],Tier3[[Ingredient]:[Ingredient]],0))*INDEX(IngrWt[Tuscan Herb],MATCH(IngrCost[[#This Row],[Ingredient]:[Ingredient]],IngrWt[[Ingredient]:[Ingredient]],0))&gt;0,INDEX(Tier3[[Cost/lb.]:[Cost/lb.]],MATCH(IngrCost[[#This Row],[Ingredient]:[Ingredient]],Tier3[[Ingredient]:[Ingredient]],0))*INDEX(IngrWt[Tuscan Herb],MATCH(IngrCost[[#This Row],[Ingredient]:[Ingredient]],IngrWt[[Ingredient]:[Ingredient]],0)),""),"")</f>
        <v/>
      </c>
      <c r="N17" s="13" t="str" cm="1">
        <f t="array" ref="N17">IFERROR(IF(INDEX(Tier3[[Cost/lb.]:[Cost/lb.]],MATCH(IngrCost[[#This Row],[Ingredient]:[Ingredient]],Tier3[[Ingredient]:[Ingredient]],0))*INDEX(IngrWt[Garlic &amp; Herb],MATCH(IngrCost[[#This Row],[Ingredient]:[Ingredient]],IngrWt[[Ingredient]:[Ingredient]],0))&gt;0,INDEX(Tier3[[Cost/lb.]:[Cost/lb.]],MATCH(IngrCost[[#This Row],[Ingredient]:[Ingredient]],Tier3[[Ingredient]:[Ingredient]],0))*INDEX(IngrWt[Garlic &amp; Herb],MATCH(IngrCost[[#This Row],[Ingredient]:[Ingredient]],IngrWt[[Ingredient]:[Ingredient]],0)),""),"")</f>
        <v/>
      </c>
      <c r="O17" s="13" t="str" cm="1">
        <f t="array" ref="O17">IFERROR(IF(INDEX(Tier3[[Cost/lb.]:[Cost/lb.]],MATCH(IngrCost[[#This Row],[Ingredient]:[Ingredient]],Tier3[[Ingredient]:[Ingredient]],0))*INDEX(IngrWt[Meatloaf],MATCH(IngrCost[[#This Row],[Ingredient]:[Ingredient]],IngrWt[[Ingredient]:[Ingredient]],0))&gt;0,INDEX(Tier3[[Cost/lb.]:[Cost/lb.]],MATCH(IngrCost[[#This Row],[Ingredient]:[Ingredient]],Tier3[[Ingredient]:[Ingredient]],0))*INDEX(IngrWt[Meatloaf],MATCH(IngrCost[[#This Row],[Ingredient]:[Ingredient]],IngrWt[[Ingredient]:[Ingredient]],0)),""),"")</f>
        <v/>
      </c>
      <c r="P17" s="13" t="str" cm="1">
        <f t="array" ref="P17">IFERROR(IF(INDEX(Tier3[[Cost/lb.]:[Cost/lb.]],MATCH(IngrCost[[#This Row],[Ingredient]:[Ingredient]],Tier3[[Ingredient]:[Ingredient]],0))*INDEX(IngrWt[Pizza Patty],MATCH(IngrCost[[#This Row],[Ingredient]:[Ingredient]],IngrWt[[Ingredient]:[Ingredient]],0))&gt;0,INDEX(Tier3[[Cost/lb.]:[Cost/lb.]],MATCH(IngrCost[[#This Row],[Ingredient]:[Ingredient]],Tier3[[Ingredient]:[Ingredient]],0))*INDEX(IngrWt[Pizza Patty],MATCH(IngrCost[[#This Row],[Ingredient]:[Ingredient]],IngrWt[[Ingredient]:[Ingredient]],0)),""),"")</f>
        <v/>
      </c>
      <c r="Q17" s="13" t="str" cm="1">
        <f t="array" ref="Q17">IFERROR(IF(INDEX(Tier3[[Cost/lb.]:[Cost/lb.]],MATCH(IngrCost[[#This Row],[Ingredient]:[Ingredient]],Tier3[[Ingredient]:[Ingredient]],0))*INDEX(IngrWt[Spicy Internal],MATCH(IngrCost[[#This Row],[Ingredient]:[Ingredient]],IngrWt[[Ingredient]:[Ingredient]],0))&gt;0,INDEX(Tier3[[Cost/lb.]:[Cost/lb.]],MATCH(IngrCost[[#This Row],[Ingredient]:[Ingredient]],Tier3[[Ingredient]:[Ingredient]],0))*INDEX(IngrWt[Spicy Internal],MATCH(IngrCost[[#This Row],[Ingredient]:[Ingredient]],IngrWt[[Ingredient]:[Ingredient]],0)),""),"")</f>
        <v/>
      </c>
      <c r="R17" s="13" t="str" cm="1">
        <f t="array" ref="R17">IFERROR(IF(INDEX(Tier3[[Cost/lb.]:[Cost/lb.]],MATCH(IngrCost[[#This Row],[Ingredient]:[Ingredient]],Tier3[[Ingredient]:[Ingredient]],0))*INDEX(IngrWt[Dinner Patty],MATCH(IngrCost[[#This Row],[Ingredient]:[Ingredient]],IngrWt[[Ingredient]:[Ingredient]],0))&gt;0,INDEX(Tier3[[Cost/lb.]:[Cost/lb.]],MATCH(IngrCost[[#This Row],[Ingredient]:[Ingredient]],Tier3[[Ingredient]:[Ingredient]],0))*INDEX(IngrWt[Dinner Patty],MATCH(IngrCost[[#This Row],[Ingredient]:[Ingredient]],IngrWt[[Ingredient]:[Ingredient]],0)),""),"")</f>
        <v/>
      </c>
      <c r="S17" s="13" t="str" cm="1">
        <f t="array" ref="S17">IFERROR(IF(INDEX(Tier3[[Cost/lb.]:[Cost/lb.]],MATCH(IngrCost[[#This Row],[Ingredient]:[Ingredient]],Tier3[[Ingredient]:[Ingredient]],0))*INDEX(IngrWt[Breakfast],MATCH(IngrCost[[#This Row],[Ingredient]:[Ingredient]],IngrWt[[Ingredient]:[Ingredient]],0))&gt;0,INDEX(Tier3[[Cost/lb.]:[Cost/lb.]],MATCH(IngrCost[[#This Row],[Ingredient]:[Ingredient]],Tier3[[Ingredient]:[Ingredient]],0))*INDEX(IngrWt[Breakfast],MATCH(IngrCost[[#This Row],[Ingredient]:[Ingredient]],IngrWt[[Ingredient]:[Ingredient]],0)),""),"")</f>
        <v/>
      </c>
      <c r="T17" s="13" cm="1">
        <f t="array" ref="T17">IFERROR(IF(INDEX(Tier3[[Cost/lb.]:[Cost/lb.]],MATCH(IngrCost[[#This Row],[Ingredient]:[Ingredient]],Tier3[[Ingredient]:[Ingredient]],0))*INDEX(IngrWt[Maple Breakfast],MATCH(IngrCost[[#This Row],[Ingredient]:[Ingredient]],IngrWt[[Ingredient]:[Ingredient]],0))&gt;0,INDEX(Tier3[[Cost/lb.]:[Cost/lb.]],MATCH(IngrCost[[#This Row],[Ingredient]:[Ingredient]],Tier3[[Ingredient]:[Ingredient]],0))*INDEX(IngrWt[Maple Breakfast],MATCH(IngrCost[[#This Row],[Ingredient]:[Ingredient]],IngrWt[[Ingredient]:[Ingredient]],0)),""),"")</f>
        <v>4.75</v>
      </c>
      <c r="U17" s="13" t="str" cm="1">
        <f t="array" ref="U17">IFERROR(IF(INDEX(Tier3[[Cost/lb.]:[Cost/lb.]],MATCH(IngrCost[[#This Row],[Ingredient]:[Ingredient]],Tier3[[Ingredient]:[Ingredient]],0))*INDEX(IngrWt[Bean Burger],MATCH(IngrCost[[#This Row],[Ingredient]:[Ingredient]],IngrWt[[Ingredient]:[Ingredient]],0))&gt;0,INDEX(Tier3[[Cost/lb.]:[Cost/lb.]],MATCH(IngrCost[[#This Row],[Ingredient]:[Ingredient]],Tier3[[Ingredient]:[Ingredient]],0))*INDEX(IngrWt[Bean Burger],MATCH(IngrCost[[#This Row],[Ingredient]:[Ingredient]],IngrWt[[Ingredient]:[Ingredient]],0)),""),"")</f>
        <v/>
      </c>
    </row>
    <row r="18" spans="1:21" ht="11.45" customHeight="1" x14ac:dyDescent="0.15">
      <c r="A18" s="4" t="s">
        <v>89</v>
      </c>
      <c r="B18" s="14"/>
      <c r="C18" s="14"/>
      <c r="D18" s="14"/>
      <c r="E18" s="14"/>
      <c r="F18" s="14"/>
      <c r="G18" s="14"/>
      <c r="H18" s="12"/>
      <c r="I18" s="12"/>
      <c r="J18" s="12"/>
      <c r="L18" s="4" t="s">
        <v>89</v>
      </c>
      <c r="M18" s="13" t="str" cm="1">
        <f t="array" ref="M18">IFERROR(IF(INDEX(Tier3[[Cost/lb.]:[Cost/lb.]],MATCH(IngrCost[[#This Row],[Ingredient]:[Ingredient]],Tier3[[Ingredient]:[Ingredient]],0))*INDEX(IngrWt[Tuscan Herb],MATCH(IngrCost[[#This Row],[Ingredient]:[Ingredient]],IngrWt[[Ingredient]:[Ingredient]],0))&gt;0,INDEX(Tier3[[Cost/lb.]:[Cost/lb.]],MATCH(IngrCost[[#This Row],[Ingredient]:[Ingredient]],Tier3[[Ingredient]:[Ingredient]],0))*INDEX(IngrWt[Tuscan Herb],MATCH(IngrCost[[#This Row],[Ingredient]:[Ingredient]],IngrWt[[Ingredient]:[Ingredient]],0)),""),"")</f>
        <v/>
      </c>
      <c r="N18" s="13" t="str" cm="1">
        <f t="array" ref="N18">IFERROR(IF(INDEX(Tier3[[Cost/lb.]:[Cost/lb.]],MATCH(IngrCost[[#This Row],[Ingredient]:[Ingredient]],Tier3[[Ingredient]:[Ingredient]],0))*INDEX(IngrWt[Garlic &amp; Herb],MATCH(IngrCost[[#This Row],[Ingredient]:[Ingredient]],IngrWt[[Ingredient]:[Ingredient]],0))&gt;0,INDEX(Tier3[[Cost/lb.]:[Cost/lb.]],MATCH(IngrCost[[#This Row],[Ingredient]:[Ingredient]],Tier3[[Ingredient]:[Ingredient]],0))*INDEX(IngrWt[Garlic &amp; Herb],MATCH(IngrCost[[#This Row],[Ingredient]:[Ingredient]],IngrWt[[Ingredient]:[Ingredient]],0)),""),"")</f>
        <v/>
      </c>
      <c r="O18" s="13" t="str" cm="1">
        <f t="array" ref="O18">IFERROR(IF(INDEX(Tier3[[Cost/lb.]:[Cost/lb.]],MATCH(IngrCost[[#This Row],[Ingredient]:[Ingredient]],Tier3[[Ingredient]:[Ingredient]],0))*INDEX(IngrWt[Meatloaf],MATCH(IngrCost[[#This Row],[Ingredient]:[Ingredient]],IngrWt[[Ingredient]:[Ingredient]],0))&gt;0,INDEX(Tier3[[Cost/lb.]:[Cost/lb.]],MATCH(IngrCost[[#This Row],[Ingredient]:[Ingredient]],Tier3[[Ingredient]:[Ingredient]],0))*INDEX(IngrWt[Meatloaf],MATCH(IngrCost[[#This Row],[Ingredient]:[Ingredient]],IngrWt[[Ingredient]:[Ingredient]],0)),""),"")</f>
        <v/>
      </c>
      <c r="P18" s="13" t="str" cm="1">
        <f t="array" ref="P18">IFERROR(IF(INDEX(Tier3[[Cost/lb.]:[Cost/lb.]],MATCH(IngrCost[[#This Row],[Ingredient]:[Ingredient]],Tier3[[Ingredient]:[Ingredient]],0))*INDEX(IngrWt[Pizza Patty],MATCH(IngrCost[[#This Row],[Ingredient]:[Ingredient]],IngrWt[[Ingredient]:[Ingredient]],0))&gt;0,INDEX(Tier3[[Cost/lb.]:[Cost/lb.]],MATCH(IngrCost[[#This Row],[Ingredient]:[Ingredient]],Tier3[[Ingredient]:[Ingredient]],0))*INDEX(IngrWt[Pizza Patty],MATCH(IngrCost[[#This Row],[Ingredient]:[Ingredient]],IngrWt[[Ingredient]:[Ingredient]],0)),""),"")</f>
        <v/>
      </c>
      <c r="Q18" s="13" t="str" cm="1">
        <f t="array" ref="Q18">IFERROR(IF(INDEX(Tier3[[Cost/lb.]:[Cost/lb.]],MATCH(IngrCost[[#This Row],[Ingredient]:[Ingredient]],Tier3[[Ingredient]:[Ingredient]],0))*INDEX(IngrWt[Spicy Internal],MATCH(IngrCost[[#This Row],[Ingredient]:[Ingredient]],IngrWt[[Ingredient]:[Ingredient]],0))&gt;0,INDEX(Tier3[[Cost/lb.]:[Cost/lb.]],MATCH(IngrCost[[#This Row],[Ingredient]:[Ingredient]],Tier3[[Ingredient]:[Ingredient]],0))*INDEX(IngrWt[Spicy Internal],MATCH(IngrCost[[#This Row],[Ingredient]:[Ingredient]],IngrWt[[Ingredient]:[Ingredient]],0)),""),"")</f>
        <v/>
      </c>
      <c r="R18" s="13" t="str" cm="1">
        <f t="array" ref="R18">IFERROR(IF(INDEX(Tier3[[Cost/lb.]:[Cost/lb.]],MATCH(IngrCost[[#This Row],[Ingredient]:[Ingredient]],Tier3[[Ingredient]:[Ingredient]],0))*INDEX(IngrWt[Dinner Patty],MATCH(IngrCost[[#This Row],[Ingredient]:[Ingredient]],IngrWt[[Ingredient]:[Ingredient]],0))&gt;0,INDEX(Tier3[[Cost/lb.]:[Cost/lb.]],MATCH(IngrCost[[#This Row],[Ingredient]:[Ingredient]],Tier3[[Ingredient]:[Ingredient]],0))*INDEX(IngrWt[Dinner Patty],MATCH(IngrCost[[#This Row],[Ingredient]:[Ingredient]],IngrWt[[Ingredient]:[Ingredient]],0)),""),"")</f>
        <v/>
      </c>
      <c r="S18" s="13" t="str" cm="1">
        <f t="array" ref="S18">IFERROR(IF(INDEX(Tier3[[Cost/lb.]:[Cost/lb.]],MATCH(IngrCost[[#This Row],[Ingredient]:[Ingredient]],Tier3[[Ingredient]:[Ingredient]],0))*INDEX(IngrWt[Breakfast],MATCH(IngrCost[[#This Row],[Ingredient]:[Ingredient]],IngrWt[[Ingredient]:[Ingredient]],0))&gt;0,INDEX(Tier3[[Cost/lb.]:[Cost/lb.]],MATCH(IngrCost[[#This Row],[Ingredient]:[Ingredient]],Tier3[[Ingredient]:[Ingredient]],0))*INDEX(IngrWt[Breakfast],MATCH(IngrCost[[#This Row],[Ingredient]:[Ingredient]],IngrWt[[Ingredient]:[Ingredient]],0)),""),"")</f>
        <v/>
      </c>
      <c r="T18" s="13" t="str" cm="1">
        <f t="array" ref="T18">IFERROR(IF(INDEX(Tier3[[Cost/lb.]:[Cost/lb.]],MATCH(IngrCost[[#This Row],[Ingredient]:[Ingredient]],Tier3[[Ingredient]:[Ingredient]],0))*INDEX(IngrWt[Maple Breakfast],MATCH(IngrCost[[#This Row],[Ingredient]:[Ingredient]],IngrWt[[Ingredient]:[Ingredient]],0))&gt;0,INDEX(Tier3[[Cost/lb.]:[Cost/lb.]],MATCH(IngrCost[[#This Row],[Ingredient]:[Ingredient]],Tier3[[Ingredient]:[Ingredient]],0))*INDEX(IngrWt[Maple Breakfast],MATCH(IngrCost[[#This Row],[Ingredient]:[Ingredient]],IngrWt[[Ingredient]:[Ingredient]],0)),""),"")</f>
        <v/>
      </c>
      <c r="U18" s="13" t="str" cm="1">
        <f t="array" ref="U18">IFERROR(IF(INDEX(Tier3[[Cost/lb.]:[Cost/lb.]],MATCH(IngrCost[[#This Row],[Ingredient]:[Ingredient]],Tier3[[Ingredient]:[Ingredient]],0))*INDEX(IngrWt[Bean Burger],MATCH(IngrCost[[#This Row],[Ingredient]:[Ingredient]],IngrWt[[Ingredient]:[Ingredient]],0))&gt;0,INDEX(Tier3[[Cost/lb.]:[Cost/lb.]],MATCH(IngrCost[[#This Row],[Ingredient]:[Ingredient]],Tier3[[Ingredient]:[Ingredient]],0))*INDEX(IngrWt[Bean Burger],MATCH(IngrCost[[#This Row],[Ingredient]:[Ingredient]],IngrWt[[Ingredient]:[Ingredient]],0)),""),"")</f>
        <v/>
      </c>
    </row>
    <row r="19" spans="1:21" ht="11.45" customHeight="1" x14ac:dyDescent="0.15">
      <c r="A19" s="4" t="s">
        <v>76</v>
      </c>
      <c r="B19" s="14">
        <v>1</v>
      </c>
      <c r="C19" s="14"/>
      <c r="D19" s="14">
        <v>1</v>
      </c>
      <c r="E19" s="14">
        <v>1</v>
      </c>
      <c r="F19" s="14">
        <v>0.4</v>
      </c>
      <c r="G19" s="14">
        <v>1</v>
      </c>
      <c r="H19" s="12">
        <v>0.75</v>
      </c>
      <c r="I19" s="12">
        <v>0.75</v>
      </c>
      <c r="J19" s="12"/>
      <c r="L19" s="4" t="s">
        <v>76</v>
      </c>
      <c r="M19" s="13" cm="1">
        <f t="array" ref="M19">IFERROR(IF(INDEX(Tier3[[Cost/lb.]:[Cost/lb.]],MATCH(IngrCost[[#This Row],[Ingredient]:[Ingredient]],Tier3[[Ingredient]:[Ingredient]],0))*INDEX(IngrWt[Tuscan Herb],MATCH(IngrCost[[#This Row],[Ingredient]:[Ingredient]],IngrWt[[Ingredient]:[Ingredient]],0))&gt;0,INDEX(Tier3[[Cost/lb.]:[Cost/lb.]],MATCH(IngrCost[[#This Row],[Ingredient]:[Ingredient]],Tier3[[Ingredient]:[Ingredient]],0))*INDEX(IngrWt[Tuscan Herb],MATCH(IngrCost[[#This Row],[Ingredient]:[Ingredient]],IngrWt[[Ingredient]:[Ingredient]],0)),""),"")</f>
        <v>3.5</v>
      </c>
      <c r="N19" s="13" t="str" cm="1">
        <f t="array" ref="N19">IFERROR(IF(INDEX(Tier3[[Cost/lb.]:[Cost/lb.]],MATCH(IngrCost[[#This Row],[Ingredient]:[Ingredient]],Tier3[[Ingredient]:[Ingredient]],0))*INDEX(IngrWt[Garlic &amp; Herb],MATCH(IngrCost[[#This Row],[Ingredient]:[Ingredient]],IngrWt[[Ingredient]:[Ingredient]],0))&gt;0,INDEX(Tier3[[Cost/lb.]:[Cost/lb.]],MATCH(IngrCost[[#This Row],[Ingredient]:[Ingredient]],Tier3[[Ingredient]:[Ingredient]],0))*INDEX(IngrWt[Garlic &amp; Herb],MATCH(IngrCost[[#This Row],[Ingredient]:[Ingredient]],IngrWt[[Ingredient]:[Ingredient]],0)),""),"")</f>
        <v/>
      </c>
      <c r="O19" s="13" cm="1">
        <f t="array" ref="O19">IFERROR(IF(INDEX(Tier3[[Cost/lb.]:[Cost/lb.]],MATCH(IngrCost[[#This Row],[Ingredient]:[Ingredient]],Tier3[[Ingredient]:[Ingredient]],0))*INDEX(IngrWt[Meatloaf],MATCH(IngrCost[[#This Row],[Ingredient]:[Ingredient]],IngrWt[[Ingredient]:[Ingredient]],0))&gt;0,INDEX(Tier3[[Cost/lb.]:[Cost/lb.]],MATCH(IngrCost[[#This Row],[Ingredient]:[Ingredient]],Tier3[[Ingredient]:[Ingredient]],0))*INDEX(IngrWt[Meatloaf],MATCH(IngrCost[[#This Row],[Ingredient]:[Ingredient]],IngrWt[[Ingredient]:[Ingredient]],0)),""),"")</f>
        <v>3.5</v>
      </c>
      <c r="P19" s="13" cm="1">
        <f t="array" ref="P19">IFERROR(IF(INDEX(Tier3[[Cost/lb.]:[Cost/lb.]],MATCH(IngrCost[[#This Row],[Ingredient]:[Ingredient]],Tier3[[Ingredient]:[Ingredient]],0))*INDEX(IngrWt[Pizza Patty],MATCH(IngrCost[[#This Row],[Ingredient]:[Ingredient]],IngrWt[[Ingredient]:[Ingredient]],0))&gt;0,INDEX(Tier3[[Cost/lb.]:[Cost/lb.]],MATCH(IngrCost[[#This Row],[Ingredient]:[Ingredient]],Tier3[[Ingredient]:[Ingredient]],0))*INDEX(IngrWt[Pizza Patty],MATCH(IngrCost[[#This Row],[Ingredient]:[Ingredient]],IngrWt[[Ingredient]:[Ingredient]],0)),""),"")</f>
        <v>3.5</v>
      </c>
      <c r="Q19" s="13" cm="1">
        <f t="array" ref="Q19">IFERROR(IF(INDEX(Tier3[[Cost/lb.]:[Cost/lb.]],MATCH(IngrCost[[#This Row],[Ingredient]:[Ingredient]],Tier3[[Ingredient]:[Ingredient]],0))*INDEX(IngrWt[Spicy Internal],MATCH(IngrCost[[#This Row],[Ingredient]:[Ingredient]],IngrWt[[Ingredient]:[Ingredient]],0))&gt;0,INDEX(Tier3[[Cost/lb.]:[Cost/lb.]],MATCH(IngrCost[[#This Row],[Ingredient]:[Ingredient]],Tier3[[Ingredient]:[Ingredient]],0))*INDEX(IngrWt[Spicy Internal],MATCH(IngrCost[[#This Row],[Ingredient]:[Ingredient]],IngrWt[[Ingredient]:[Ingredient]],0)),""),"")</f>
        <v>1.4000000000000001</v>
      </c>
      <c r="R19" s="13" cm="1">
        <f t="array" ref="R19">IFERROR(IF(INDEX(Tier3[[Cost/lb.]:[Cost/lb.]],MATCH(IngrCost[[#This Row],[Ingredient]:[Ingredient]],Tier3[[Ingredient]:[Ingredient]],0))*INDEX(IngrWt[Dinner Patty],MATCH(IngrCost[[#This Row],[Ingredient]:[Ingredient]],IngrWt[[Ingredient]:[Ingredient]],0))&gt;0,INDEX(Tier3[[Cost/lb.]:[Cost/lb.]],MATCH(IngrCost[[#This Row],[Ingredient]:[Ingredient]],Tier3[[Ingredient]:[Ingredient]],0))*INDEX(IngrWt[Dinner Patty],MATCH(IngrCost[[#This Row],[Ingredient]:[Ingredient]],IngrWt[[Ingredient]:[Ingredient]],0)),""),"")</f>
        <v>3.5</v>
      </c>
      <c r="S19" s="13" cm="1">
        <f t="array" ref="S19">IFERROR(IF(INDEX(Tier3[[Cost/lb.]:[Cost/lb.]],MATCH(IngrCost[[#This Row],[Ingredient]:[Ingredient]],Tier3[[Ingredient]:[Ingredient]],0))*INDEX(IngrWt[Breakfast],MATCH(IngrCost[[#This Row],[Ingredient]:[Ingredient]],IngrWt[[Ingredient]:[Ingredient]],0))&gt;0,INDEX(Tier3[[Cost/lb.]:[Cost/lb.]],MATCH(IngrCost[[#This Row],[Ingredient]:[Ingredient]],Tier3[[Ingredient]:[Ingredient]],0))*INDEX(IngrWt[Breakfast],MATCH(IngrCost[[#This Row],[Ingredient]:[Ingredient]],IngrWt[[Ingredient]:[Ingredient]],0)),""),"")</f>
        <v>2.625</v>
      </c>
      <c r="T19" s="13" cm="1">
        <f t="array" ref="T19">IFERROR(IF(INDEX(Tier3[[Cost/lb.]:[Cost/lb.]],MATCH(IngrCost[[#This Row],[Ingredient]:[Ingredient]],Tier3[[Ingredient]:[Ingredient]],0))*INDEX(IngrWt[Maple Breakfast],MATCH(IngrCost[[#This Row],[Ingredient]:[Ingredient]],IngrWt[[Ingredient]:[Ingredient]],0))&gt;0,INDEX(Tier3[[Cost/lb.]:[Cost/lb.]],MATCH(IngrCost[[#This Row],[Ingredient]:[Ingredient]],Tier3[[Ingredient]:[Ingredient]],0))*INDEX(IngrWt[Maple Breakfast],MATCH(IngrCost[[#This Row],[Ingredient]:[Ingredient]],IngrWt[[Ingredient]:[Ingredient]],0)),""),"")</f>
        <v>2.625</v>
      </c>
      <c r="U19" s="13" t="str" cm="1">
        <f t="array" ref="U19">IFERROR(IF(INDEX(Tier3[[Cost/lb.]:[Cost/lb.]],MATCH(IngrCost[[#This Row],[Ingredient]:[Ingredient]],Tier3[[Ingredient]:[Ingredient]],0))*INDEX(IngrWt[Bean Burger],MATCH(IngrCost[[#This Row],[Ingredient]:[Ingredient]],IngrWt[[Ingredient]:[Ingredient]],0))&gt;0,INDEX(Tier3[[Cost/lb.]:[Cost/lb.]],MATCH(IngrCost[[#This Row],[Ingredient]:[Ingredient]],Tier3[[Ingredient]:[Ingredient]],0))*INDEX(IngrWt[Bean Burger],MATCH(IngrCost[[#This Row],[Ingredient]:[Ingredient]],IngrWt[[Ingredient]:[Ingredient]],0)),""),"")</f>
        <v/>
      </c>
    </row>
    <row r="20" spans="1:21" ht="11.45" customHeight="1" x14ac:dyDescent="0.15">
      <c r="A20" s="4" t="s">
        <v>75</v>
      </c>
      <c r="B20" s="14">
        <v>0.25</v>
      </c>
      <c r="C20" s="14"/>
      <c r="D20" s="14"/>
      <c r="E20" s="14">
        <v>0.75</v>
      </c>
      <c r="F20" s="14"/>
      <c r="G20" s="14"/>
      <c r="H20" s="12"/>
      <c r="I20" s="12"/>
      <c r="J20" s="12"/>
      <c r="L20" s="4" t="s">
        <v>75</v>
      </c>
      <c r="M20" s="13" cm="1">
        <f t="array" ref="M20">IFERROR(IF(INDEX(Tier3[[Cost/lb.]:[Cost/lb.]],MATCH(IngrCost[[#This Row],[Ingredient]:[Ingredient]],Tier3[[Ingredient]:[Ingredient]],0))*INDEX(IngrWt[Tuscan Herb],MATCH(IngrCost[[#This Row],[Ingredient]:[Ingredient]],IngrWt[[Ingredient]:[Ingredient]],0))&gt;0,INDEX(Tier3[[Cost/lb.]:[Cost/lb.]],MATCH(IngrCost[[#This Row],[Ingredient]:[Ingredient]],Tier3[[Ingredient]:[Ingredient]],0))*INDEX(IngrWt[Tuscan Herb],MATCH(IngrCost[[#This Row],[Ingredient]:[Ingredient]],IngrWt[[Ingredient]:[Ingredient]],0)),""),"")</f>
        <v>1.25</v>
      </c>
      <c r="N20" s="13" t="str" cm="1">
        <f t="array" ref="N20">IFERROR(IF(INDEX(Tier3[[Cost/lb.]:[Cost/lb.]],MATCH(IngrCost[[#This Row],[Ingredient]:[Ingredient]],Tier3[[Ingredient]:[Ingredient]],0))*INDEX(IngrWt[Garlic &amp; Herb],MATCH(IngrCost[[#This Row],[Ingredient]:[Ingredient]],IngrWt[[Ingredient]:[Ingredient]],0))&gt;0,INDEX(Tier3[[Cost/lb.]:[Cost/lb.]],MATCH(IngrCost[[#This Row],[Ingredient]:[Ingredient]],Tier3[[Ingredient]:[Ingredient]],0))*INDEX(IngrWt[Garlic &amp; Herb],MATCH(IngrCost[[#This Row],[Ingredient]:[Ingredient]],IngrWt[[Ingredient]:[Ingredient]],0)),""),"")</f>
        <v/>
      </c>
      <c r="O20" s="13" t="str" cm="1">
        <f t="array" ref="O20">IFERROR(IF(INDEX(Tier3[[Cost/lb.]:[Cost/lb.]],MATCH(IngrCost[[#This Row],[Ingredient]:[Ingredient]],Tier3[[Ingredient]:[Ingredient]],0))*INDEX(IngrWt[Meatloaf],MATCH(IngrCost[[#This Row],[Ingredient]:[Ingredient]],IngrWt[[Ingredient]:[Ingredient]],0))&gt;0,INDEX(Tier3[[Cost/lb.]:[Cost/lb.]],MATCH(IngrCost[[#This Row],[Ingredient]:[Ingredient]],Tier3[[Ingredient]:[Ingredient]],0))*INDEX(IngrWt[Meatloaf],MATCH(IngrCost[[#This Row],[Ingredient]:[Ingredient]],IngrWt[[Ingredient]:[Ingredient]],0)),""),"")</f>
        <v/>
      </c>
      <c r="P20" s="13" cm="1">
        <f t="array" ref="P20">IFERROR(IF(INDEX(Tier3[[Cost/lb.]:[Cost/lb.]],MATCH(IngrCost[[#This Row],[Ingredient]:[Ingredient]],Tier3[[Ingredient]:[Ingredient]],0))*INDEX(IngrWt[Pizza Patty],MATCH(IngrCost[[#This Row],[Ingredient]:[Ingredient]],IngrWt[[Ingredient]:[Ingredient]],0))&gt;0,INDEX(Tier3[[Cost/lb.]:[Cost/lb.]],MATCH(IngrCost[[#This Row],[Ingredient]:[Ingredient]],Tier3[[Ingredient]:[Ingredient]],0))*INDEX(IngrWt[Pizza Patty],MATCH(IngrCost[[#This Row],[Ingredient]:[Ingredient]],IngrWt[[Ingredient]:[Ingredient]],0)),""),"")</f>
        <v>3.75</v>
      </c>
      <c r="Q20" s="13" t="str" cm="1">
        <f t="array" ref="Q20">IFERROR(IF(INDEX(Tier3[[Cost/lb.]:[Cost/lb.]],MATCH(IngrCost[[#This Row],[Ingredient]:[Ingredient]],Tier3[[Ingredient]:[Ingredient]],0))*INDEX(IngrWt[Spicy Internal],MATCH(IngrCost[[#This Row],[Ingredient]:[Ingredient]],IngrWt[[Ingredient]:[Ingredient]],0))&gt;0,INDEX(Tier3[[Cost/lb.]:[Cost/lb.]],MATCH(IngrCost[[#This Row],[Ingredient]:[Ingredient]],Tier3[[Ingredient]:[Ingredient]],0))*INDEX(IngrWt[Spicy Internal],MATCH(IngrCost[[#This Row],[Ingredient]:[Ingredient]],IngrWt[[Ingredient]:[Ingredient]],0)),""),"")</f>
        <v/>
      </c>
      <c r="R20" s="13" t="str" cm="1">
        <f t="array" ref="R20">IFERROR(IF(INDEX(Tier3[[Cost/lb.]:[Cost/lb.]],MATCH(IngrCost[[#This Row],[Ingredient]:[Ingredient]],Tier3[[Ingredient]:[Ingredient]],0))*INDEX(IngrWt[Dinner Patty],MATCH(IngrCost[[#This Row],[Ingredient]:[Ingredient]],IngrWt[[Ingredient]:[Ingredient]],0))&gt;0,INDEX(Tier3[[Cost/lb.]:[Cost/lb.]],MATCH(IngrCost[[#This Row],[Ingredient]:[Ingredient]],Tier3[[Ingredient]:[Ingredient]],0))*INDEX(IngrWt[Dinner Patty],MATCH(IngrCost[[#This Row],[Ingredient]:[Ingredient]],IngrWt[[Ingredient]:[Ingredient]],0)),""),"")</f>
        <v/>
      </c>
      <c r="S20" s="13" t="str" cm="1">
        <f t="array" ref="S20">IFERROR(IF(INDEX(Tier3[[Cost/lb.]:[Cost/lb.]],MATCH(IngrCost[[#This Row],[Ingredient]:[Ingredient]],Tier3[[Ingredient]:[Ingredient]],0))*INDEX(IngrWt[Breakfast],MATCH(IngrCost[[#This Row],[Ingredient]:[Ingredient]],IngrWt[[Ingredient]:[Ingredient]],0))&gt;0,INDEX(Tier3[[Cost/lb.]:[Cost/lb.]],MATCH(IngrCost[[#This Row],[Ingredient]:[Ingredient]],Tier3[[Ingredient]:[Ingredient]],0))*INDEX(IngrWt[Breakfast],MATCH(IngrCost[[#This Row],[Ingredient]:[Ingredient]],IngrWt[[Ingredient]:[Ingredient]],0)),""),"")</f>
        <v/>
      </c>
      <c r="T20" s="13" t="str" cm="1">
        <f t="array" ref="T20">IFERROR(IF(INDEX(Tier3[[Cost/lb.]:[Cost/lb.]],MATCH(IngrCost[[#This Row],[Ingredient]:[Ingredient]],Tier3[[Ingredient]:[Ingredient]],0))*INDEX(IngrWt[Maple Breakfast],MATCH(IngrCost[[#This Row],[Ingredient]:[Ingredient]],IngrWt[[Ingredient]:[Ingredient]],0))&gt;0,INDEX(Tier3[[Cost/lb.]:[Cost/lb.]],MATCH(IngrCost[[#This Row],[Ingredient]:[Ingredient]],Tier3[[Ingredient]:[Ingredient]],0))*INDEX(IngrWt[Maple Breakfast],MATCH(IngrCost[[#This Row],[Ingredient]:[Ingredient]],IngrWt[[Ingredient]:[Ingredient]],0)),""),"")</f>
        <v/>
      </c>
      <c r="U20" s="13" t="str" cm="1">
        <f t="array" ref="U20">IFERROR(IF(INDEX(Tier3[[Cost/lb.]:[Cost/lb.]],MATCH(IngrCost[[#This Row],[Ingredient]:[Ingredient]],Tier3[[Ingredient]:[Ingredient]],0))*INDEX(IngrWt[Bean Burger],MATCH(IngrCost[[#This Row],[Ingredient]:[Ingredient]],IngrWt[[Ingredient]:[Ingredient]],0))&gt;0,INDEX(Tier3[[Cost/lb.]:[Cost/lb.]],MATCH(IngrCost[[#This Row],[Ingredient]:[Ingredient]],Tier3[[Ingredient]:[Ingredient]],0))*INDEX(IngrWt[Bean Burger],MATCH(IngrCost[[#This Row],[Ingredient]:[Ingredient]],IngrWt[[Ingredient]:[Ingredient]],0)),""),"")</f>
        <v/>
      </c>
    </row>
    <row r="21" spans="1:21" ht="11.45" customHeight="1" x14ac:dyDescent="0.15">
      <c r="A21" s="4" t="s">
        <v>74</v>
      </c>
      <c r="B21" s="14"/>
      <c r="C21" s="14">
        <v>2.5</v>
      </c>
      <c r="D21" s="14"/>
      <c r="E21" s="14"/>
      <c r="F21" s="14"/>
      <c r="G21" s="14"/>
      <c r="H21" s="12"/>
      <c r="I21" s="12"/>
      <c r="J21" s="12"/>
      <c r="L21" s="4" t="s">
        <v>74</v>
      </c>
      <c r="M21" s="13" t="str" cm="1">
        <f t="array" ref="M21">IFERROR(IF(INDEX(Tier3[[Cost/lb.]:[Cost/lb.]],MATCH(IngrCost[[#This Row],[Ingredient]:[Ingredient]],Tier3[[Ingredient]:[Ingredient]],0))*INDEX(IngrWt[Tuscan Herb],MATCH(IngrCost[[#This Row],[Ingredient]:[Ingredient]],IngrWt[[Ingredient]:[Ingredient]],0))&gt;0,INDEX(Tier3[[Cost/lb.]:[Cost/lb.]],MATCH(IngrCost[[#This Row],[Ingredient]:[Ingredient]],Tier3[[Ingredient]:[Ingredient]],0))*INDEX(IngrWt[Tuscan Herb],MATCH(IngrCost[[#This Row],[Ingredient]:[Ingredient]],IngrWt[[Ingredient]:[Ingredient]],0)),""),"")</f>
        <v/>
      </c>
      <c r="N21" s="13" cm="1">
        <f t="array" ref="N21">IFERROR(IF(INDEX(Tier3[[Cost/lb.]:[Cost/lb.]],MATCH(IngrCost[[#This Row],[Ingredient]:[Ingredient]],Tier3[[Ingredient]:[Ingredient]],0))*INDEX(IngrWt[Garlic &amp; Herb],MATCH(IngrCost[[#This Row],[Ingredient]:[Ingredient]],IngrWt[[Ingredient]:[Ingredient]],0))&gt;0,INDEX(Tier3[[Cost/lb.]:[Cost/lb.]],MATCH(IngrCost[[#This Row],[Ingredient]:[Ingredient]],Tier3[[Ingredient]:[Ingredient]],0))*INDEX(IngrWt[Garlic &amp; Herb],MATCH(IngrCost[[#This Row],[Ingredient]:[Ingredient]],IngrWt[[Ingredient]:[Ingredient]],0)),""),"")</f>
        <v>15</v>
      </c>
      <c r="O21" s="13" t="str" cm="1">
        <f t="array" ref="O21">IFERROR(IF(INDEX(Tier3[[Cost/lb.]:[Cost/lb.]],MATCH(IngrCost[[#This Row],[Ingredient]:[Ingredient]],Tier3[[Ingredient]:[Ingredient]],0))*INDEX(IngrWt[Meatloaf],MATCH(IngrCost[[#This Row],[Ingredient]:[Ingredient]],IngrWt[[Ingredient]:[Ingredient]],0))&gt;0,INDEX(Tier3[[Cost/lb.]:[Cost/lb.]],MATCH(IngrCost[[#This Row],[Ingredient]:[Ingredient]],Tier3[[Ingredient]:[Ingredient]],0))*INDEX(IngrWt[Meatloaf],MATCH(IngrCost[[#This Row],[Ingredient]:[Ingredient]],IngrWt[[Ingredient]:[Ingredient]],0)),""),"")</f>
        <v/>
      </c>
      <c r="P21" s="13" t="str" cm="1">
        <f t="array" ref="P21">IFERROR(IF(INDEX(Tier3[[Cost/lb.]:[Cost/lb.]],MATCH(IngrCost[[#This Row],[Ingredient]:[Ingredient]],Tier3[[Ingredient]:[Ingredient]],0))*INDEX(IngrWt[Pizza Patty],MATCH(IngrCost[[#This Row],[Ingredient]:[Ingredient]],IngrWt[[Ingredient]:[Ingredient]],0))&gt;0,INDEX(Tier3[[Cost/lb.]:[Cost/lb.]],MATCH(IngrCost[[#This Row],[Ingredient]:[Ingredient]],Tier3[[Ingredient]:[Ingredient]],0))*INDEX(IngrWt[Pizza Patty],MATCH(IngrCost[[#This Row],[Ingredient]:[Ingredient]],IngrWt[[Ingredient]:[Ingredient]],0)),""),"")</f>
        <v/>
      </c>
      <c r="Q21" s="13" t="str" cm="1">
        <f t="array" ref="Q21">IFERROR(IF(INDEX(Tier3[[Cost/lb.]:[Cost/lb.]],MATCH(IngrCost[[#This Row],[Ingredient]:[Ingredient]],Tier3[[Ingredient]:[Ingredient]],0))*INDEX(IngrWt[Spicy Internal],MATCH(IngrCost[[#This Row],[Ingredient]:[Ingredient]],IngrWt[[Ingredient]:[Ingredient]],0))&gt;0,INDEX(Tier3[[Cost/lb.]:[Cost/lb.]],MATCH(IngrCost[[#This Row],[Ingredient]:[Ingredient]],Tier3[[Ingredient]:[Ingredient]],0))*INDEX(IngrWt[Spicy Internal],MATCH(IngrCost[[#This Row],[Ingredient]:[Ingredient]],IngrWt[[Ingredient]:[Ingredient]],0)),""),"")</f>
        <v/>
      </c>
      <c r="R21" s="13" t="str" cm="1">
        <f t="array" ref="R21">IFERROR(IF(INDEX(Tier3[[Cost/lb.]:[Cost/lb.]],MATCH(IngrCost[[#This Row],[Ingredient]:[Ingredient]],Tier3[[Ingredient]:[Ingredient]],0))*INDEX(IngrWt[Dinner Patty],MATCH(IngrCost[[#This Row],[Ingredient]:[Ingredient]],IngrWt[[Ingredient]:[Ingredient]],0))&gt;0,INDEX(Tier3[[Cost/lb.]:[Cost/lb.]],MATCH(IngrCost[[#This Row],[Ingredient]:[Ingredient]],Tier3[[Ingredient]:[Ingredient]],0))*INDEX(IngrWt[Dinner Patty],MATCH(IngrCost[[#This Row],[Ingredient]:[Ingredient]],IngrWt[[Ingredient]:[Ingredient]],0)),""),"")</f>
        <v/>
      </c>
      <c r="S21" s="13" t="str" cm="1">
        <f t="array" ref="S21">IFERROR(IF(INDEX(Tier3[[Cost/lb.]:[Cost/lb.]],MATCH(IngrCost[[#This Row],[Ingredient]:[Ingredient]],Tier3[[Ingredient]:[Ingredient]],0))*INDEX(IngrWt[Breakfast],MATCH(IngrCost[[#This Row],[Ingredient]:[Ingredient]],IngrWt[[Ingredient]:[Ingredient]],0))&gt;0,INDEX(Tier3[[Cost/lb.]:[Cost/lb.]],MATCH(IngrCost[[#This Row],[Ingredient]:[Ingredient]],Tier3[[Ingredient]:[Ingredient]],0))*INDEX(IngrWt[Breakfast],MATCH(IngrCost[[#This Row],[Ingredient]:[Ingredient]],IngrWt[[Ingredient]:[Ingredient]],0)),""),"")</f>
        <v/>
      </c>
      <c r="T21" s="13" t="str" cm="1">
        <f t="array" ref="T21">IFERROR(IF(INDEX(Tier3[[Cost/lb.]:[Cost/lb.]],MATCH(IngrCost[[#This Row],[Ingredient]:[Ingredient]],Tier3[[Ingredient]:[Ingredient]],0))*INDEX(IngrWt[Maple Breakfast],MATCH(IngrCost[[#This Row],[Ingredient]:[Ingredient]],IngrWt[[Ingredient]:[Ingredient]],0))&gt;0,INDEX(Tier3[[Cost/lb.]:[Cost/lb.]],MATCH(IngrCost[[#This Row],[Ingredient]:[Ingredient]],Tier3[[Ingredient]:[Ingredient]],0))*INDEX(IngrWt[Maple Breakfast],MATCH(IngrCost[[#This Row],[Ingredient]:[Ingredient]],IngrWt[[Ingredient]:[Ingredient]],0)),""),"")</f>
        <v/>
      </c>
      <c r="U21" s="13" t="str" cm="1">
        <f t="array" ref="U21">IFERROR(IF(INDEX(Tier3[[Cost/lb.]:[Cost/lb.]],MATCH(IngrCost[[#This Row],[Ingredient]:[Ingredient]],Tier3[[Ingredient]:[Ingredient]],0))*INDEX(IngrWt[Bean Burger],MATCH(IngrCost[[#This Row],[Ingredient]:[Ingredient]],IngrWt[[Ingredient]:[Ingredient]],0))&gt;0,INDEX(Tier3[[Cost/lb.]:[Cost/lb.]],MATCH(IngrCost[[#This Row],[Ingredient]:[Ingredient]],Tier3[[Ingredient]:[Ingredient]],0))*INDEX(IngrWt[Bean Burger],MATCH(IngrCost[[#This Row],[Ingredient]:[Ingredient]],IngrWt[[Ingredient]:[Ingredient]],0)),""),"")</f>
        <v/>
      </c>
    </row>
    <row r="22" spans="1:21" ht="11.45" customHeight="1" x14ac:dyDescent="0.15">
      <c r="A22" s="4" t="s">
        <v>73</v>
      </c>
      <c r="B22" s="14">
        <v>0.4</v>
      </c>
      <c r="C22" s="14"/>
      <c r="D22" s="14"/>
      <c r="E22" s="14">
        <v>0.4</v>
      </c>
      <c r="F22" s="14">
        <v>0.75</v>
      </c>
      <c r="G22" s="14"/>
      <c r="H22" s="12"/>
      <c r="I22" s="12"/>
      <c r="J22" s="12"/>
      <c r="L22" s="4" t="s">
        <v>73</v>
      </c>
      <c r="M22" s="13" cm="1">
        <f t="array" ref="M22">IFERROR(IF(INDEX(Tier3[[Cost/lb.]:[Cost/lb.]],MATCH(IngrCost[[#This Row],[Ingredient]:[Ingredient]],Tier3[[Ingredient]:[Ingredient]],0))*INDEX(IngrWt[Tuscan Herb],MATCH(IngrCost[[#This Row],[Ingredient]:[Ingredient]],IngrWt[[Ingredient]:[Ingredient]],0))&gt;0,INDEX(Tier3[[Cost/lb.]:[Cost/lb.]],MATCH(IngrCost[[#This Row],[Ingredient]:[Ingredient]],Tier3[[Ingredient]:[Ingredient]],0))*INDEX(IngrWt[Tuscan Herb],MATCH(IngrCost[[#This Row],[Ingredient]:[Ingredient]],IngrWt[[Ingredient]:[Ingredient]],0)),""),"")</f>
        <v>9.6000000000000014</v>
      </c>
      <c r="N22" s="13" t="str" cm="1">
        <f t="array" ref="N22">IFERROR(IF(INDEX(Tier3[[Cost/lb.]:[Cost/lb.]],MATCH(IngrCost[[#This Row],[Ingredient]:[Ingredient]],Tier3[[Ingredient]:[Ingredient]],0))*INDEX(IngrWt[Garlic &amp; Herb],MATCH(IngrCost[[#This Row],[Ingredient]:[Ingredient]],IngrWt[[Ingredient]:[Ingredient]],0))&gt;0,INDEX(Tier3[[Cost/lb.]:[Cost/lb.]],MATCH(IngrCost[[#This Row],[Ingredient]:[Ingredient]],Tier3[[Ingredient]:[Ingredient]],0))*INDEX(IngrWt[Garlic &amp; Herb],MATCH(IngrCost[[#This Row],[Ingredient]:[Ingredient]],IngrWt[[Ingredient]:[Ingredient]],0)),""),"")</f>
        <v/>
      </c>
      <c r="O22" s="13" t="str" cm="1">
        <f t="array" ref="O22">IFERROR(IF(INDEX(Tier3[[Cost/lb.]:[Cost/lb.]],MATCH(IngrCost[[#This Row],[Ingredient]:[Ingredient]],Tier3[[Ingredient]:[Ingredient]],0))*INDEX(IngrWt[Meatloaf],MATCH(IngrCost[[#This Row],[Ingredient]:[Ingredient]],IngrWt[[Ingredient]:[Ingredient]],0))&gt;0,INDEX(Tier3[[Cost/lb.]:[Cost/lb.]],MATCH(IngrCost[[#This Row],[Ingredient]:[Ingredient]],Tier3[[Ingredient]:[Ingredient]],0))*INDEX(IngrWt[Meatloaf],MATCH(IngrCost[[#This Row],[Ingredient]:[Ingredient]],IngrWt[[Ingredient]:[Ingredient]],0)),""),"")</f>
        <v/>
      </c>
      <c r="P22" s="13" cm="1">
        <f t="array" ref="P22">IFERROR(IF(INDEX(Tier3[[Cost/lb.]:[Cost/lb.]],MATCH(IngrCost[[#This Row],[Ingredient]:[Ingredient]],Tier3[[Ingredient]:[Ingredient]],0))*INDEX(IngrWt[Pizza Patty],MATCH(IngrCost[[#This Row],[Ingredient]:[Ingredient]],IngrWt[[Ingredient]:[Ingredient]],0))&gt;0,INDEX(Tier3[[Cost/lb.]:[Cost/lb.]],MATCH(IngrCost[[#This Row],[Ingredient]:[Ingredient]],Tier3[[Ingredient]:[Ingredient]],0))*INDEX(IngrWt[Pizza Patty],MATCH(IngrCost[[#This Row],[Ingredient]:[Ingredient]],IngrWt[[Ingredient]:[Ingredient]],0)),""),"")</f>
        <v>9.6000000000000014</v>
      </c>
      <c r="Q22" s="13" cm="1">
        <f t="array" ref="Q22">IFERROR(IF(INDEX(Tier3[[Cost/lb.]:[Cost/lb.]],MATCH(IngrCost[[#This Row],[Ingredient]:[Ingredient]],Tier3[[Ingredient]:[Ingredient]],0))*INDEX(IngrWt[Spicy Internal],MATCH(IngrCost[[#This Row],[Ingredient]:[Ingredient]],IngrWt[[Ingredient]:[Ingredient]],0))&gt;0,INDEX(Tier3[[Cost/lb.]:[Cost/lb.]],MATCH(IngrCost[[#This Row],[Ingredient]:[Ingredient]],Tier3[[Ingredient]:[Ingredient]],0))*INDEX(IngrWt[Spicy Internal],MATCH(IngrCost[[#This Row],[Ingredient]:[Ingredient]],IngrWt[[Ingredient]:[Ingredient]],0)),""),"")</f>
        <v>18</v>
      </c>
      <c r="R22" s="13" t="str" cm="1">
        <f t="array" ref="R22">IFERROR(IF(INDEX(Tier3[[Cost/lb.]:[Cost/lb.]],MATCH(IngrCost[[#This Row],[Ingredient]:[Ingredient]],Tier3[[Ingredient]:[Ingredient]],0))*INDEX(IngrWt[Dinner Patty],MATCH(IngrCost[[#This Row],[Ingredient]:[Ingredient]],IngrWt[[Ingredient]:[Ingredient]],0))&gt;0,INDEX(Tier3[[Cost/lb.]:[Cost/lb.]],MATCH(IngrCost[[#This Row],[Ingredient]:[Ingredient]],Tier3[[Ingredient]:[Ingredient]],0))*INDEX(IngrWt[Dinner Patty],MATCH(IngrCost[[#This Row],[Ingredient]:[Ingredient]],IngrWt[[Ingredient]:[Ingredient]],0)),""),"")</f>
        <v/>
      </c>
      <c r="S22" s="13" t="str" cm="1">
        <f t="array" ref="S22">IFERROR(IF(INDEX(Tier3[[Cost/lb.]:[Cost/lb.]],MATCH(IngrCost[[#This Row],[Ingredient]:[Ingredient]],Tier3[[Ingredient]:[Ingredient]],0))*INDEX(IngrWt[Breakfast],MATCH(IngrCost[[#This Row],[Ingredient]:[Ingredient]],IngrWt[[Ingredient]:[Ingredient]],0))&gt;0,INDEX(Tier3[[Cost/lb.]:[Cost/lb.]],MATCH(IngrCost[[#This Row],[Ingredient]:[Ingredient]],Tier3[[Ingredient]:[Ingredient]],0))*INDEX(IngrWt[Breakfast],MATCH(IngrCost[[#This Row],[Ingredient]:[Ingredient]],IngrWt[[Ingredient]:[Ingredient]],0)),""),"")</f>
        <v/>
      </c>
      <c r="T22" s="13" t="str" cm="1">
        <f t="array" ref="T22">IFERROR(IF(INDEX(Tier3[[Cost/lb.]:[Cost/lb.]],MATCH(IngrCost[[#This Row],[Ingredient]:[Ingredient]],Tier3[[Ingredient]:[Ingredient]],0))*INDEX(IngrWt[Maple Breakfast],MATCH(IngrCost[[#This Row],[Ingredient]:[Ingredient]],IngrWt[[Ingredient]:[Ingredient]],0))&gt;0,INDEX(Tier3[[Cost/lb.]:[Cost/lb.]],MATCH(IngrCost[[#This Row],[Ingredient]:[Ingredient]],Tier3[[Ingredient]:[Ingredient]],0))*INDEX(IngrWt[Maple Breakfast],MATCH(IngrCost[[#This Row],[Ingredient]:[Ingredient]],IngrWt[[Ingredient]:[Ingredient]],0)),""),"")</f>
        <v/>
      </c>
      <c r="U22" s="13" t="str" cm="1">
        <f t="array" ref="U22">IFERROR(IF(INDEX(Tier3[[Cost/lb.]:[Cost/lb.]],MATCH(IngrCost[[#This Row],[Ingredient]:[Ingredient]],Tier3[[Ingredient]:[Ingredient]],0))*INDEX(IngrWt[Bean Burger],MATCH(IngrCost[[#This Row],[Ingredient]:[Ingredient]],IngrWt[[Ingredient]:[Ingredient]],0))&gt;0,INDEX(Tier3[[Cost/lb.]:[Cost/lb.]],MATCH(IngrCost[[#This Row],[Ingredient]:[Ingredient]],Tier3[[Ingredient]:[Ingredient]],0))*INDEX(IngrWt[Bean Burger],MATCH(IngrCost[[#This Row],[Ingredient]:[Ingredient]],IngrWt[[Ingredient]:[Ingredient]],0)),""),"")</f>
        <v/>
      </c>
    </row>
    <row r="23" spans="1:21" ht="11.45" customHeight="1" x14ac:dyDescent="0.15">
      <c r="A23" s="4" t="s">
        <v>72</v>
      </c>
      <c r="B23" s="14"/>
      <c r="C23" s="14"/>
      <c r="D23" s="14"/>
      <c r="E23" s="14"/>
      <c r="F23" s="14"/>
      <c r="G23" s="14"/>
      <c r="H23" s="12">
        <v>3</v>
      </c>
      <c r="I23" s="12">
        <v>3</v>
      </c>
      <c r="J23" s="12"/>
      <c r="L23" s="4" t="s">
        <v>72</v>
      </c>
      <c r="M23" s="13" t="str" cm="1">
        <f t="array" ref="M23">IFERROR(IF(INDEX(Tier3[[Cost/lb.]:[Cost/lb.]],MATCH(IngrCost[[#This Row],[Ingredient]:[Ingredient]],Tier3[[Ingredient]:[Ingredient]],0))*INDEX(IngrWt[Tuscan Herb],MATCH(IngrCost[[#This Row],[Ingredient]:[Ingredient]],IngrWt[[Ingredient]:[Ingredient]],0))&gt;0,INDEX(Tier3[[Cost/lb.]:[Cost/lb.]],MATCH(IngrCost[[#This Row],[Ingredient]:[Ingredient]],Tier3[[Ingredient]:[Ingredient]],0))*INDEX(IngrWt[Tuscan Herb],MATCH(IngrCost[[#This Row],[Ingredient]:[Ingredient]],IngrWt[[Ingredient]:[Ingredient]],0)),""),"")</f>
        <v/>
      </c>
      <c r="N23" s="13" t="str" cm="1">
        <f t="array" ref="N23">IFERROR(IF(INDEX(Tier3[[Cost/lb.]:[Cost/lb.]],MATCH(IngrCost[[#This Row],[Ingredient]:[Ingredient]],Tier3[[Ingredient]:[Ingredient]],0))*INDEX(IngrWt[Garlic &amp; Herb],MATCH(IngrCost[[#This Row],[Ingredient]:[Ingredient]],IngrWt[[Ingredient]:[Ingredient]],0))&gt;0,INDEX(Tier3[[Cost/lb.]:[Cost/lb.]],MATCH(IngrCost[[#This Row],[Ingredient]:[Ingredient]],Tier3[[Ingredient]:[Ingredient]],0))*INDEX(IngrWt[Garlic &amp; Herb],MATCH(IngrCost[[#This Row],[Ingredient]:[Ingredient]],IngrWt[[Ingredient]:[Ingredient]],0)),""),"")</f>
        <v/>
      </c>
      <c r="O23" s="13" t="str" cm="1">
        <f t="array" ref="O23">IFERROR(IF(INDEX(Tier3[[Cost/lb.]:[Cost/lb.]],MATCH(IngrCost[[#This Row],[Ingredient]:[Ingredient]],Tier3[[Ingredient]:[Ingredient]],0))*INDEX(IngrWt[Meatloaf],MATCH(IngrCost[[#This Row],[Ingredient]:[Ingredient]],IngrWt[[Ingredient]:[Ingredient]],0))&gt;0,INDEX(Tier3[[Cost/lb.]:[Cost/lb.]],MATCH(IngrCost[[#This Row],[Ingredient]:[Ingredient]],Tier3[[Ingredient]:[Ingredient]],0))*INDEX(IngrWt[Meatloaf],MATCH(IngrCost[[#This Row],[Ingredient]:[Ingredient]],IngrWt[[Ingredient]:[Ingredient]],0)),""),"")</f>
        <v/>
      </c>
      <c r="P23" s="13" t="str" cm="1">
        <f t="array" ref="P23">IFERROR(IF(INDEX(Tier3[[Cost/lb.]:[Cost/lb.]],MATCH(IngrCost[[#This Row],[Ingredient]:[Ingredient]],Tier3[[Ingredient]:[Ingredient]],0))*INDEX(IngrWt[Pizza Patty],MATCH(IngrCost[[#This Row],[Ingredient]:[Ingredient]],IngrWt[[Ingredient]:[Ingredient]],0))&gt;0,INDEX(Tier3[[Cost/lb.]:[Cost/lb.]],MATCH(IngrCost[[#This Row],[Ingredient]:[Ingredient]],Tier3[[Ingredient]:[Ingredient]],0))*INDEX(IngrWt[Pizza Patty],MATCH(IngrCost[[#This Row],[Ingredient]:[Ingredient]],IngrWt[[Ingredient]:[Ingredient]],0)),""),"")</f>
        <v/>
      </c>
      <c r="Q23" s="13" t="str" cm="1">
        <f t="array" ref="Q23">IFERROR(IF(INDEX(Tier3[[Cost/lb.]:[Cost/lb.]],MATCH(IngrCost[[#This Row],[Ingredient]:[Ingredient]],Tier3[[Ingredient]:[Ingredient]],0))*INDEX(IngrWt[Spicy Internal],MATCH(IngrCost[[#This Row],[Ingredient]:[Ingredient]],IngrWt[[Ingredient]:[Ingredient]],0))&gt;0,INDEX(Tier3[[Cost/lb.]:[Cost/lb.]],MATCH(IngrCost[[#This Row],[Ingredient]:[Ingredient]],Tier3[[Ingredient]:[Ingredient]],0))*INDEX(IngrWt[Spicy Internal],MATCH(IngrCost[[#This Row],[Ingredient]:[Ingredient]],IngrWt[[Ingredient]:[Ingredient]],0)),""),"")</f>
        <v/>
      </c>
      <c r="R23" s="13" t="str" cm="1">
        <f t="array" ref="R23">IFERROR(IF(INDEX(Tier3[[Cost/lb.]:[Cost/lb.]],MATCH(IngrCost[[#This Row],[Ingredient]:[Ingredient]],Tier3[[Ingredient]:[Ingredient]],0))*INDEX(IngrWt[Dinner Patty],MATCH(IngrCost[[#This Row],[Ingredient]:[Ingredient]],IngrWt[[Ingredient]:[Ingredient]],0))&gt;0,INDEX(Tier3[[Cost/lb.]:[Cost/lb.]],MATCH(IngrCost[[#This Row],[Ingredient]:[Ingredient]],Tier3[[Ingredient]:[Ingredient]],0))*INDEX(IngrWt[Dinner Patty],MATCH(IngrCost[[#This Row],[Ingredient]:[Ingredient]],IngrWt[[Ingredient]:[Ingredient]],0)),""),"")</f>
        <v/>
      </c>
      <c r="S23" s="13" cm="1">
        <f t="array" ref="S23">IFERROR(IF(INDEX(Tier3[[Cost/lb.]:[Cost/lb.]],MATCH(IngrCost[[#This Row],[Ingredient]:[Ingredient]],Tier3[[Ingredient]:[Ingredient]],0))*INDEX(IngrWt[Breakfast],MATCH(IngrCost[[#This Row],[Ingredient]:[Ingredient]],IngrWt[[Ingredient]:[Ingredient]],0))&gt;0,INDEX(Tier3[[Cost/lb.]:[Cost/lb.]],MATCH(IngrCost[[#This Row],[Ingredient]:[Ingredient]],Tier3[[Ingredient]:[Ingredient]],0))*INDEX(IngrWt[Breakfast],MATCH(IngrCost[[#This Row],[Ingredient]:[Ingredient]],IngrWt[[Ingredient]:[Ingredient]],0)),""),"")</f>
        <v>12</v>
      </c>
      <c r="T23" s="13" cm="1">
        <f t="array" ref="T23">IFERROR(IF(INDEX(Tier3[[Cost/lb.]:[Cost/lb.]],MATCH(IngrCost[[#This Row],[Ingredient]:[Ingredient]],Tier3[[Ingredient]:[Ingredient]],0))*INDEX(IngrWt[Maple Breakfast],MATCH(IngrCost[[#This Row],[Ingredient]:[Ingredient]],IngrWt[[Ingredient]:[Ingredient]],0))&gt;0,INDEX(Tier3[[Cost/lb.]:[Cost/lb.]],MATCH(IngrCost[[#This Row],[Ingredient]:[Ingredient]],Tier3[[Ingredient]:[Ingredient]],0))*INDEX(IngrWt[Maple Breakfast],MATCH(IngrCost[[#This Row],[Ingredient]:[Ingredient]],IngrWt[[Ingredient]:[Ingredient]],0)),""),"")</f>
        <v>12</v>
      </c>
      <c r="U23" s="13" t="str" cm="1">
        <f t="array" ref="U23">IFERROR(IF(INDEX(Tier3[[Cost/lb.]:[Cost/lb.]],MATCH(IngrCost[[#This Row],[Ingredient]:[Ingredient]],Tier3[[Ingredient]:[Ingredient]],0))*INDEX(IngrWt[Bean Burger],MATCH(IngrCost[[#This Row],[Ingredient]:[Ingredient]],IngrWt[[Ingredient]:[Ingredient]],0))&gt;0,INDEX(Tier3[[Cost/lb.]:[Cost/lb.]],MATCH(IngrCost[[#This Row],[Ingredient]:[Ingredient]],Tier3[[Ingredient]:[Ingredient]],0))*INDEX(IngrWt[Bean Burger],MATCH(IngrCost[[#This Row],[Ingredient]:[Ingredient]],IngrWt[[Ingredient]:[Ingredient]],0)),""),"")</f>
        <v/>
      </c>
    </row>
    <row r="24" spans="1:21" ht="11.45" customHeight="1" x14ac:dyDescent="0.15">
      <c r="A24" s="4" t="s">
        <v>71</v>
      </c>
      <c r="B24" s="14">
        <v>4</v>
      </c>
      <c r="C24" s="14">
        <v>3</v>
      </c>
      <c r="D24" s="14">
        <v>3</v>
      </c>
      <c r="E24" s="14">
        <v>2.75</v>
      </c>
      <c r="F24" s="14">
        <v>3.5</v>
      </c>
      <c r="G24" s="14">
        <v>3</v>
      </c>
      <c r="H24" s="12">
        <v>3</v>
      </c>
      <c r="I24" s="12">
        <v>3</v>
      </c>
      <c r="J24" s="12">
        <v>1.5</v>
      </c>
      <c r="L24" s="4" t="s">
        <v>71</v>
      </c>
      <c r="M24" s="13" cm="1">
        <f t="array" ref="M24">IFERROR(IF(INDEX(Tier3[[Cost/lb.]:[Cost/lb.]],MATCH(IngrCost[[#This Row],[Ingredient]:[Ingredient]],Tier3[[Ingredient]:[Ingredient]],0))*INDEX(IngrWt[Tuscan Herb],MATCH(IngrCost[[#This Row],[Ingredient]:[Ingredient]],IngrWt[[Ingredient]:[Ingredient]],0))&gt;0,INDEX(Tier3[[Cost/lb.]:[Cost/lb.]],MATCH(IngrCost[[#This Row],[Ingredient]:[Ingredient]],Tier3[[Ingredient]:[Ingredient]],0))*INDEX(IngrWt[Tuscan Herb],MATCH(IngrCost[[#This Row],[Ingredient]:[Ingredient]],IngrWt[[Ingredient]:[Ingredient]],0)),""),"")</f>
        <v>2</v>
      </c>
      <c r="N24" s="13" cm="1">
        <f t="array" ref="N24">IFERROR(IF(INDEX(Tier3[[Cost/lb.]:[Cost/lb.]],MATCH(IngrCost[[#This Row],[Ingredient]:[Ingredient]],Tier3[[Ingredient]:[Ingredient]],0))*INDEX(IngrWt[Garlic &amp; Herb],MATCH(IngrCost[[#This Row],[Ingredient]:[Ingredient]],IngrWt[[Ingredient]:[Ingredient]],0))&gt;0,INDEX(Tier3[[Cost/lb.]:[Cost/lb.]],MATCH(IngrCost[[#This Row],[Ingredient]:[Ingredient]],Tier3[[Ingredient]:[Ingredient]],0))*INDEX(IngrWt[Garlic &amp; Herb],MATCH(IngrCost[[#This Row],[Ingredient]:[Ingredient]],IngrWt[[Ingredient]:[Ingredient]],0)),""),"")</f>
        <v>1.5</v>
      </c>
      <c r="O24" s="13" cm="1">
        <f t="array" ref="O24">IFERROR(IF(INDEX(Tier3[[Cost/lb.]:[Cost/lb.]],MATCH(IngrCost[[#This Row],[Ingredient]:[Ingredient]],Tier3[[Ingredient]:[Ingredient]],0))*INDEX(IngrWt[Meatloaf],MATCH(IngrCost[[#This Row],[Ingredient]:[Ingredient]],IngrWt[[Ingredient]:[Ingredient]],0))&gt;0,INDEX(Tier3[[Cost/lb.]:[Cost/lb.]],MATCH(IngrCost[[#This Row],[Ingredient]:[Ingredient]],Tier3[[Ingredient]:[Ingredient]],0))*INDEX(IngrWt[Meatloaf],MATCH(IngrCost[[#This Row],[Ingredient]:[Ingredient]],IngrWt[[Ingredient]:[Ingredient]],0)),""),"")</f>
        <v>1.5</v>
      </c>
      <c r="P24" s="13" cm="1">
        <f t="array" ref="P24">IFERROR(IF(INDEX(Tier3[[Cost/lb.]:[Cost/lb.]],MATCH(IngrCost[[#This Row],[Ingredient]:[Ingredient]],Tier3[[Ingredient]:[Ingredient]],0))*INDEX(IngrWt[Pizza Patty],MATCH(IngrCost[[#This Row],[Ingredient]:[Ingredient]],IngrWt[[Ingredient]:[Ingredient]],0))&gt;0,INDEX(Tier3[[Cost/lb.]:[Cost/lb.]],MATCH(IngrCost[[#This Row],[Ingredient]:[Ingredient]],Tier3[[Ingredient]:[Ingredient]],0))*INDEX(IngrWt[Pizza Patty],MATCH(IngrCost[[#This Row],[Ingredient]:[Ingredient]],IngrWt[[Ingredient]:[Ingredient]],0)),""),"")</f>
        <v>1.375</v>
      </c>
      <c r="Q24" s="13" cm="1">
        <f t="array" ref="Q24">IFERROR(IF(INDEX(Tier3[[Cost/lb.]:[Cost/lb.]],MATCH(IngrCost[[#This Row],[Ingredient]:[Ingredient]],Tier3[[Ingredient]:[Ingredient]],0))*INDEX(IngrWt[Spicy Internal],MATCH(IngrCost[[#This Row],[Ingredient]:[Ingredient]],IngrWt[[Ingredient]:[Ingredient]],0))&gt;0,INDEX(Tier3[[Cost/lb.]:[Cost/lb.]],MATCH(IngrCost[[#This Row],[Ingredient]:[Ingredient]],Tier3[[Ingredient]:[Ingredient]],0))*INDEX(IngrWt[Spicy Internal],MATCH(IngrCost[[#This Row],[Ingredient]:[Ingredient]],IngrWt[[Ingredient]:[Ingredient]],0)),""),"")</f>
        <v>1.75</v>
      </c>
      <c r="R24" s="13" cm="1">
        <f t="array" ref="R24">IFERROR(IF(INDEX(Tier3[[Cost/lb.]:[Cost/lb.]],MATCH(IngrCost[[#This Row],[Ingredient]:[Ingredient]],Tier3[[Ingredient]:[Ingredient]],0))*INDEX(IngrWt[Dinner Patty],MATCH(IngrCost[[#This Row],[Ingredient]:[Ingredient]],IngrWt[[Ingredient]:[Ingredient]],0))&gt;0,INDEX(Tier3[[Cost/lb.]:[Cost/lb.]],MATCH(IngrCost[[#This Row],[Ingredient]:[Ingredient]],Tier3[[Ingredient]:[Ingredient]],0))*INDEX(IngrWt[Dinner Patty],MATCH(IngrCost[[#This Row],[Ingredient]:[Ingredient]],IngrWt[[Ingredient]:[Ingredient]],0)),""),"")</f>
        <v>1.5</v>
      </c>
      <c r="S24" s="13" cm="1">
        <f t="array" ref="S24">IFERROR(IF(INDEX(Tier3[[Cost/lb.]:[Cost/lb.]],MATCH(IngrCost[[#This Row],[Ingredient]:[Ingredient]],Tier3[[Ingredient]:[Ingredient]],0))*INDEX(IngrWt[Breakfast],MATCH(IngrCost[[#This Row],[Ingredient]:[Ingredient]],IngrWt[[Ingredient]:[Ingredient]],0))&gt;0,INDEX(Tier3[[Cost/lb.]:[Cost/lb.]],MATCH(IngrCost[[#This Row],[Ingredient]:[Ingredient]],Tier3[[Ingredient]:[Ingredient]],0))*INDEX(IngrWt[Breakfast],MATCH(IngrCost[[#This Row],[Ingredient]:[Ingredient]],IngrWt[[Ingredient]:[Ingredient]],0)),""),"")</f>
        <v>1.5</v>
      </c>
      <c r="T24" s="13" cm="1">
        <f t="array" ref="T24">IFERROR(IF(INDEX(Tier3[[Cost/lb.]:[Cost/lb.]],MATCH(IngrCost[[#This Row],[Ingredient]:[Ingredient]],Tier3[[Ingredient]:[Ingredient]],0))*INDEX(IngrWt[Maple Breakfast],MATCH(IngrCost[[#This Row],[Ingredient]:[Ingredient]],IngrWt[[Ingredient]:[Ingredient]],0))&gt;0,INDEX(Tier3[[Cost/lb.]:[Cost/lb.]],MATCH(IngrCost[[#This Row],[Ingredient]:[Ingredient]],Tier3[[Ingredient]:[Ingredient]],0))*INDEX(IngrWt[Maple Breakfast],MATCH(IngrCost[[#This Row],[Ingredient]:[Ingredient]],IngrWt[[Ingredient]:[Ingredient]],0)),""),"")</f>
        <v>1.5</v>
      </c>
      <c r="U24" s="13" cm="1">
        <f t="array" ref="U24">IFERROR(IF(INDEX(Tier3[[Cost/lb.]:[Cost/lb.]],MATCH(IngrCost[[#This Row],[Ingredient]:[Ingredient]],Tier3[[Ingredient]:[Ingredient]],0))*INDEX(IngrWt[Bean Burger],MATCH(IngrCost[[#This Row],[Ingredient]:[Ingredient]],IngrWt[[Ingredient]:[Ingredient]],0))&gt;0,INDEX(Tier3[[Cost/lb.]:[Cost/lb.]],MATCH(IngrCost[[#This Row],[Ingredient]:[Ingredient]],Tier3[[Ingredient]:[Ingredient]],0))*INDEX(IngrWt[Bean Burger],MATCH(IngrCost[[#This Row],[Ingredient]:[Ingredient]],IngrWt[[Ingredient]:[Ingredient]],0)),""),"")</f>
        <v>0.75</v>
      </c>
    </row>
    <row r="25" spans="1:21" ht="11.45" customHeight="1" x14ac:dyDescent="0.15">
      <c r="A25" s="4" t="s">
        <v>70</v>
      </c>
      <c r="B25" s="14">
        <v>0.05</v>
      </c>
      <c r="C25" s="14"/>
      <c r="D25" s="14">
        <v>0.6</v>
      </c>
      <c r="E25" s="14"/>
      <c r="F25" s="14">
        <v>0.05</v>
      </c>
      <c r="G25" s="14"/>
      <c r="H25" s="12"/>
      <c r="I25" s="12"/>
      <c r="J25" s="12"/>
      <c r="L25" s="4" t="s">
        <v>70</v>
      </c>
      <c r="M25" s="13" cm="1">
        <f t="array" ref="M25">IFERROR(IF(INDEX(Tier3[[Cost/lb.]:[Cost/lb.]],MATCH(IngrCost[[#This Row],[Ingredient]:[Ingredient]],Tier3[[Ingredient]:[Ingredient]],0))*INDEX(IngrWt[Tuscan Herb],MATCH(IngrCost[[#This Row],[Ingredient]:[Ingredient]],IngrWt[[Ingredient]:[Ingredient]],0))&gt;0,INDEX(Tier3[[Cost/lb.]:[Cost/lb.]],MATCH(IngrCost[[#This Row],[Ingredient]:[Ingredient]],Tier3[[Ingredient]:[Ingredient]],0))*INDEX(IngrWt[Tuscan Herb],MATCH(IngrCost[[#This Row],[Ingredient]:[Ingredient]],IngrWt[[Ingredient]:[Ingredient]],0)),""),"")</f>
        <v>0.57500000000000007</v>
      </c>
      <c r="N25" s="13" t="str" cm="1">
        <f t="array" ref="N25">IFERROR(IF(INDEX(Tier3[[Cost/lb.]:[Cost/lb.]],MATCH(IngrCost[[#This Row],[Ingredient]:[Ingredient]],Tier3[[Ingredient]:[Ingredient]],0))*INDEX(IngrWt[Garlic &amp; Herb],MATCH(IngrCost[[#This Row],[Ingredient]:[Ingredient]],IngrWt[[Ingredient]:[Ingredient]],0))&gt;0,INDEX(Tier3[[Cost/lb.]:[Cost/lb.]],MATCH(IngrCost[[#This Row],[Ingredient]:[Ingredient]],Tier3[[Ingredient]:[Ingredient]],0))*INDEX(IngrWt[Garlic &amp; Herb],MATCH(IngrCost[[#This Row],[Ingredient]:[Ingredient]],IngrWt[[Ingredient]:[Ingredient]],0)),""),"")</f>
        <v/>
      </c>
      <c r="O25" s="13" cm="1">
        <f t="array" ref="O25">IFERROR(IF(INDEX(Tier3[[Cost/lb.]:[Cost/lb.]],MATCH(IngrCost[[#This Row],[Ingredient]:[Ingredient]],Tier3[[Ingredient]:[Ingredient]],0))*INDEX(IngrWt[Meatloaf],MATCH(IngrCost[[#This Row],[Ingredient]:[Ingredient]],IngrWt[[Ingredient]:[Ingredient]],0))&gt;0,INDEX(Tier3[[Cost/lb.]:[Cost/lb.]],MATCH(IngrCost[[#This Row],[Ingredient]:[Ingredient]],Tier3[[Ingredient]:[Ingredient]],0))*INDEX(IngrWt[Meatloaf],MATCH(IngrCost[[#This Row],[Ingredient]:[Ingredient]],IngrWt[[Ingredient]:[Ingredient]],0)),""),"")</f>
        <v>6.8999999999999995</v>
      </c>
      <c r="P25" s="13" t="str" cm="1">
        <f t="array" ref="P25">IFERROR(IF(INDEX(Tier3[[Cost/lb.]:[Cost/lb.]],MATCH(IngrCost[[#This Row],[Ingredient]:[Ingredient]],Tier3[[Ingredient]:[Ingredient]],0))*INDEX(IngrWt[Pizza Patty],MATCH(IngrCost[[#This Row],[Ingredient]:[Ingredient]],IngrWt[[Ingredient]:[Ingredient]],0))&gt;0,INDEX(Tier3[[Cost/lb.]:[Cost/lb.]],MATCH(IngrCost[[#This Row],[Ingredient]:[Ingredient]],Tier3[[Ingredient]:[Ingredient]],0))*INDEX(IngrWt[Pizza Patty],MATCH(IngrCost[[#This Row],[Ingredient]:[Ingredient]],IngrWt[[Ingredient]:[Ingredient]],0)),""),"")</f>
        <v/>
      </c>
      <c r="Q25" s="13" cm="1">
        <f t="array" ref="Q25">IFERROR(IF(INDEX(Tier3[[Cost/lb.]:[Cost/lb.]],MATCH(IngrCost[[#This Row],[Ingredient]:[Ingredient]],Tier3[[Ingredient]:[Ingredient]],0))*INDEX(IngrWt[Spicy Internal],MATCH(IngrCost[[#This Row],[Ingredient]:[Ingredient]],IngrWt[[Ingredient]:[Ingredient]],0))&gt;0,INDEX(Tier3[[Cost/lb.]:[Cost/lb.]],MATCH(IngrCost[[#This Row],[Ingredient]:[Ingredient]],Tier3[[Ingredient]:[Ingredient]],0))*INDEX(IngrWt[Spicy Internal],MATCH(IngrCost[[#This Row],[Ingredient]:[Ingredient]],IngrWt[[Ingredient]:[Ingredient]],0)),""),"")</f>
        <v>0.57500000000000007</v>
      </c>
      <c r="R25" s="13" t="str" cm="1">
        <f t="array" ref="R25">IFERROR(IF(INDEX(Tier3[[Cost/lb.]:[Cost/lb.]],MATCH(IngrCost[[#This Row],[Ingredient]:[Ingredient]],Tier3[[Ingredient]:[Ingredient]],0))*INDEX(IngrWt[Dinner Patty],MATCH(IngrCost[[#This Row],[Ingredient]:[Ingredient]],IngrWt[[Ingredient]:[Ingredient]],0))&gt;0,INDEX(Tier3[[Cost/lb.]:[Cost/lb.]],MATCH(IngrCost[[#This Row],[Ingredient]:[Ingredient]],Tier3[[Ingredient]:[Ingredient]],0))*INDEX(IngrWt[Dinner Patty],MATCH(IngrCost[[#This Row],[Ingredient]:[Ingredient]],IngrWt[[Ingredient]:[Ingredient]],0)),""),"")</f>
        <v/>
      </c>
      <c r="S25" s="13" t="str" cm="1">
        <f t="array" ref="S25">IFERROR(IF(INDEX(Tier3[[Cost/lb.]:[Cost/lb.]],MATCH(IngrCost[[#This Row],[Ingredient]:[Ingredient]],Tier3[[Ingredient]:[Ingredient]],0))*INDEX(IngrWt[Breakfast],MATCH(IngrCost[[#This Row],[Ingredient]:[Ingredient]],IngrWt[[Ingredient]:[Ingredient]],0))&gt;0,INDEX(Tier3[[Cost/lb.]:[Cost/lb.]],MATCH(IngrCost[[#This Row],[Ingredient]:[Ingredient]],Tier3[[Ingredient]:[Ingredient]],0))*INDEX(IngrWt[Breakfast],MATCH(IngrCost[[#This Row],[Ingredient]:[Ingredient]],IngrWt[[Ingredient]:[Ingredient]],0)),""),"")</f>
        <v/>
      </c>
      <c r="T25" s="13" t="str" cm="1">
        <f t="array" ref="T25">IFERROR(IF(INDEX(Tier3[[Cost/lb.]:[Cost/lb.]],MATCH(IngrCost[[#This Row],[Ingredient]:[Ingredient]],Tier3[[Ingredient]:[Ingredient]],0))*INDEX(IngrWt[Maple Breakfast],MATCH(IngrCost[[#This Row],[Ingredient]:[Ingredient]],IngrWt[[Ingredient]:[Ingredient]],0))&gt;0,INDEX(Tier3[[Cost/lb.]:[Cost/lb.]],MATCH(IngrCost[[#This Row],[Ingredient]:[Ingredient]],Tier3[[Ingredient]:[Ingredient]],0))*INDEX(IngrWt[Maple Breakfast],MATCH(IngrCost[[#This Row],[Ingredient]:[Ingredient]],IngrWt[[Ingredient]:[Ingredient]],0)),""),"")</f>
        <v/>
      </c>
      <c r="U25" s="13" t="str" cm="1">
        <f t="array" ref="U25">IFERROR(IF(INDEX(Tier3[[Cost/lb.]:[Cost/lb.]],MATCH(IngrCost[[#This Row],[Ingredient]:[Ingredient]],Tier3[[Ingredient]:[Ingredient]],0))*INDEX(IngrWt[Bean Burger],MATCH(IngrCost[[#This Row],[Ingredient]:[Ingredient]],IngrWt[[Ingredient]:[Ingredient]],0))&gt;0,INDEX(Tier3[[Cost/lb.]:[Cost/lb.]],MATCH(IngrCost[[#This Row],[Ingredient]:[Ingredient]],Tier3[[Ingredient]:[Ingredient]],0))*INDEX(IngrWt[Bean Burger],MATCH(IngrCost[[#This Row],[Ingredient]:[Ingredient]],IngrWt[[Ingredient]:[Ingredient]],0)),""),"")</f>
        <v/>
      </c>
    </row>
    <row r="26" spans="1:21" ht="11.45" customHeight="1" x14ac:dyDescent="0.15">
      <c r="A26" s="4" t="s">
        <v>69</v>
      </c>
      <c r="B26" s="14"/>
      <c r="C26" s="14"/>
      <c r="D26" s="14"/>
      <c r="E26" s="14"/>
      <c r="F26" s="14"/>
      <c r="G26" s="14"/>
      <c r="H26" s="12"/>
      <c r="I26" s="12"/>
      <c r="J26" s="12"/>
      <c r="L26" s="4" t="s">
        <v>69</v>
      </c>
      <c r="M26" s="13" t="str" cm="1">
        <f t="array" ref="M26">IFERROR(IF(INDEX(Tier3[[Cost/lb.]:[Cost/lb.]],MATCH(IngrCost[[#This Row],[Ingredient]:[Ingredient]],Tier3[[Ingredient]:[Ingredient]],0))*INDEX(IngrWt[Tuscan Herb],MATCH(IngrCost[[#This Row],[Ingredient]:[Ingredient]],IngrWt[[Ingredient]:[Ingredient]],0))&gt;0,INDEX(Tier3[[Cost/lb.]:[Cost/lb.]],MATCH(IngrCost[[#This Row],[Ingredient]:[Ingredient]],Tier3[[Ingredient]:[Ingredient]],0))*INDEX(IngrWt[Tuscan Herb],MATCH(IngrCost[[#This Row],[Ingredient]:[Ingredient]],IngrWt[[Ingredient]:[Ingredient]],0)),""),"")</f>
        <v/>
      </c>
      <c r="N26" s="13" t="str" cm="1">
        <f t="array" ref="N26">IFERROR(IF(INDEX(Tier3[[Cost/lb.]:[Cost/lb.]],MATCH(IngrCost[[#This Row],[Ingredient]:[Ingredient]],Tier3[[Ingredient]:[Ingredient]],0))*INDEX(IngrWt[Garlic &amp; Herb],MATCH(IngrCost[[#This Row],[Ingredient]:[Ingredient]],IngrWt[[Ingredient]:[Ingredient]],0))&gt;0,INDEX(Tier3[[Cost/lb.]:[Cost/lb.]],MATCH(IngrCost[[#This Row],[Ingredient]:[Ingredient]],Tier3[[Ingredient]:[Ingredient]],0))*INDEX(IngrWt[Garlic &amp; Herb],MATCH(IngrCost[[#This Row],[Ingredient]:[Ingredient]],IngrWt[[Ingredient]:[Ingredient]],0)),""),"")</f>
        <v/>
      </c>
      <c r="O26" s="13" t="str" cm="1">
        <f t="array" ref="O26">IFERROR(IF(INDEX(Tier3[[Cost/lb.]:[Cost/lb.]],MATCH(IngrCost[[#This Row],[Ingredient]:[Ingredient]],Tier3[[Ingredient]:[Ingredient]],0))*INDEX(IngrWt[Meatloaf],MATCH(IngrCost[[#This Row],[Ingredient]:[Ingredient]],IngrWt[[Ingredient]:[Ingredient]],0))&gt;0,INDEX(Tier3[[Cost/lb.]:[Cost/lb.]],MATCH(IngrCost[[#This Row],[Ingredient]:[Ingredient]],Tier3[[Ingredient]:[Ingredient]],0))*INDEX(IngrWt[Meatloaf],MATCH(IngrCost[[#This Row],[Ingredient]:[Ingredient]],IngrWt[[Ingredient]:[Ingredient]],0)),""),"")</f>
        <v/>
      </c>
      <c r="P26" s="13" t="str" cm="1">
        <f t="array" ref="P26">IFERROR(IF(INDEX(Tier3[[Cost/lb.]:[Cost/lb.]],MATCH(IngrCost[[#This Row],[Ingredient]:[Ingredient]],Tier3[[Ingredient]:[Ingredient]],0))*INDEX(IngrWt[Pizza Patty],MATCH(IngrCost[[#This Row],[Ingredient]:[Ingredient]],IngrWt[[Ingredient]:[Ingredient]],0))&gt;0,INDEX(Tier3[[Cost/lb.]:[Cost/lb.]],MATCH(IngrCost[[#This Row],[Ingredient]:[Ingredient]],Tier3[[Ingredient]:[Ingredient]],0))*INDEX(IngrWt[Pizza Patty],MATCH(IngrCost[[#This Row],[Ingredient]:[Ingredient]],IngrWt[[Ingredient]:[Ingredient]],0)),""),"")</f>
        <v/>
      </c>
      <c r="Q26" s="13" t="str" cm="1">
        <f t="array" ref="Q26">IFERROR(IF(INDEX(Tier3[[Cost/lb.]:[Cost/lb.]],MATCH(IngrCost[[#This Row],[Ingredient]:[Ingredient]],Tier3[[Ingredient]:[Ingredient]],0))*INDEX(IngrWt[Spicy Internal],MATCH(IngrCost[[#This Row],[Ingredient]:[Ingredient]],IngrWt[[Ingredient]:[Ingredient]],0))&gt;0,INDEX(Tier3[[Cost/lb.]:[Cost/lb.]],MATCH(IngrCost[[#This Row],[Ingredient]:[Ingredient]],Tier3[[Ingredient]:[Ingredient]],0))*INDEX(IngrWt[Spicy Internal],MATCH(IngrCost[[#This Row],[Ingredient]:[Ingredient]],IngrWt[[Ingredient]:[Ingredient]],0)),""),"")</f>
        <v/>
      </c>
      <c r="R26" s="13" t="str" cm="1">
        <f t="array" ref="R26">IFERROR(IF(INDEX(Tier3[[Cost/lb.]:[Cost/lb.]],MATCH(IngrCost[[#This Row],[Ingredient]:[Ingredient]],Tier3[[Ingredient]:[Ingredient]],0))*INDEX(IngrWt[Dinner Patty],MATCH(IngrCost[[#This Row],[Ingredient]:[Ingredient]],IngrWt[[Ingredient]:[Ingredient]],0))&gt;0,INDEX(Tier3[[Cost/lb.]:[Cost/lb.]],MATCH(IngrCost[[#This Row],[Ingredient]:[Ingredient]],Tier3[[Ingredient]:[Ingredient]],0))*INDEX(IngrWt[Dinner Patty],MATCH(IngrCost[[#This Row],[Ingredient]:[Ingredient]],IngrWt[[Ingredient]:[Ingredient]],0)),""),"")</f>
        <v/>
      </c>
      <c r="S26" s="13" t="str" cm="1">
        <f t="array" ref="S26">IFERROR(IF(INDEX(Tier3[[Cost/lb.]:[Cost/lb.]],MATCH(IngrCost[[#This Row],[Ingredient]:[Ingredient]],Tier3[[Ingredient]:[Ingredient]],0))*INDEX(IngrWt[Breakfast],MATCH(IngrCost[[#This Row],[Ingredient]:[Ingredient]],IngrWt[[Ingredient]:[Ingredient]],0))&gt;0,INDEX(Tier3[[Cost/lb.]:[Cost/lb.]],MATCH(IngrCost[[#This Row],[Ingredient]:[Ingredient]],Tier3[[Ingredient]:[Ingredient]],0))*INDEX(IngrWt[Breakfast],MATCH(IngrCost[[#This Row],[Ingredient]:[Ingredient]],IngrWt[[Ingredient]:[Ingredient]],0)),""),"")</f>
        <v/>
      </c>
      <c r="T26" s="13" t="str" cm="1">
        <f t="array" ref="T26">IFERROR(IF(INDEX(Tier3[[Cost/lb.]:[Cost/lb.]],MATCH(IngrCost[[#This Row],[Ingredient]:[Ingredient]],Tier3[[Ingredient]:[Ingredient]],0))*INDEX(IngrWt[Maple Breakfast],MATCH(IngrCost[[#This Row],[Ingredient]:[Ingredient]],IngrWt[[Ingredient]:[Ingredient]],0))&gt;0,INDEX(Tier3[[Cost/lb.]:[Cost/lb.]],MATCH(IngrCost[[#This Row],[Ingredient]:[Ingredient]],Tier3[[Ingredient]:[Ingredient]],0))*INDEX(IngrWt[Maple Breakfast],MATCH(IngrCost[[#This Row],[Ingredient]:[Ingredient]],IngrWt[[Ingredient]:[Ingredient]],0)),""),"")</f>
        <v/>
      </c>
      <c r="U26" s="13" t="str" cm="1">
        <f t="array" ref="U26">IFERROR(IF(INDEX(Tier3[[Cost/lb.]:[Cost/lb.]],MATCH(IngrCost[[#This Row],[Ingredient]:[Ingredient]],Tier3[[Ingredient]:[Ingredient]],0))*INDEX(IngrWt[Bean Burger],MATCH(IngrCost[[#This Row],[Ingredient]:[Ingredient]],IngrWt[[Ingredient]:[Ingredient]],0))&gt;0,INDEX(Tier3[[Cost/lb.]:[Cost/lb.]],MATCH(IngrCost[[#This Row],[Ingredient]:[Ingredient]],Tier3[[Ingredient]:[Ingredient]],0))*INDEX(IngrWt[Bean Burger],MATCH(IngrCost[[#This Row],[Ingredient]:[Ingredient]],IngrWt[[Ingredient]:[Ingredient]],0)),""),"")</f>
        <v/>
      </c>
    </row>
    <row r="27" spans="1:21" ht="11.45" customHeight="1" x14ac:dyDescent="0.15">
      <c r="A27" s="4" t="s">
        <v>68</v>
      </c>
      <c r="B27" s="14"/>
      <c r="C27" s="14"/>
      <c r="D27" s="14">
        <v>1.75</v>
      </c>
      <c r="E27" s="14">
        <v>1.5</v>
      </c>
      <c r="F27" s="14"/>
      <c r="G27" s="14"/>
      <c r="H27" s="12">
        <v>0.75</v>
      </c>
      <c r="I27" s="12">
        <v>9</v>
      </c>
      <c r="J27" s="12"/>
      <c r="L27" s="4" t="s">
        <v>68</v>
      </c>
      <c r="M27" s="13" t="str" cm="1">
        <f t="array" ref="M27">IFERROR(IF(INDEX(Tier3[[Cost/lb.]:[Cost/lb.]],MATCH(IngrCost[[#This Row],[Ingredient]:[Ingredient]],Tier3[[Ingredient]:[Ingredient]],0))*INDEX(IngrWt[Tuscan Herb],MATCH(IngrCost[[#This Row],[Ingredient]:[Ingredient]],IngrWt[[Ingredient]:[Ingredient]],0))&gt;0,INDEX(Tier3[[Cost/lb.]:[Cost/lb.]],MATCH(IngrCost[[#This Row],[Ingredient]:[Ingredient]],Tier3[[Ingredient]:[Ingredient]],0))*INDEX(IngrWt[Tuscan Herb],MATCH(IngrCost[[#This Row],[Ingredient]:[Ingredient]],IngrWt[[Ingredient]:[Ingredient]],0)),""),"")</f>
        <v/>
      </c>
      <c r="N27" s="13" t="str" cm="1">
        <f t="array" ref="N27">IFERROR(IF(INDEX(Tier3[[Cost/lb.]:[Cost/lb.]],MATCH(IngrCost[[#This Row],[Ingredient]:[Ingredient]],Tier3[[Ingredient]:[Ingredient]],0))*INDEX(IngrWt[Garlic &amp; Herb],MATCH(IngrCost[[#This Row],[Ingredient]:[Ingredient]],IngrWt[[Ingredient]:[Ingredient]],0))&gt;0,INDEX(Tier3[[Cost/lb.]:[Cost/lb.]],MATCH(IngrCost[[#This Row],[Ingredient]:[Ingredient]],Tier3[[Ingredient]:[Ingredient]],0))*INDEX(IngrWt[Garlic &amp; Herb],MATCH(IngrCost[[#This Row],[Ingredient]:[Ingredient]],IngrWt[[Ingredient]:[Ingredient]],0)),""),"")</f>
        <v/>
      </c>
      <c r="O27" s="13" cm="1">
        <f t="array" ref="O27">IFERROR(IF(INDEX(Tier3[[Cost/lb.]:[Cost/lb.]],MATCH(IngrCost[[#This Row],[Ingredient]:[Ingredient]],Tier3[[Ingredient]:[Ingredient]],0))*INDEX(IngrWt[Meatloaf],MATCH(IngrCost[[#This Row],[Ingredient]:[Ingredient]],IngrWt[[Ingredient]:[Ingredient]],0))&gt;0,INDEX(Tier3[[Cost/lb.]:[Cost/lb.]],MATCH(IngrCost[[#This Row],[Ingredient]:[Ingredient]],Tier3[[Ingredient]:[Ingredient]],0))*INDEX(IngrWt[Meatloaf],MATCH(IngrCost[[#This Row],[Ingredient]:[Ingredient]],IngrWt[[Ingredient]:[Ingredient]],0)),""),"")</f>
        <v>1.75</v>
      </c>
      <c r="P27" s="13" cm="1">
        <f t="array" ref="P27">IFERROR(IF(INDEX(Tier3[[Cost/lb.]:[Cost/lb.]],MATCH(IngrCost[[#This Row],[Ingredient]:[Ingredient]],Tier3[[Ingredient]:[Ingredient]],0))*INDEX(IngrWt[Pizza Patty],MATCH(IngrCost[[#This Row],[Ingredient]:[Ingredient]],IngrWt[[Ingredient]:[Ingredient]],0))&gt;0,INDEX(Tier3[[Cost/lb.]:[Cost/lb.]],MATCH(IngrCost[[#This Row],[Ingredient]:[Ingredient]],Tier3[[Ingredient]:[Ingredient]],0))*INDEX(IngrWt[Pizza Patty],MATCH(IngrCost[[#This Row],[Ingredient]:[Ingredient]],IngrWt[[Ingredient]:[Ingredient]],0)),""),"")</f>
        <v>1.5</v>
      </c>
      <c r="Q27" s="13" t="str" cm="1">
        <f t="array" ref="Q27">IFERROR(IF(INDEX(Tier3[[Cost/lb.]:[Cost/lb.]],MATCH(IngrCost[[#This Row],[Ingredient]:[Ingredient]],Tier3[[Ingredient]:[Ingredient]],0))*INDEX(IngrWt[Spicy Internal],MATCH(IngrCost[[#This Row],[Ingredient]:[Ingredient]],IngrWt[[Ingredient]:[Ingredient]],0))&gt;0,INDEX(Tier3[[Cost/lb.]:[Cost/lb.]],MATCH(IngrCost[[#This Row],[Ingredient]:[Ingredient]],Tier3[[Ingredient]:[Ingredient]],0))*INDEX(IngrWt[Spicy Internal],MATCH(IngrCost[[#This Row],[Ingredient]:[Ingredient]],IngrWt[[Ingredient]:[Ingredient]],0)),""),"")</f>
        <v/>
      </c>
      <c r="R27" s="13" t="str" cm="1">
        <f t="array" ref="R27">IFERROR(IF(INDEX(Tier3[[Cost/lb.]:[Cost/lb.]],MATCH(IngrCost[[#This Row],[Ingredient]:[Ingredient]],Tier3[[Ingredient]:[Ingredient]],0))*INDEX(IngrWt[Dinner Patty],MATCH(IngrCost[[#This Row],[Ingredient]:[Ingredient]],IngrWt[[Ingredient]:[Ingredient]],0))&gt;0,INDEX(Tier3[[Cost/lb.]:[Cost/lb.]],MATCH(IngrCost[[#This Row],[Ingredient]:[Ingredient]],Tier3[[Ingredient]:[Ingredient]],0))*INDEX(IngrWt[Dinner Patty],MATCH(IngrCost[[#This Row],[Ingredient]:[Ingredient]],IngrWt[[Ingredient]:[Ingredient]],0)),""),"")</f>
        <v/>
      </c>
      <c r="S27" s="13" cm="1">
        <f t="array" ref="S27">IFERROR(IF(INDEX(Tier3[[Cost/lb.]:[Cost/lb.]],MATCH(IngrCost[[#This Row],[Ingredient]:[Ingredient]],Tier3[[Ingredient]:[Ingredient]],0))*INDEX(IngrWt[Breakfast],MATCH(IngrCost[[#This Row],[Ingredient]:[Ingredient]],IngrWt[[Ingredient]:[Ingredient]],0))&gt;0,INDEX(Tier3[[Cost/lb.]:[Cost/lb.]],MATCH(IngrCost[[#This Row],[Ingredient]:[Ingredient]],Tier3[[Ingredient]:[Ingredient]],0))*INDEX(IngrWt[Breakfast],MATCH(IngrCost[[#This Row],[Ingredient]:[Ingredient]],IngrWt[[Ingredient]:[Ingredient]],0)),""),"")</f>
        <v>0.75</v>
      </c>
      <c r="T27" s="13" cm="1">
        <f t="array" ref="T27">IFERROR(IF(INDEX(Tier3[[Cost/lb.]:[Cost/lb.]],MATCH(IngrCost[[#This Row],[Ingredient]:[Ingredient]],Tier3[[Ingredient]:[Ingredient]],0))*INDEX(IngrWt[Maple Breakfast],MATCH(IngrCost[[#This Row],[Ingredient]:[Ingredient]],IngrWt[[Ingredient]:[Ingredient]],0))&gt;0,INDEX(Tier3[[Cost/lb.]:[Cost/lb.]],MATCH(IngrCost[[#This Row],[Ingredient]:[Ingredient]],Tier3[[Ingredient]:[Ingredient]],0))*INDEX(IngrWt[Maple Breakfast],MATCH(IngrCost[[#This Row],[Ingredient]:[Ingredient]],IngrWt[[Ingredient]:[Ingredient]],0)),""),"")</f>
        <v>9</v>
      </c>
      <c r="U27" s="13" t="str" cm="1">
        <f t="array" ref="U27">IFERROR(IF(INDEX(Tier3[[Cost/lb.]:[Cost/lb.]],MATCH(IngrCost[[#This Row],[Ingredient]:[Ingredient]],Tier3[[Ingredient]:[Ingredient]],0))*INDEX(IngrWt[Bean Burger],MATCH(IngrCost[[#This Row],[Ingredient]:[Ingredient]],IngrWt[[Ingredient]:[Ingredient]],0))&gt;0,INDEX(Tier3[[Cost/lb.]:[Cost/lb.]],MATCH(IngrCost[[#This Row],[Ingredient]:[Ingredient]],Tier3[[Ingredient]:[Ingredient]],0))*INDEX(IngrWt[Bean Burger],MATCH(IngrCost[[#This Row],[Ingredient]:[Ingredient]],IngrWt[[Ingredient]:[Ingredient]],0)),""),"")</f>
        <v/>
      </c>
    </row>
    <row r="28" spans="1:21" ht="11.45" customHeight="1" x14ac:dyDescent="0.15">
      <c r="A28" s="4" t="s">
        <v>67</v>
      </c>
      <c r="B28" s="14"/>
      <c r="C28" s="14"/>
      <c r="D28" s="14"/>
      <c r="E28" s="14"/>
      <c r="F28" s="14">
        <v>0.1</v>
      </c>
      <c r="G28" s="14"/>
      <c r="H28" s="12"/>
      <c r="I28" s="12"/>
      <c r="J28" s="12"/>
      <c r="L28" s="4" t="s">
        <v>67</v>
      </c>
      <c r="M28" s="13" t="str" cm="1">
        <f t="array" ref="M28">IFERROR(IF(INDEX(Tier3[[Cost/lb.]:[Cost/lb.]],MATCH(IngrCost[[#This Row],[Ingredient]:[Ingredient]],Tier3[[Ingredient]:[Ingredient]],0))*INDEX(IngrWt[Tuscan Herb],MATCH(IngrCost[[#This Row],[Ingredient]:[Ingredient]],IngrWt[[Ingredient]:[Ingredient]],0))&gt;0,INDEX(Tier3[[Cost/lb.]:[Cost/lb.]],MATCH(IngrCost[[#This Row],[Ingredient]:[Ingredient]],Tier3[[Ingredient]:[Ingredient]],0))*INDEX(IngrWt[Tuscan Herb],MATCH(IngrCost[[#This Row],[Ingredient]:[Ingredient]],IngrWt[[Ingredient]:[Ingredient]],0)),""),"")</f>
        <v/>
      </c>
      <c r="N28" s="13" t="str" cm="1">
        <f t="array" ref="N28">IFERROR(IF(INDEX(Tier3[[Cost/lb.]:[Cost/lb.]],MATCH(IngrCost[[#This Row],[Ingredient]:[Ingredient]],Tier3[[Ingredient]:[Ingredient]],0))*INDEX(IngrWt[Garlic &amp; Herb],MATCH(IngrCost[[#This Row],[Ingredient]:[Ingredient]],IngrWt[[Ingredient]:[Ingredient]],0))&gt;0,INDEX(Tier3[[Cost/lb.]:[Cost/lb.]],MATCH(IngrCost[[#This Row],[Ingredient]:[Ingredient]],Tier3[[Ingredient]:[Ingredient]],0))*INDEX(IngrWt[Garlic &amp; Herb],MATCH(IngrCost[[#This Row],[Ingredient]:[Ingredient]],IngrWt[[Ingredient]:[Ingredient]],0)),""),"")</f>
        <v/>
      </c>
      <c r="O28" s="13" t="str" cm="1">
        <f t="array" ref="O28">IFERROR(IF(INDEX(Tier3[[Cost/lb.]:[Cost/lb.]],MATCH(IngrCost[[#This Row],[Ingredient]:[Ingredient]],Tier3[[Ingredient]:[Ingredient]],0))*INDEX(IngrWt[Meatloaf],MATCH(IngrCost[[#This Row],[Ingredient]:[Ingredient]],IngrWt[[Ingredient]:[Ingredient]],0))&gt;0,INDEX(Tier3[[Cost/lb.]:[Cost/lb.]],MATCH(IngrCost[[#This Row],[Ingredient]:[Ingredient]],Tier3[[Ingredient]:[Ingredient]],0))*INDEX(IngrWt[Meatloaf],MATCH(IngrCost[[#This Row],[Ingredient]:[Ingredient]],IngrWt[[Ingredient]:[Ingredient]],0)),""),"")</f>
        <v/>
      </c>
      <c r="P28" s="13" t="str" cm="1">
        <f t="array" ref="P28">IFERROR(IF(INDEX(Tier3[[Cost/lb.]:[Cost/lb.]],MATCH(IngrCost[[#This Row],[Ingredient]:[Ingredient]],Tier3[[Ingredient]:[Ingredient]],0))*INDEX(IngrWt[Pizza Patty],MATCH(IngrCost[[#This Row],[Ingredient]:[Ingredient]],IngrWt[[Ingredient]:[Ingredient]],0))&gt;0,INDEX(Tier3[[Cost/lb.]:[Cost/lb.]],MATCH(IngrCost[[#This Row],[Ingredient]:[Ingredient]],Tier3[[Ingredient]:[Ingredient]],0))*INDEX(IngrWt[Pizza Patty],MATCH(IngrCost[[#This Row],[Ingredient]:[Ingredient]],IngrWt[[Ingredient]:[Ingredient]],0)),""),"")</f>
        <v/>
      </c>
      <c r="Q28" s="13" cm="1">
        <f t="array" ref="Q28">IFERROR(IF(INDEX(Tier3[[Cost/lb.]:[Cost/lb.]],MATCH(IngrCost[[#This Row],[Ingredient]:[Ingredient]],Tier3[[Ingredient]:[Ingredient]],0))*INDEX(IngrWt[Spicy Internal],MATCH(IngrCost[[#This Row],[Ingredient]:[Ingredient]],IngrWt[[Ingredient]:[Ingredient]],0))&gt;0,INDEX(Tier3[[Cost/lb.]:[Cost/lb.]],MATCH(IngrCost[[#This Row],[Ingredient]:[Ingredient]],Tier3[[Ingredient]:[Ingredient]],0))*INDEX(IngrWt[Spicy Internal],MATCH(IngrCost[[#This Row],[Ingredient]:[Ingredient]],IngrWt[[Ingredient]:[Ingredient]],0)),""),"")</f>
        <v>0.5</v>
      </c>
      <c r="R28" s="13" t="str" cm="1">
        <f t="array" ref="R28">IFERROR(IF(INDEX(Tier3[[Cost/lb.]:[Cost/lb.]],MATCH(IngrCost[[#This Row],[Ingredient]:[Ingredient]],Tier3[[Ingredient]:[Ingredient]],0))*INDEX(IngrWt[Dinner Patty],MATCH(IngrCost[[#This Row],[Ingredient]:[Ingredient]],IngrWt[[Ingredient]:[Ingredient]],0))&gt;0,INDEX(Tier3[[Cost/lb.]:[Cost/lb.]],MATCH(IngrCost[[#This Row],[Ingredient]:[Ingredient]],Tier3[[Ingredient]:[Ingredient]],0))*INDEX(IngrWt[Dinner Patty],MATCH(IngrCost[[#This Row],[Ingredient]:[Ingredient]],IngrWt[[Ingredient]:[Ingredient]],0)),""),"")</f>
        <v/>
      </c>
      <c r="S28" s="13" t="str" cm="1">
        <f t="array" ref="S28">IFERROR(IF(INDEX(Tier3[[Cost/lb.]:[Cost/lb.]],MATCH(IngrCost[[#This Row],[Ingredient]:[Ingredient]],Tier3[[Ingredient]:[Ingredient]],0))*INDEX(IngrWt[Breakfast],MATCH(IngrCost[[#This Row],[Ingredient]:[Ingredient]],IngrWt[[Ingredient]:[Ingredient]],0))&gt;0,INDEX(Tier3[[Cost/lb.]:[Cost/lb.]],MATCH(IngrCost[[#This Row],[Ingredient]:[Ingredient]],Tier3[[Ingredient]:[Ingredient]],0))*INDEX(IngrWt[Breakfast],MATCH(IngrCost[[#This Row],[Ingredient]:[Ingredient]],IngrWt[[Ingredient]:[Ingredient]],0)),""),"")</f>
        <v/>
      </c>
      <c r="T28" s="13" t="str" cm="1">
        <f t="array" ref="T28">IFERROR(IF(INDEX(Tier3[[Cost/lb.]:[Cost/lb.]],MATCH(IngrCost[[#This Row],[Ingredient]:[Ingredient]],Tier3[[Ingredient]:[Ingredient]],0))*INDEX(IngrWt[Maple Breakfast],MATCH(IngrCost[[#This Row],[Ingredient]:[Ingredient]],IngrWt[[Ingredient]:[Ingredient]],0))&gt;0,INDEX(Tier3[[Cost/lb.]:[Cost/lb.]],MATCH(IngrCost[[#This Row],[Ingredient]:[Ingredient]],Tier3[[Ingredient]:[Ingredient]],0))*INDEX(IngrWt[Maple Breakfast],MATCH(IngrCost[[#This Row],[Ingredient]:[Ingredient]],IngrWt[[Ingredient]:[Ingredient]],0)),""),"")</f>
        <v/>
      </c>
      <c r="U28" s="13" t="str" cm="1">
        <f t="array" ref="U28">IFERROR(IF(INDEX(Tier3[[Cost/lb.]:[Cost/lb.]],MATCH(IngrCost[[#This Row],[Ingredient]:[Ingredient]],Tier3[[Ingredient]:[Ingredient]],0))*INDEX(IngrWt[Bean Burger],MATCH(IngrCost[[#This Row],[Ingredient]:[Ingredient]],IngrWt[[Ingredient]:[Ingredient]],0))&gt;0,INDEX(Tier3[[Cost/lb.]:[Cost/lb.]],MATCH(IngrCost[[#This Row],[Ingredient]:[Ingredient]],Tier3[[Ingredient]:[Ingredient]],0))*INDEX(IngrWt[Bean Burger],MATCH(IngrCost[[#This Row],[Ingredient]:[Ingredient]],IngrWt[[Ingredient]:[Ingredient]],0)),""),"")</f>
        <v/>
      </c>
    </row>
    <row r="29" spans="1:21" ht="11.45" customHeight="1" x14ac:dyDescent="0.15">
      <c r="A29" s="4" t="s">
        <v>66</v>
      </c>
      <c r="B29" s="14">
        <v>0.6</v>
      </c>
      <c r="C29" s="14"/>
      <c r="D29" s="14">
        <v>2.6</v>
      </c>
      <c r="E29" s="14">
        <v>4.75</v>
      </c>
      <c r="F29" s="14"/>
      <c r="G29" s="14"/>
      <c r="H29" s="12"/>
      <c r="I29" s="12"/>
      <c r="J29" s="12"/>
      <c r="L29" s="4" t="s">
        <v>66</v>
      </c>
      <c r="M29" s="13" cm="1">
        <f t="array" ref="M29">IFERROR(IF(INDEX(Tier3[[Cost/lb.]:[Cost/lb.]],MATCH(IngrCost[[#This Row],[Ingredient]:[Ingredient]],Tier3[[Ingredient]:[Ingredient]],0))*INDEX(IngrWt[Tuscan Herb],MATCH(IngrCost[[#This Row],[Ingredient]:[Ingredient]],IngrWt[[Ingredient]:[Ingredient]],0))&gt;0,INDEX(Tier3[[Cost/lb.]:[Cost/lb.]],MATCH(IngrCost[[#This Row],[Ingredient]:[Ingredient]],Tier3[[Ingredient]:[Ingredient]],0))*INDEX(IngrWt[Tuscan Herb],MATCH(IngrCost[[#This Row],[Ingredient]:[Ingredient]],IngrWt[[Ingredient]:[Ingredient]],0)),""),"")</f>
        <v>5.3999999999999995</v>
      </c>
      <c r="N29" s="13" t="str" cm="1">
        <f t="array" ref="N29">IFERROR(IF(INDEX(Tier3[[Cost/lb.]:[Cost/lb.]],MATCH(IngrCost[[#This Row],[Ingredient]:[Ingredient]],Tier3[[Ingredient]:[Ingredient]],0))*INDEX(IngrWt[Garlic &amp; Herb],MATCH(IngrCost[[#This Row],[Ingredient]:[Ingredient]],IngrWt[[Ingredient]:[Ingredient]],0))&gt;0,INDEX(Tier3[[Cost/lb.]:[Cost/lb.]],MATCH(IngrCost[[#This Row],[Ingredient]:[Ingredient]],Tier3[[Ingredient]:[Ingredient]],0))*INDEX(IngrWt[Garlic &amp; Herb],MATCH(IngrCost[[#This Row],[Ingredient]:[Ingredient]],IngrWt[[Ingredient]:[Ingredient]],0)),""),"")</f>
        <v/>
      </c>
      <c r="O29" s="13" cm="1">
        <f t="array" ref="O29">IFERROR(IF(INDEX(Tier3[[Cost/lb.]:[Cost/lb.]],MATCH(IngrCost[[#This Row],[Ingredient]:[Ingredient]],Tier3[[Ingredient]:[Ingredient]],0))*INDEX(IngrWt[Meatloaf],MATCH(IngrCost[[#This Row],[Ingredient]:[Ingredient]],IngrWt[[Ingredient]:[Ingredient]],0))&gt;0,INDEX(Tier3[[Cost/lb.]:[Cost/lb.]],MATCH(IngrCost[[#This Row],[Ingredient]:[Ingredient]],Tier3[[Ingredient]:[Ingredient]],0))*INDEX(IngrWt[Meatloaf],MATCH(IngrCost[[#This Row],[Ingredient]:[Ingredient]],IngrWt[[Ingredient]:[Ingredient]],0)),""),"")</f>
        <v>23.400000000000002</v>
      </c>
      <c r="P29" s="13" cm="1">
        <f t="array" ref="P29">IFERROR(IF(INDEX(Tier3[[Cost/lb.]:[Cost/lb.]],MATCH(IngrCost[[#This Row],[Ingredient]:[Ingredient]],Tier3[[Ingredient]:[Ingredient]],0))*INDEX(IngrWt[Pizza Patty],MATCH(IngrCost[[#This Row],[Ingredient]:[Ingredient]],IngrWt[[Ingredient]:[Ingredient]],0))&gt;0,INDEX(Tier3[[Cost/lb.]:[Cost/lb.]],MATCH(IngrCost[[#This Row],[Ingredient]:[Ingredient]],Tier3[[Ingredient]:[Ingredient]],0))*INDEX(IngrWt[Pizza Patty],MATCH(IngrCost[[#This Row],[Ingredient]:[Ingredient]],IngrWt[[Ingredient]:[Ingredient]],0)),""),"")</f>
        <v>42.75</v>
      </c>
      <c r="Q29" s="13" t="str" cm="1">
        <f t="array" ref="Q29">IFERROR(IF(INDEX(Tier3[[Cost/lb.]:[Cost/lb.]],MATCH(IngrCost[[#This Row],[Ingredient]:[Ingredient]],Tier3[[Ingredient]:[Ingredient]],0))*INDEX(IngrWt[Spicy Internal],MATCH(IngrCost[[#This Row],[Ingredient]:[Ingredient]],IngrWt[[Ingredient]:[Ingredient]],0))&gt;0,INDEX(Tier3[[Cost/lb.]:[Cost/lb.]],MATCH(IngrCost[[#This Row],[Ingredient]:[Ingredient]],Tier3[[Ingredient]:[Ingredient]],0))*INDEX(IngrWt[Spicy Internal],MATCH(IngrCost[[#This Row],[Ingredient]:[Ingredient]],IngrWt[[Ingredient]:[Ingredient]],0)),""),"")</f>
        <v/>
      </c>
      <c r="R29" s="13" t="str" cm="1">
        <f t="array" ref="R29">IFERROR(IF(INDEX(Tier3[[Cost/lb.]:[Cost/lb.]],MATCH(IngrCost[[#This Row],[Ingredient]:[Ingredient]],Tier3[[Ingredient]:[Ingredient]],0))*INDEX(IngrWt[Dinner Patty],MATCH(IngrCost[[#This Row],[Ingredient]:[Ingredient]],IngrWt[[Ingredient]:[Ingredient]],0))&gt;0,INDEX(Tier3[[Cost/lb.]:[Cost/lb.]],MATCH(IngrCost[[#This Row],[Ingredient]:[Ingredient]],Tier3[[Ingredient]:[Ingredient]],0))*INDEX(IngrWt[Dinner Patty],MATCH(IngrCost[[#This Row],[Ingredient]:[Ingredient]],IngrWt[[Ingredient]:[Ingredient]],0)),""),"")</f>
        <v/>
      </c>
      <c r="S29" s="13" t="str" cm="1">
        <f t="array" ref="S29">IFERROR(IF(INDEX(Tier3[[Cost/lb.]:[Cost/lb.]],MATCH(IngrCost[[#This Row],[Ingredient]:[Ingredient]],Tier3[[Ingredient]:[Ingredient]],0))*INDEX(IngrWt[Breakfast],MATCH(IngrCost[[#This Row],[Ingredient]:[Ingredient]],IngrWt[[Ingredient]:[Ingredient]],0))&gt;0,INDEX(Tier3[[Cost/lb.]:[Cost/lb.]],MATCH(IngrCost[[#This Row],[Ingredient]:[Ingredient]],Tier3[[Ingredient]:[Ingredient]],0))*INDEX(IngrWt[Breakfast],MATCH(IngrCost[[#This Row],[Ingredient]:[Ingredient]],IngrWt[[Ingredient]:[Ingredient]],0)),""),"")</f>
        <v/>
      </c>
      <c r="T29" s="13" t="str" cm="1">
        <f t="array" ref="T29">IFERROR(IF(INDEX(Tier3[[Cost/lb.]:[Cost/lb.]],MATCH(IngrCost[[#This Row],[Ingredient]:[Ingredient]],Tier3[[Ingredient]:[Ingredient]],0))*INDEX(IngrWt[Maple Breakfast],MATCH(IngrCost[[#This Row],[Ingredient]:[Ingredient]],IngrWt[[Ingredient]:[Ingredient]],0))&gt;0,INDEX(Tier3[[Cost/lb.]:[Cost/lb.]],MATCH(IngrCost[[#This Row],[Ingredient]:[Ingredient]],Tier3[[Ingredient]:[Ingredient]],0))*INDEX(IngrWt[Maple Breakfast],MATCH(IngrCost[[#This Row],[Ingredient]:[Ingredient]],IngrWt[[Ingredient]:[Ingredient]],0)),""),"")</f>
        <v/>
      </c>
      <c r="U29" s="13" t="str" cm="1">
        <f t="array" ref="U29">IFERROR(IF(INDEX(Tier3[[Cost/lb.]:[Cost/lb.]],MATCH(IngrCost[[#This Row],[Ingredient]:[Ingredient]],Tier3[[Ingredient]:[Ingredient]],0))*INDEX(IngrWt[Bean Burger],MATCH(IngrCost[[#This Row],[Ingredient]:[Ingredient]],IngrWt[[Ingredient]:[Ingredient]],0))&gt;0,INDEX(Tier3[[Cost/lb.]:[Cost/lb.]],MATCH(IngrCost[[#This Row],[Ingredient]:[Ingredient]],Tier3[[Ingredient]:[Ingredient]],0))*INDEX(IngrWt[Bean Burger],MATCH(IngrCost[[#This Row],[Ingredient]:[Ingredient]],IngrWt[[Ingredient]:[Ingredient]],0)),""),"")</f>
        <v/>
      </c>
    </row>
    <row r="30" spans="1:21" ht="11.45" customHeight="1" x14ac:dyDescent="0.15">
      <c r="A30" s="4" t="s">
        <v>65</v>
      </c>
      <c r="B30" s="14"/>
      <c r="C30" s="14">
        <v>0.5</v>
      </c>
      <c r="D30" s="14"/>
      <c r="E30" s="14"/>
      <c r="F30" s="14">
        <v>0.25</v>
      </c>
      <c r="G30" s="14"/>
      <c r="H30" s="12"/>
      <c r="I30" s="12"/>
      <c r="J30" s="12"/>
      <c r="L30" s="4" t="s">
        <v>65</v>
      </c>
      <c r="M30" s="13" t="str" cm="1">
        <f t="array" ref="M30">IFERROR(IF(INDEX(Tier3[[Cost/lb.]:[Cost/lb.]],MATCH(IngrCost[[#This Row],[Ingredient]:[Ingredient]],Tier3[[Ingredient]:[Ingredient]],0))*INDEX(IngrWt[Tuscan Herb],MATCH(IngrCost[[#This Row],[Ingredient]:[Ingredient]],IngrWt[[Ingredient]:[Ingredient]],0))&gt;0,INDEX(Tier3[[Cost/lb.]:[Cost/lb.]],MATCH(IngrCost[[#This Row],[Ingredient]:[Ingredient]],Tier3[[Ingredient]:[Ingredient]],0))*INDEX(IngrWt[Tuscan Herb],MATCH(IngrCost[[#This Row],[Ingredient]:[Ingredient]],IngrWt[[Ingredient]:[Ingredient]],0)),""),"")</f>
        <v/>
      </c>
      <c r="N30" s="13" cm="1">
        <f t="array" ref="N30">IFERROR(IF(INDEX(Tier3[[Cost/lb.]:[Cost/lb.]],MATCH(IngrCost[[#This Row],[Ingredient]:[Ingredient]],Tier3[[Ingredient]:[Ingredient]],0))*INDEX(IngrWt[Garlic &amp; Herb],MATCH(IngrCost[[#This Row],[Ingredient]:[Ingredient]],IngrWt[[Ingredient]:[Ingredient]],0))&gt;0,INDEX(Tier3[[Cost/lb.]:[Cost/lb.]],MATCH(IngrCost[[#This Row],[Ingredient]:[Ingredient]],Tier3[[Ingredient]:[Ingredient]],0))*INDEX(IngrWt[Garlic &amp; Herb],MATCH(IngrCost[[#This Row],[Ingredient]:[Ingredient]],IngrWt[[Ingredient]:[Ingredient]],0)),""),"")</f>
        <v>4</v>
      </c>
      <c r="O30" s="13" t="str" cm="1">
        <f t="array" ref="O30">IFERROR(IF(INDEX(Tier3[[Cost/lb.]:[Cost/lb.]],MATCH(IngrCost[[#This Row],[Ingredient]:[Ingredient]],Tier3[[Ingredient]:[Ingredient]],0))*INDEX(IngrWt[Meatloaf],MATCH(IngrCost[[#This Row],[Ingredient]:[Ingredient]],IngrWt[[Ingredient]:[Ingredient]],0))&gt;0,INDEX(Tier3[[Cost/lb.]:[Cost/lb.]],MATCH(IngrCost[[#This Row],[Ingredient]:[Ingredient]],Tier3[[Ingredient]:[Ingredient]],0))*INDEX(IngrWt[Meatloaf],MATCH(IngrCost[[#This Row],[Ingredient]:[Ingredient]],IngrWt[[Ingredient]:[Ingredient]],0)),""),"")</f>
        <v/>
      </c>
      <c r="P30" s="13" t="str" cm="1">
        <f t="array" ref="P30">IFERROR(IF(INDEX(Tier3[[Cost/lb.]:[Cost/lb.]],MATCH(IngrCost[[#This Row],[Ingredient]:[Ingredient]],Tier3[[Ingredient]:[Ingredient]],0))*INDEX(IngrWt[Pizza Patty],MATCH(IngrCost[[#This Row],[Ingredient]:[Ingredient]],IngrWt[[Ingredient]:[Ingredient]],0))&gt;0,INDEX(Tier3[[Cost/lb.]:[Cost/lb.]],MATCH(IngrCost[[#This Row],[Ingredient]:[Ingredient]],Tier3[[Ingredient]:[Ingredient]],0))*INDEX(IngrWt[Pizza Patty],MATCH(IngrCost[[#This Row],[Ingredient]:[Ingredient]],IngrWt[[Ingredient]:[Ingredient]],0)),""),"")</f>
        <v/>
      </c>
      <c r="Q30" s="13" cm="1">
        <f t="array" ref="Q30">IFERROR(IF(INDEX(Tier3[[Cost/lb.]:[Cost/lb.]],MATCH(IngrCost[[#This Row],[Ingredient]:[Ingredient]],Tier3[[Ingredient]:[Ingredient]],0))*INDEX(IngrWt[Spicy Internal],MATCH(IngrCost[[#This Row],[Ingredient]:[Ingredient]],IngrWt[[Ingredient]:[Ingredient]],0))&gt;0,INDEX(Tier3[[Cost/lb.]:[Cost/lb.]],MATCH(IngrCost[[#This Row],[Ingredient]:[Ingredient]],Tier3[[Ingredient]:[Ingredient]],0))*INDEX(IngrWt[Spicy Internal],MATCH(IngrCost[[#This Row],[Ingredient]:[Ingredient]],IngrWt[[Ingredient]:[Ingredient]],0)),""),"")</f>
        <v>2</v>
      </c>
      <c r="R30" s="13" t="str" cm="1">
        <f t="array" ref="R30">IFERROR(IF(INDEX(Tier3[[Cost/lb.]:[Cost/lb.]],MATCH(IngrCost[[#This Row],[Ingredient]:[Ingredient]],Tier3[[Ingredient]:[Ingredient]],0))*INDEX(IngrWt[Dinner Patty],MATCH(IngrCost[[#This Row],[Ingredient]:[Ingredient]],IngrWt[[Ingredient]:[Ingredient]],0))&gt;0,INDEX(Tier3[[Cost/lb.]:[Cost/lb.]],MATCH(IngrCost[[#This Row],[Ingredient]:[Ingredient]],Tier3[[Ingredient]:[Ingredient]],0))*INDEX(IngrWt[Dinner Patty],MATCH(IngrCost[[#This Row],[Ingredient]:[Ingredient]],IngrWt[[Ingredient]:[Ingredient]],0)),""),"")</f>
        <v/>
      </c>
      <c r="S30" s="13" t="str" cm="1">
        <f t="array" ref="S30">IFERROR(IF(INDEX(Tier3[[Cost/lb.]:[Cost/lb.]],MATCH(IngrCost[[#This Row],[Ingredient]:[Ingredient]],Tier3[[Ingredient]:[Ingredient]],0))*INDEX(IngrWt[Breakfast],MATCH(IngrCost[[#This Row],[Ingredient]:[Ingredient]],IngrWt[[Ingredient]:[Ingredient]],0))&gt;0,INDEX(Tier3[[Cost/lb.]:[Cost/lb.]],MATCH(IngrCost[[#This Row],[Ingredient]:[Ingredient]],Tier3[[Ingredient]:[Ingredient]],0))*INDEX(IngrWt[Breakfast],MATCH(IngrCost[[#This Row],[Ingredient]:[Ingredient]],IngrWt[[Ingredient]:[Ingredient]],0)),""),"")</f>
        <v/>
      </c>
      <c r="T30" s="13" t="str" cm="1">
        <f t="array" ref="T30">IFERROR(IF(INDEX(Tier3[[Cost/lb.]:[Cost/lb.]],MATCH(IngrCost[[#This Row],[Ingredient]:[Ingredient]],Tier3[[Ingredient]:[Ingredient]],0))*INDEX(IngrWt[Maple Breakfast],MATCH(IngrCost[[#This Row],[Ingredient]:[Ingredient]],IngrWt[[Ingredient]:[Ingredient]],0))&gt;0,INDEX(Tier3[[Cost/lb.]:[Cost/lb.]],MATCH(IngrCost[[#This Row],[Ingredient]:[Ingredient]],Tier3[[Ingredient]:[Ingredient]],0))*INDEX(IngrWt[Maple Breakfast],MATCH(IngrCost[[#This Row],[Ingredient]:[Ingredient]],IngrWt[[Ingredient]:[Ingredient]],0)),""),"")</f>
        <v/>
      </c>
      <c r="U30" s="13" t="str" cm="1">
        <f t="array" ref="U30">IFERROR(IF(INDEX(Tier3[[Cost/lb.]:[Cost/lb.]],MATCH(IngrCost[[#This Row],[Ingredient]:[Ingredient]],Tier3[[Ingredient]:[Ingredient]],0))*INDEX(IngrWt[Bean Burger],MATCH(IngrCost[[#This Row],[Ingredient]:[Ingredient]],IngrWt[[Ingredient]:[Ingredient]],0))&gt;0,INDEX(Tier3[[Cost/lb.]:[Cost/lb.]],MATCH(IngrCost[[#This Row],[Ingredient]:[Ingredient]],Tier3[[Ingredient]:[Ingredient]],0))*INDEX(IngrWt[Bean Burger],MATCH(IngrCost[[#This Row],[Ingredient]:[Ingredient]],IngrWt[[Ingredient]:[Ingredient]],0)),""),"")</f>
        <v/>
      </c>
    </row>
    <row r="31" spans="1:21" ht="11.45" customHeight="1" x14ac:dyDescent="0.15">
      <c r="A31" s="4" t="s">
        <v>64</v>
      </c>
      <c r="B31" s="14"/>
      <c r="C31" s="14"/>
      <c r="D31" s="14">
        <v>1</v>
      </c>
      <c r="E31" s="14"/>
      <c r="F31" s="14"/>
      <c r="G31" s="14"/>
      <c r="H31" s="12"/>
      <c r="I31" s="12"/>
      <c r="J31" s="12"/>
      <c r="L31" s="4" t="s">
        <v>64</v>
      </c>
      <c r="M31" s="13" t="str" cm="1">
        <f t="array" ref="M31">IFERROR(IF(INDEX(Tier3[[Cost/lb.]:[Cost/lb.]],MATCH(IngrCost[[#This Row],[Ingredient]:[Ingredient]],Tier3[[Ingredient]:[Ingredient]],0))*INDEX(IngrWt[Tuscan Herb],MATCH(IngrCost[[#This Row],[Ingredient]:[Ingredient]],IngrWt[[Ingredient]:[Ingredient]],0))&gt;0,INDEX(Tier3[[Cost/lb.]:[Cost/lb.]],MATCH(IngrCost[[#This Row],[Ingredient]:[Ingredient]],Tier3[[Ingredient]:[Ingredient]],0))*INDEX(IngrWt[Tuscan Herb],MATCH(IngrCost[[#This Row],[Ingredient]:[Ingredient]],IngrWt[[Ingredient]:[Ingredient]],0)),""),"")</f>
        <v/>
      </c>
      <c r="N31" s="13" t="str" cm="1">
        <f t="array" ref="N31">IFERROR(IF(INDEX(Tier3[[Cost/lb.]:[Cost/lb.]],MATCH(IngrCost[[#This Row],[Ingredient]:[Ingredient]],Tier3[[Ingredient]:[Ingredient]],0))*INDEX(IngrWt[Garlic &amp; Herb],MATCH(IngrCost[[#This Row],[Ingredient]:[Ingredient]],IngrWt[[Ingredient]:[Ingredient]],0))&gt;0,INDEX(Tier3[[Cost/lb.]:[Cost/lb.]],MATCH(IngrCost[[#This Row],[Ingredient]:[Ingredient]],Tier3[[Ingredient]:[Ingredient]],0))*INDEX(IngrWt[Garlic &amp; Herb],MATCH(IngrCost[[#This Row],[Ingredient]:[Ingredient]],IngrWt[[Ingredient]:[Ingredient]],0)),""),"")</f>
        <v/>
      </c>
      <c r="O31" s="13" cm="1">
        <f t="array" ref="O31">IFERROR(IF(INDEX(Tier3[[Cost/lb.]:[Cost/lb.]],MATCH(IngrCost[[#This Row],[Ingredient]:[Ingredient]],Tier3[[Ingredient]:[Ingredient]],0))*INDEX(IngrWt[Meatloaf],MATCH(IngrCost[[#This Row],[Ingredient]:[Ingredient]],IngrWt[[Ingredient]:[Ingredient]],0))&gt;0,INDEX(Tier3[[Cost/lb.]:[Cost/lb.]],MATCH(IngrCost[[#This Row],[Ingredient]:[Ingredient]],Tier3[[Ingredient]:[Ingredient]],0))*INDEX(IngrWt[Meatloaf],MATCH(IngrCost[[#This Row],[Ingredient]:[Ingredient]],IngrWt[[Ingredient]:[Ingredient]],0)),""),"")</f>
        <v>4.5</v>
      </c>
      <c r="P31" s="13" t="str" cm="1">
        <f t="array" ref="P31">IFERROR(IF(INDEX(Tier3[[Cost/lb.]:[Cost/lb.]],MATCH(IngrCost[[#This Row],[Ingredient]:[Ingredient]],Tier3[[Ingredient]:[Ingredient]],0))*INDEX(IngrWt[Pizza Patty],MATCH(IngrCost[[#This Row],[Ingredient]:[Ingredient]],IngrWt[[Ingredient]:[Ingredient]],0))&gt;0,INDEX(Tier3[[Cost/lb.]:[Cost/lb.]],MATCH(IngrCost[[#This Row],[Ingredient]:[Ingredient]],Tier3[[Ingredient]:[Ingredient]],0))*INDEX(IngrWt[Pizza Patty],MATCH(IngrCost[[#This Row],[Ingredient]:[Ingredient]],IngrWt[[Ingredient]:[Ingredient]],0)),""),"")</f>
        <v/>
      </c>
      <c r="Q31" s="13" t="str" cm="1">
        <f t="array" ref="Q31">IFERROR(IF(INDEX(Tier3[[Cost/lb.]:[Cost/lb.]],MATCH(IngrCost[[#This Row],[Ingredient]:[Ingredient]],Tier3[[Ingredient]:[Ingredient]],0))*INDEX(IngrWt[Spicy Internal],MATCH(IngrCost[[#This Row],[Ingredient]:[Ingredient]],IngrWt[[Ingredient]:[Ingredient]],0))&gt;0,INDEX(Tier3[[Cost/lb.]:[Cost/lb.]],MATCH(IngrCost[[#This Row],[Ingredient]:[Ingredient]],Tier3[[Ingredient]:[Ingredient]],0))*INDEX(IngrWt[Spicy Internal],MATCH(IngrCost[[#This Row],[Ingredient]:[Ingredient]],IngrWt[[Ingredient]:[Ingredient]],0)),""),"")</f>
        <v/>
      </c>
      <c r="R31" s="13" t="str" cm="1">
        <f t="array" ref="R31">IFERROR(IF(INDEX(Tier3[[Cost/lb.]:[Cost/lb.]],MATCH(IngrCost[[#This Row],[Ingredient]:[Ingredient]],Tier3[[Ingredient]:[Ingredient]],0))*INDEX(IngrWt[Dinner Patty],MATCH(IngrCost[[#This Row],[Ingredient]:[Ingredient]],IngrWt[[Ingredient]:[Ingredient]],0))&gt;0,INDEX(Tier3[[Cost/lb.]:[Cost/lb.]],MATCH(IngrCost[[#This Row],[Ingredient]:[Ingredient]],Tier3[[Ingredient]:[Ingredient]],0))*INDEX(IngrWt[Dinner Patty],MATCH(IngrCost[[#This Row],[Ingredient]:[Ingredient]],IngrWt[[Ingredient]:[Ingredient]],0)),""),"")</f>
        <v/>
      </c>
      <c r="S31" s="13" t="str" cm="1">
        <f t="array" ref="S31">IFERROR(IF(INDEX(Tier3[[Cost/lb.]:[Cost/lb.]],MATCH(IngrCost[[#This Row],[Ingredient]:[Ingredient]],Tier3[[Ingredient]:[Ingredient]],0))*INDEX(IngrWt[Breakfast],MATCH(IngrCost[[#This Row],[Ingredient]:[Ingredient]],IngrWt[[Ingredient]:[Ingredient]],0))&gt;0,INDEX(Tier3[[Cost/lb.]:[Cost/lb.]],MATCH(IngrCost[[#This Row],[Ingredient]:[Ingredient]],Tier3[[Ingredient]:[Ingredient]],0))*INDEX(IngrWt[Breakfast],MATCH(IngrCost[[#This Row],[Ingredient]:[Ingredient]],IngrWt[[Ingredient]:[Ingredient]],0)),""),"")</f>
        <v/>
      </c>
      <c r="T31" s="13" t="str" cm="1">
        <f t="array" ref="T31">IFERROR(IF(INDEX(Tier3[[Cost/lb.]:[Cost/lb.]],MATCH(IngrCost[[#This Row],[Ingredient]:[Ingredient]],Tier3[[Ingredient]:[Ingredient]],0))*INDEX(IngrWt[Maple Breakfast],MATCH(IngrCost[[#This Row],[Ingredient]:[Ingredient]],IngrWt[[Ingredient]:[Ingredient]],0))&gt;0,INDEX(Tier3[[Cost/lb.]:[Cost/lb.]],MATCH(IngrCost[[#This Row],[Ingredient]:[Ingredient]],Tier3[[Ingredient]:[Ingredient]],0))*INDEX(IngrWt[Maple Breakfast],MATCH(IngrCost[[#This Row],[Ingredient]:[Ingredient]],IngrWt[[Ingredient]:[Ingredient]],0)),""),"")</f>
        <v/>
      </c>
      <c r="U31" s="13" t="str" cm="1">
        <f t="array" ref="U31">IFERROR(IF(INDEX(Tier3[[Cost/lb.]:[Cost/lb.]],MATCH(IngrCost[[#This Row],[Ingredient]:[Ingredient]],Tier3[[Ingredient]:[Ingredient]],0))*INDEX(IngrWt[Bean Burger],MATCH(IngrCost[[#This Row],[Ingredient]:[Ingredient]],IngrWt[[Ingredient]:[Ingredient]],0))&gt;0,INDEX(Tier3[[Cost/lb.]:[Cost/lb.]],MATCH(IngrCost[[#This Row],[Ingredient]:[Ingredient]],Tier3[[Ingredient]:[Ingredient]],0))*INDEX(IngrWt[Bean Burger],MATCH(IngrCost[[#This Row],[Ingredient]:[Ingredient]],IngrWt[[Ingredient]:[Ingredient]],0)),""),"")</f>
        <v/>
      </c>
    </row>
    <row r="32" spans="1:21" ht="11.45" customHeight="1" x14ac:dyDescent="0.15">
      <c r="A32" s="10" t="s">
        <v>113</v>
      </c>
      <c r="B32" s="14">
        <f>SUBTOTAL(109,IngrWt[Tuscan Herb])</f>
        <v>12.15</v>
      </c>
      <c r="C32" s="14">
        <f>SUBTOTAL(109,IngrWt[Garlic &amp; Herb])</f>
        <v>7.5</v>
      </c>
      <c r="D32" s="14">
        <f>SUBTOTAL(109,IngrWt[Meatloaf])</f>
        <v>11.95</v>
      </c>
      <c r="E32" s="14">
        <f>SUBTOTAL(109,IngrWt[Pizza Patty])</f>
        <v>15.2</v>
      </c>
      <c r="F32" s="14">
        <f>SUBTOTAL(109,IngrWt[Spicy Internal])</f>
        <v>9.8000000000000007</v>
      </c>
      <c r="G32" s="14">
        <f>SUBTOTAL(109,IngrWt[Dinner Patty])</f>
        <v>6.75</v>
      </c>
      <c r="H32" s="14">
        <f>SUBTOTAL(109,IngrWt[Breakfast])</f>
        <v>11.65</v>
      </c>
      <c r="I32" s="14">
        <f>SUBTOTAL(109,IngrWt[Maple Breakfast])</f>
        <v>20.399999999999999</v>
      </c>
      <c r="J32" s="14">
        <f>SUBTOTAL(109,IngrWt[Bean Burger])</f>
        <v>5</v>
      </c>
      <c r="L32" s="10" t="s">
        <v>113</v>
      </c>
      <c r="M32" s="15">
        <f>SUBTOTAL(109,IngrCost[Tuscan Herb])</f>
        <v>42.725000000000001</v>
      </c>
      <c r="N32" s="15">
        <f>SUBTOTAL(109,IngrCost[Garlic &amp; Herb])</f>
        <v>26</v>
      </c>
      <c r="O32" s="15">
        <f>SUBTOTAL(109,IngrCost[Meatloaf])</f>
        <v>52.55</v>
      </c>
      <c r="P32" s="15">
        <f>SUBTOTAL(109,IngrCost[Pizza Patty])</f>
        <v>79.924999999999997</v>
      </c>
      <c r="Q32" s="15">
        <f>SUBTOTAL(109,IngrCost[Spicy Internal])</f>
        <v>42.225000000000001</v>
      </c>
      <c r="R32" s="15">
        <f>SUBTOTAL(109,IngrCost[Dinner Patty])</f>
        <v>15.25</v>
      </c>
      <c r="S32" s="15">
        <f>SUBTOTAL(109,IngrCost[Breakfast])</f>
        <v>35.075000000000003</v>
      </c>
      <c r="T32" s="15">
        <f>SUBTOTAL(109,IngrCost[Maple Breakfast])</f>
        <v>48.075000000000003</v>
      </c>
      <c r="U32" s="15">
        <f>SUBTOTAL(109,IngrCost[Bean Burger])</f>
        <v>20.25</v>
      </c>
    </row>
    <row r="36" spans="12:12" ht="11.45" customHeight="1" x14ac:dyDescent="0.15">
      <c r="L36" s="4"/>
    </row>
    <row r="37" spans="12:12" ht="11.45" customHeight="1" x14ac:dyDescent="0.15">
      <c r="L37" s="4"/>
    </row>
    <row r="38" spans="12:12" ht="11.45" customHeight="1" x14ac:dyDescent="0.15">
      <c r="L38" s="4"/>
    </row>
    <row r="39" spans="12:12" ht="11.45" customHeight="1" x14ac:dyDescent="0.15">
      <c r="L39" s="4"/>
    </row>
  </sheetData>
  <sheetProtection formatCells="0" formatColumns="0" formatRows="0" insertColumns="0" insertRows="0" insertHyperlinks="0" deleteColumns="0" deleteRows="0" selectLockedCells="1"/>
  <conditionalFormatting sqref="B3:J31 M3:U31">
    <cfRule type="containsBlanks" dxfId="9" priority="4">
      <formula>LEN(TRIM(B3))=0</formula>
    </cfRule>
  </conditionalFormatting>
  <pageMargins left="0.7" right="0.7" top="0.75" bottom="0.75" header="0.3" footer="0.3"/>
  <pageSetup orientation="portrait" r:id="rId1"/>
  <ignoredErrors>
    <ignoredError sqref="M3:T23 U3:U23 M24:T31 U24:U31" unlockedFormula="1"/>
  </ignoredErrors>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441EC-55EC-474F-A37C-5F4A7BEA6522}">
  <sheetPr codeName="Sheet6"/>
  <dimension ref="A1:L21"/>
  <sheetViews>
    <sheetView tabSelected="1" workbookViewId="0">
      <selection activeCell="L9" sqref="L9"/>
    </sheetView>
    <sheetView workbookViewId="1">
      <selection sqref="A1:B1"/>
    </sheetView>
  </sheetViews>
  <sheetFormatPr defaultColWidth="8.7109375" defaultRowHeight="11.25" x14ac:dyDescent="0.2"/>
  <cols>
    <col min="1" max="1" width="16.5703125" style="115" customWidth="1"/>
    <col min="2" max="2" width="9.85546875" style="127" bestFit="1" customWidth="1"/>
    <col min="3" max="4" width="7.140625" style="115" customWidth="1"/>
    <col min="5" max="5" width="9.85546875" style="115" bestFit="1" customWidth="1"/>
    <col min="6" max="6" width="11.7109375" style="115" customWidth="1"/>
    <col min="7" max="7" width="5.85546875" style="115" customWidth="1"/>
    <col min="8" max="8" width="11.5703125" style="115" customWidth="1"/>
    <col min="9" max="9" width="8.42578125" style="115" customWidth="1"/>
    <col min="10" max="11" width="8.5703125" style="115" customWidth="1"/>
    <col min="12" max="16384" width="8.7109375" style="115"/>
  </cols>
  <sheetData>
    <row r="1" spans="1:12" s="4" customFormat="1" ht="18.75" customHeight="1" x14ac:dyDescent="0.15">
      <c r="A1" s="239" t="s">
        <v>151</v>
      </c>
      <c r="B1" s="240"/>
      <c r="C1" s="76" t="s">
        <v>210</v>
      </c>
      <c r="D1" s="77"/>
      <c r="E1" s="77"/>
      <c r="F1" s="77"/>
      <c r="G1" s="77"/>
      <c r="H1" s="77"/>
      <c r="I1" s="77"/>
    </row>
    <row r="2" spans="1:12" s="4" customFormat="1" ht="11.25" customHeight="1" x14ac:dyDescent="0.15">
      <c r="A2" s="78" t="s">
        <v>51</v>
      </c>
      <c r="B2" s="124"/>
      <c r="C2" s="122" t="s">
        <v>150</v>
      </c>
      <c r="D2" s="122" t="s">
        <v>153</v>
      </c>
      <c r="E2" s="123" t="s">
        <v>154</v>
      </c>
      <c r="F2" s="241" t="s">
        <v>165</v>
      </c>
      <c r="G2" s="242"/>
      <c r="H2" s="241" t="s">
        <v>170</v>
      </c>
      <c r="I2" s="243"/>
      <c r="J2" s="233" t="s">
        <v>207</v>
      </c>
      <c r="K2" s="234"/>
    </row>
    <row r="3" spans="1:12" s="4" customFormat="1" ht="11.25" customHeight="1" x14ac:dyDescent="0.15">
      <c r="A3" s="79" t="str">
        <f>IFERROR(IF(INDEX(Ingredients[Ingr1],MATCH($A$1,Ingredients[ProdName],0))&gt;0,INDEX(Ingredients[Ingr1],MATCH($A$1,Ingredients[ProdName],0)),""),"")</f>
        <v>Chicken - Tenders</v>
      </c>
      <c r="B3" s="125"/>
      <c r="C3" s="80">
        <f>IFERROR(IF(INDEX(Ingredients[Wt1],MATCH($A$1,Ingredients[ProdName],0))&gt;0,INDEX(Ingredients[Wt1],MATCH($A$1,Ingredients[ProdName],0)),""),"")</f>
        <v>280</v>
      </c>
      <c r="D3" s="28">
        <f>IFERROR(INDEX(Tier1[Cost/lb.],MATCH($A3,Tier1[Ingredient],0)),"")</f>
        <v>0.65</v>
      </c>
      <c r="E3" s="40">
        <f>IFERROR(D3*C3,"")</f>
        <v>182</v>
      </c>
      <c r="F3" s="81" t="s">
        <v>163</v>
      </c>
      <c r="G3" s="82">
        <f>IFERROR((AVERAGEIFS(Production[SatWt],Production[Product],$A$1)-AVERAGEIFS(Production[RawWt],Production[Product],$A$1))/AVERAGEIFS(Production[Lots Done],Production[Product],$A$1),"")</f>
        <v>207.875</v>
      </c>
      <c r="H3" s="83" t="s">
        <v>166</v>
      </c>
      <c r="I3" s="42">
        <f>IFERROR(E11/C11,IF(E11&lt;&gt;"",E11,""))</f>
        <v>0.59633555420956996</v>
      </c>
      <c r="J3" s="235"/>
      <c r="K3" s="236"/>
    </row>
    <row r="4" spans="1:12" s="4" customFormat="1" ht="11.25" customHeight="1" x14ac:dyDescent="0.15">
      <c r="A4" s="84" t="str">
        <f>IFERROR(IF(INDEX(Ingredients[Ingr2],MATCH($A$1,Ingredients[ProdName],0))&gt;0,INDEX(Ingredients[Ingr2],MATCH($A$1,Ingredients[ProdName],0)),""),"")</f>
        <v>Chicken - Skin</v>
      </c>
      <c r="B4" s="126"/>
      <c r="C4" s="85">
        <f>IFERROR(IF(INDEX(Ingredients[Wt2],MATCH($A$1,Ingredients[ProdName],0))&gt;0,INDEX(Ingredients[Wt2],MATCH($A$1,Ingredients[ProdName],0)),""),"")</f>
        <v>50</v>
      </c>
      <c r="D4" s="25">
        <f>IFERROR(IF(INDEX(Tier2[Unit],MATCH($A4,Tier2[Ingredient],0))&lt;&gt;"lb",INDEX(Tier2[Cost],MATCH($A4,Tier2[Ingredient],0))/INDEX(Tier2[Wt],MATCH($A4,Tier2[Ingredient],0)),INDEX(Tier2[Cost],MATCH($A4,Tier2[Ingredient],0))),"")</f>
        <v>0.5</v>
      </c>
      <c r="E4" s="37">
        <f>IFERROR(D4*C4,"")</f>
        <v>25</v>
      </c>
      <c r="F4" s="86"/>
      <c r="G4" s="87"/>
      <c r="H4" s="88"/>
      <c r="I4" s="89"/>
      <c r="J4" s="235"/>
      <c r="K4" s="236"/>
    </row>
    <row r="5" spans="1:12" s="4" customFormat="1" ht="11.25" customHeight="1" x14ac:dyDescent="0.15">
      <c r="A5" s="90" t="str">
        <f>IFERROR(IF(INDEX(Ingredients[Ingr3],MATCH($A$1,Ingredients[ProdName],0))&gt;0,INDEX(Ingredients[Ingr3],MATCH($A$1,Ingredients[ProdName],0)),""),"")</f>
        <v>Breaded Internal</v>
      </c>
      <c r="B5" s="106"/>
      <c r="C5" s="91">
        <f>IFERROR(IF(INDEX(Ingredients[Wt3],MATCH($A$1,Ingredients[ProdName],0))&gt;0,INDEX(Ingredients[Wt3],MATCH($A$1,Ingredients[ProdName],0)),""),"")</f>
        <v>4</v>
      </c>
      <c r="D5" s="26">
        <f>IFERROR(IF(INDEX(Tier2[Unit],MATCH($A5,Tier2[Ingredient],0))&lt;&gt;"lb",INDEX(Tier2[Cost],MATCH($A5,Tier2[Ingredient],0))/INDEX(Tier2[Wt],MATCH($A5,Tier2[Ingredient],0)),INDEX(Tier2[Cost],MATCH($A5,Tier2[Ingredient],0))),"")</f>
        <v>2.25</v>
      </c>
      <c r="E5" s="38">
        <f>IFERROR(D5*C5,"")</f>
        <v>9</v>
      </c>
      <c r="F5" s="92" t="s">
        <v>164</v>
      </c>
      <c r="G5" s="93">
        <f>IFERROR(G3+C11,"")</f>
        <v>620.625</v>
      </c>
      <c r="H5" s="94" t="s">
        <v>167</v>
      </c>
      <c r="I5" s="95">
        <f>IFERROR(E11/G5,"")</f>
        <v>0.39659617321248741</v>
      </c>
      <c r="J5" s="235"/>
      <c r="K5" s="236"/>
    </row>
    <row r="6" spans="1:12" s="4" customFormat="1" ht="11.25" customHeight="1" x14ac:dyDescent="0.15">
      <c r="A6" s="96" t="str">
        <f>IFERROR(IF(INDEX(Ingredients[Ingr4],MATCH($A$1,Ingredients[ProdName],0))&gt;0,INDEX(Ingredients[Ingr4],MATCH($A$1,Ingredients[ProdName],0)),""),"")</f>
        <v/>
      </c>
      <c r="B6" s="103"/>
      <c r="C6" s="97" t="str">
        <f>IFERROR(IF(INDEX(Ingredients[Wt4],MATCH($A$1,Ingredients[ProdName],0))&gt;0,INDEX(Ingredients[Wt4],MATCH($A$1,Ingredients[ProdName],0)),""),"")</f>
        <v/>
      </c>
      <c r="D6" s="27" t="str">
        <f>IFERROR(IF(INDEX(Tier2[Unit],MATCH($A6,Tier2[Ingredient],0))&lt;&gt;"lb",INDEX(Tier2[Cost],MATCH($A6,Tier2[Ingredient],0))/INDEX(Tier2[Wt],MATCH($A6,Tier2[Ingredient],0)),INDEX(Tier2[Cost],MATCH($A6,Tier2[Ingredient],0))),"")</f>
        <v/>
      </c>
      <c r="E6" s="39" t="str">
        <f>IFERROR(D6*C6,"")</f>
        <v/>
      </c>
      <c r="F6" s="98"/>
      <c r="G6" s="99"/>
      <c r="H6" s="100"/>
      <c r="I6" s="101"/>
      <c r="J6" s="237"/>
      <c r="K6" s="238"/>
    </row>
    <row r="7" spans="1:12" s="4" customFormat="1" ht="11.25" customHeight="1" x14ac:dyDescent="0.15">
      <c r="A7" s="79" t="str">
        <f>IFERROR(IF(INDEX(Ingredients[Ingr5],MATCH($A$1,Ingredients[ProdName],0))&gt;0,INDEX(Ingredients[Ingr5],MATCH($A$1,Ingredients[ProdName],0)),""),"")</f>
        <v/>
      </c>
      <c r="B7" s="125"/>
      <c r="C7" s="80" t="str">
        <f>IFERROR(IF(INDEX(Ingredients[Wt5],MATCH($A$1,Ingredients[ProdName],0))&gt;0,INDEX(Ingredients[Wt5],MATCH($A$1,Ingredients[ProdName],0)),""),"")</f>
        <v/>
      </c>
      <c r="D7" s="28" t="str">
        <f>IFERROR(IF(INDEX(Tier2[Unit],MATCH($A7,Tier2[Ingredient],0))&lt;&gt;"lb",INDEX(Tier2[Cost],MATCH($A7,Tier2[Ingredient],0))/INDEX(Tier2[Wt],MATCH($A7,Tier2[Ingredient],0)),INDEX(Tier2[Cost],MATCH($A7,Tier2[Ingredient],0))),"")</f>
        <v/>
      </c>
      <c r="E7" s="40" t="str">
        <f>IFERROR(D7*C7,"")</f>
        <v/>
      </c>
      <c r="F7" s="81"/>
      <c r="G7" s="82"/>
      <c r="H7" s="83"/>
      <c r="I7" s="30"/>
      <c r="J7" s="29"/>
      <c r="K7" s="29"/>
    </row>
    <row r="8" spans="1:12" s="4" customFormat="1" ht="11.25" customHeight="1" x14ac:dyDescent="0.15">
      <c r="A8" s="102" t="str">
        <f>IFERROR(IF(LEFT($A$1,7)="Breaded",INDEX(Ingredients[IngrBreader],MATCH($A$1,Ingredients[ProdName],0)),IF(LEFT($A$1,13)="Spicy Breaded",INDEX(Ingredients[IngrBreader],MATCH($A$1,Ingredients[ProdName],0)),"")),"")</f>
        <v>Breader - OM</v>
      </c>
      <c r="B8" s="103" t="str">
        <f>IF(A8&lt;&gt;"","Avg Wt/Lot","")</f>
        <v>Avg Wt/Lot</v>
      </c>
      <c r="C8" s="97">
        <f>IFERROR((AVERAGEIFS(Production[Breader Used],Production[Product],$A$1)*INDEX(Tier2[Wt],MATCH(A8,Tier2[Ingredient],0)))/AVERAGEIFS(Production[Lots Done],Production[Product],$A$1),"")</f>
        <v>56.25</v>
      </c>
      <c r="D8" s="27">
        <f>IFERROR(IF(INDEX(Tier2[Unit],MATCH($A8,Tier2[Ingredient],0))&lt;&gt;"lb",INDEX(Tier2[Cost],MATCH($A8,Tier2[Ingredient],0))/INDEX(Tier2[Wt],MATCH($A8,Tier2[Ingredient],0)),INDEX(Tier2[Cost],MATCH($A8,Tier2[Ingredient],0))),"")</f>
        <v>1</v>
      </c>
      <c r="E8" s="39">
        <f>IFERROR(AVERAGEIFS(Production[Breader Used],Production[Product],$A$1)*D8,"")</f>
        <v>11.25</v>
      </c>
      <c r="F8" s="104"/>
      <c r="G8" s="105"/>
      <c r="H8" s="100"/>
      <c r="I8" s="31"/>
      <c r="J8" s="24"/>
      <c r="K8" s="47"/>
    </row>
    <row r="9" spans="1:12" s="4" customFormat="1" ht="11.1" customHeight="1" x14ac:dyDescent="0.15">
      <c r="A9" s="90" t="str">
        <f>IFERROR(IF(LEFT($A$8,7)="Breader","Batter - OM",""),"")</f>
        <v>Batter - OM</v>
      </c>
      <c r="B9" s="106" t="str">
        <f>IF(A9&lt;&gt;"","Avg Wt/Lot","")</f>
        <v>Avg Wt/Lot</v>
      </c>
      <c r="C9" s="91">
        <f>IFERROR((AVERAGEIFS(Production[Batter Used],Production[Product],$A$1)*INDEX(Tier2[Wt],MATCH(A8,Tier2[Ingredient],0)))/AVERAGEIFS(Production[Lots Done],Production[Product],$A$1),"")</f>
        <v>22.5</v>
      </c>
      <c r="D9" s="26" t="str">
        <f>IFERROR(IF(INDEX(Tier2[Unit],MATCH($A9,Tier2[Ingredient],0))&lt;&gt;"lb",INDEX(Tier2[Cost],MATCH($A9,Tier2[Ingredient],0))/INDEX(Tier2[Wt],MATCH($A9,Tier2[Ingredient],0)),INDEX(Tier2[Cost],MATCH($A9,Tier2[Ingredient],0))),"")</f>
        <v/>
      </c>
      <c r="E9" s="38" t="str">
        <f>IFERROR(AVERAGEIFS(Production[Batter Used],Production[Product],$A$1)*D9,"")</f>
        <v/>
      </c>
      <c r="F9" s="92"/>
      <c r="G9" s="93"/>
      <c r="H9" s="94" t="s">
        <v>168</v>
      </c>
      <c r="I9" s="30">
        <f>IFERROR(INDEX(Ingredients[Price Lb.],MATCH($A$1,Ingredients[ProdName],0)),"")</f>
        <v>1.2</v>
      </c>
      <c r="J9" s="32" t="s">
        <v>168</v>
      </c>
      <c r="K9" s="71">
        <v>0.9414670844175792</v>
      </c>
      <c r="L9" s="4" t="s">
        <v>211</v>
      </c>
    </row>
    <row r="10" spans="1:12" s="4" customFormat="1" ht="11.25" customHeight="1" thickBot="1" x14ac:dyDescent="0.2">
      <c r="A10" s="107" t="str">
        <f>IFERROR(IF(INDEX(Ingredients[Box Size],MATCH($A$1,Ingredients[ProdName],0))&gt;0,INDEX(Ingredients[Box Size],MATCH($A$1,Ingredients[ProdName],0)),""),"")</f>
        <v>Box - 6.75"</v>
      </c>
      <c r="B10" s="108" t="str">
        <f>IFERROR(IF(LEFT($A$10,3)="Box","Avg Case/Lot",""),"")</f>
        <v>Avg Case/Lot</v>
      </c>
      <c r="C10" s="109">
        <f>IFERROR(INDEX(CaseAvg[Cases per Lot],MATCH($A$1,CaseAvg[Product],0)),"")</f>
        <v>18.887499999999999</v>
      </c>
      <c r="D10" s="36">
        <f>IFERROR(INDEX(Tier4[Cost],MATCH($A10,Tier4[Item],0)),"")</f>
        <v>1</v>
      </c>
      <c r="E10" s="41">
        <f>IFERROR(IF(C10*D10&lt;&gt;0,C10*D10,""),"")</f>
        <v>18.887499999999999</v>
      </c>
      <c r="F10" s="110"/>
      <c r="G10" s="111"/>
      <c r="H10" s="112" t="s">
        <v>169</v>
      </c>
      <c r="I10" s="33">
        <f>IFERROR((I9-I3)/I3,"")</f>
        <v>1.0122898786247523</v>
      </c>
      <c r="J10" s="34" t="s">
        <v>169</v>
      </c>
      <c r="K10" s="46">
        <f>IFERROR(IF(K9&lt;&gt;"",(K9-$I$3)/$I$3,""),"")</f>
        <v>0.57875390419320827</v>
      </c>
    </row>
    <row r="11" spans="1:12" s="4" customFormat="1" ht="11.25" customHeight="1" thickTop="1" x14ac:dyDescent="0.15">
      <c r="A11" s="113"/>
      <c r="B11" s="114" t="s">
        <v>113</v>
      </c>
      <c r="C11" s="44">
        <f>IF(SUM(C3:C9)&gt;0,SUM(C3:C9),"")</f>
        <v>412.75</v>
      </c>
      <c r="D11" s="45"/>
      <c r="E11" s="45">
        <f>IF(SUM(E3:E10)&gt;0,SUM(E3:E10),"")</f>
        <v>246.13749999999999</v>
      </c>
      <c r="F11" s="43"/>
      <c r="G11" s="35"/>
    </row>
    <row r="14" spans="1:12" x14ac:dyDescent="0.2">
      <c r="I14" s="116"/>
    </row>
    <row r="18" spans="3:4" x14ac:dyDescent="0.2">
      <c r="D18" s="116"/>
    </row>
    <row r="19" spans="3:4" x14ac:dyDescent="0.2">
      <c r="C19" s="116"/>
    </row>
    <row r="21" spans="3:4" x14ac:dyDescent="0.2">
      <c r="C21" s="117"/>
    </row>
  </sheetData>
  <sheetProtection selectLockedCells="1"/>
  <mergeCells count="4">
    <mergeCell ref="J2:K6"/>
    <mergeCell ref="A1:B1"/>
    <mergeCell ref="F2:G2"/>
    <mergeCell ref="H2:I2"/>
  </mergeCells>
  <conditionalFormatting sqref="K10">
    <cfRule type="cellIs" dxfId="8" priority="1" operator="lessThanOrEqual">
      <formula>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7C40B6EA-0F36-4C3F-A885-8D5B1A26F694}">
          <x14:formula1>
            <xm:f>Ingredients!$A$3:$A$31</xm:f>
          </x14:formula1>
          <xm:sqref>A1:B1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C0348-C2C8-458B-8C2E-968E85E41559}">
  <sheetPr codeName="Sheet7"/>
  <dimension ref="A1:M38"/>
  <sheetViews>
    <sheetView topLeftCell="A8" workbookViewId="0">
      <selection activeCell="L20" sqref="L20"/>
    </sheetView>
    <sheetView workbookViewId="1"/>
  </sheetViews>
  <sheetFormatPr defaultRowHeight="15" x14ac:dyDescent="0.25"/>
  <cols>
    <col min="1" max="1" width="14.28515625" bestFit="1" customWidth="1"/>
    <col min="2" max="3" width="12.42578125" customWidth="1"/>
    <col min="4" max="4" width="3.140625" customWidth="1"/>
    <col min="5" max="8" width="12.42578125" customWidth="1"/>
    <col min="9" max="9" width="4" customWidth="1"/>
    <col min="10" max="10" width="12.42578125" customWidth="1"/>
    <col min="11" max="11" width="13.85546875" customWidth="1"/>
    <col min="12" max="12" width="12.42578125" customWidth="1"/>
    <col min="13" max="13" width="26.42578125" bestFit="1" customWidth="1"/>
    <col min="14" max="14" width="6.85546875" bestFit="1" customWidth="1"/>
    <col min="15" max="25" width="6" bestFit="1" customWidth="1"/>
    <col min="26" max="26" width="9.85546875" bestFit="1" customWidth="1"/>
    <col min="27" max="27" width="6.85546875" bestFit="1" customWidth="1"/>
    <col min="28" max="31" width="6" bestFit="1" customWidth="1"/>
    <col min="32" max="32" width="9.85546875" bestFit="1" customWidth="1"/>
    <col min="33" max="33" width="11.28515625" bestFit="1" customWidth="1"/>
  </cols>
  <sheetData>
    <row r="1" spans="5:13" ht="15.75" thickBot="1" x14ac:dyDescent="0.3">
      <c r="E1" s="134"/>
      <c r="J1" s="246" t="s">
        <v>268</v>
      </c>
      <c r="K1" s="247"/>
      <c r="L1" s="248"/>
    </row>
    <row r="2" spans="5:13" ht="15.75" thickBot="1" x14ac:dyDescent="0.3">
      <c r="J2" s="140" t="s">
        <v>240</v>
      </c>
      <c r="K2" s="244">
        <v>2024</v>
      </c>
      <c r="L2" s="245"/>
    </row>
    <row r="3" spans="5:13" ht="15.75" thickBot="1" x14ac:dyDescent="0.3">
      <c r="J3" s="141" t="s">
        <v>241</v>
      </c>
      <c r="K3" s="139" t="s">
        <v>263</v>
      </c>
      <c r="L3" s="142" t="s">
        <v>264</v>
      </c>
    </row>
    <row r="4" spans="5:13" x14ac:dyDescent="0.25">
      <c r="J4" s="143" t="s">
        <v>232</v>
      </c>
      <c r="K4" s="169">
        <f>SUMIFS(Production[SatWt],Production[Date],"&gt;=01/01/"&amp;$K$2,Production[Date],"&lt;=03/31/"&amp;$K$2,Production[Species],$K$3)</f>
        <v>159960</v>
      </c>
      <c r="L4" s="170">
        <f>SUMIFS(Production[SatWt],Production[Date],"&gt;=01/01/"&amp;$K$2,Production[Date],"&lt;=03/31/"&amp;$K$2,Production[Species],$L$3)</f>
        <v>14265</v>
      </c>
    </row>
    <row r="5" spans="5:13" x14ac:dyDescent="0.25">
      <c r="J5" s="144" t="s">
        <v>233</v>
      </c>
      <c r="K5" s="171">
        <f>SUMIFS(Production[SatWt],Production[Date],"&gt;=04/01/"&amp;$K$2,Production[Date],"&lt;=06/30/"&amp;$K$2,Production[Species],$K$3)</f>
        <v>86950</v>
      </c>
      <c r="L5" s="172">
        <f>SUMIFS(Production[SatWt],Production[Date],"&gt;=04/01/"&amp;$K$2,Production[Date],"&lt;=06/30/"&amp;$K$2,Production[Species],$L$3)</f>
        <v>13215</v>
      </c>
    </row>
    <row r="6" spans="5:13" x14ac:dyDescent="0.25">
      <c r="J6" s="145" t="s">
        <v>243</v>
      </c>
      <c r="K6" s="173">
        <f>SUMIFS(Production[SatWt],Production[Date],"&gt;=07/01/"&amp;$K$2,Production[Date],"&lt;=09/30/"&amp;$K$2,Production[Species],$K$3)</f>
        <v>125055</v>
      </c>
      <c r="L6" s="174">
        <f>SUMIFS(Production[SatWt],Production[Date],"&gt;=07/01/"&amp;$K$2,Production[Date],"&lt;=09/30/"&amp;$K$2,Production[Species],$L$3)</f>
        <v>3425</v>
      </c>
    </row>
    <row r="7" spans="5:13" ht="15.75" thickBot="1" x14ac:dyDescent="0.3">
      <c r="J7" s="140" t="s">
        <v>244</v>
      </c>
      <c r="K7" s="175">
        <f>SUMIFS(Production[SatWt],Production[Date],"&gt;=10/01/"&amp;$K$2,Production[Date],"&lt;=12/31/"&amp;$K$2,Production[Species],$K$3)</f>
        <v>9480</v>
      </c>
      <c r="L7" s="176">
        <f>SUMIFS(Production[SatWt],Production[Date],"&gt;=10/01/"&amp;$K$2,Production[Date],"&lt;=12/31/"&amp;$K$2,Production[Species],$L$3)</f>
        <v>0</v>
      </c>
    </row>
    <row r="8" spans="5:13" x14ac:dyDescent="0.25">
      <c r="J8" s="249" t="s">
        <v>277</v>
      </c>
      <c r="K8" s="250"/>
      <c r="L8" s="251"/>
    </row>
    <row r="9" spans="5:13" ht="15.75" thickBot="1" x14ac:dyDescent="0.3">
      <c r="J9" s="252"/>
      <c r="K9" s="253"/>
      <c r="L9" s="254"/>
    </row>
    <row r="10" spans="5:13" ht="15.75" thickBot="1" x14ac:dyDescent="0.3">
      <c r="J10" s="255" t="s">
        <v>243</v>
      </c>
      <c r="K10" s="256"/>
      <c r="L10" s="257"/>
    </row>
    <row r="11" spans="5:13" ht="15.75" thickBot="1" x14ac:dyDescent="0.3">
      <c r="M11" s="182"/>
    </row>
    <row r="12" spans="5:13" ht="15.75" thickBot="1" x14ac:dyDescent="0.3">
      <c r="J12" s="153" t="s">
        <v>273</v>
      </c>
      <c r="K12" s="154"/>
      <c r="L12" s="154"/>
      <c r="M12" s="183"/>
    </row>
    <row r="13" spans="5:13" ht="15.75" thickBot="1" x14ac:dyDescent="0.3">
      <c r="J13" s="161" t="s">
        <v>272</v>
      </c>
      <c r="K13" s="187">
        <f>AVERAGEIFS(Production[BtBrPct],Production[BtBrPct],"&gt;0",Production[Species],"&lt;&gt;""""")</f>
        <v>0.17613425923294196</v>
      </c>
      <c r="L13" s="180" t="s">
        <v>1</v>
      </c>
      <c r="M13" s="181" t="s">
        <v>2</v>
      </c>
    </row>
    <row r="14" spans="5:13" x14ac:dyDescent="0.25">
      <c r="J14" s="162" t="s">
        <v>275</v>
      </c>
      <c r="K14" s="184">
        <f>_xlfn.MINIFS(Production[BtBrPct],Production[Species],"&lt;&gt;""""")</f>
        <v>7.4324324324324328E-2</v>
      </c>
      <c r="L14" s="188">
        <f>INDEX(Production[Date],MATCH(K14,Production[BtBrPct],0))</f>
        <v>45202</v>
      </c>
      <c r="M14" s="164" t="str">
        <f>INDEX(Production[Product],MATCH(L14,Production[Date],0))</f>
        <v>Breaded Pork Patty</v>
      </c>
    </row>
    <row r="15" spans="5:13" x14ac:dyDescent="0.25">
      <c r="J15" s="163" t="s">
        <v>274</v>
      </c>
      <c r="K15" s="185">
        <f>_xlfn.MAXIFS(Production[BtBrPct],Production[Species],"&lt;&gt;""""")</f>
        <v>0.2857142857142857</v>
      </c>
      <c r="L15" s="189">
        <f>INDEX(Production[Date],MATCH(K15,Production[BtBrPct],0))</f>
        <v>44991</v>
      </c>
      <c r="M15" s="165" t="str">
        <f>INDEX(Production[Product],MATCH(L15,Production[Date],0))</f>
        <v>Spicy Breaded Chicken Patty</v>
      </c>
    </row>
    <row r="16" spans="5:13" ht="15.75" thickBot="1" x14ac:dyDescent="0.3">
      <c r="J16" s="156" t="s">
        <v>276</v>
      </c>
      <c r="K16" s="186">
        <f>INDEX(Production[BtBrPct],MATCH(L16,Production[Date],0))</f>
        <v>0.10526315789473684</v>
      </c>
      <c r="L16" s="190">
        <f>_xlfn.MAXIFS(Production[Date],Production[BtBrPct],"&gt;0")</f>
        <v>45552</v>
      </c>
      <c r="M16" s="157" t="str">
        <f>INDEX(Production[Product],MATCH(L16,Production[Date],0))</f>
        <v>Breaded Chicken Patty (2oz)</v>
      </c>
    </row>
    <row r="17" spans="1:12" ht="15" customHeight="1" thickBot="1" x14ac:dyDescent="0.3"/>
    <row r="18" spans="1:12" ht="15.75" thickBot="1" x14ac:dyDescent="0.3">
      <c r="A18" s="153" t="s">
        <v>238</v>
      </c>
      <c r="B18" s="154"/>
      <c r="C18" s="155"/>
      <c r="E18" s="160" t="s">
        <v>278</v>
      </c>
      <c r="F18" s="158"/>
      <c r="G18" s="158"/>
      <c r="H18" s="159"/>
      <c r="I18" s="129"/>
      <c r="J18" s="302" t="s">
        <v>303</v>
      </c>
      <c r="K18" s="303"/>
      <c r="L18" s="304"/>
    </row>
    <row r="19" spans="1:12" ht="15.75" thickBot="1" x14ac:dyDescent="0.3">
      <c r="A19" s="166" t="s">
        <v>235</v>
      </c>
      <c r="B19" t="s">
        <v>216</v>
      </c>
      <c r="C19" s="177"/>
      <c r="E19" s="166" t="s">
        <v>231</v>
      </c>
      <c r="F19" s="166" t="s">
        <v>229</v>
      </c>
      <c r="J19" s="305" t="s">
        <v>123</v>
      </c>
      <c r="K19" s="301"/>
      <c r="L19" s="306">
        <f>ROUND(INDEX(CaseAvg[Cases per Lot],MATCH(J19,CaseAvg[Product],0)),1)</f>
        <v>19.7</v>
      </c>
    </row>
    <row r="20" spans="1:12" ht="15.75" thickBot="1" x14ac:dyDescent="0.3">
      <c r="A20" s="178"/>
      <c r="B20" s="179"/>
      <c r="C20" s="177"/>
      <c r="E20" s="166" t="s">
        <v>230</v>
      </c>
      <c r="F20" t="s">
        <v>214</v>
      </c>
      <c r="G20" t="s">
        <v>215</v>
      </c>
      <c r="H20" t="s">
        <v>216</v>
      </c>
      <c r="J20" s="307" t="s">
        <v>21</v>
      </c>
      <c r="K20" s="300"/>
      <c r="L20" s="308">
        <f>ROUND(INDEX(CaseAvg[Cases per Lot],MATCH(J20,CaseAvg[Product],0)),1)</f>
        <v>20.9</v>
      </c>
    </row>
    <row r="21" spans="1:12" x14ac:dyDescent="0.25">
      <c r="A21" s="166" t="s">
        <v>234</v>
      </c>
      <c r="B21" t="s">
        <v>236</v>
      </c>
      <c r="C21" t="s">
        <v>237</v>
      </c>
      <c r="E21" s="167" t="s">
        <v>217</v>
      </c>
      <c r="F21" s="168">
        <v>45620</v>
      </c>
      <c r="G21" s="168">
        <v>82710</v>
      </c>
      <c r="H21" s="168">
        <v>75605</v>
      </c>
      <c r="J21" s="307" t="s">
        <v>151</v>
      </c>
      <c r="K21" s="300"/>
      <c r="L21" s="308">
        <f>ROUND(INDEX(CaseAvg[Cases per Lot],MATCH(J21,CaseAvg[Product],0)),1)</f>
        <v>18.899999999999999</v>
      </c>
    </row>
    <row r="22" spans="1:12" x14ac:dyDescent="0.25">
      <c r="A22" s="167" t="s">
        <v>232</v>
      </c>
      <c r="B22" s="168">
        <v>6976</v>
      </c>
      <c r="C22" s="168">
        <v>148.42553191489361</v>
      </c>
      <c r="E22" s="167" t="s">
        <v>218</v>
      </c>
      <c r="F22" s="168">
        <v>44200</v>
      </c>
      <c r="G22" s="168">
        <v>42515</v>
      </c>
      <c r="H22" s="168">
        <v>71555</v>
      </c>
      <c r="J22" s="307" t="s">
        <v>22</v>
      </c>
      <c r="K22" s="300"/>
      <c r="L22" s="308">
        <f>ROUND(INDEX(CaseAvg[Cases per Lot],MATCH(J22,CaseAvg[Product],0)),1)</f>
        <v>20.100000000000001</v>
      </c>
    </row>
    <row r="23" spans="1:12" x14ac:dyDescent="0.25">
      <c r="A23" s="167" t="s">
        <v>233</v>
      </c>
      <c r="B23" s="168">
        <v>3823</v>
      </c>
      <c r="C23" s="168">
        <v>119.46875</v>
      </c>
      <c r="E23" s="167" t="s">
        <v>219</v>
      </c>
      <c r="F23" s="168">
        <v>69705</v>
      </c>
      <c r="G23" s="168">
        <v>89340</v>
      </c>
      <c r="H23" s="168">
        <v>35265</v>
      </c>
      <c r="J23" s="307" t="s">
        <v>19</v>
      </c>
      <c r="K23" s="300"/>
      <c r="L23" s="308">
        <f>ROUND(INDEX(CaseAvg[Cases per Lot],MATCH(J23,CaseAvg[Product],0)),1)</f>
        <v>16.7</v>
      </c>
    </row>
    <row r="24" spans="1:12" x14ac:dyDescent="0.25">
      <c r="A24" s="167" t="s">
        <v>243</v>
      </c>
      <c r="B24" s="168">
        <v>5157</v>
      </c>
      <c r="C24" s="168">
        <v>117.20454545454545</v>
      </c>
      <c r="E24" s="167" t="s">
        <v>220</v>
      </c>
      <c r="F24" s="168">
        <v>71560</v>
      </c>
      <c r="G24" s="168">
        <v>36045</v>
      </c>
      <c r="H24" s="168">
        <v>31435</v>
      </c>
      <c r="J24" s="307" t="s">
        <v>20</v>
      </c>
      <c r="K24" s="300"/>
      <c r="L24" s="308">
        <f>ROUND(INDEX(CaseAvg[Cases per Lot],MATCH(J24,CaseAvg[Product],0)),1)</f>
        <v>17.5</v>
      </c>
    </row>
    <row r="25" spans="1:12" x14ac:dyDescent="0.25">
      <c r="A25" s="167" t="s">
        <v>244</v>
      </c>
      <c r="B25" s="168">
        <v>447</v>
      </c>
      <c r="C25" s="168">
        <v>89.4</v>
      </c>
      <c r="E25" s="167" t="s">
        <v>221</v>
      </c>
      <c r="F25" s="168">
        <v>59015</v>
      </c>
      <c r="G25" s="168">
        <v>79740</v>
      </c>
      <c r="H25" s="168">
        <v>40970</v>
      </c>
      <c r="J25" s="307" t="s">
        <v>16</v>
      </c>
      <c r="K25" s="300"/>
      <c r="L25" s="308">
        <f>ROUND(INDEX(CaseAvg[Cases per Lot],MATCH(J25,CaseAvg[Product],0)),1)</f>
        <v>13.9</v>
      </c>
    </row>
    <row r="26" spans="1:12" x14ac:dyDescent="0.25">
      <c r="A26" s="167" t="s">
        <v>213</v>
      </c>
      <c r="B26" s="168">
        <v>16403</v>
      </c>
      <c r="C26" s="168">
        <v>128.1484375</v>
      </c>
      <c r="E26" s="167" t="s">
        <v>222</v>
      </c>
      <c r="F26" s="168">
        <v>27240</v>
      </c>
      <c r="G26" s="168">
        <v>62710</v>
      </c>
      <c r="H26" s="168">
        <v>29745</v>
      </c>
      <c r="J26" s="307" t="s">
        <v>15</v>
      </c>
      <c r="K26" s="300"/>
      <c r="L26" s="308">
        <f>ROUND(INDEX(CaseAvg[Cases per Lot],MATCH(J26,CaseAvg[Product],0)),1)</f>
        <v>13.7</v>
      </c>
    </row>
    <row r="27" spans="1:12" x14ac:dyDescent="0.25">
      <c r="E27" s="167" t="s">
        <v>223</v>
      </c>
      <c r="F27" s="168">
        <v>9455</v>
      </c>
      <c r="G27" s="168">
        <v>54220</v>
      </c>
      <c r="H27" s="168">
        <v>34945</v>
      </c>
      <c r="J27" s="307" t="s">
        <v>18</v>
      </c>
      <c r="K27" s="300"/>
      <c r="L27" s="308">
        <f>ROUND(INDEX(CaseAvg[Cases per Lot],MATCH(J27,CaseAvg[Product],0)),1)</f>
        <v>12.6</v>
      </c>
    </row>
    <row r="28" spans="1:12" x14ac:dyDescent="0.25">
      <c r="E28" s="167" t="s">
        <v>224</v>
      </c>
      <c r="F28" s="168">
        <v>31950</v>
      </c>
      <c r="G28" s="168">
        <v>46405</v>
      </c>
      <c r="H28" s="168">
        <v>49320</v>
      </c>
      <c r="J28" s="307" t="s">
        <v>23</v>
      </c>
      <c r="K28" s="300"/>
      <c r="L28" s="308">
        <f>ROUND(INDEX(CaseAvg[Cases per Lot],MATCH(J28,CaseAvg[Product],0)),1)</f>
        <v>14.4</v>
      </c>
    </row>
    <row r="29" spans="1:12" x14ac:dyDescent="0.25">
      <c r="E29" s="167" t="s">
        <v>225</v>
      </c>
      <c r="F29" s="168">
        <v>54485</v>
      </c>
      <c r="G29" s="168">
        <v>52030</v>
      </c>
      <c r="H29" s="168">
        <v>58670</v>
      </c>
      <c r="J29" s="307" t="s">
        <v>9</v>
      </c>
      <c r="K29" s="300"/>
      <c r="L29" s="308">
        <f>ROUND(INDEX(CaseAvg[Cases per Lot],MATCH(J29,CaseAvg[Product],0)),1)</f>
        <v>13.1</v>
      </c>
    </row>
    <row r="30" spans="1:12" x14ac:dyDescent="0.25">
      <c r="E30" s="167" t="s">
        <v>226</v>
      </c>
      <c r="F30" s="168">
        <v>42290</v>
      </c>
      <c r="G30" s="168">
        <v>72635</v>
      </c>
      <c r="H30" s="168">
        <v>11695</v>
      </c>
      <c r="J30" s="307" t="s">
        <v>212</v>
      </c>
      <c r="K30" s="300"/>
      <c r="L30" s="308">
        <f>ROUND(INDEX(CaseAvg[Cases per Lot],MATCH(J30,CaseAvg[Product],0)),1)</f>
        <v>13.4</v>
      </c>
    </row>
    <row r="31" spans="1:12" x14ac:dyDescent="0.25">
      <c r="E31" s="167" t="s">
        <v>227</v>
      </c>
      <c r="F31" s="168">
        <v>44530</v>
      </c>
      <c r="G31" s="168">
        <v>45825</v>
      </c>
      <c r="H31" s="168"/>
      <c r="J31" s="307" t="s">
        <v>7</v>
      </c>
      <c r="K31" s="300"/>
      <c r="L31" s="308">
        <f>ROUND(INDEX(CaseAvg[Cases per Lot],MATCH(J31,CaseAvg[Product],0)),1)</f>
        <v>16.3</v>
      </c>
    </row>
    <row r="32" spans="1:12" x14ac:dyDescent="0.25">
      <c r="E32" s="167" t="s">
        <v>228</v>
      </c>
      <c r="F32" s="168">
        <v>67660</v>
      </c>
      <c r="G32" s="168">
        <v>62865</v>
      </c>
      <c r="H32" s="168"/>
      <c r="J32" s="307" t="s">
        <v>13</v>
      </c>
      <c r="K32" s="300"/>
      <c r="L32" s="308">
        <f>ROUND(INDEX(CaseAvg[Cases per Lot],MATCH(J32,CaseAvg[Product],0)),1)</f>
        <v>14.9</v>
      </c>
    </row>
    <row r="33" spans="5:12" x14ac:dyDescent="0.25">
      <c r="E33" s="167" t="s">
        <v>213</v>
      </c>
      <c r="F33" s="168">
        <v>567710</v>
      </c>
      <c r="G33" s="168">
        <v>727040</v>
      </c>
      <c r="H33" s="168">
        <v>439205</v>
      </c>
      <c r="J33" s="307" t="s">
        <v>17</v>
      </c>
      <c r="K33" s="300"/>
      <c r="L33" s="308">
        <f>ROUND(INDEX(CaseAvg[Cases per Lot],MATCH(J33,CaseAvg[Product],0)),1)</f>
        <v>17.899999999999999</v>
      </c>
    </row>
    <row r="34" spans="5:12" x14ac:dyDescent="0.25">
      <c r="J34" s="307" t="s">
        <v>11</v>
      </c>
      <c r="K34" s="300"/>
      <c r="L34" s="308">
        <f>ROUND(INDEX(CaseAvg[Cases per Lot],MATCH(J34,CaseAvg[Product],0)),1)</f>
        <v>17</v>
      </c>
    </row>
    <row r="35" spans="5:12" x14ac:dyDescent="0.25">
      <c r="J35" s="307" t="s">
        <v>12</v>
      </c>
      <c r="K35" s="300"/>
      <c r="L35" s="308">
        <f>ROUND(INDEX(CaseAvg[Cases per Lot],MATCH(J35,CaseAvg[Product],0)),1)</f>
        <v>21.2</v>
      </c>
    </row>
    <row r="36" spans="5:12" x14ac:dyDescent="0.25">
      <c r="J36" s="307" t="s">
        <v>8</v>
      </c>
      <c r="K36" s="300"/>
      <c r="L36" s="308">
        <f>ROUND(INDEX(CaseAvg[Cases per Lot],MATCH(J36,CaseAvg[Product],0)),1)</f>
        <v>19.5</v>
      </c>
    </row>
    <row r="37" spans="5:12" x14ac:dyDescent="0.25">
      <c r="J37" s="307" t="s">
        <v>14</v>
      </c>
      <c r="K37" s="300"/>
      <c r="L37" s="308">
        <f>ROUND(INDEX(CaseAvg[Cases per Lot],MATCH(J37,CaseAvg[Product],0)),1)</f>
        <v>17.8</v>
      </c>
    </row>
    <row r="38" spans="5:12" ht="15.75" thickBot="1" x14ac:dyDescent="0.3">
      <c r="J38" s="309" t="s">
        <v>25</v>
      </c>
      <c r="K38" s="310"/>
      <c r="L38" s="311">
        <f>ROUND(INDEX(CaseAvg[Cases per Lot],MATCH(J38,CaseAvg[Product],0)),1)</f>
        <v>13.3</v>
      </c>
    </row>
  </sheetData>
  <mergeCells count="24">
    <mergeCell ref="J35:K35"/>
    <mergeCell ref="J36:K36"/>
    <mergeCell ref="J37:K37"/>
    <mergeCell ref="J38:K38"/>
    <mergeCell ref="J30:K30"/>
    <mergeCell ref="J31:K31"/>
    <mergeCell ref="J32:K32"/>
    <mergeCell ref="J33:K33"/>
    <mergeCell ref="J34:K34"/>
    <mergeCell ref="J25:K25"/>
    <mergeCell ref="J26:K26"/>
    <mergeCell ref="J27:K27"/>
    <mergeCell ref="J28:K28"/>
    <mergeCell ref="J29:K29"/>
    <mergeCell ref="J20:K20"/>
    <mergeCell ref="J21:K21"/>
    <mergeCell ref="J22:K22"/>
    <mergeCell ref="J23:K23"/>
    <mergeCell ref="J24:K24"/>
    <mergeCell ref="K2:L2"/>
    <mergeCell ref="J1:L1"/>
    <mergeCell ref="J8:L9"/>
    <mergeCell ref="J10:L10"/>
    <mergeCell ref="J19:K19"/>
  </mergeCells>
  <dataValidations count="1">
    <dataValidation type="list" allowBlank="1" showInputMessage="1" showErrorMessage="1" sqref="J10" xr:uid="{075F41B3-BD1D-4210-8A50-63875E44C206}">
      <formula1>"Qtr1,Qtr2,Qtr3,Qtr4"</formula1>
    </dataValidation>
  </dataValidations>
  <pageMargins left="0.7" right="0.7" top="0.75" bottom="0.75" header="0.3" footer="0.3"/>
  <pageSetup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8AEF3-6744-4CFA-91B5-109C9F84CAF5}">
  <sheetPr codeName="Sheet8"/>
  <dimension ref="A1:C24"/>
  <sheetViews>
    <sheetView workbookViewId="0">
      <selection activeCell="A13" sqref="A13"/>
    </sheetView>
    <sheetView workbookViewId="1"/>
  </sheetViews>
  <sheetFormatPr defaultRowHeight="15" x14ac:dyDescent="0.25"/>
  <cols>
    <col min="1" max="3" width="32.7109375" customWidth="1"/>
  </cols>
  <sheetData>
    <row r="1" spans="1:3" x14ac:dyDescent="0.25">
      <c r="A1" s="135" t="s">
        <v>245</v>
      </c>
      <c r="B1" s="134"/>
      <c r="C1" s="134"/>
    </row>
    <row r="2" spans="1:3" x14ac:dyDescent="0.25">
      <c r="A2" s="135" t="s">
        <v>246</v>
      </c>
      <c r="B2" s="134"/>
      <c r="C2" s="134"/>
    </row>
    <row r="3" spans="1:3" ht="15.75" thickBot="1" x14ac:dyDescent="0.3">
      <c r="A3" s="135" t="s">
        <v>247</v>
      </c>
      <c r="B3" s="134"/>
      <c r="C3" s="134"/>
    </row>
    <row r="4" spans="1:3" ht="51.75" customHeight="1" thickBot="1" x14ac:dyDescent="0.3">
      <c r="A4" s="265" t="s">
        <v>248</v>
      </c>
      <c r="B4" s="266"/>
      <c r="C4" s="267"/>
    </row>
    <row r="5" spans="1:3" ht="29.25" customHeight="1" thickBot="1" x14ac:dyDescent="0.3">
      <c r="A5" s="268" t="s">
        <v>249</v>
      </c>
      <c r="B5" s="269"/>
      <c r="C5" s="270"/>
    </row>
    <row r="6" spans="1:3" ht="30" customHeight="1" thickBot="1" x14ac:dyDescent="0.3">
      <c r="A6" s="258" t="s">
        <v>250</v>
      </c>
      <c r="B6" s="259"/>
      <c r="C6" s="260"/>
    </row>
    <row r="7" spans="1:3" ht="17.25" customHeight="1" x14ac:dyDescent="0.25">
      <c r="A7" s="261" t="s">
        <v>251</v>
      </c>
      <c r="B7" s="262"/>
      <c r="C7" s="136" t="s">
        <v>252</v>
      </c>
    </row>
    <row r="8" spans="1:3" ht="28.5" customHeight="1" thickBot="1" x14ac:dyDescent="0.4">
      <c r="A8" s="263" t="s">
        <v>302</v>
      </c>
      <c r="B8" s="264"/>
      <c r="C8" s="137">
        <v>12345</v>
      </c>
    </row>
    <row r="9" spans="1:3" ht="18.75" customHeight="1" x14ac:dyDescent="0.25">
      <c r="A9" s="275" t="s">
        <v>253</v>
      </c>
      <c r="B9" s="276"/>
      <c r="C9" s="272"/>
    </row>
    <row r="10" spans="1:3" ht="45" customHeight="1" thickBot="1" x14ac:dyDescent="0.3">
      <c r="A10" s="277"/>
      <c r="B10" s="278"/>
      <c r="C10" s="279"/>
    </row>
    <row r="11" spans="1:3" ht="33.75" customHeight="1" thickBot="1" x14ac:dyDescent="0.3">
      <c r="A11" s="280" t="s">
        <v>254</v>
      </c>
      <c r="B11" s="281"/>
      <c r="C11" s="282"/>
    </row>
    <row r="12" spans="1:3" x14ac:dyDescent="0.25">
      <c r="A12" s="148" t="s">
        <v>255</v>
      </c>
      <c r="B12" s="271" t="s">
        <v>256</v>
      </c>
      <c r="C12" s="272"/>
    </row>
    <row r="13" spans="1:3" ht="27" customHeight="1" thickBot="1" x14ac:dyDescent="0.3">
      <c r="A13" s="149">
        <f>IFERROR(INDEX(Reports!K4:K7,MATCH(Reports!J10,Reports!J4:J7,0)),"")</f>
        <v>125055</v>
      </c>
      <c r="B13" s="273">
        <f>IFERROR(INDEX(Reports!L4:L7,MATCH(Reports!J10,Reports!J4:J7,0)),"")</f>
        <v>3425</v>
      </c>
      <c r="C13" s="274"/>
    </row>
    <row r="14" spans="1:3" ht="18.75" customHeight="1" x14ac:dyDescent="0.25">
      <c r="A14" s="294" t="s">
        <v>266</v>
      </c>
      <c r="B14" s="295"/>
      <c r="C14" s="146" t="s">
        <v>265</v>
      </c>
    </row>
    <row r="15" spans="1:3" ht="45" customHeight="1" thickBot="1" x14ac:dyDescent="0.3">
      <c r="A15" s="298"/>
      <c r="B15" s="299"/>
      <c r="C15" s="152"/>
    </row>
    <row r="16" spans="1:3" ht="18.75" customHeight="1" x14ac:dyDescent="0.25">
      <c r="A16" s="296" t="s">
        <v>267</v>
      </c>
      <c r="B16" s="297"/>
      <c r="C16" s="150" t="s">
        <v>265</v>
      </c>
    </row>
    <row r="17" spans="1:3" ht="45" customHeight="1" thickBot="1" x14ac:dyDescent="0.3">
      <c r="A17" s="277"/>
      <c r="B17" s="278"/>
      <c r="C17" s="147"/>
    </row>
    <row r="18" spans="1:3" ht="30" customHeight="1" thickBot="1" x14ac:dyDescent="0.3">
      <c r="A18" s="288" t="s">
        <v>257</v>
      </c>
      <c r="B18" s="289"/>
      <c r="C18" s="290"/>
    </row>
    <row r="19" spans="1:3" ht="45.75" customHeight="1" thickBot="1" x14ac:dyDescent="0.3">
      <c r="A19" s="291" t="s">
        <v>258</v>
      </c>
      <c r="B19" s="292"/>
      <c r="C19" s="293"/>
    </row>
    <row r="20" spans="1:3" ht="18.75" customHeight="1" x14ac:dyDescent="0.25">
      <c r="A20" s="148" t="s">
        <v>255</v>
      </c>
      <c r="B20" s="271" t="s">
        <v>256</v>
      </c>
      <c r="C20" s="272"/>
    </row>
    <row r="21" spans="1:3" ht="27" customHeight="1" thickBot="1" x14ac:dyDescent="0.3">
      <c r="A21" s="151"/>
      <c r="B21" s="283"/>
      <c r="C21" s="284"/>
    </row>
    <row r="22" spans="1:3" ht="30" customHeight="1" x14ac:dyDescent="0.25">
      <c r="A22" s="275" t="s">
        <v>259</v>
      </c>
      <c r="B22" s="276"/>
      <c r="C22" s="272"/>
    </row>
    <row r="23" spans="1:3" ht="57" customHeight="1" thickBot="1" x14ac:dyDescent="0.3">
      <c r="A23" s="285" t="s">
        <v>260</v>
      </c>
      <c r="B23" s="286"/>
      <c r="C23" s="287"/>
    </row>
    <row r="24" spans="1:3" x14ac:dyDescent="0.25">
      <c r="A24" s="133" t="s">
        <v>261</v>
      </c>
      <c r="C24" s="138" t="s">
        <v>262</v>
      </c>
    </row>
  </sheetData>
  <mergeCells count="20">
    <mergeCell ref="A14:B14"/>
    <mergeCell ref="A16:B16"/>
    <mergeCell ref="A15:B15"/>
    <mergeCell ref="A17:B17"/>
    <mergeCell ref="B20:C20"/>
    <mergeCell ref="B21:C21"/>
    <mergeCell ref="A22:C22"/>
    <mergeCell ref="A23:C23"/>
    <mergeCell ref="A18:C18"/>
    <mergeCell ref="A19:C19"/>
    <mergeCell ref="B12:C12"/>
    <mergeCell ref="B13:C13"/>
    <mergeCell ref="A9:C9"/>
    <mergeCell ref="A10:C10"/>
    <mergeCell ref="A11:C11"/>
    <mergeCell ref="A6:C6"/>
    <mergeCell ref="A7:B7"/>
    <mergeCell ref="A8:B8"/>
    <mergeCell ref="A4:C4"/>
    <mergeCell ref="A5:C5"/>
  </mergeCells>
  <printOptions horizontalCentered="1" verticalCentered="1"/>
  <pageMargins left="0.25" right="0.25"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Production</vt:lpstr>
      <vt:lpstr>Ingredients</vt:lpstr>
      <vt:lpstr>CpL</vt:lpstr>
      <vt:lpstr>Ingredient Cost</vt:lpstr>
      <vt:lpstr>Seasoning Info</vt:lpstr>
      <vt:lpstr>CAMP</vt:lpstr>
      <vt:lpstr>Reports</vt:lpstr>
      <vt:lpstr>USDA</vt:lpstr>
      <vt:lpstr>CpL!Print_Area</vt:lpstr>
    </vt:vector>
  </TitlesOfParts>
  <Company>VITA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Yanoska, Stephen (VADOC)</dc:creator>
  <cp:lastModifiedBy>Steven Yanoska</cp:lastModifiedBy>
  <cp:lastPrinted>2024-07-15T15:21:22Z</cp:lastPrinted>
  <dcterms:created xsi:type="dcterms:W3CDTF">2024-04-25T12:36:59Z</dcterms:created>
  <dcterms:modified xsi:type="dcterms:W3CDTF">2025-06-29T15:12:57Z</dcterms:modified>
</cp:coreProperties>
</file>